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/>
  <mc:AlternateContent xmlns:mc="http://schemas.openxmlformats.org/markup-compatibility/2006">
    <mc:Choice Requires="x15">
      <x15ac:absPath xmlns:x15ac="http://schemas.microsoft.com/office/spreadsheetml/2010/11/ac" url="C:\Users\user\Documents\VTimi\testületi kivonatok\2019\2019 majus 15 rk\"/>
    </mc:Choice>
  </mc:AlternateContent>
  <xr:revisionPtr revIDLastSave="0" documentId="13_ncr:1_{2FB9B6F7-20A6-4A6B-82C6-82F929118443}" xr6:coauthVersionLast="43" xr6:coauthVersionMax="43" xr10:uidLastSave="{00000000-0000-0000-0000-000000000000}"/>
  <bookViews>
    <workbookView xWindow="-120" yWindow="-120" windowWidth="19440" windowHeight="15000" tabRatio="890" firstSheet="90" activeTab="93" xr2:uid="{00000000-000D-0000-FFFF-FFFF00000000}"/>
  </bookViews>
  <sheets>
    <sheet name="1.sz.mell." sheetId="1" r:id="rId1"/>
    <sheet name="1.1.sz.mell  " sheetId="2" r:id="rId2"/>
    <sheet name="1.2.sz.mell  " sheetId="3" r:id="rId3"/>
    <sheet name="1.3. sz. mell" sheetId="181" r:id="rId4"/>
    <sheet name="1.4. sz. mell" sheetId="182" r:id="rId5"/>
    <sheet name="1.5. sz. mell" sheetId="183" r:id="rId6"/>
    <sheet name="1.6.sz. mell" sheetId="184" r:id="rId7"/>
    <sheet name="2. sz. mell" sheetId="4" r:id="rId8"/>
    <sheet name="2.a sz. mell" sheetId="5" r:id="rId9"/>
    <sheet name="2.b sz. mell" sheetId="6" r:id="rId10"/>
    <sheet name="2.c sz. mell " sheetId="7" r:id="rId11"/>
    <sheet name="3. sz. mell" sheetId="8" r:id="rId12"/>
    <sheet name="3. a. sz. mell" sheetId="9" r:id="rId13"/>
    <sheet name="3.b. sz. mell" sheetId="10" r:id="rId14"/>
    <sheet name="3.c. sz. mell " sheetId="11" r:id="rId15"/>
    <sheet name="3.1. Cofog" sheetId="178" r:id="rId16"/>
    <sheet name="3.2 Cofogos" sheetId="177" r:id="rId17"/>
    <sheet name="4. sz. mell." sheetId="14" r:id="rId18"/>
    <sheet name="4.a. sz. mell." sheetId="15" r:id="rId19"/>
    <sheet name="4. b.sz. mell." sheetId="16" r:id="rId20"/>
    <sheet name="4.c. sz. mell." sheetId="17" r:id="rId21"/>
    <sheet name="4.1 sz. mell" sheetId="18" r:id="rId22"/>
    <sheet name="4.2.sz. mell. " sheetId="20" r:id="rId23"/>
    <sheet name="4.3 sz. mell." sheetId="21" r:id="rId24"/>
    <sheet name="4.4.sz. mell." sheetId="22" r:id="rId25"/>
    <sheet name="5. sz. mell. " sheetId="24" r:id="rId26"/>
    <sheet name="5.a sz. mell. " sheetId="25" r:id="rId27"/>
    <sheet name="5.b. sz. mell." sheetId="26" r:id="rId28"/>
    <sheet name="5.c sz. mell." sheetId="27" r:id="rId29"/>
    <sheet name="5.1. sz. mell. " sheetId="28" r:id="rId30"/>
    <sheet name="5.1.a. sz. mell." sheetId="29" r:id="rId31"/>
    <sheet name="5.1.b. sz. mell." sheetId="30" r:id="rId32"/>
    <sheet name="5.1.c. sz. mell." sheetId="31" r:id="rId33"/>
    <sheet name="5.1.d.sz.mell" sheetId="105" r:id="rId34"/>
    <sheet name="5.2. sz. mell.  " sheetId="32" r:id="rId35"/>
    <sheet name="5.2.a. sz. mell." sheetId="33" r:id="rId36"/>
    <sheet name="5.2.b. sz. mell" sheetId="34" r:id="rId37"/>
    <sheet name="5.2.c. sz. mell." sheetId="35" r:id="rId38"/>
    <sheet name="5.2.d.sz.mell." sheetId="106" r:id="rId39"/>
    <sheet name="5.3 sz. mell" sheetId="36" r:id="rId40"/>
    <sheet name="5.3.a. sz. mell" sheetId="37" r:id="rId41"/>
    <sheet name="5.3 b. sz. mell" sheetId="38" r:id="rId42"/>
    <sheet name="5.3.c. sz. mell" sheetId="39" r:id="rId43"/>
    <sheet name="5.3.d.sz.mell" sheetId="104" r:id="rId44"/>
    <sheet name="5.4. sz mell" sheetId="40" r:id="rId45"/>
    <sheet name="5.4.a. sz mell" sheetId="41" r:id="rId46"/>
    <sheet name="5.4.b. sz mell" sheetId="42" r:id="rId47"/>
    <sheet name="5.4.c. sz mell" sheetId="43" r:id="rId48"/>
    <sheet name="5.4.d.sz.mell" sheetId="107" r:id="rId49"/>
    <sheet name="5.5. sz. mell.  " sheetId="44" r:id="rId50"/>
    <sheet name="5.5.a. sz. mell." sheetId="45" r:id="rId51"/>
    <sheet name="5.5.b.sz. mell" sheetId="46" r:id="rId52"/>
    <sheet name="5.5.c. sz. mell" sheetId="47" r:id="rId53"/>
    <sheet name="5.5.d.sz.mell" sheetId="123" r:id="rId54"/>
    <sheet name="5.6. sz. mell" sheetId="48" r:id="rId55"/>
    <sheet name="5.6.a. sz. mell" sheetId="49" r:id="rId56"/>
    <sheet name="5.6.b. sz." sheetId="50" r:id="rId57"/>
    <sheet name="5.6.c. sz. mell" sheetId="51" r:id="rId58"/>
    <sheet name="5.6.d sz. mell." sheetId="124" r:id="rId59"/>
    <sheet name="5.7. sz. mell." sheetId="52" r:id="rId60"/>
    <sheet name="5.7.a. sz. mell." sheetId="53" r:id="rId61"/>
    <sheet name="5.7.b. sz. mell." sheetId="54" r:id="rId62"/>
    <sheet name="5.7.c. sz. mell. " sheetId="55" r:id="rId63"/>
    <sheet name="5.7.d.sz.mell" sheetId="125" r:id="rId64"/>
    <sheet name="5.8. sz. mell." sheetId="56" r:id="rId65"/>
    <sheet name="5.8.a. sz. mell." sheetId="57" r:id="rId66"/>
    <sheet name="5.8.b. sz. mell." sheetId="58" r:id="rId67"/>
    <sheet name="5.8.c. sz. mell." sheetId="59" r:id="rId68"/>
    <sheet name="5.8.d.sz.mell" sheetId="127" r:id="rId69"/>
    <sheet name="5.9. sz. mell." sheetId="60" r:id="rId70"/>
    <sheet name="5.9.a. sz. mell" sheetId="61" r:id="rId71"/>
    <sheet name="5.9.b. sz. mell." sheetId="62" r:id="rId72"/>
    <sheet name="5.9.c. sz. mell." sheetId="63" r:id="rId73"/>
    <sheet name="5.9.d.sz.mell." sheetId="126" r:id="rId74"/>
    <sheet name="5.10 sz. mell " sheetId="64" r:id="rId75"/>
    <sheet name="5.10.a.sz. mell" sheetId="65" r:id="rId76"/>
    <sheet name="5.10.b. sz. mell" sheetId="66" r:id="rId77"/>
    <sheet name="5.10.c.sz. mell" sheetId="67" r:id="rId78"/>
    <sheet name="5.10.1. sz. mell." sheetId="68" r:id="rId79"/>
    <sheet name="6.1.sz.mell. " sheetId="69" r:id="rId80"/>
    <sheet name="6.2.sz.mell." sheetId="70" r:id="rId81"/>
    <sheet name="7.1. sz mell." sheetId="71" r:id="rId82"/>
    <sheet name="7.2.. sz mell." sheetId="72" r:id="rId83"/>
    <sheet name="8.1. sz. mell" sheetId="179" r:id="rId84"/>
    <sheet name="8.2. sz. mell." sheetId="189" r:id="rId85"/>
    <sheet name="8.3. sz. mell." sheetId="142" r:id="rId86"/>
    <sheet name="9.sz. mell." sheetId="191" r:id="rId87"/>
    <sheet name="10. sz. mell." sheetId="190" r:id="rId88"/>
    <sheet name="11.sz. mell" sheetId="197" r:id="rId89"/>
    <sheet name="12.sz. mell" sheetId="192" r:id="rId90"/>
    <sheet name="13.sz. mell" sheetId="195" r:id="rId91"/>
    <sheet name="14.sz. mell" sheetId="193" r:id="rId92"/>
    <sheet name="14.1sz. mell" sheetId="194" r:id="rId93"/>
    <sheet name="15. sz. mell." sheetId="198" r:id="rId94"/>
    <sheet name="15.1. sz. mell." sheetId="199" r:id="rId95"/>
    <sheet name="15.2. sz. mell." sheetId="200" r:id="rId96"/>
    <sheet name="16. sz. mell" sheetId="201" r:id="rId97"/>
    <sheet name="17.sz. mell" sheetId="196" r:id="rId98"/>
    <sheet name="......." sheetId="159" r:id="rId99"/>
    <sheet name="............" sheetId="158" r:id="rId100"/>
  </sheets>
  <externalReferences>
    <externalReference r:id="rId101"/>
    <externalReference r:id="rId102"/>
  </externalReferences>
  <definedNames>
    <definedName name="_108Excel_BuiltIn_Print_Titles_2_8_1_1_1">#REF!</definedName>
    <definedName name="_10Excel_BuiltIn_Print_Titles_1_8_1_1_1" localSheetId="16">#REF!</definedName>
    <definedName name="_11Excel_BuiltIn_Print_Titles_1_8_1_1_1" localSheetId="53">#REF!</definedName>
    <definedName name="_120Excel_BuiltIn_Print_Titles_2_8_4_1_1_1">#REF!</definedName>
    <definedName name="_12Excel_BuiltIn_Print_Titles_1_4_1_1_1">#REF!</definedName>
    <definedName name="_12Excel_BuiltIn_Print_Titles_1_8_1_1_1">#REF!</definedName>
    <definedName name="_132Excel_BuiltIn_Print_Titles_2_9_1_1_1">#REF!</definedName>
    <definedName name="_144Excel_BuiltIn_Print_Titles_2_9_4_1_1_1">#REF!</definedName>
    <definedName name="_14Excel_BuiltIn_Print_Titles_1_8_4_1_1_1" localSheetId="16">#REF!</definedName>
    <definedName name="_156Excel_BuiltIn_Print_Titles_5_4_1_1_1">#REF!</definedName>
    <definedName name="_15Excel_BuiltIn_Print_Titles_1_8_4_1_1_1" localSheetId="53">#REF!</definedName>
    <definedName name="_168Excel_BuiltIn_Print_Titles_5_7_4_1_1_1">#REF!</definedName>
    <definedName name="_16Excel_BuiltIn_Print_Titles_1_8_4_1_1_1">#REF!</definedName>
    <definedName name="_180Excel_BuiltIn_Print_Titles_5_8_1_1_1">'[1]9a.sz.mell.II.név(7.1)'!#REF!</definedName>
    <definedName name="_18Excel_BuiltIn_Print_Titles_1_9_1_1_1" localSheetId="16">#REF!</definedName>
    <definedName name="_192Excel_BuiltIn_Print_Titles_5_8_4_1_1_1">'[1]9a.sz.mell.II.név(7.1)'!#REF!</definedName>
    <definedName name="_19Excel_BuiltIn_Print_Titles_1_9_1_1_1" localSheetId="53">#REF!</definedName>
    <definedName name="_204Excel_BuiltIn_Print_Titles_5_9_1_1_1">#REF!</definedName>
    <definedName name="_20Excel_BuiltIn_Print_Titles_1_9_1_1_1">#REF!</definedName>
    <definedName name="_216Excel_BuiltIn_Print_Titles_5_9_4_1_1_1">#REF!</definedName>
    <definedName name="_228Excel_BuiltIn_Print_Titles_6_4_1_1_1">#REF!</definedName>
    <definedName name="_22Excel_BuiltIn_Print_Titles_1_9_4_1_1_1" localSheetId="16">#REF!</definedName>
    <definedName name="_23Excel_BuiltIn_Print_Titles_1_9_4_1_1_1" localSheetId="53">#REF!</definedName>
    <definedName name="_240Excel_BuiltIn_Print_Titles_6_7_4_1_1_1">#REF!</definedName>
    <definedName name="_24Excel_BuiltIn_Print_Titles_1_7_4_1_1_1">#REF!</definedName>
    <definedName name="_24Excel_BuiltIn_Print_Titles_1_9_4_1_1_1">#REF!</definedName>
    <definedName name="_252Excel_BuiltIn_Print_Titles_6_8_1_1_1">#REF!</definedName>
    <definedName name="_264Excel_BuiltIn_Print_Titles_6_8_4_1_1_1">#REF!</definedName>
    <definedName name="_26Excel_BuiltIn_Print_Titles_2_4_1_1_1" localSheetId="16">#REF!</definedName>
    <definedName name="_276Excel_BuiltIn_Print_Titles_6_9_1_1_1">'[1]9b.sz.mell.II.név (7.2)'!#REF!</definedName>
    <definedName name="_27Excel_BuiltIn_Print_Titles_2_4_1_1_1" localSheetId="53">#REF!</definedName>
    <definedName name="_288Excel_BuiltIn_Print_Titles_6_9_4_1_1_1">'[1]9b.sz.mell.II.név (7.2)'!#REF!</definedName>
    <definedName name="_28Excel_BuiltIn_Print_Titles_2_4_1_1_1">#REF!</definedName>
    <definedName name="_2Excel_BuiltIn_Print_Titles_1_4_1_1_1" localSheetId="16">#REF!</definedName>
    <definedName name="_30Excel_BuiltIn_Print_Titles_2_7_4_1_1_1" localSheetId="16">#REF!</definedName>
    <definedName name="_31Excel_BuiltIn_Print_Titles_2_7_4_1_1_1" localSheetId="53">#REF!</definedName>
    <definedName name="_32Excel_BuiltIn_Print_Titles_2_7_4_1_1_1">#REF!</definedName>
    <definedName name="_34Excel_BuiltIn_Print_Titles_2_8_1_1_1" localSheetId="16">#REF!</definedName>
    <definedName name="_35Excel_BuiltIn_Print_Titles_2_8_1_1_1" localSheetId="53">#REF!</definedName>
    <definedName name="_36Excel_BuiltIn_Print_Titles_1_8_1_1_1">#REF!</definedName>
    <definedName name="_36Excel_BuiltIn_Print_Titles_2_8_1_1_1">#REF!</definedName>
    <definedName name="_38Excel_BuiltIn_Print_Titles_2_8_4_1_1_1" localSheetId="16">#REF!</definedName>
    <definedName name="_39Excel_BuiltIn_Print_Titles_2_8_4_1_1_1" localSheetId="53">#REF!</definedName>
    <definedName name="_3Excel_BuiltIn_Print_Titles_1_4_1_1_1" localSheetId="53">#REF!</definedName>
    <definedName name="_4._sz._sor_részletezése" localSheetId="3">#REF!</definedName>
    <definedName name="_4._sz._sor_részletezése" localSheetId="4">#REF!</definedName>
    <definedName name="_4._sz._sor_részletezése" localSheetId="5">#REF!</definedName>
    <definedName name="_4._sz._sor_részletezése" localSheetId="93">#REF!</definedName>
    <definedName name="_4._sz._sor_részletezése" localSheetId="94">#REF!</definedName>
    <definedName name="_4._sz._sor_részletezése" localSheetId="95">#REF!</definedName>
    <definedName name="_4._sz._sor_részletezése" localSheetId="96">#REF!</definedName>
    <definedName name="_4._sz._sor_részletezése" localSheetId="16">#REF!</definedName>
    <definedName name="_4._sz._sor_részletezése" localSheetId="53">#REF!</definedName>
    <definedName name="_4._sz._sor_részletezése">#REF!</definedName>
    <definedName name="_4._sz._sor_részletezése_10" localSheetId="93">#REF!</definedName>
    <definedName name="_4._sz._sor_részletezése_10" localSheetId="94">#REF!</definedName>
    <definedName name="_4._sz._sor_részletezése_10" localSheetId="95">#REF!</definedName>
    <definedName name="_4._sz._sor_részletezése_10" localSheetId="96">#REF!</definedName>
    <definedName name="_4._sz._sor_részletezése_10" localSheetId="16">#REF!</definedName>
    <definedName name="_4._sz._sor_részletezése_10" localSheetId="53">#REF!</definedName>
    <definedName name="_4._sz._sor_részletezése_10">#REF!</definedName>
    <definedName name="_4._sz._sor_részletezése_11" localSheetId="16">#REF!</definedName>
    <definedName name="_4._sz._sor_részletezése_11" localSheetId="53">#REF!</definedName>
    <definedName name="_4._sz._sor_részletezése_11">#REF!</definedName>
    <definedName name="_4._sz._sor_részletezése_15" localSheetId="16">#REF!</definedName>
    <definedName name="_4._sz._sor_részletezése_15" localSheetId="53">#REF!</definedName>
    <definedName name="_4._sz._sor_részletezése_15">#REF!</definedName>
    <definedName name="_4._sz._sor_részletezése_16" localSheetId="16">#REF!</definedName>
    <definedName name="_4._sz._sor_részletezése_16" localSheetId="53">#REF!</definedName>
    <definedName name="_4._sz._sor_részletezése_16">#REF!</definedName>
    <definedName name="_4._sz._sor_részletezése_17" localSheetId="16">#REF!</definedName>
    <definedName name="_4._sz._sor_részletezése_17" localSheetId="53">#REF!</definedName>
    <definedName name="_4._sz._sor_részletezése_17">#REF!</definedName>
    <definedName name="_4._sz._sor_részletezése_25" localSheetId="16">#REF!</definedName>
    <definedName name="_4._sz._sor_részletezése_25" localSheetId="53">#REF!</definedName>
    <definedName name="_4._sz._sor_részletezése_25">#REF!</definedName>
    <definedName name="_4._sz._sor_részletezése_26" localSheetId="16">#REF!</definedName>
    <definedName name="_4._sz._sor_részletezése_26" localSheetId="53">#REF!</definedName>
    <definedName name="_4._sz._sor_részletezése_26">#REF!</definedName>
    <definedName name="_4._sz._sor_részletezése_27" localSheetId="16">#REF!</definedName>
    <definedName name="_4._sz._sor_részletezése_27" localSheetId="53">#REF!</definedName>
    <definedName name="_4._sz._sor_részletezése_27">#REF!</definedName>
    <definedName name="_4._sz._sor_részletezése_29" localSheetId="16">#REF!</definedName>
    <definedName name="_4._sz._sor_részletezése_29" localSheetId="53">#REF!</definedName>
    <definedName name="_4._sz._sor_részletezése_29">#REF!</definedName>
    <definedName name="_4._sz._sor_részletezése_30" localSheetId="16">#REF!</definedName>
    <definedName name="_4._sz._sor_részletezése_30" localSheetId="53">#REF!</definedName>
    <definedName name="_4._sz._sor_részletezése_30">#REF!</definedName>
    <definedName name="_4._sz._sor_részletezése_31" localSheetId="16">#REF!</definedName>
    <definedName name="_4._sz._sor_részletezése_31" localSheetId="53">#REF!</definedName>
    <definedName name="_4._sz._sor_részletezése_31">#REF!</definedName>
    <definedName name="_4._sz._sor_részletezése_33" localSheetId="16">#REF!</definedName>
    <definedName name="_4._sz._sor_részletezése_33" localSheetId="53">#REF!</definedName>
    <definedName name="_4._sz._sor_részletezése_33">#REF!</definedName>
    <definedName name="_4._sz._sor_részletezése_34" localSheetId="16">#REF!</definedName>
    <definedName name="_4._sz._sor_részletezése_34" localSheetId="53">#REF!</definedName>
    <definedName name="_4._sz._sor_részletezése_34">#REF!</definedName>
    <definedName name="_4._sz._sor_részletezése_35" localSheetId="16">#REF!</definedName>
    <definedName name="_4._sz._sor_részletezése_35" localSheetId="53">#REF!</definedName>
    <definedName name="_4._sz._sor_részletezése_35">#REF!</definedName>
    <definedName name="_4._sz._sor_részletezése_37" localSheetId="16">#REF!</definedName>
    <definedName name="_4._sz._sor_részletezése_37" localSheetId="53">#REF!</definedName>
    <definedName name="_4._sz._sor_részletezése_37">#REF!</definedName>
    <definedName name="_4._sz._sor_részletezése_38" localSheetId="16">#REF!</definedName>
    <definedName name="_4._sz._sor_részletezése_38" localSheetId="53">#REF!</definedName>
    <definedName name="_4._sz._sor_részletezése_38">#REF!</definedName>
    <definedName name="_4._sz._sor_részletezése_39" localSheetId="16">#REF!</definedName>
    <definedName name="_4._sz._sor_részletezése_39" localSheetId="53">#REF!</definedName>
    <definedName name="_4._sz._sor_részletezése_39">#REF!</definedName>
    <definedName name="_4._sz._sor_részletezése_4" localSheetId="16">#REF!</definedName>
    <definedName name="_4._sz._sor_részletezése_4" localSheetId="53">#REF!</definedName>
    <definedName name="_4._sz._sor_részletezése_4">#REF!</definedName>
    <definedName name="_4._sz._sor_részletezése_41" localSheetId="16">#REF!</definedName>
    <definedName name="_4._sz._sor_részletezése_41" localSheetId="53">#REF!</definedName>
    <definedName name="_4._sz._sor_részletezése_41">#REF!</definedName>
    <definedName name="_4._sz._sor_részletezése_42" localSheetId="16">#REF!</definedName>
    <definedName name="_4._sz._sor_részletezése_42" localSheetId="53">#REF!</definedName>
    <definedName name="_4._sz._sor_részletezése_42">#REF!</definedName>
    <definedName name="_4._sz._sor_részletezése_43" localSheetId="16">#REF!</definedName>
    <definedName name="_4._sz._sor_részletezése_43" localSheetId="53">#REF!</definedName>
    <definedName name="_4._sz._sor_részletezése_43">#REF!</definedName>
    <definedName name="_4._sz._sor_részletezése_45" localSheetId="16">#REF!</definedName>
    <definedName name="_4._sz._sor_részletezése_45" localSheetId="53">#REF!</definedName>
    <definedName name="_4._sz._sor_részletezése_45">#REF!</definedName>
    <definedName name="_4._sz._sor_részletezése_46" localSheetId="16">#REF!</definedName>
    <definedName name="_4._sz._sor_részletezése_46" localSheetId="53">#REF!</definedName>
    <definedName name="_4._sz._sor_részletezése_46">#REF!</definedName>
    <definedName name="_4._sz._sor_részletezése_47" localSheetId="3">#REF!</definedName>
    <definedName name="_4._sz._sor_részletezése_47" localSheetId="4">#REF!</definedName>
    <definedName name="_4._sz._sor_részletezése_47" localSheetId="5">#REF!</definedName>
    <definedName name="_4._sz._sor_részletezése_47" localSheetId="16">#REF!</definedName>
    <definedName name="_4._sz._sor_részletezése_47" localSheetId="53">#REF!</definedName>
    <definedName name="_4._sz._sor_részletezése_47">#REF!</definedName>
    <definedName name="_4._sz._sor_részletezése_47_1" localSheetId="16">#REF!</definedName>
    <definedName name="_4._sz._sor_részletezése_47_1" localSheetId="53">#REF!</definedName>
    <definedName name="_4._sz._sor_részletezése_47_1">#REF!</definedName>
    <definedName name="_4._sz._sor_részletezése_47_10" localSheetId="16">#REF!</definedName>
    <definedName name="_4._sz._sor_részletezése_47_10" localSheetId="53">#REF!</definedName>
    <definedName name="_4._sz._sor_részletezése_47_10">#REF!</definedName>
    <definedName name="_4._sz._sor_részletezése_47_11" localSheetId="16">#REF!</definedName>
    <definedName name="_4._sz._sor_részletezése_47_11" localSheetId="53">#REF!</definedName>
    <definedName name="_4._sz._sor_részletezése_47_11">#REF!</definedName>
    <definedName name="_4._sz._sor_részletezése_47_15" localSheetId="16">#REF!</definedName>
    <definedName name="_4._sz._sor_részletezése_47_15" localSheetId="53">#REF!</definedName>
    <definedName name="_4._sz._sor_részletezése_47_15">#REF!</definedName>
    <definedName name="_4._sz._sor_részletezése_47_16" localSheetId="16">#REF!</definedName>
    <definedName name="_4._sz._sor_részletezése_47_16" localSheetId="53">#REF!</definedName>
    <definedName name="_4._sz._sor_részletezése_47_16">#REF!</definedName>
    <definedName name="_4._sz._sor_részletezése_47_17" localSheetId="16">#REF!</definedName>
    <definedName name="_4._sz._sor_részletezése_47_17" localSheetId="53">#REF!</definedName>
    <definedName name="_4._sz._sor_részletezése_47_17">#REF!</definedName>
    <definedName name="_4._sz._sor_részletezése_47_25" localSheetId="16">#REF!</definedName>
    <definedName name="_4._sz._sor_részletezése_47_25" localSheetId="53">#REF!</definedName>
    <definedName name="_4._sz._sor_részletezése_47_25">#REF!</definedName>
    <definedName name="_4._sz._sor_részletezése_47_26" localSheetId="16">#REF!</definedName>
    <definedName name="_4._sz._sor_részletezése_47_26" localSheetId="53">#REF!</definedName>
    <definedName name="_4._sz._sor_részletezése_47_26">#REF!</definedName>
    <definedName name="_4._sz._sor_részletezése_47_27" localSheetId="16">#REF!</definedName>
    <definedName name="_4._sz._sor_részletezése_47_27" localSheetId="53">#REF!</definedName>
    <definedName name="_4._sz._sor_részletezése_47_27">#REF!</definedName>
    <definedName name="_4._sz._sor_részletezése_47_29" localSheetId="16">#REF!</definedName>
    <definedName name="_4._sz._sor_részletezése_47_29" localSheetId="53">#REF!</definedName>
    <definedName name="_4._sz._sor_részletezése_47_29">#REF!</definedName>
    <definedName name="_4._sz._sor_részletezése_47_30" localSheetId="16">#REF!</definedName>
    <definedName name="_4._sz._sor_részletezése_47_30" localSheetId="53">#REF!</definedName>
    <definedName name="_4._sz._sor_részletezése_47_30">#REF!</definedName>
    <definedName name="_4._sz._sor_részletezése_47_31" localSheetId="16">#REF!</definedName>
    <definedName name="_4._sz._sor_részletezése_47_31" localSheetId="53">#REF!</definedName>
    <definedName name="_4._sz._sor_részletezése_47_31">#REF!</definedName>
    <definedName name="_4._sz._sor_részletezése_47_33" localSheetId="16">#REF!</definedName>
    <definedName name="_4._sz._sor_részletezése_47_33" localSheetId="53">#REF!</definedName>
    <definedName name="_4._sz._sor_részletezése_47_33">#REF!</definedName>
    <definedName name="_4._sz._sor_részletezése_47_34" localSheetId="16">#REF!</definedName>
    <definedName name="_4._sz._sor_részletezése_47_34" localSheetId="53">#REF!</definedName>
    <definedName name="_4._sz._sor_részletezése_47_34">#REF!</definedName>
    <definedName name="_4._sz._sor_részletezése_47_35" localSheetId="16">#REF!</definedName>
    <definedName name="_4._sz._sor_részletezése_47_35" localSheetId="53">#REF!</definedName>
    <definedName name="_4._sz._sor_részletezése_47_35">#REF!</definedName>
    <definedName name="_4._sz._sor_részletezése_47_37" localSheetId="16">#REF!</definedName>
    <definedName name="_4._sz._sor_részletezése_47_37" localSheetId="53">#REF!</definedName>
    <definedName name="_4._sz._sor_részletezése_47_37">#REF!</definedName>
    <definedName name="_4._sz._sor_részletezése_47_38" localSheetId="16">#REF!</definedName>
    <definedName name="_4._sz._sor_részletezése_47_38" localSheetId="53">#REF!</definedName>
    <definedName name="_4._sz._sor_részletezése_47_38">#REF!</definedName>
    <definedName name="_4._sz._sor_részletezése_47_39" localSheetId="16">#REF!</definedName>
    <definedName name="_4._sz._sor_részletezése_47_39" localSheetId="53">#REF!</definedName>
    <definedName name="_4._sz._sor_részletezése_47_39">#REF!</definedName>
    <definedName name="_4._sz._sor_részletezése_47_4" localSheetId="16">#REF!</definedName>
    <definedName name="_4._sz._sor_részletezése_47_4" localSheetId="53">#REF!</definedName>
    <definedName name="_4._sz._sor_részletezése_47_4">#REF!</definedName>
    <definedName name="_4._sz._sor_részletezése_47_41" localSheetId="16">#REF!</definedName>
    <definedName name="_4._sz._sor_részletezése_47_41" localSheetId="53">#REF!</definedName>
    <definedName name="_4._sz._sor_részletezése_47_41">#REF!</definedName>
    <definedName name="_4._sz._sor_részletezése_47_42" localSheetId="16">#REF!</definedName>
    <definedName name="_4._sz._sor_részletezése_47_42" localSheetId="53">#REF!</definedName>
    <definedName name="_4._sz._sor_részletezése_47_42">#REF!</definedName>
    <definedName name="_4._sz._sor_részletezése_47_43" localSheetId="16">#REF!</definedName>
    <definedName name="_4._sz._sor_részletezése_47_43" localSheetId="53">#REF!</definedName>
    <definedName name="_4._sz._sor_részletezése_47_43">#REF!</definedName>
    <definedName name="_4._sz._sor_részletezése_47_45" localSheetId="16">#REF!</definedName>
    <definedName name="_4._sz._sor_részletezése_47_45" localSheetId="53">#REF!</definedName>
    <definedName name="_4._sz._sor_részletezése_47_45">#REF!</definedName>
    <definedName name="_4._sz._sor_részletezése_47_46" localSheetId="16">#REF!</definedName>
    <definedName name="_4._sz._sor_részletezése_47_46" localSheetId="53">#REF!</definedName>
    <definedName name="_4._sz._sor_részletezése_47_46">#REF!</definedName>
    <definedName name="_4._sz._sor_részletezése_47_47" localSheetId="16">#REF!</definedName>
    <definedName name="_4._sz._sor_részletezése_47_47" localSheetId="53">#REF!</definedName>
    <definedName name="_4._sz._sor_részletezése_47_47">#REF!</definedName>
    <definedName name="_4._sz._sor_részletezése_47_49" localSheetId="16">#REF!</definedName>
    <definedName name="_4._sz._sor_részletezése_47_49" localSheetId="53">#REF!</definedName>
    <definedName name="_4._sz._sor_részletezése_47_49">#REF!</definedName>
    <definedName name="_4._sz._sor_részletezése_47_5" localSheetId="16">#REF!</definedName>
    <definedName name="_4._sz._sor_részletezése_47_5" localSheetId="53">#REF!</definedName>
    <definedName name="_4._sz._sor_részletezése_47_5">#REF!</definedName>
    <definedName name="_4._sz._sor_részletezése_47_50" localSheetId="16">#REF!</definedName>
    <definedName name="_4._sz._sor_részletezése_47_50" localSheetId="53">#REF!</definedName>
    <definedName name="_4._sz._sor_részletezése_47_50">#REF!</definedName>
    <definedName name="_4._sz._sor_részletezése_47_51" localSheetId="16">#REF!</definedName>
    <definedName name="_4._sz._sor_részletezése_47_51" localSheetId="53">#REF!</definedName>
    <definedName name="_4._sz._sor_részletezése_47_51">#REF!</definedName>
    <definedName name="_4._sz._sor_részletezése_47_53" localSheetId="16">#REF!</definedName>
    <definedName name="_4._sz._sor_részletezése_47_53" localSheetId="53">#REF!</definedName>
    <definedName name="_4._sz._sor_részletezése_47_53">#REF!</definedName>
    <definedName name="_4._sz._sor_részletezése_47_54" localSheetId="16">#REF!</definedName>
    <definedName name="_4._sz._sor_részletezése_47_54" localSheetId="53">#REF!</definedName>
    <definedName name="_4._sz._sor_részletezése_47_54">#REF!</definedName>
    <definedName name="_4._sz._sor_részletezése_47_55" localSheetId="16">#REF!</definedName>
    <definedName name="_4._sz._sor_részletezése_47_55" localSheetId="53">#REF!</definedName>
    <definedName name="_4._sz._sor_részletezése_47_55">#REF!</definedName>
    <definedName name="_4._sz._sor_részletezése_47_57" localSheetId="16">#REF!</definedName>
    <definedName name="_4._sz._sor_részletezése_47_57" localSheetId="53">#REF!</definedName>
    <definedName name="_4._sz._sor_részletezése_47_57">#REF!</definedName>
    <definedName name="_4._sz._sor_részletezése_47_58" localSheetId="16">#REF!</definedName>
    <definedName name="_4._sz._sor_részletezése_47_58" localSheetId="53">#REF!</definedName>
    <definedName name="_4._sz._sor_részletezése_47_58">#REF!</definedName>
    <definedName name="_4._sz._sor_részletezése_47_59" localSheetId="16">#REF!</definedName>
    <definedName name="_4._sz._sor_részletezése_47_59" localSheetId="53">#REF!</definedName>
    <definedName name="_4._sz._sor_részletezése_47_59">#REF!</definedName>
    <definedName name="_4._sz._sor_részletezése_47_6" localSheetId="16">#REF!</definedName>
    <definedName name="_4._sz._sor_részletezése_47_6" localSheetId="53">#REF!</definedName>
    <definedName name="_4._sz._sor_részletezése_47_6">#REF!</definedName>
    <definedName name="_4._sz._sor_részletezése_47_61" localSheetId="16">#REF!</definedName>
    <definedName name="_4._sz._sor_részletezése_47_61" localSheetId="53">#REF!</definedName>
    <definedName name="_4._sz._sor_részletezése_47_61">#REF!</definedName>
    <definedName name="_4._sz._sor_részletezése_47_62" localSheetId="16">#REF!</definedName>
    <definedName name="_4._sz._sor_részletezése_47_62" localSheetId="53">#REF!</definedName>
    <definedName name="_4._sz._sor_részletezése_47_62">#REF!</definedName>
    <definedName name="_4._sz._sor_részletezése_47_63" localSheetId="16">#REF!</definedName>
    <definedName name="_4._sz._sor_részletezése_47_63" localSheetId="53">#REF!</definedName>
    <definedName name="_4._sz._sor_részletezése_47_63">#REF!</definedName>
    <definedName name="_4._sz._sor_részletezése_47_65" localSheetId="16">#REF!</definedName>
    <definedName name="_4._sz._sor_részletezése_47_65" localSheetId="53">#REF!</definedName>
    <definedName name="_4._sz._sor_részletezése_47_65">#REF!</definedName>
    <definedName name="_4._sz._sor_részletezése_47_66" localSheetId="16">#REF!</definedName>
    <definedName name="_4._sz._sor_részletezése_47_66" localSheetId="53">#REF!</definedName>
    <definedName name="_4._sz._sor_részletezése_47_66">#REF!</definedName>
    <definedName name="_4._sz._sor_részletezése_47_67" localSheetId="16">#REF!</definedName>
    <definedName name="_4._sz._sor_részletezése_47_67" localSheetId="53">#REF!</definedName>
    <definedName name="_4._sz._sor_részletezése_47_67">#REF!</definedName>
    <definedName name="_4._sz._sor_részletezése_47_7" localSheetId="16">#REF!</definedName>
    <definedName name="_4._sz._sor_részletezése_47_7" localSheetId="53">#REF!</definedName>
    <definedName name="_4._sz._sor_részletezése_47_7">#REF!</definedName>
    <definedName name="_4._sz._sor_részletezése_47_79" localSheetId="16">#REF!</definedName>
    <definedName name="_4._sz._sor_részletezése_47_79" localSheetId="53">#REF!</definedName>
    <definedName name="_4._sz._sor_részletezése_47_79">#REF!</definedName>
    <definedName name="_4._sz._sor_részletezése_47_82" localSheetId="16">#REF!</definedName>
    <definedName name="_4._sz._sor_részletezése_47_82" localSheetId="53">#REF!</definedName>
    <definedName name="_4._sz._sor_részletezése_47_82">#REF!</definedName>
    <definedName name="_4._sz._sor_részletezése_47_9" localSheetId="16">#REF!</definedName>
    <definedName name="_4._sz._sor_részletezése_47_9" localSheetId="53">#REF!</definedName>
    <definedName name="_4._sz._sor_részletezése_47_9">#REF!</definedName>
    <definedName name="_4._sz._sor_részletezése_49" localSheetId="16">#REF!</definedName>
    <definedName name="_4._sz._sor_részletezése_49" localSheetId="53">#REF!</definedName>
    <definedName name="_4._sz._sor_részletezése_49">#REF!</definedName>
    <definedName name="_4._sz._sor_részletezése_5" localSheetId="16">#REF!</definedName>
    <definedName name="_4._sz._sor_részletezése_5" localSheetId="53">#REF!</definedName>
    <definedName name="_4._sz._sor_részletezése_5">#REF!</definedName>
    <definedName name="_4._sz._sor_részletezése_50" localSheetId="16">#REF!</definedName>
    <definedName name="_4._sz._sor_részletezése_50" localSheetId="53">#REF!</definedName>
    <definedName name="_4._sz._sor_részletezése_50">#REF!</definedName>
    <definedName name="_4._sz._sor_részletezése_51" localSheetId="16">#REF!</definedName>
    <definedName name="_4._sz._sor_részletezése_51" localSheetId="53">#REF!</definedName>
    <definedName name="_4._sz._sor_részletezése_51">#REF!</definedName>
    <definedName name="_4._sz._sor_részletezése_53" localSheetId="16">#REF!</definedName>
    <definedName name="_4._sz._sor_részletezése_53" localSheetId="53">#REF!</definedName>
    <definedName name="_4._sz._sor_részletezése_53">#REF!</definedName>
    <definedName name="_4._sz._sor_részletezése_54" localSheetId="16">#REF!</definedName>
    <definedName name="_4._sz._sor_részletezése_54" localSheetId="53">#REF!</definedName>
    <definedName name="_4._sz._sor_részletezése_54">#REF!</definedName>
    <definedName name="_4._sz._sor_részletezése_55" localSheetId="16">#REF!</definedName>
    <definedName name="_4._sz._sor_részletezése_55" localSheetId="53">#REF!</definedName>
    <definedName name="_4._sz._sor_részletezése_55">#REF!</definedName>
    <definedName name="_4._sz._sor_részletezése_57" localSheetId="16">#REF!</definedName>
    <definedName name="_4._sz._sor_részletezése_57" localSheetId="53">#REF!</definedName>
    <definedName name="_4._sz._sor_részletezése_57">#REF!</definedName>
    <definedName name="_4._sz._sor_részletezése_58" localSheetId="16">#REF!</definedName>
    <definedName name="_4._sz._sor_részletezése_58" localSheetId="53">#REF!</definedName>
    <definedName name="_4._sz._sor_részletezése_58">#REF!</definedName>
    <definedName name="_4._sz._sor_részletezése_59" localSheetId="16">#REF!</definedName>
    <definedName name="_4._sz._sor_részletezése_59" localSheetId="53">#REF!</definedName>
    <definedName name="_4._sz._sor_részletezése_59">#REF!</definedName>
    <definedName name="_4._sz._sor_részletezése_6" localSheetId="16">#REF!</definedName>
    <definedName name="_4._sz._sor_részletezése_6" localSheetId="53">#REF!</definedName>
    <definedName name="_4._sz._sor_részletezése_6">#REF!</definedName>
    <definedName name="_4._sz._sor_részletezése_61" localSheetId="16">#REF!</definedName>
    <definedName name="_4._sz._sor_részletezése_61" localSheetId="53">#REF!</definedName>
    <definedName name="_4._sz._sor_részletezése_61">#REF!</definedName>
    <definedName name="_4._sz._sor_részletezése_62" localSheetId="16">#REF!</definedName>
    <definedName name="_4._sz._sor_részletezése_62" localSheetId="53">#REF!</definedName>
    <definedName name="_4._sz._sor_részletezése_62">#REF!</definedName>
    <definedName name="_4._sz._sor_részletezése_63" localSheetId="16">#REF!</definedName>
    <definedName name="_4._sz._sor_részletezése_63" localSheetId="53">#REF!</definedName>
    <definedName name="_4._sz._sor_részletezése_63">#REF!</definedName>
    <definedName name="_4._sz._sor_részletezése_65" localSheetId="16">#REF!</definedName>
    <definedName name="_4._sz._sor_részletezése_65" localSheetId="53">#REF!</definedName>
    <definedName name="_4._sz._sor_részletezése_65">#REF!</definedName>
    <definedName name="_4._sz._sor_részletezése_66" localSheetId="16">#REF!</definedName>
    <definedName name="_4._sz._sor_részletezése_66" localSheetId="53">#REF!</definedName>
    <definedName name="_4._sz._sor_részletezése_66">#REF!</definedName>
    <definedName name="_4._sz._sor_részletezése_67" localSheetId="16">#REF!</definedName>
    <definedName name="_4._sz._sor_részletezése_67" localSheetId="53">#REF!</definedName>
    <definedName name="_4._sz._sor_részletezése_67">#REF!</definedName>
    <definedName name="_4._sz._sor_részletezése_7" localSheetId="16">#REF!</definedName>
    <definedName name="_4._sz._sor_részletezése_7" localSheetId="53">#REF!</definedName>
    <definedName name="_4._sz._sor_részletezése_7">#REF!</definedName>
    <definedName name="_4._sz._sor_részletezése_78" localSheetId="16">#REF!</definedName>
    <definedName name="_4._sz._sor_részletezése_78" localSheetId="53">#REF!</definedName>
    <definedName name="_4._sz._sor_részletezése_78">#REF!</definedName>
    <definedName name="_4._sz._sor_részletezése_79" localSheetId="16">#REF!</definedName>
    <definedName name="_4._sz._sor_részletezése_79" localSheetId="53">#REF!</definedName>
    <definedName name="_4._sz._sor_részletezése_79">#REF!</definedName>
    <definedName name="_4._sz._sor_részletezése_82" localSheetId="16">#REF!</definedName>
    <definedName name="_4._sz._sor_részletezése_82" localSheetId="53">#REF!</definedName>
    <definedName name="_4._sz._sor_részletezése_82">#REF!</definedName>
    <definedName name="_4._sz._sor_részletezése_9" localSheetId="16">#REF!</definedName>
    <definedName name="_4._sz._sor_részletezése_9" localSheetId="53">#REF!</definedName>
    <definedName name="_4._sz._sor_részletezése_9">#REF!</definedName>
    <definedName name="_4__sz__sor_részletezése">#REF!</definedName>
    <definedName name="_4__sz__sor_részletezése_10">#REF!</definedName>
    <definedName name="_4__sz__sor_részletezése_11">#REF!</definedName>
    <definedName name="_4__sz__sor_részletezése_15">#REF!</definedName>
    <definedName name="_4__sz__sor_részletezése_16">#REF!</definedName>
    <definedName name="_4__sz__sor_részletezése_17">#REF!</definedName>
    <definedName name="_4__sz__sor_részletezése_25">#REF!</definedName>
    <definedName name="_4__sz__sor_részletezése_26">#REF!</definedName>
    <definedName name="_4__sz__sor_részletezése_27">#REF!</definedName>
    <definedName name="_4__sz__sor_részletezése_29">#REF!</definedName>
    <definedName name="_4__sz__sor_részletezése_30">#REF!</definedName>
    <definedName name="_4__sz__sor_részletezése_31">#REF!</definedName>
    <definedName name="_4__sz__sor_részletezése_33">#REF!</definedName>
    <definedName name="_4__sz__sor_részletezése_34">#REF!</definedName>
    <definedName name="_4__sz__sor_részletezése_35">#REF!</definedName>
    <definedName name="_4__sz__sor_részletezése_37">#REF!</definedName>
    <definedName name="_4__sz__sor_részletezése_38">#REF!</definedName>
    <definedName name="_4__sz__sor_részletezése_39">#REF!</definedName>
    <definedName name="_4__sz__sor_részletezése_4">#REF!</definedName>
    <definedName name="_4__sz__sor_részletezése_41">#REF!</definedName>
    <definedName name="_4__sz__sor_részletezése_42">#REF!</definedName>
    <definedName name="_4__sz__sor_részletezése_43">#REF!</definedName>
    <definedName name="_4__sz__sor_részletezése_45">#REF!</definedName>
    <definedName name="_4__sz__sor_részletezése_46">#REF!</definedName>
    <definedName name="_4__sz__sor_részletezése_47">#REF!</definedName>
    <definedName name="_4__sz__sor_részletezése_47_1">#REF!</definedName>
    <definedName name="_4__sz__sor_részletezése_47_10">#REF!</definedName>
    <definedName name="_4__sz__sor_részletezése_47_11">#REF!</definedName>
    <definedName name="_4__sz__sor_részletezése_47_15">#REF!</definedName>
    <definedName name="_4__sz__sor_részletezése_47_16">#REF!</definedName>
    <definedName name="_4__sz__sor_részletezése_47_17">#REF!</definedName>
    <definedName name="_4__sz__sor_részletezése_47_25">#REF!</definedName>
    <definedName name="_4__sz__sor_részletezése_47_26">#REF!</definedName>
    <definedName name="_4__sz__sor_részletezése_47_27">#REF!</definedName>
    <definedName name="_4__sz__sor_részletezése_47_29">#REF!</definedName>
    <definedName name="_4__sz__sor_részletezése_47_30">#REF!</definedName>
    <definedName name="_4__sz__sor_részletezése_47_31">#REF!</definedName>
    <definedName name="_4__sz__sor_részletezése_47_33">#REF!</definedName>
    <definedName name="_4__sz__sor_részletezése_47_34">#REF!</definedName>
    <definedName name="_4__sz__sor_részletezése_47_35">#REF!</definedName>
    <definedName name="_4__sz__sor_részletezése_47_37">#REF!</definedName>
    <definedName name="_4__sz__sor_részletezése_47_38">#REF!</definedName>
    <definedName name="_4__sz__sor_részletezése_47_39">#REF!</definedName>
    <definedName name="_4__sz__sor_részletezése_47_4">#REF!</definedName>
    <definedName name="_4__sz__sor_részletezése_47_41">#REF!</definedName>
    <definedName name="_4__sz__sor_részletezése_47_42">#REF!</definedName>
    <definedName name="_4__sz__sor_részletezése_47_43">#REF!</definedName>
    <definedName name="_4__sz__sor_részletezése_47_45">#REF!</definedName>
    <definedName name="_4__sz__sor_részletezése_47_46">#REF!</definedName>
    <definedName name="_4__sz__sor_részletezése_47_47">#REF!</definedName>
    <definedName name="_4__sz__sor_részletezése_47_49">#REF!</definedName>
    <definedName name="_4__sz__sor_részletezése_47_5">#REF!</definedName>
    <definedName name="_4__sz__sor_részletezése_47_50">#REF!</definedName>
    <definedName name="_4__sz__sor_részletezése_47_51">#REF!</definedName>
    <definedName name="_4__sz__sor_részletezése_47_53">#REF!</definedName>
    <definedName name="_4__sz__sor_részletezése_47_54">#REF!</definedName>
    <definedName name="_4__sz__sor_részletezése_47_55">#REF!</definedName>
    <definedName name="_4__sz__sor_részletezése_47_57">#REF!</definedName>
    <definedName name="_4__sz__sor_részletezése_47_58">#REF!</definedName>
    <definedName name="_4__sz__sor_részletezése_47_59">#REF!</definedName>
    <definedName name="_4__sz__sor_részletezése_47_6">#REF!</definedName>
    <definedName name="_4__sz__sor_részletezése_47_61">#REF!</definedName>
    <definedName name="_4__sz__sor_részletezése_47_62">#REF!</definedName>
    <definedName name="_4__sz__sor_részletezése_47_63">#REF!</definedName>
    <definedName name="_4__sz__sor_részletezése_47_65">#REF!</definedName>
    <definedName name="_4__sz__sor_részletezése_47_66">#REF!</definedName>
    <definedName name="_4__sz__sor_részletezése_47_67">#REF!</definedName>
    <definedName name="_4__sz__sor_részletezése_47_7">#REF!</definedName>
    <definedName name="_4__sz__sor_részletezése_47_79">#REF!</definedName>
    <definedName name="_4__sz__sor_részletezése_47_82">#REF!</definedName>
    <definedName name="_4__sz__sor_részletezése_47_9">#REF!</definedName>
    <definedName name="_4__sz__sor_részletezése_49">#REF!</definedName>
    <definedName name="_4__sz__sor_részletezése_5">#REF!</definedName>
    <definedName name="_4__sz__sor_részletezése_50">#REF!</definedName>
    <definedName name="_4__sz__sor_részletezése_51">#REF!</definedName>
    <definedName name="_4__sz__sor_részletezése_53">#REF!</definedName>
    <definedName name="_4__sz__sor_részletezése_54">#REF!</definedName>
    <definedName name="_4__sz__sor_részletezése_55">#REF!</definedName>
    <definedName name="_4__sz__sor_részletezése_57">#REF!</definedName>
    <definedName name="_4__sz__sor_részletezése_58">#REF!</definedName>
    <definedName name="_4__sz__sor_részletezése_59">#REF!</definedName>
    <definedName name="_4__sz__sor_részletezése_6">#REF!</definedName>
    <definedName name="_4__sz__sor_részletezése_61">#REF!</definedName>
    <definedName name="_4__sz__sor_részletezése_62">#REF!</definedName>
    <definedName name="_4__sz__sor_részletezése_63">#REF!</definedName>
    <definedName name="_4__sz__sor_részletezése_65">#REF!</definedName>
    <definedName name="_4__sz__sor_részletezése_66">#REF!</definedName>
    <definedName name="_4__sz__sor_részletezése_67">#REF!</definedName>
    <definedName name="_4__sz__sor_részletezése_7">#REF!</definedName>
    <definedName name="_4__sz__sor_részletezése_78">#REF!</definedName>
    <definedName name="_4__sz__sor_részletezése_79">#REF!</definedName>
    <definedName name="_4__sz__sor_részletezése_82">#REF!</definedName>
    <definedName name="_4__sz__sor_részletezése_9">#REF!</definedName>
    <definedName name="_40Excel_BuiltIn_Print_Titles_2_8_4_1_1_1">#REF!</definedName>
    <definedName name="_42Excel_BuiltIn_Print_Titles_2_9_1_1_1" localSheetId="16">#REF!</definedName>
    <definedName name="_43Excel_BuiltIn_Print_Titles_2_9_1_1_1" localSheetId="53">#REF!</definedName>
    <definedName name="_44Excel_BuiltIn_Print_Titles_2_9_1_1_1">#REF!</definedName>
    <definedName name="_46Excel_BuiltIn_Print_Titles_2_9_4_1_1_1" localSheetId="16">#REF!</definedName>
    <definedName name="_47Excel_BuiltIn_Print_Titles_2_9_4_1_1_1" localSheetId="53">#REF!</definedName>
    <definedName name="_48Excel_BuiltIn_Print_Titles_1_8_4_1_1_1">#REF!</definedName>
    <definedName name="_48Excel_BuiltIn_Print_Titles_2_9_4_1_1_1">#REF!</definedName>
    <definedName name="_4Excel_BuiltIn_Print_Titles_1_4_1_1_1">#REF!</definedName>
    <definedName name="_50Excel_BuiltIn_Print_Titles_5_4_1_1_1" localSheetId="16">#REF!</definedName>
    <definedName name="_51Excel_BuiltIn_Print_Titles_5_4_1_1_1" localSheetId="53">#REF!</definedName>
    <definedName name="_52Excel_BuiltIn_Print_Titles_5_4_1_1_1">#REF!</definedName>
    <definedName name="_54Excel_BuiltIn_Print_Titles_5_7_4_1_1_1" localSheetId="16">#REF!</definedName>
    <definedName name="_55Excel_BuiltIn_Print_Titles_5_7_4_1_1_1" localSheetId="53">#REF!</definedName>
    <definedName name="_56Excel_BuiltIn_Print_Titles_5_7_4_1_1_1">#REF!</definedName>
    <definedName name="_58Excel_BuiltIn_Print_Titles_5_8_1_1_1" localSheetId="16">'[2]9a.sz.mell.II.név(7.1)'!#REF!</definedName>
    <definedName name="_59Excel_BuiltIn_Print_Titles_5_8_1_1_1" localSheetId="53">'[2]9a.sz.mell.II.név(7.1)'!#REF!</definedName>
    <definedName name="_60Excel_BuiltIn_Print_Titles_1_9_1_1_1">#REF!</definedName>
    <definedName name="_60Excel_BuiltIn_Print_Titles_5_8_1_1_1">'[2]9a.sz.mell.II.név(7.1)'!#REF!</definedName>
    <definedName name="_62Excel_BuiltIn_Print_Titles_5_8_4_1_1_1" localSheetId="16">'[2]9a.sz.mell.II.név(7.1)'!#REF!</definedName>
    <definedName name="_63Excel_BuiltIn_Print_Titles_5_8_4_1_1_1" localSheetId="53">'[2]9a.sz.mell.II.név(7.1)'!#REF!</definedName>
    <definedName name="_64Excel_BuiltIn_Print_Titles_5_8_4_1_1_1">'[2]9a.sz.mell.II.név(7.1)'!#REF!</definedName>
    <definedName name="_66Excel_BuiltIn_Print_Titles_5_9_1_1_1" localSheetId="16">#REF!</definedName>
    <definedName name="_67Excel_BuiltIn_Print_Titles_5_9_1_1_1" localSheetId="53">#REF!</definedName>
    <definedName name="_68Excel_BuiltIn_Print_Titles_5_9_1_1_1">#REF!</definedName>
    <definedName name="_6Excel_BuiltIn_Print_Titles_1_7_4_1_1_1" localSheetId="16">#REF!</definedName>
    <definedName name="_70Excel_BuiltIn_Print_Titles_5_9_4_1_1_1" localSheetId="16">#REF!</definedName>
    <definedName name="_71Excel_BuiltIn_Print_Titles_5_9_4_1_1_1" localSheetId="53">#REF!</definedName>
    <definedName name="_72Excel_BuiltIn_Print_Titles_1_9_4_1_1_1">#REF!</definedName>
    <definedName name="_72Excel_BuiltIn_Print_Titles_5_9_4_1_1_1">#REF!</definedName>
    <definedName name="_74Excel_BuiltIn_Print_Titles_6_4_1_1_1" localSheetId="16">#REF!</definedName>
    <definedName name="_75Excel_BuiltIn_Print_Titles_6_4_1_1_1" localSheetId="53">#REF!</definedName>
    <definedName name="_76Excel_BuiltIn_Print_Titles_6_4_1_1_1">#REF!</definedName>
    <definedName name="_78Excel_BuiltIn_Print_Titles_6_7_4_1_1_1" localSheetId="16">#REF!</definedName>
    <definedName name="_79Excel_BuiltIn_Print_Titles_6_7_4_1_1_1" localSheetId="53">#REF!</definedName>
    <definedName name="_7Excel_BuiltIn_Print_Titles_1_7_4_1_1_1" localSheetId="53">#REF!</definedName>
    <definedName name="_80Excel_BuiltIn_Print_Titles_6_7_4_1_1_1">#REF!</definedName>
    <definedName name="_82Excel_BuiltIn_Print_Titles_6_8_1_1_1" localSheetId="16">#REF!</definedName>
    <definedName name="_83Excel_BuiltIn_Print_Titles_6_8_1_1_1" localSheetId="53">#REF!</definedName>
    <definedName name="_84Excel_BuiltIn_Print_Titles_2_4_1_1_1">#REF!</definedName>
    <definedName name="_84Excel_BuiltIn_Print_Titles_6_8_1_1_1">#REF!</definedName>
    <definedName name="_86Excel_BuiltIn_Print_Titles_6_8_4_1_1_1" localSheetId="16">#REF!</definedName>
    <definedName name="_87Excel_BuiltIn_Print_Titles_6_8_4_1_1_1" localSheetId="53">#REF!</definedName>
    <definedName name="_88Excel_BuiltIn_Print_Titles_6_8_4_1_1_1">#REF!</definedName>
    <definedName name="_8Excel_BuiltIn_Print_Titles_1_7_4_1_1_1">#REF!</definedName>
    <definedName name="_90Excel_BuiltIn_Print_Titles_6_9_1_1_1" localSheetId="16">'[2]9b.sz.mell.II.név (7.2)'!#REF!</definedName>
    <definedName name="_91Excel_BuiltIn_Print_Titles_6_9_1_1_1" localSheetId="53">'[2]9b.sz.mell.II.név (7.2)'!#REF!</definedName>
    <definedName name="_92Excel_BuiltIn_Print_Titles_6_9_1_1_1">'[2]9b.sz.mell.II.név (7.2)'!#REF!</definedName>
    <definedName name="_94Excel_BuiltIn_Print_Titles_6_9_4_1_1_1" localSheetId="16">'[2]9b.sz.mell.II.név (7.2)'!#REF!</definedName>
    <definedName name="_95Excel_BuiltIn_Print_Titles_6_9_4_1_1_1" localSheetId="53">'[2]9b.sz.mell.II.név (7.2)'!#REF!</definedName>
    <definedName name="_96Excel_BuiltIn_Print_Titles_2_7_4_1_1_1">#REF!</definedName>
    <definedName name="_96Excel_BuiltIn_Print_Titles_6_9_4_1_1_1">'[2]9b.sz.mell.II.név (7.2)'!#REF!</definedName>
    <definedName name="Excel_BuiltIn_Print_Titles_1" localSheetId="93">#REF!</definedName>
    <definedName name="Excel_BuiltIn_Print_Titles_1" localSheetId="94">#REF!</definedName>
    <definedName name="Excel_BuiltIn_Print_Titles_1" localSheetId="95">#REF!</definedName>
    <definedName name="Excel_BuiltIn_Print_Titles_1" localSheetId="96">#REF!</definedName>
    <definedName name="Excel_BuiltIn_Print_Titles_1" localSheetId="16">#REF!</definedName>
    <definedName name="Excel_BuiltIn_Print_Titles_1" localSheetId="53">#REF!</definedName>
    <definedName name="Excel_BuiltIn_Print_Titles_1">#REF!</definedName>
    <definedName name="Excel_BuiltIn_Print_Titles_1_1" localSheetId="16">#REF!</definedName>
    <definedName name="Excel_BuiltIn_Print_Titles_1_1" localSheetId="53">#REF!</definedName>
    <definedName name="Excel_BuiltIn_Print_Titles_1_1">#REF!</definedName>
    <definedName name="Excel_BuiltIn_Print_Titles_1_10" localSheetId="16">#REF!</definedName>
    <definedName name="Excel_BuiltIn_Print_Titles_1_10" localSheetId="53">#REF!</definedName>
    <definedName name="Excel_BuiltIn_Print_Titles_1_10">#REF!</definedName>
    <definedName name="Excel_BuiltIn_Print_Titles_1_10_1" localSheetId="16">#REF!</definedName>
    <definedName name="Excel_BuiltIn_Print_Titles_1_10_1" localSheetId="53">#REF!</definedName>
    <definedName name="Excel_BuiltIn_Print_Titles_1_10_1">#REF!</definedName>
    <definedName name="Excel_BuiltIn_Print_Titles_1_10_2" localSheetId="16">#REF!</definedName>
    <definedName name="Excel_BuiltIn_Print_Titles_1_10_2" localSheetId="53">#REF!</definedName>
    <definedName name="Excel_BuiltIn_Print_Titles_1_10_2">#REF!</definedName>
    <definedName name="Excel_BuiltIn_Print_Titles_1_10_3" localSheetId="16">#REF!</definedName>
    <definedName name="Excel_BuiltIn_Print_Titles_1_10_3" localSheetId="53">#REF!</definedName>
    <definedName name="Excel_BuiltIn_Print_Titles_1_10_3">#REF!</definedName>
    <definedName name="Excel_BuiltIn_Print_Titles_1_2" localSheetId="16">#REF!</definedName>
    <definedName name="Excel_BuiltIn_Print_Titles_1_2" localSheetId="53">#REF!</definedName>
    <definedName name="Excel_BuiltIn_Print_Titles_1_2">#REF!</definedName>
    <definedName name="Excel_BuiltIn_Print_Titles_1_3" localSheetId="16">#REF!</definedName>
    <definedName name="Excel_BuiltIn_Print_Titles_1_3" localSheetId="53">#REF!</definedName>
    <definedName name="Excel_BuiltIn_Print_Titles_1_3">#REF!</definedName>
    <definedName name="Excel_BuiltIn_Print_Titles_1_4" localSheetId="16">#REF!</definedName>
    <definedName name="Excel_BuiltIn_Print_Titles_1_4" localSheetId="53">#REF!</definedName>
    <definedName name="Excel_BuiltIn_Print_Titles_1_4">#REF!</definedName>
    <definedName name="Excel_BuiltIn_Print_Titles_1_4_1" localSheetId="16">#REF!</definedName>
    <definedName name="Excel_BuiltIn_Print_Titles_1_4_1" localSheetId="53">#REF!</definedName>
    <definedName name="Excel_BuiltIn_Print_Titles_1_4_1">#REF!</definedName>
    <definedName name="Excel_BuiltIn_Print_Titles_1_4_1_1" localSheetId="16">#REF!</definedName>
    <definedName name="Excel_BuiltIn_Print_Titles_1_4_1_1" localSheetId="53">#REF!</definedName>
    <definedName name="Excel_BuiltIn_Print_Titles_1_4_1_1">#REF!</definedName>
    <definedName name="Excel_BuiltIn_Print_Titles_1_4_1_1_1">#REF!</definedName>
    <definedName name="Excel_BuiltIn_Print_Titles_1_4_1_10" localSheetId="16">#REF!</definedName>
    <definedName name="Excel_BuiltIn_Print_Titles_1_4_1_10" localSheetId="53">#REF!</definedName>
    <definedName name="Excel_BuiltIn_Print_Titles_1_4_1_10">#REF!</definedName>
    <definedName name="Excel_BuiltIn_Print_Titles_1_4_1_10_1" localSheetId="16">#REF!</definedName>
    <definedName name="Excel_BuiltIn_Print_Titles_1_4_1_10_1" localSheetId="53">#REF!</definedName>
    <definedName name="Excel_BuiltIn_Print_Titles_1_4_1_10_1">#REF!</definedName>
    <definedName name="Excel_BuiltIn_Print_Titles_1_4_1_10_2" localSheetId="16">#REF!</definedName>
    <definedName name="Excel_BuiltIn_Print_Titles_1_4_1_10_2" localSheetId="53">#REF!</definedName>
    <definedName name="Excel_BuiltIn_Print_Titles_1_4_1_10_2">#REF!</definedName>
    <definedName name="Excel_BuiltIn_Print_Titles_1_4_1_10_3" localSheetId="16">#REF!</definedName>
    <definedName name="Excel_BuiltIn_Print_Titles_1_4_1_10_3" localSheetId="53">#REF!</definedName>
    <definedName name="Excel_BuiltIn_Print_Titles_1_4_1_10_3">#REF!</definedName>
    <definedName name="Excel_BuiltIn_Print_Titles_1_4_1_2" localSheetId="16">#REF!</definedName>
    <definedName name="Excel_BuiltIn_Print_Titles_1_4_1_2" localSheetId="53">#REF!</definedName>
    <definedName name="Excel_BuiltIn_Print_Titles_1_4_1_2">#REF!</definedName>
    <definedName name="Excel_BuiltIn_Print_Titles_1_4_1_3" localSheetId="16">#REF!</definedName>
    <definedName name="Excel_BuiltIn_Print_Titles_1_4_1_3" localSheetId="53">#REF!</definedName>
    <definedName name="Excel_BuiltIn_Print_Titles_1_4_1_3">#REF!</definedName>
    <definedName name="Excel_BuiltIn_Print_Titles_1_4_1_9" localSheetId="16">#REF!</definedName>
    <definedName name="Excel_BuiltIn_Print_Titles_1_4_1_9" localSheetId="53">#REF!</definedName>
    <definedName name="Excel_BuiltIn_Print_Titles_1_4_1_9">#REF!</definedName>
    <definedName name="Excel_BuiltIn_Print_Titles_1_4_1_9_1" localSheetId="16">#REF!</definedName>
    <definedName name="Excel_BuiltIn_Print_Titles_1_4_1_9_1" localSheetId="53">#REF!</definedName>
    <definedName name="Excel_BuiltIn_Print_Titles_1_4_1_9_1">#REF!</definedName>
    <definedName name="Excel_BuiltIn_Print_Titles_1_4_1_9_2" localSheetId="16">#REF!</definedName>
    <definedName name="Excel_BuiltIn_Print_Titles_1_4_1_9_2" localSheetId="53">#REF!</definedName>
    <definedName name="Excel_BuiltIn_Print_Titles_1_4_1_9_2">#REF!</definedName>
    <definedName name="Excel_BuiltIn_Print_Titles_1_4_1_9_3" localSheetId="16">#REF!</definedName>
    <definedName name="Excel_BuiltIn_Print_Titles_1_4_1_9_3" localSheetId="53">#REF!</definedName>
    <definedName name="Excel_BuiltIn_Print_Titles_1_4_1_9_3">#REF!</definedName>
    <definedName name="Excel_BuiltIn_Print_Titles_1_4_10" localSheetId="16">#REF!</definedName>
    <definedName name="Excel_BuiltIn_Print_Titles_1_4_10" localSheetId="53">#REF!</definedName>
    <definedName name="Excel_BuiltIn_Print_Titles_1_4_10">#REF!</definedName>
    <definedName name="Excel_BuiltIn_Print_Titles_1_4_10_1" localSheetId="16">#REF!</definedName>
    <definedName name="Excel_BuiltIn_Print_Titles_1_4_10_1" localSheetId="53">#REF!</definedName>
    <definedName name="Excel_BuiltIn_Print_Titles_1_4_10_1">#REF!</definedName>
    <definedName name="Excel_BuiltIn_Print_Titles_1_4_10_2" localSheetId="16">#REF!</definedName>
    <definedName name="Excel_BuiltIn_Print_Titles_1_4_10_2" localSheetId="53">#REF!</definedName>
    <definedName name="Excel_BuiltIn_Print_Titles_1_4_10_2">#REF!</definedName>
    <definedName name="Excel_BuiltIn_Print_Titles_1_4_10_3" localSheetId="16">#REF!</definedName>
    <definedName name="Excel_BuiltIn_Print_Titles_1_4_10_3" localSheetId="53">#REF!</definedName>
    <definedName name="Excel_BuiltIn_Print_Titles_1_4_10_3">#REF!</definedName>
    <definedName name="Excel_BuiltIn_Print_Titles_1_4_2" localSheetId="16">#REF!</definedName>
    <definedName name="Excel_BuiltIn_Print_Titles_1_4_2" localSheetId="53">#REF!</definedName>
    <definedName name="Excel_BuiltIn_Print_Titles_1_4_2">#REF!</definedName>
    <definedName name="Excel_BuiltIn_Print_Titles_1_4_3" localSheetId="16">#REF!</definedName>
    <definedName name="Excel_BuiltIn_Print_Titles_1_4_3" localSheetId="53">#REF!</definedName>
    <definedName name="Excel_BuiltIn_Print_Titles_1_4_3">#REF!</definedName>
    <definedName name="Excel_BuiltIn_Print_Titles_1_4_4" localSheetId="16">#REF!</definedName>
    <definedName name="Excel_BuiltIn_Print_Titles_1_4_4" localSheetId="53">#REF!</definedName>
    <definedName name="Excel_BuiltIn_Print_Titles_1_4_4">#REF!</definedName>
    <definedName name="Excel_BuiltIn_Print_Titles_1_4_4_1" localSheetId="16">#REF!</definedName>
    <definedName name="Excel_BuiltIn_Print_Titles_1_4_4_1" localSheetId="53">#REF!</definedName>
    <definedName name="Excel_BuiltIn_Print_Titles_1_4_4_1">#REF!</definedName>
    <definedName name="Excel_BuiltIn_Print_Titles_1_4_4_10" localSheetId="16">#REF!</definedName>
    <definedName name="Excel_BuiltIn_Print_Titles_1_4_4_10" localSheetId="53">#REF!</definedName>
    <definedName name="Excel_BuiltIn_Print_Titles_1_4_4_10">#REF!</definedName>
    <definedName name="Excel_BuiltIn_Print_Titles_1_4_4_10_1" localSheetId="16">#REF!</definedName>
    <definedName name="Excel_BuiltIn_Print_Titles_1_4_4_10_1" localSheetId="53">#REF!</definedName>
    <definedName name="Excel_BuiltIn_Print_Titles_1_4_4_10_1">#REF!</definedName>
    <definedName name="Excel_BuiltIn_Print_Titles_1_4_4_10_2" localSheetId="16">#REF!</definedName>
    <definedName name="Excel_BuiltIn_Print_Titles_1_4_4_10_2" localSheetId="53">#REF!</definedName>
    <definedName name="Excel_BuiltIn_Print_Titles_1_4_4_10_2">#REF!</definedName>
    <definedName name="Excel_BuiltIn_Print_Titles_1_4_4_10_3" localSheetId="16">#REF!</definedName>
    <definedName name="Excel_BuiltIn_Print_Titles_1_4_4_10_3" localSheetId="53">#REF!</definedName>
    <definedName name="Excel_BuiltIn_Print_Titles_1_4_4_10_3">#REF!</definedName>
    <definedName name="Excel_BuiltIn_Print_Titles_1_4_4_2" localSheetId="16">#REF!</definedName>
    <definedName name="Excel_BuiltIn_Print_Titles_1_4_4_2" localSheetId="53">#REF!</definedName>
    <definedName name="Excel_BuiltIn_Print_Titles_1_4_4_2">#REF!</definedName>
    <definedName name="Excel_BuiltIn_Print_Titles_1_4_4_3" localSheetId="16">#REF!</definedName>
    <definedName name="Excel_BuiltIn_Print_Titles_1_4_4_3" localSheetId="53">#REF!</definedName>
    <definedName name="Excel_BuiltIn_Print_Titles_1_4_4_3">#REF!</definedName>
    <definedName name="Excel_BuiltIn_Print_Titles_1_4_4_9" localSheetId="16">#REF!</definedName>
    <definedName name="Excel_BuiltIn_Print_Titles_1_4_4_9" localSheetId="53">#REF!</definedName>
    <definedName name="Excel_BuiltIn_Print_Titles_1_4_4_9">#REF!</definedName>
    <definedName name="Excel_BuiltIn_Print_Titles_1_4_4_9_1" localSheetId="16">#REF!</definedName>
    <definedName name="Excel_BuiltIn_Print_Titles_1_4_4_9_1" localSheetId="53">#REF!</definedName>
    <definedName name="Excel_BuiltIn_Print_Titles_1_4_4_9_1">#REF!</definedName>
    <definedName name="Excel_BuiltIn_Print_Titles_1_4_4_9_2" localSheetId="16">#REF!</definedName>
    <definedName name="Excel_BuiltIn_Print_Titles_1_4_4_9_2" localSheetId="53">#REF!</definedName>
    <definedName name="Excel_BuiltIn_Print_Titles_1_4_4_9_2">#REF!</definedName>
    <definedName name="Excel_BuiltIn_Print_Titles_1_4_4_9_3" localSheetId="16">#REF!</definedName>
    <definedName name="Excel_BuiltIn_Print_Titles_1_4_4_9_3" localSheetId="53">#REF!</definedName>
    <definedName name="Excel_BuiltIn_Print_Titles_1_4_4_9_3">#REF!</definedName>
    <definedName name="Excel_BuiltIn_Print_Titles_1_4_5" localSheetId="16">#REF!</definedName>
    <definedName name="Excel_BuiltIn_Print_Titles_1_4_5" localSheetId="53">#REF!</definedName>
    <definedName name="Excel_BuiltIn_Print_Titles_1_4_5">#REF!</definedName>
    <definedName name="Excel_BuiltIn_Print_Titles_1_4_5_1" localSheetId="16">#REF!</definedName>
    <definedName name="Excel_BuiltIn_Print_Titles_1_4_5_1" localSheetId="53">#REF!</definedName>
    <definedName name="Excel_BuiltIn_Print_Titles_1_4_5_1">#REF!</definedName>
    <definedName name="Excel_BuiltIn_Print_Titles_1_4_5_10" localSheetId="16">#REF!</definedName>
    <definedName name="Excel_BuiltIn_Print_Titles_1_4_5_10" localSheetId="53">#REF!</definedName>
    <definedName name="Excel_BuiltIn_Print_Titles_1_4_5_10">#REF!</definedName>
    <definedName name="Excel_BuiltIn_Print_Titles_1_4_5_10_1" localSheetId="16">#REF!</definedName>
    <definedName name="Excel_BuiltIn_Print_Titles_1_4_5_10_1" localSheetId="53">#REF!</definedName>
    <definedName name="Excel_BuiltIn_Print_Titles_1_4_5_10_1">#REF!</definedName>
    <definedName name="Excel_BuiltIn_Print_Titles_1_4_5_10_2" localSheetId="16">#REF!</definedName>
    <definedName name="Excel_BuiltIn_Print_Titles_1_4_5_10_2" localSheetId="53">#REF!</definedName>
    <definedName name="Excel_BuiltIn_Print_Titles_1_4_5_10_2">#REF!</definedName>
    <definedName name="Excel_BuiltIn_Print_Titles_1_4_5_10_3" localSheetId="16">#REF!</definedName>
    <definedName name="Excel_BuiltIn_Print_Titles_1_4_5_10_3" localSheetId="53">#REF!</definedName>
    <definedName name="Excel_BuiltIn_Print_Titles_1_4_5_10_3">#REF!</definedName>
    <definedName name="Excel_BuiltIn_Print_Titles_1_4_5_2" localSheetId="16">#REF!</definedName>
    <definedName name="Excel_BuiltIn_Print_Titles_1_4_5_2" localSheetId="53">#REF!</definedName>
    <definedName name="Excel_BuiltIn_Print_Titles_1_4_5_2">#REF!</definedName>
    <definedName name="Excel_BuiltIn_Print_Titles_1_4_5_3" localSheetId="16">#REF!</definedName>
    <definedName name="Excel_BuiltIn_Print_Titles_1_4_5_3" localSheetId="53">#REF!</definedName>
    <definedName name="Excel_BuiltIn_Print_Titles_1_4_5_3">#REF!</definedName>
    <definedName name="Excel_BuiltIn_Print_Titles_1_4_5_9" localSheetId="16">#REF!</definedName>
    <definedName name="Excel_BuiltIn_Print_Titles_1_4_5_9" localSheetId="53">#REF!</definedName>
    <definedName name="Excel_BuiltIn_Print_Titles_1_4_5_9">#REF!</definedName>
    <definedName name="Excel_BuiltIn_Print_Titles_1_4_5_9_1" localSheetId="16">#REF!</definedName>
    <definedName name="Excel_BuiltIn_Print_Titles_1_4_5_9_1" localSheetId="53">#REF!</definedName>
    <definedName name="Excel_BuiltIn_Print_Titles_1_4_5_9_1">#REF!</definedName>
    <definedName name="Excel_BuiltIn_Print_Titles_1_4_5_9_2" localSheetId="16">#REF!</definedName>
    <definedName name="Excel_BuiltIn_Print_Titles_1_4_5_9_2" localSheetId="53">#REF!</definedName>
    <definedName name="Excel_BuiltIn_Print_Titles_1_4_5_9_2">#REF!</definedName>
    <definedName name="Excel_BuiltIn_Print_Titles_1_4_5_9_3" localSheetId="16">#REF!</definedName>
    <definedName name="Excel_BuiltIn_Print_Titles_1_4_5_9_3" localSheetId="53">#REF!</definedName>
    <definedName name="Excel_BuiltIn_Print_Titles_1_4_5_9_3">#REF!</definedName>
    <definedName name="Excel_BuiltIn_Print_Titles_1_4_6" localSheetId="16">#REF!</definedName>
    <definedName name="Excel_BuiltIn_Print_Titles_1_4_6" localSheetId="53">#REF!</definedName>
    <definedName name="Excel_BuiltIn_Print_Titles_1_4_6">#REF!</definedName>
    <definedName name="Excel_BuiltIn_Print_Titles_1_4_6_1" localSheetId="16">#REF!</definedName>
    <definedName name="Excel_BuiltIn_Print_Titles_1_4_6_1" localSheetId="53">#REF!</definedName>
    <definedName name="Excel_BuiltIn_Print_Titles_1_4_6_1">#REF!</definedName>
    <definedName name="Excel_BuiltIn_Print_Titles_1_4_6_10" localSheetId="16">#REF!</definedName>
    <definedName name="Excel_BuiltIn_Print_Titles_1_4_6_10" localSheetId="53">#REF!</definedName>
    <definedName name="Excel_BuiltIn_Print_Titles_1_4_6_10">#REF!</definedName>
    <definedName name="Excel_BuiltIn_Print_Titles_1_4_6_10_1" localSheetId="16">#REF!</definedName>
    <definedName name="Excel_BuiltIn_Print_Titles_1_4_6_10_1" localSheetId="53">#REF!</definedName>
    <definedName name="Excel_BuiltIn_Print_Titles_1_4_6_10_1">#REF!</definedName>
    <definedName name="Excel_BuiltIn_Print_Titles_1_4_6_10_2" localSheetId="16">#REF!</definedName>
    <definedName name="Excel_BuiltIn_Print_Titles_1_4_6_10_2" localSheetId="53">#REF!</definedName>
    <definedName name="Excel_BuiltIn_Print_Titles_1_4_6_10_2">#REF!</definedName>
    <definedName name="Excel_BuiltIn_Print_Titles_1_4_6_10_3" localSheetId="16">#REF!</definedName>
    <definedName name="Excel_BuiltIn_Print_Titles_1_4_6_10_3" localSheetId="53">#REF!</definedName>
    <definedName name="Excel_BuiltIn_Print_Titles_1_4_6_10_3">#REF!</definedName>
    <definedName name="Excel_BuiltIn_Print_Titles_1_4_6_2" localSheetId="16">#REF!</definedName>
    <definedName name="Excel_BuiltIn_Print_Titles_1_4_6_2" localSheetId="53">#REF!</definedName>
    <definedName name="Excel_BuiltIn_Print_Titles_1_4_6_2">#REF!</definedName>
    <definedName name="Excel_BuiltIn_Print_Titles_1_4_6_3" localSheetId="16">#REF!</definedName>
    <definedName name="Excel_BuiltIn_Print_Titles_1_4_6_3" localSheetId="53">#REF!</definedName>
    <definedName name="Excel_BuiltIn_Print_Titles_1_4_6_3">#REF!</definedName>
    <definedName name="Excel_BuiltIn_Print_Titles_1_4_6_9" localSheetId="16">#REF!</definedName>
    <definedName name="Excel_BuiltIn_Print_Titles_1_4_6_9" localSheetId="53">#REF!</definedName>
    <definedName name="Excel_BuiltIn_Print_Titles_1_4_6_9">#REF!</definedName>
    <definedName name="Excel_BuiltIn_Print_Titles_1_4_6_9_1" localSheetId="16">#REF!</definedName>
    <definedName name="Excel_BuiltIn_Print_Titles_1_4_6_9_1" localSheetId="53">#REF!</definedName>
    <definedName name="Excel_BuiltIn_Print_Titles_1_4_6_9_1">#REF!</definedName>
    <definedName name="Excel_BuiltIn_Print_Titles_1_4_6_9_2" localSheetId="16">#REF!</definedName>
    <definedName name="Excel_BuiltIn_Print_Titles_1_4_6_9_2" localSheetId="53">#REF!</definedName>
    <definedName name="Excel_BuiltIn_Print_Titles_1_4_6_9_2">#REF!</definedName>
    <definedName name="Excel_BuiltIn_Print_Titles_1_4_6_9_3" localSheetId="16">#REF!</definedName>
    <definedName name="Excel_BuiltIn_Print_Titles_1_4_6_9_3" localSheetId="53">#REF!</definedName>
    <definedName name="Excel_BuiltIn_Print_Titles_1_4_6_9_3">#REF!</definedName>
    <definedName name="Excel_BuiltIn_Print_Titles_1_4_8" localSheetId="16">#REF!</definedName>
    <definedName name="Excel_BuiltIn_Print_Titles_1_4_8" localSheetId="53">#REF!</definedName>
    <definedName name="Excel_BuiltIn_Print_Titles_1_4_8">#REF!</definedName>
    <definedName name="Excel_BuiltIn_Print_Titles_1_4_8_1" localSheetId="16">#REF!</definedName>
    <definedName name="Excel_BuiltIn_Print_Titles_1_4_8_1" localSheetId="53">#REF!</definedName>
    <definedName name="Excel_BuiltIn_Print_Titles_1_4_8_1">#REF!</definedName>
    <definedName name="Excel_BuiltIn_Print_Titles_1_4_8_10" localSheetId="16">#REF!</definedName>
    <definedName name="Excel_BuiltIn_Print_Titles_1_4_8_10" localSheetId="53">#REF!</definedName>
    <definedName name="Excel_BuiltIn_Print_Titles_1_4_8_10">#REF!</definedName>
    <definedName name="Excel_BuiltIn_Print_Titles_1_4_8_10_1" localSheetId="16">#REF!</definedName>
    <definedName name="Excel_BuiltIn_Print_Titles_1_4_8_10_1" localSheetId="53">#REF!</definedName>
    <definedName name="Excel_BuiltIn_Print_Titles_1_4_8_10_1">#REF!</definedName>
    <definedName name="Excel_BuiltIn_Print_Titles_1_4_8_10_2" localSheetId="16">#REF!</definedName>
    <definedName name="Excel_BuiltIn_Print_Titles_1_4_8_10_2" localSheetId="53">#REF!</definedName>
    <definedName name="Excel_BuiltIn_Print_Titles_1_4_8_10_2">#REF!</definedName>
    <definedName name="Excel_BuiltIn_Print_Titles_1_4_8_10_3" localSheetId="16">#REF!</definedName>
    <definedName name="Excel_BuiltIn_Print_Titles_1_4_8_10_3" localSheetId="53">#REF!</definedName>
    <definedName name="Excel_BuiltIn_Print_Titles_1_4_8_10_3">#REF!</definedName>
    <definedName name="Excel_BuiltIn_Print_Titles_1_4_8_2" localSheetId="16">#REF!</definedName>
    <definedName name="Excel_BuiltIn_Print_Titles_1_4_8_2" localSheetId="53">#REF!</definedName>
    <definedName name="Excel_BuiltIn_Print_Titles_1_4_8_2">#REF!</definedName>
    <definedName name="Excel_BuiltIn_Print_Titles_1_4_8_3" localSheetId="16">#REF!</definedName>
    <definedName name="Excel_BuiltIn_Print_Titles_1_4_8_3" localSheetId="53">#REF!</definedName>
    <definedName name="Excel_BuiltIn_Print_Titles_1_4_8_3">#REF!</definedName>
    <definedName name="Excel_BuiltIn_Print_Titles_1_4_8_9" localSheetId="16">#REF!</definedName>
    <definedName name="Excel_BuiltIn_Print_Titles_1_4_8_9" localSheetId="53">#REF!</definedName>
    <definedName name="Excel_BuiltIn_Print_Titles_1_4_8_9">#REF!</definedName>
    <definedName name="Excel_BuiltIn_Print_Titles_1_4_8_9_1" localSheetId="16">#REF!</definedName>
    <definedName name="Excel_BuiltIn_Print_Titles_1_4_8_9_1" localSheetId="53">#REF!</definedName>
    <definedName name="Excel_BuiltIn_Print_Titles_1_4_8_9_1">#REF!</definedName>
    <definedName name="Excel_BuiltIn_Print_Titles_1_4_8_9_2" localSheetId="16">#REF!</definedName>
    <definedName name="Excel_BuiltIn_Print_Titles_1_4_8_9_2" localSheetId="53">#REF!</definedName>
    <definedName name="Excel_BuiltIn_Print_Titles_1_4_8_9_2">#REF!</definedName>
    <definedName name="Excel_BuiltIn_Print_Titles_1_4_8_9_3" localSheetId="16">#REF!</definedName>
    <definedName name="Excel_BuiltIn_Print_Titles_1_4_8_9_3" localSheetId="53">#REF!</definedName>
    <definedName name="Excel_BuiltIn_Print_Titles_1_4_8_9_3">#REF!</definedName>
    <definedName name="Excel_BuiltIn_Print_Titles_1_4_9" localSheetId="16">#REF!</definedName>
    <definedName name="Excel_BuiltIn_Print_Titles_1_4_9" localSheetId="53">#REF!</definedName>
    <definedName name="Excel_BuiltIn_Print_Titles_1_4_9">#REF!</definedName>
    <definedName name="Excel_BuiltIn_Print_Titles_1_4_9_1" localSheetId="16">#REF!</definedName>
    <definedName name="Excel_BuiltIn_Print_Titles_1_4_9_1" localSheetId="53">#REF!</definedName>
    <definedName name="Excel_BuiltIn_Print_Titles_1_4_9_1">#REF!</definedName>
    <definedName name="Excel_BuiltIn_Print_Titles_1_4_9_2" localSheetId="16">#REF!</definedName>
    <definedName name="Excel_BuiltIn_Print_Titles_1_4_9_2" localSheetId="53">#REF!</definedName>
    <definedName name="Excel_BuiltIn_Print_Titles_1_4_9_2">#REF!</definedName>
    <definedName name="Excel_BuiltIn_Print_Titles_1_4_9_3" localSheetId="16">#REF!</definedName>
    <definedName name="Excel_BuiltIn_Print_Titles_1_4_9_3" localSheetId="53">#REF!</definedName>
    <definedName name="Excel_BuiltIn_Print_Titles_1_4_9_3">#REF!</definedName>
    <definedName name="Excel_BuiltIn_Print_Titles_1_5" localSheetId="16">#REF!</definedName>
    <definedName name="Excel_BuiltIn_Print_Titles_1_5" localSheetId="53">#REF!</definedName>
    <definedName name="Excel_BuiltIn_Print_Titles_1_5">#REF!</definedName>
    <definedName name="Excel_BuiltIn_Print_Titles_1_5_1" localSheetId="16">#REF!</definedName>
    <definedName name="Excel_BuiltIn_Print_Titles_1_5_1" localSheetId="53">#REF!</definedName>
    <definedName name="Excel_BuiltIn_Print_Titles_1_5_1">#REF!</definedName>
    <definedName name="Excel_BuiltIn_Print_Titles_1_5_10" localSheetId="16">#REF!</definedName>
    <definedName name="Excel_BuiltIn_Print_Titles_1_5_10" localSheetId="53">#REF!</definedName>
    <definedName name="Excel_BuiltIn_Print_Titles_1_5_10">#REF!</definedName>
    <definedName name="Excel_BuiltIn_Print_Titles_1_5_10_1" localSheetId="16">#REF!</definedName>
    <definedName name="Excel_BuiltIn_Print_Titles_1_5_10_1" localSheetId="53">#REF!</definedName>
    <definedName name="Excel_BuiltIn_Print_Titles_1_5_10_1">#REF!</definedName>
    <definedName name="Excel_BuiltIn_Print_Titles_1_5_10_2" localSheetId="16">#REF!</definedName>
    <definedName name="Excel_BuiltIn_Print_Titles_1_5_10_2" localSheetId="53">#REF!</definedName>
    <definedName name="Excel_BuiltIn_Print_Titles_1_5_10_2">#REF!</definedName>
    <definedName name="Excel_BuiltIn_Print_Titles_1_5_10_3" localSheetId="16">#REF!</definedName>
    <definedName name="Excel_BuiltIn_Print_Titles_1_5_10_3" localSheetId="53">#REF!</definedName>
    <definedName name="Excel_BuiltIn_Print_Titles_1_5_10_3">#REF!</definedName>
    <definedName name="Excel_BuiltIn_Print_Titles_1_5_2" localSheetId="16">#REF!</definedName>
    <definedName name="Excel_BuiltIn_Print_Titles_1_5_2" localSheetId="53">#REF!</definedName>
    <definedName name="Excel_BuiltIn_Print_Titles_1_5_2">#REF!</definedName>
    <definedName name="Excel_BuiltIn_Print_Titles_1_5_3" localSheetId="16">#REF!</definedName>
    <definedName name="Excel_BuiltIn_Print_Titles_1_5_3" localSheetId="53">#REF!</definedName>
    <definedName name="Excel_BuiltIn_Print_Titles_1_5_3">#REF!</definedName>
    <definedName name="Excel_BuiltIn_Print_Titles_1_5_9" localSheetId="16">#REF!</definedName>
    <definedName name="Excel_BuiltIn_Print_Titles_1_5_9" localSheetId="53">#REF!</definedName>
    <definedName name="Excel_BuiltIn_Print_Titles_1_5_9">#REF!</definedName>
    <definedName name="Excel_BuiltIn_Print_Titles_1_5_9_1" localSheetId="16">#REF!</definedName>
    <definedName name="Excel_BuiltIn_Print_Titles_1_5_9_1" localSheetId="53">#REF!</definedName>
    <definedName name="Excel_BuiltIn_Print_Titles_1_5_9_1">#REF!</definedName>
    <definedName name="Excel_BuiltIn_Print_Titles_1_5_9_2" localSheetId="16">#REF!</definedName>
    <definedName name="Excel_BuiltIn_Print_Titles_1_5_9_2" localSheetId="53">#REF!</definedName>
    <definedName name="Excel_BuiltIn_Print_Titles_1_5_9_2">#REF!</definedName>
    <definedName name="Excel_BuiltIn_Print_Titles_1_5_9_3" localSheetId="16">#REF!</definedName>
    <definedName name="Excel_BuiltIn_Print_Titles_1_5_9_3" localSheetId="53">#REF!</definedName>
    <definedName name="Excel_BuiltIn_Print_Titles_1_5_9_3">#REF!</definedName>
    <definedName name="Excel_BuiltIn_Print_Titles_1_6" localSheetId="16">#REF!</definedName>
    <definedName name="Excel_BuiltIn_Print_Titles_1_6" localSheetId="53">#REF!</definedName>
    <definedName name="Excel_BuiltIn_Print_Titles_1_6">#REF!</definedName>
    <definedName name="Excel_BuiltIn_Print_Titles_1_6_1" localSheetId="16">#REF!</definedName>
    <definedName name="Excel_BuiltIn_Print_Titles_1_6_1" localSheetId="53">#REF!</definedName>
    <definedName name="Excel_BuiltIn_Print_Titles_1_6_1">#REF!</definedName>
    <definedName name="Excel_BuiltIn_Print_Titles_1_6_10" localSheetId="16">#REF!</definedName>
    <definedName name="Excel_BuiltIn_Print_Titles_1_6_10" localSheetId="53">#REF!</definedName>
    <definedName name="Excel_BuiltIn_Print_Titles_1_6_10">#REF!</definedName>
    <definedName name="Excel_BuiltIn_Print_Titles_1_6_10_1" localSheetId="16">#REF!</definedName>
    <definedName name="Excel_BuiltIn_Print_Titles_1_6_10_1" localSheetId="53">#REF!</definedName>
    <definedName name="Excel_BuiltIn_Print_Titles_1_6_10_1">#REF!</definedName>
    <definedName name="Excel_BuiltIn_Print_Titles_1_6_10_2" localSheetId="16">#REF!</definedName>
    <definedName name="Excel_BuiltIn_Print_Titles_1_6_10_2" localSheetId="53">#REF!</definedName>
    <definedName name="Excel_BuiltIn_Print_Titles_1_6_10_2">#REF!</definedName>
    <definedName name="Excel_BuiltIn_Print_Titles_1_6_10_3" localSheetId="16">#REF!</definedName>
    <definedName name="Excel_BuiltIn_Print_Titles_1_6_10_3" localSheetId="53">#REF!</definedName>
    <definedName name="Excel_BuiltIn_Print_Titles_1_6_10_3">#REF!</definedName>
    <definedName name="Excel_BuiltIn_Print_Titles_1_6_2" localSheetId="16">#REF!</definedName>
    <definedName name="Excel_BuiltIn_Print_Titles_1_6_2" localSheetId="53">#REF!</definedName>
    <definedName name="Excel_BuiltIn_Print_Titles_1_6_2">#REF!</definedName>
    <definedName name="Excel_BuiltIn_Print_Titles_1_6_3" localSheetId="16">#REF!</definedName>
    <definedName name="Excel_BuiltIn_Print_Titles_1_6_3" localSheetId="53">#REF!</definedName>
    <definedName name="Excel_BuiltIn_Print_Titles_1_6_3">#REF!</definedName>
    <definedName name="Excel_BuiltIn_Print_Titles_1_6_9" localSheetId="16">#REF!</definedName>
    <definedName name="Excel_BuiltIn_Print_Titles_1_6_9" localSheetId="53">#REF!</definedName>
    <definedName name="Excel_BuiltIn_Print_Titles_1_6_9">#REF!</definedName>
    <definedName name="Excel_BuiltIn_Print_Titles_1_6_9_1" localSheetId="16">#REF!</definedName>
    <definedName name="Excel_BuiltIn_Print_Titles_1_6_9_1" localSheetId="53">#REF!</definedName>
    <definedName name="Excel_BuiltIn_Print_Titles_1_6_9_1">#REF!</definedName>
    <definedName name="Excel_BuiltIn_Print_Titles_1_6_9_2" localSheetId="16">#REF!</definedName>
    <definedName name="Excel_BuiltIn_Print_Titles_1_6_9_2" localSheetId="53">#REF!</definedName>
    <definedName name="Excel_BuiltIn_Print_Titles_1_6_9_2">#REF!</definedName>
    <definedName name="Excel_BuiltIn_Print_Titles_1_6_9_3" localSheetId="16">#REF!</definedName>
    <definedName name="Excel_BuiltIn_Print_Titles_1_6_9_3" localSheetId="53">#REF!</definedName>
    <definedName name="Excel_BuiltIn_Print_Titles_1_6_9_3">#REF!</definedName>
    <definedName name="Excel_BuiltIn_Print_Titles_1_7" localSheetId="16">#REF!</definedName>
    <definedName name="Excel_BuiltIn_Print_Titles_1_7" localSheetId="53">#REF!</definedName>
    <definedName name="Excel_BuiltIn_Print_Titles_1_7">#REF!</definedName>
    <definedName name="Excel_BuiltIn_Print_Titles_1_7_1" localSheetId="16">#REF!</definedName>
    <definedName name="Excel_BuiltIn_Print_Titles_1_7_1" localSheetId="53">#REF!</definedName>
    <definedName name="Excel_BuiltIn_Print_Titles_1_7_1">#REF!</definedName>
    <definedName name="Excel_BuiltIn_Print_Titles_1_7_10" localSheetId="16">#REF!</definedName>
    <definedName name="Excel_BuiltIn_Print_Titles_1_7_10" localSheetId="53">#REF!</definedName>
    <definedName name="Excel_BuiltIn_Print_Titles_1_7_10">#REF!</definedName>
    <definedName name="Excel_BuiltIn_Print_Titles_1_7_10_1" localSheetId="16">#REF!</definedName>
    <definedName name="Excel_BuiltIn_Print_Titles_1_7_10_1" localSheetId="53">#REF!</definedName>
    <definedName name="Excel_BuiltIn_Print_Titles_1_7_10_1">#REF!</definedName>
    <definedName name="Excel_BuiltIn_Print_Titles_1_7_10_2" localSheetId="16">#REF!</definedName>
    <definedName name="Excel_BuiltIn_Print_Titles_1_7_10_2" localSheetId="53">#REF!</definedName>
    <definedName name="Excel_BuiltIn_Print_Titles_1_7_10_2">#REF!</definedName>
    <definedName name="Excel_BuiltIn_Print_Titles_1_7_10_3" localSheetId="16">#REF!</definedName>
    <definedName name="Excel_BuiltIn_Print_Titles_1_7_10_3" localSheetId="53">#REF!</definedName>
    <definedName name="Excel_BuiltIn_Print_Titles_1_7_10_3">#REF!</definedName>
    <definedName name="Excel_BuiltIn_Print_Titles_1_7_2" localSheetId="16">#REF!</definedName>
    <definedName name="Excel_BuiltIn_Print_Titles_1_7_2" localSheetId="53">#REF!</definedName>
    <definedName name="Excel_BuiltIn_Print_Titles_1_7_2">#REF!</definedName>
    <definedName name="Excel_BuiltIn_Print_Titles_1_7_3" localSheetId="16">#REF!</definedName>
    <definedName name="Excel_BuiltIn_Print_Titles_1_7_3" localSheetId="53">#REF!</definedName>
    <definedName name="Excel_BuiltIn_Print_Titles_1_7_3">#REF!</definedName>
    <definedName name="Excel_BuiltIn_Print_Titles_1_7_4" localSheetId="16">#REF!</definedName>
    <definedName name="Excel_BuiltIn_Print_Titles_1_7_4" localSheetId="53">#REF!</definedName>
    <definedName name="Excel_BuiltIn_Print_Titles_1_7_4">#REF!</definedName>
    <definedName name="Excel_BuiltIn_Print_Titles_1_7_4_1" localSheetId="16">#REF!</definedName>
    <definedName name="Excel_BuiltIn_Print_Titles_1_7_4_1" localSheetId="53">#REF!</definedName>
    <definedName name="Excel_BuiltIn_Print_Titles_1_7_4_1">#REF!</definedName>
    <definedName name="Excel_BuiltIn_Print_Titles_1_7_4_1_1" localSheetId="16">#REF!</definedName>
    <definedName name="Excel_BuiltIn_Print_Titles_1_7_4_1_1" localSheetId="53">#REF!</definedName>
    <definedName name="Excel_BuiltIn_Print_Titles_1_7_4_1_1">#REF!</definedName>
    <definedName name="Excel_BuiltIn_Print_Titles_1_7_4_1_1_1">#REF!</definedName>
    <definedName name="Excel_BuiltIn_Print_Titles_1_7_4_1_10" localSheetId="16">#REF!</definedName>
    <definedName name="Excel_BuiltIn_Print_Titles_1_7_4_1_10" localSheetId="53">#REF!</definedName>
    <definedName name="Excel_BuiltIn_Print_Titles_1_7_4_1_10">#REF!</definedName>
    <definedName name="Excel_BuiltIn_Print_Titles_1_7_4_1_10_1" localSheetId="16">#REF!</definedName>
    <definedName name="Excel_BuiltIn_Print_Titles_1_7_4_1_10_1" localSheetId="53">#REF!</definedName>
    <definedName name="Excel_BuiltIn_Print_Titles_1_7_4_1_10_1">#REF!</definedName>
    <definedName name="Excel_BuiltIn_Print_Titles_1_7_4_1_10_2" localSheetId="16">#REF!</definedName>
    <definedName name="Excel_BuiltIn_Print_Titles_1_7_4_1_10_2" localSheetId="53">#REF!</definedName>
    <definedName name="Excel_BuiltIn_Print_Titles_1_7_4_1_10_2">#REF!</definedName>
    <definedName name="Excel_BuiltIn_Print_Titles_1_7_4_1_10_3" localSheetId="16">#REF!</definedName>
    <definedName name="Excel_BuiltIn_Print_Titles_1_7_4_1_10_3" localSheetId="53">#REF!</definedName>
    <definedName name="Excel_BuiltIn_Print_Titles_1_7_4_1_10_3">#REF!</definedName>
    <definedName name="Excel_BuiltIn_Print_Titles_1_7_4_1_2" localSheetId="16">#REF!</definedName>
    <definedName name="Excel_BuiltIn_Print_Titles_1_7_4_1_2" localSheetId="53">#REF!</definedName>
    <definedName name="Excel_BuiltIn_Print_Titles_1_7_4_1_2">#REF!</definedName>
    <definedName name="Excel_BuiltIn_Print_Titles_1_7_4_1_3" localSheetId="16">#REF!</definedName>
    <definedName name="Excel_BuiltIn_Print_Titles_1_7_4_1_3" localSheetId="53">#REF!</definedName>
    <definedName name="Excel_BuiltIn_Print_Titles_1_7_4_1_3">#REF!</definedName>
    <definedName name="Excel_BuiltIn_Print_Titles_1_7_4_1_9" localSheetId="16">#REF!</definedName>
    <definedName name="Excel_BuiltIn_Print_Titles_1_7_4_1_9" localSheetId="53">#REF!</definedName>
    <definedName name="Excel_BuiltIn_Print_Titles_1_7_4_1_9">#REF!</definedName>
    <definedName name="Excel_BuiltIn_Print_Titles_1_7_4_1_9_1" localSheetId="16">#REF!</definedName>
    <definedName name="Excel_BuiltIn_Print_Titles_1_7_4_1_9_1" localSheetId="53">#REF!</definedName>
    <definedName name="Excel_BuiltIn_Print_Titles_1_7_4_1_9_1">#REF!</definedName>
    <definedName name="Excel_BuiltIn_Print_Titles_1_7_4_1_9_2" localSheetId="16">#REF!</definedName>
    <definedName name="Excel_BuiltIn_Print_Titles_1_7_4_1_9_2" localSheetId="53">#REF!</definedName>
    <definedName name="Excel_BuiltIn_Print_Titles_1_7_4_1_9_2">#REF!</definedName>
    <definedName name="Excel_BuiltIn_Print_Titles_1_7_4_1_9_3" localSheetId="16">#REF!</definedName>
    <definedName name="Excel_BuiltIn_Print_Titles_1_7_4_1_9_3" localSheetId="53">#REF!</definedName>
    <definedName name="Excel_BuiltIn_Print_Titles_1_7_4_1_9_3">#REF!</definedName>
    <definedName name="Excel_BuiltIn_Print_Titles_1_7_4_10" localSheetId="16">#REF!</definedName>
    <definedName name="Excel_BuiltIn_Print_Titles_1_7_4_10" localSheetId="53">#REF!</definedName>
    <definedName name="Excel_BuiltIn_Print_Titles_1_7_4_10">#REF!</definedName>
    <definedName name="Excel_BuiltIn_Print_Titles_1_7_4_10_1" localSheetId="16">#REF!</definedName>
    <definedName name="Excel_BuiltIn_Print_Titles_1_7_4_10_1" localSheetId="53">#REF!</definedName>
    <definedName name="Excel_BuiltIn_Print_Titles_1_7_4_10_1">#REF!</definedName>
    <definedName name="Excel_BuiltIn_Print_Titles_1_7_4_10_2" localSheetId="16">#REF!</definedName>
    <definedName name="Excel_BuiltIn_Print_Titles_1_7_4_10_2" localSheetId="53">#REF!</definedName>
    <definedName name="Excel_BuiltIn_Print_Titles_1_7_4_10_2">#REF!</definedName>
    <definedName name="Excel_BuiltIn_Print_Titles_1_7_4_10_3" localSheetId="16">#REF!</definedName>
    <definedName name="Excel_BuiltIn_Print_Titles_1_7_4_10_3" localSheetId="53">#REF!</definedName>
    <definedName name="Excel_BuiltIn_Print_Titles_1_7_4_10_3">#REF!</definedName>
    <definedName name="Excel_BuiltIn_Print_Titles_1_7_4_2" localSheetId="16">#REF!</definedName>
    <definedName name="Excel_BuiltIn_Print_Titles_1_7_4_2" localSheetId="53">#REF!</definedName>
    <definedName name="Excel_BuiltIn_Print_Titles_1_7_4_2">#REF!</definedName>
    <definedName name="Excel_BuiltIn_Print_Titles_1_7_4_3" localSheetId="16">#REF!</definedName>
    <definedName name="Excel_BuiltIn_Print_Titles_1_7_4_3" localSheetId="53">#REF!</definedName>
    <definedName name="Excel_BuiltIn_Print_Titles_1_7_4_3">#REF!</definedName>
    <definedName name="Excel_BuiltIn_Print_Titles_1_7_4_4" localSheetId="16">#REF!</definedName>
    <definedName name="Excel_BuiltIn_Print_Titles_1_7_4_4" localSheetId="53">#REF!</definedName>
    <definedName name="Excel_BuiltIn_Print_Titles_1_7_4_4">#REF!</definedName>
    <definedName name="Excel_BuiltIn_Print_Titles_1_7_4_4_1" localSheetId="16">#REF!</definedName>
    <definedName name="Excel_BuiltIn_Print_Titles_1_7_4_4_1" localSheetId="53">#REF!</definedName>
    <definedName name="Excel_BuiltIn_Print_Titles_1_7_4_4_1">#REF!</definedName>
    <definedName name="Excel_BuiltIn_Print_Titles_1_7_4_4_10" localSheetId="16">#REF!</definedName>
    <definedName name="Excel_BuiltIn_Print_Titles_1_7_4_4_10" localSheetId="53">#REF!</definedName>
    <definedName name="Excel_BuiltIn_Print_Titles_1_7_4_4_10">#REF!</definedName>
    <definedName name="Excel_BuiltIn_Print_Titles_1_7_4_4_10_1" localSheetId="16">#REF!</definedName>
    <definedName name="Excel_BuiltIn_Print_Titles_1_7_4_4_10_1" localSheetId="53">#REF!</definedName>
    <definedName name="Excel_BuiltIn_Print_Titles_1_7_4_4_10_1">#REF!</definedName>
    <definedName name="Excel_BuiltIn_Print_Titles_1_7_4_4_10_2" localSheetId="16">#REF!</definedName>
    <definedName name="Excel_BuiltIn_Print_Titles_1_7_4_4_10_2" localSheetId="53">#REF!</definedName>
    <definedName name="Excel_BuiltIn_Print_Titles_1_7_4_4_10_2">#REF!</definedName>
    <definedName name="Excel_BuiltIn_Print_Titles_1_7_4_4_10_3" localSheetId="16">#REF!</definedName>
    <definedName name="Excel_BuiltIn_Print_Titles_1_7_4_4_10_3" localSheetId="53">#REF!</definedName>
    <definedName name="Excel_BuiltIn_Print_Titles_1_7_4_4_10_3">#REF!</definedName>
    <definedName name="Excel_BuiltIn_Print_Titles_1_7_4_4_2" localSheetId="16">#REF!</definedName>
    <definedName name="Excel_BuiltIn_Print_Titles_1_7_4_4_2" localSheetId="53">#REF!</definedName>
    <definedName name="Excel_BuiltIn_Print_Titles_1_7_4_4_2">#REF!</definedName>
    <definedName name="Excel_BuiltIn_Print_Titles_1_7_4_4_3" localSheetId="16">#REF!</definedName>
    <definedName name="Excel_BuiltIn_Print_Titles_1_7_4_4_3" localSheetId="53">#REF!</definedName>
    <definedName name="Excel_BuiltIn_Print_Titles_1_7_4_4_3">#REF!</definedName>
    <definedName name="Excel_BuiltIn_Print_Titles_1_7_4_4_9" localSheetId="16">#REF!</definedName>
    <definedName name="Excel_BuiltIn_Print_Titles_1_7_4_4_9" localSheetId="53">#REF!</definedName>
    <definedName name="Excel_BuiltIn_Print_Titles_1_7_4_4_9">#REF!</definedName>
    <definedName name="Excel_BuiltIn_Print_Titles_1_7_4_4_9_1" localSheetId="16">#REF!</definedName>
    <definedName name="Excel_BuiltIn_Print_Titles_1_7_4_4_9_1" localSheetId="53">#REF!</definedName>
    <definedName name="Excel_BuiltIn_Print_Titles_1_7_4_4_9_1">#REF!</definedName>
    <definedName name="Excel_BuiltIn_Print_Titles_1_7_4_4_9_2" localSheetId="16">#REF!</definedName>
    <definedName name="Excel_BuiltIn_Print_Titles_1_7_4_4_9_2" localSheetId="53">#REF!</definedName>
    <definedName name="Excel_BuiltIn_Print_Titles_1_7_4_4_9_2">#REF!</definedName>
    <definedName name="Excel_BuiltIn_Print_Titles_1_7_4_4_9_3" localSheetId="16">#REF!</definedName>
    <definedName name="Excel_BuiltIn_Print_Titles_1_7_4_4_9_3" localSheetId="53">#REF!</definedName>
    <definedName name="Excel_BuiltIn_Print_Titles_1_7_4_4_9_3">#REF!</definedName>
    <definedName name="Excel_BuiltIn_Print_Titles_1_7_4_5" localSheetId="16">#REF!</definedName>
    <definedName name="Excel_BuiltIn_Print_Titles_1_7_4_5" localSheetId="53">#REF!</definedName>
    <definedName name="Excel_BuiltIn_Print_Titles_1_7_4_5">#REF!</definedName>
    <definedName name="Excel_BuiltIn_Print_Titles_1_7_4_5_1" localSheetId="16">#REF!</definedName>
    <definedName name="Excel_BuiltIn_Print_Titles_1_7_4_5_1" localSheetId="53">#REF!</definedName>
    <definedName name="Excel_BuiltIn_Print_Titles_1_7_4_5_1">#REF!</definedName>
    <definedName name="Excel_BuiltIn_Print_Titles_1_7_4_5_10" localSheetId="16">#REF!</definedName>
    <definedName name="Excel_BuiltIn_Print_Titles_1_7_4_5_10" localSheetId="53">#REF!</definedName>
    <definedName name="Excel_BuiltIn_Print_Titles_1_7_4_5_10">#REF!</definedName>
    <definedName name="Excel_BuiltIn_Print_Titles_1_7_4_5_10_1" localSheetId="16">#REF!</definedName>
    <definedName name="Excel_BuiltIn_Print_Titles_1_7_4_5_10_1" localSheetId="53">#REF!</definedName>
    <definedName name="Excel_BuiltIn_Print_Titles_1_7_4_5_10_1">#REF!</definedName>
    <definedName name="Excel_BuiltIn_Print_Titles_1_7_4_5_10_2" localSheetId="16">#REF!</definedName>
    <definedName name="Excel_BuiltIn_Print_Titles_1_7_4_5_10_2" localSheetId="53">#REF!</definedName>
    <definedName name="Excel_BuiltIn_Print_Titles_1_7_4_5_10_2">#REF!</definedName>
    <definedName name="Excel_BuiltIn_Print_Titles_1_7_4_5_10_3" localSheetId="16">#REF!</definedName>
    <definedName name="Excel_BuiltIn_Print_Titles_1_7_4_5_10_3" localSheetId="53">#REF!</definedName>
    <definedName name="Excel_BuiltIn_Print_Titles_1_7_4_5_10_3">#REF!</definedName>
    <definedName name="Excel_BuiltIn_Print_Titles_1_7_4_5_2" localSheetId="16">#REF!</definedName>
    <definedName name="Excel_BuiltIn_Print_Titles_1_7_4_5_2" localSheetId="53">#REF!</definedName>
    <definedName name="Excel_BuiltIn_Print_Titles_1_7_4_5_2">#REF!</definedName>
    <definedName name="Excel_BuiltIn_Print_Titles_1_7_4_5_3" localSheetId="16">#REF!</definedName>
    <definedName name="Excel_BuiltIn_Print_Titles_1_7_4_5_3" localSheetId="53">#REF!</definedName>
    <definedName name="Excel_BuiltIn_Print_Titles_1_7_4_5_3">#REF!</definedName>
    <definedName name="Excel_BuiltIn_Print_Titles_1_7_4_5_9" localSheetId="16">#REF!</definedName>
    <definedName name="Excel_BuiltIn_Print_Titles_1_7_4_5_9" localSheetId="53">#REF!</definedName>
    <definedName name="Excel_BuiltIn_Print_Titles_1_7_4_5_9">#REF!</definedName>
    <definedName name="Excel_BuiltIn_Print_Titles_1_7_4_5_9_1" localSheetId="16">#REF!</definedName>
    <definedName name="Excel_BuiltIn_Print_Titles_1_7_4_5_9_1" localSheetId="53">#REF!</definedName>
    <definedName name="Excel_BuiltIn_Print_Titles_1_7_4_5_9_1">#REF!</definedName>
    <definedName name="Excel_BuiltIn_Print_Titles_1_7_4_5_9_2" localSheetId="16">#REF!</definedName>
    <definedName name="Excel_BuiltIn_Print_Titles_1_7_4_5_9_2" localSheetId="53">#REF!</definedName>
    <definedName name="Excel_BuiltIn_Print_Titles_1_7_4_5_9_2">#REF!</definedName>
    <definedName name="Excel_BuiltIn_Print_Titles_1_7_4_5_9_3" localSheetId="16">#REF!</definedName>
    <definedName name="Excel_BuiltIn_Print_Titles_1_7_4_5_9_3" localSheetId="53">#REF!</definedName>
    <definedName name="Excel_BuiltIn_Print_Titles_1_7_4_5_9_3">#REF!</definedName>
    <definedName name="Excel_BuiltIn_Print_Titles_1_7_4_6" localSheetId="16">#REF!</definedName>
    <definedName name="Excel_BuiltIn_Print_Titles_1_7_4_6" localSheetId="53">#REF!</definedName>
    <definedName name="Excel_BuiltIn_Print_Titles_1_7_4_6">#REF!</definedName>
    <definedName name="Excel_BuiltIn_Print_Titles_1_7_4_6_1" localSheetId="16">#REF!</definedName>
    <definedName name="Excel_BuiltIn_Print_Titles_1_7_4_6_1" localSheetId="53">#REF!</definedName>
    <definedName name="Excel_BuiltIn_Print_Titles_1_7_4_6_1">#REF!</definedName>
    <definedName name="Excel_BuiltIn_Print_Titles_1_7_4_6_10" localSheetId="16">#REF!</definedName>
    <definedName name="Excel_BuiltIn_Print_Titles_1_7_4_6_10" localSheetId="53">#REF!</definedName>
    <definedName name="Excel_BuiltIn_Print_Titles_1_7_4_6_10">#REF!</definedName>
    <definedName name="Excel_BuiltIn_Print_Titles_1_7_4_6_10_1" localSheetId="16">#REF!</definedName>
    <definedName name="Excel_BuiltIn_Print_Titles_1_7_4_6_10_1" localSheetId="53">#REF!</definedName>
    <definedName name="Excel_BuiltIn_Print_Titles_1_7_4_6_10_1">#REF!</definedName>
    <definedName name="Excel_BuiltIn_Print_Titles_1_7_4_6_10_2" localSheetId="16">#REF!</definedName>
    <definedName name="Excel_BuiltIn_Print_Titles_1_7_4_6_10_2" localSheetId="53">#REF!</definedName>
    <definedName name="Excel_BuiltIn_Print_Titles_1_7_4_6_10_2">#REF!</definedName>
    <definedName name="Excel_BuiltIn_Print_Titles_1_7_4_6_10_3" localSheetId="16">#REF!</definedName>
    <definedName name="Excel_BuiltIn_Print_Titles_1_7_4_6_10_3" localSheetId="53">#REF!</definedName>
    <definedName name="Excel_BuiltIn_Print_Titles_1_7_4_6_10_3">#REF!</definedName>
    <definedName name="Excel_BuiltIn_Print_Titles_1_7_4_6_2" localSheetId="16">#REF!</definedName>
    <definedName name="Excel_BuiltIn_Print_Titles_1_7_4_6_2" localSheetId="53">#REF!</definedName>
    <definedName name="Excel_BuiltIn_Print_Titles_1_7_4_6_2">#REF!</definedName>
    <definedName name="Excel_BuiltIn_Print_Titles_1_7_4_6_3" localSheetId="16">#REF!</definedName>
    <definedName name="Excel_BuiltIn_Print_Titles_1_7_4_6_3" localSheetId="53">#REF!</definedName>
    <definedName name="Excel_BuiltIn_Print_Titles_1_7_4_6_3">#REF!</definedName>
    <definedName name="Excel_BuiltIn_Print_Titles_1_7_4_6_9" localSheetId="16">#REF!</definedName>
    <definedName name="Excel_BuiltIn_Print_Titles_1_7_4_6_9" localSheetId="53">#REF!</definedName>
    <definedName name="Excel_BuiltIn_Print_Titles_1_7_4_6_9">#REF!</definedName>
    <definedName name="Excel_BuiltIn_Print_Titles_1_7_4_6_9_1" localSheetId="16">#REF!</definedName>
    <definedName name="Excel_BuiltIn_Print_Titles_1_7_4_6_9_1" localSheetId="53">#REF!</definedName>
    <definedName name="Excel_BuiltIn_Print_Titles_1_7_4_6_9_1">#REF!</definedName>
    <definedName name="Excel_BuiltIn_Print_Titles_1_7_4_6_9_2" localSheetId="16">#REF!</definedName>
    <definedName name="Excel_BuiltIn_Print_Titles_1_7_4_6_9_2" localSheetId="53">#REF!</definedName>
    <definedName name="Excel_BuiltIn_Print_Titles_1_7_4_6_9_2">#REF!</definedName>
    <definedName name="Excel_BuiltIn_Print_Titles_1_7_4_6_9_3" localSheetId="16">#REF!</definedName>
    <definedName name="Excel_BuiltIn_Print_Titles_1_7_4_6_9_3" localSheetId="53">#REF!</definedName>
    <definedName name="Excel_BuiltIn_Print_Titles_1_7_4_6_9_3">#REF!</definedName>
    <definedName name="Excel_BuiltIn_Print_Titles_1_7_4_8" localSheetId="16">#REF!</definedName>
    <definedName name="Excel_BuiltIn_Print_Titles_1_7_4_8" localSheetId="53">#REF!</definedName>
    <definedName name="Excel_BuiltIn_Print_Titles_1_7_4_8">#REF!</definedName>
    <definedName name="Excel_BuiltIn_Print_Titles_1_7_4_8_1" localSheetId="16">#REF!</definedName>
    <definedName name="Excel_BuiltIn_Print_Titles_1_7_4_8_1" localSheetId="53">#REF!</definedName>
    <definedName name="Excel_BuiltIn_Print_Titles_1_7_4_8_1">#REF!</definedName>
    <definedName name="Excel_BuiltIn_Print_Titles_1_7_4_8_10" localSheetId="16">#REF!</definedName>
    <definedName name="Excel_BuiltIn_Print_Titles_1_7_4_8_10" localSheetId="53">#REF!</definedName>
    <definedName name="Excel_BuiltIn_Print_Titles_1_7_4_8_10">#REF!</definedName>
    <definedName name="Excel_BuiltIn_Print_Titles_1_7_4_8_10_1" localSheetId="16">#REF!</definedName>
    <definedName name="Excel_BuiltIn_Print_Titles_1_7_4_8_10_1" localSheetId="53">#REF!</definedName>
    <definedName name="Excel_BuiltIn_Print_Titles_1_7_4_8_10_1">#REF!</definedName>
    <definedName name="Excel_BuiltIn_Print_Titles_1_7_4_8_10_2" localSheetId="16">#REF!</definedName>
    <definedName name="Excel_BuiltIn_Print_Titles_1_7_4_8_10_2" localSheetId="53">#REF!</definedName>
    <definedName name="Excel_BuiltIn_Print_Titles_1_7_4_8_10_2">#REF!</definedName>
    <definedName name="Excel_BuiltIn_Print_Titles_1_7_4_8_10_3" localSheetId="16">#REF!</definedName>
    <definedName name="Excel_BuiltIn_Print_Titles_1_7_4_8_10_3" localSheetId="53">#REF!</definedName>
    <definedName name="Excel_BuiltIn_Print_Titles_1_7_4_8_10_3">#REF!</definedName>
    <definedName name="Excel_BuiltIn_Print_Titles_1_7_4_8_2" localSheetId="16">#REF!</definedName>
    <definedName name="Excel_BuiltIn_Print_Titles_1_7_4_8_2" localSheetId="53">#REF!</definedName>
    <definedName name="Excel_BuiltIn_Print_Titles_1_7_4_8_2">#REF!</definedName>
    <definedName name="Excel_BuiltIn_Print_Titles_1_7_4_8_3" localSheetId="16">#REF!</definedName>
    <definedName name="Excel_BuiltIn_Print_Titles_1_7_4_8_3" localSheetId="53">#REF!</definedName>
    <definedName name="Excel_BuiltIn_Print_Titles_1_7_4_8_3">#REF!</definedName>
    <definedName name="Excel_BuiltIn_Print_Titles_1_7_4_8_9" localSheetId="16">#REF!</definedName>
    <definedName name="Excel_BuiltIn_Print_Titles_1_7_4_8_9" localSheetId="53">#REF!</definedName>
    <definedName name="Excel_BuiltIn_Print_Titles_1_7_4_8_9">#REF!</definedName>
    <definedName name="Excel_BuiltIn_Print_Titles_1_7_4_8_9_1" localSheetId="16">#REF!</definedName>
    <definedName name="Excel_BuiltIn_Print_Titles_1_7_4_8_9_1" localSheetId="53">#REF!</definedName>
    <definedName name="Excel_BuiltIn_Print_Titles_1_7_4_8_9_1">#REF!</definedName>
    <definedName name="Excel_BuiltIn_Print_Titles_1_7_4_8_9_2" localSheetId="16">#REF!</definedName>
    <definedName name="Excel_BuiltIn_Print_Titles_1_7_4_8_9_2" localSheetId="53">#REF!</definedName>
    <definedName name="Excel_BuiltIn_Print_Titles_1_7_4_8_9_2">#REF!</definedName>
    <definedName name="Excel_BuiltIn_Print_Titles_1_7_4_8_9_3" localSheetId="16">#REF!</definedName>
    <definedName name="Excel_BuiltIn_Print_Titles_1_7_4_8_9_3" localSheetId="53">#REF!</definedName>
    <definedName name="Excel_BuiltIn_Print_Titles_1_7_4_8_9_3">#REF!</definedName>
    <definedName name="Excel_BuiltIn_Print_Titles_1_7_4_9" localSheetId="16">#REF!</definedName>
    <definedName name="Excel_BuiltIn_Print_Titles_1_7_4_9" localSheetId="53">#REF!</definedName>
    <definedName name="Excel_BuiltIn_Print_Titles_1_7_4_9">#REF!</definedName>
    <definedName name="Excel_BuiltIn_Print_Titles_1_7_4_9_1" localSheetId="16">#REF!</definedName>
    <definedName name="Excel_BuiltIn_Print_Titles_1_7_4_9_1" localSheetId="53">#REF!</definedName>
    <definedName name="Excel_BuiltIn_Print_Titles_1_7_4_9_1">#REF!</definedName>
    <definedName name="Excel_BuiltIn_Print_Titles_1_7_4_9_2" localSheetId="16">#REF!</definedName>
    <definedName name="Excel_BuiltIn_Print_Titles_1_7_4_9_2" localSheetId="53">#REF!</definedName>
    <definedName name="Excel_BuiltIn_Print_Titles_1_7_4_9_2">#REF!</definedName>
    <definedName name="Excel_BuiltIn_Print_Titles_1_7_4_9_3" localSheetId="16">#REF!</definedName>
    <definedName name="Excel_BuiltIn_Print_Titles_1_7_4_9_3" localSheetId="53">#REF!</definedName>
    <definedName name="Excel_BuiltIn_Print_Titles_1_7_4_9_3">#REF!</definedName>
    <definedName name="Excel_BuiltIn_Print_Titles_1_7_5" localSheetId="16">#REF!</definedName>
    <definedName name="Excel_BuiltIn_Print_Titles_1_7_5" localSheetId="53">#REF!</definedName>
    <definedName name="Excel_BuiltIn_Print_Titles_1_7_5">#REF!</definedName>
    <definedName name="Excel_BuiltIn_Print_Titles_1_7_5_1" localSheetId="16">#REF!</definedName>
    <definedName name="Excel_BuiltIn_Print_Titles_1_7_5_1" localSheetId="53">#REF!</definedName>
    <definedName name="Excel_BuiltIn_Print_Titles_1_7_5_1">#REF!</definedName>
    <definedName name="Excel_BuiltIn_Print_Titles_1_7_5_10" localSheetId="16">#REF!</definedName>
    <definedName name="Excel_BuiltIn_Print_Titles_1_7_5_10" localSheetId="53">#REF!</definedName>
    <definedName name="Excel_BuiltIn_Print_Titles_1_7_5_10">#REF!</definedName>
    <definedName name="Excel_BuiltIn_Print_Titles_1_7_5_10_1" localSheetId="16">#REF!</definedName>
    <definedName name="Excel_BuiltIn_Print_Titles_1_7_5_10_1" localSheetId="53">#REF!</definedName>
    <definedName name="Excel_BuiltIn_Print_Titles_1_7_5_10_1">#REF!</definedName>
    <definedName name="Excel_BuiltIn_Print_Titles_1_7_5_10_2" localSheetId="16">#REF!</definedName>
    <definedName name="Excel_BuiltIn_Print_Titles_1_7_5_10_2" localSheetId="53">#REF!</definedName>
    <definedName name="Excel_BuiltIn_Print_Titles_1_7_5_10_2">#REF!</definedName>
    <definedName name="Excel_BuiltIn_Print_Titles_1_7_5_10_3" localSheetId="16">#REF!</definedName>
    <definedName name="Excel_BuiltIn_Print_Titles_1_7_5_10_3" localSheetId="53">#REF!</definedName>
    <definedName name="Excel_BuiltIn_Print_Titles_1_7_5_10_3">#REF!</definedName>
    <definedName name="Excel_BuiltIn_Print_Titles_1_7_5_2" localSheetId="16">#REF!</definedName>
    <definedName name="Excel_BuiltIn_Print_Titles_1_7_5_2" localSheetId="53">#REF!</definedName>
    <definedName name="Excel_BuiltIn_Print_Titles_1_7_5_2">#REF!</definedName>
    <definedName name="Excel_BuiltIn_Print_Titles_1_7_5_3" localSheetId="16">#REF!</definedName>
    <definedName name="Excel_BuiltIn_Print_Titles_1_7_5_3" localSheetId="53">#REF!</definedName>
    <definedName name="Excel_BuiltIn_Print_Titles_1_7_5_3">#REF!</definedName>
    <definedName name="Excel_BuiltIn_Print_Titles_1_7_5_9" localSheetId="16">#REF!</definedName>
    <definedName name="Excel_BuiltIn_Print_Titles_1_7_5_9" localSheetId="53">#REF!</definedName>
    <definedName name="Excel_BuiltIn_Print_Titles_1_7_5_9">#REF!</definedName>
    <definedName name="Excel_BuiltIn_Print_Titles_1_7_5_9_1" localSheetId="16">#REF!</definedName>
    <definedName name="Excel_BuiltIn_Print_Titles_1_7_5_9_1" localSheetId="53">#REF!</definedName>
    <definedName name="Excel_BuiltIn_Print_Titles_1_7_5_9_1">#REF!</definedName>
    <definedName name="Excel_BuiltIn_Print_Titles_1_7_5_9_2" localSheetId="16">#REF!</definedName>
    <definedName name="Excel_BuiltIn_Print_Titles_1_7_5_9_2" localSheetId="53">#REF!</definedName>
    <definedName name="Excel_BuiltIn_Print_Titles_1_7_5_9_2">#REF!</definedName>
    <definedName name="Excel_BuiltIn_Print_Titles_1_7_5_9_3" localSheetId="16">#REF!</definedName>
    <definedName name="Excel_BuiltIn_Print_Titles_1_7_5_9_3" localSheetId="53">#REF!</definedName>
    <definedName name="Excel_BuiltIn_Print_Titles_1_7_5_9_3">#REF!</definedName>
    <definedName name="Excel_BuiltIn_Print_Titles_1_7_6" localSheetId="16">#REF!</definedName>
    <definedName name="Excel_BuiltIn_Print_Titles_1_7_6" localSheetId="53">#REF!</definedName>
    <definedName name="Excel_BuiltIn_Print_Titles_1_7_6">#REF!</definedName>
    <definedName name="Excel_BuiltIn_Print_Titles_1_7_6_1" localSheetId="16">#REF!</definedName>
    <definedName name="Excel_BuiltIn_Print_Titles_1_7_6_1" localSheetId="53">#REF!</definedName>
    <definedName name="Excel_BuiltIn_Print_Titles_1_7_6_1">#REF!</definedName>
    <definedName name="Excel_BuiltIn_Print_Titles_1_7_6_10" localSheetId="16">#REF!</definedName>
    <definedName name="Excel_BuiltIn_Print_Titles_1_7_6_10" localSheetId="53">#REF!</definedName>
    <definedName name="Excel_BuiltIn_Print_Titles_1_7_6_10">#REF!</definedName>
    <definedName name="Excel_BuiltIn_Print_Titles_1_7_6_10_1" localSheetId="16">#REF!</definedName>
    <definedName name="Excel_BuiltIn_Print_Titles_1_7_6_10_1" localSheetId="53">#REF!</definedName>
    <definedName name="Excel_BuiltIn_Print_Titles_1_7_6_10_1">#REF!</definedName>
    <definedName name="Excel_BuiltIn_Print_Titles_1_7_6_10_2" localSheetId="16">#REF!</definedName>
    <definedName name="Excel_BuiltIn_Print_Titles_1_7_6_10_2" localSheetId="53">#REF!</definedName>
    <definedName name="Excel_BuiltIn_Print_Titles_1_7_6_10_2">#REF!</definedName>
    <definedName name="Excel_BuiltIn_Print_Titles_1_7_6_10_3" localSheetId="16">#REF!</definedName>
    <definedName name="Excel_BuiltIn_Print_Titles_1_7_6_10_3" localSheetId="53">#REF!</definedName>
    <definedName name="Excel_BuiltIn_Print_Titles_1_7_6_10_3">#REF!</definedName>
    <definedName name="Excel_BuiltIn_Print_Titles_1_7_6_2" localSheetId="16">#REF!</definedName>
    <definedName name="Excel_BuiltIn_Print_Titles_1_7_6_2" localSheetId="53">#REF!</definedName>
    <definedName name="Excel_BuiltIn_Print_Titles_1_7_6_2">#REF!</definedName>
    <definedName name="Excel_BuiltIn_Print_Titles_1_7_6_3" localSheetId="16">#REF!</definedName>
    <definedName name="Excel_BuiltIn_Print_Titles_1_7_6_3" localSheetId="53">#REF!</definedName>
    <definedName name="Excel_BuiltIn_Print_Titles_1_7_6_3">#REF!</definedName>
    <definedName name="Excel_BuiltIn_Print_Titles_1_7_6_9" localSheetId="16">#REF!</definedName>
    <definedName name="Excel_BuiltIn_Print_Titles_1_7_6_9" localSheetId="53">#REF!</definedName>
    <definedName name="Excel_BuiltIn_Print_Titles_1_7_6_9">#REF!</definedName>
    <definedName name="Excel_BuiltIn_Print_Titles_1_7_6_9_1" localSheetId="16">#REF!</definedName>
    <definedName name="Excel_BuiltIn_Print_Titles_1_7_6_9_1" localSheetId="53">#REF!</definedName>
    <definedName name="Excel_BuiltIn_Print_Titles_1_7_6_9_1">#REF!</definedName>
    <definedName name="Excel_BuiltIn_Print_Titles_1_7_6_9_2" localSheetId="16">#REF!</definedName>
    <definedName name="Excel_BuiltIn_Print_Titles_1_7_6_9_2" localSheetId="53">#REF!</definedName>
    <definedName name="Excel_BuiltIn_Print_Titles_1_7_6_9_2">#REF!</definedName>
    <definedName name="Excel_BuiltIn_Print_Titles_1_7_6_9_3" localSheetId="16">#REF!</definedName>
    <definedName name="Excel_BuiltIn_Print_Titles_1_7_6_9_3" localSheetId="53">#REF!</definedName>
    <definedName name="Excel_BuiltIn_Print_Titles_1_7_6_9_3">#REF!</definedName>
    <definedName name="Excel_BuiltIn_Print_Titles_1_7_8" localSheetId="16">#REF!</definedName>
    <definedName name="Excel_BuiltIn_Print_Titles_1_7_8" localSheetId="53">#REF!</definedName>
    <definedName name="Excel_BuiltIn_Print_Titles_1_7_8">#REF!</definedName>
    <definedName name="Excel_BuiltIn_Print_Titles_1_7_8_1" localSheetId="16">#REF!</definedName>
    <definedName name="Excel_BuiltIn_Print_Titles_1_7_8_1" localSheetId="53">#REF!</definedName>
    <definedName name="Excel_BuiltIn_Print_Titles_1_7_8_1">#REF!</definedName>
    <definedName name="Excel_BuiltIn_Print_Titles_1_7_8_10" localSheetId="16">#REF!</definedName>
    <definedName name="Excel_BuiltIn_Print_Titles_1_7_8_10" localSheetId="53">#REF!</definedName>
    <definedName name="Excel_BuiltIn_Print_Titles_1_7_8_10">#REF!</definedName>
    <definedName name="Excel_BuiltIn_Print_Titles_1_7_8_10_1" localSheetId="16">#REF!</definedName>
    <definedName name="Excel_BuiltIn_Print_Titles_1_7_8_10_1" localSheetId="53">#REF!</definedName>
    <definedName name="Excel_BuiltIn_Print_Titles_1_7_8_10_1">#REF!</definedName>
    <definedName name="Excel_BuiltIn_Print_Titles_1_7_8_10_2" localSheetId="16">#REF!</definedName>
    <definedName name="Excel_BuiltIn_Print_Titles_1_7_8_10_2" localSheetId="53">#REF!</definedName>
    <definedName name="Excel_BuiltIn_Print_Titles_1_7_8_10_2">#REF!</definedName>
    <definedName name="Excel_BuiltIn_Print_Titles_1_7_8_10_3" localSheetId="16">#REF!</definedName>
    <definedName name="Excel_BuiltIn_Print_Titles_1_7_8_10_3" localSheetId="53">#REF!</definedName>
    <definedName name="Excel_BuiltIn_Print_Titles_1_7_8_10_3">#REF!</definedName>
    <definedName name="Excel_BuiltIn_Print_Titles_1_7_8_2" localSheetId="16">#REF!</definedName>
    <definedName name="Excel_BuiltIn_Print_Titles_1_7_8_2" localSheetId="53">#REF!</definedName>
    <definedName name="Excel_BuiltIn_Print_Titles_1_7_8_2">#REF!</definedName>
    <definedName name="Excel_BuiltIn_Print_Titles_1_7_8_3" localSheetId="16">#REF!</definedName>
    <definedName name="Excel_BuiltIn_Print_Titles_1_7_8_3" localSheetId="53">#REF!</definedName>
    <definedName name="Excel_BuiltIn_Print_Titles_1_7_8_3">#REF!</definedName>
    <definedName name="Excel_BuiltIn_Print_Titles_1_7_8_9" localSheetId="16">#REF!</definedName>
    <definedName name="Excel_BuiltIn_Print_Titles_1_7_8_9" localSheetId="53">#REF!</definedName>
    <definedName name="Excel_BuiltIn_Print_Titles_1_7_8_9">#REF!</definedName>
    <definedName name="Excel_BuiltIn_Print_Titles_1_7_8_9_1" localSheetId="16">#REF!</definedName>
    <definedName name="Excel_BuiltIn_Print_Titles_1_7_8_9_1" localSheetId="53">#REF!</definedName>
    <definedName name="Excel_BuiltIn_Print_Titles_1_7_8_9_1">#REF!</definedName>
    <definedName name="Excel_BuiltIn_Print_Titles_1_7_8_9_2" localSheetId="16">#REF!</definedName>
    <definedName name="Excel_BuiltIn_Print_Titles_1_7_8_9_2" localSheetId="53">#REF!</definedName>
    <definedName name="Excel_BuiltIn_Print_Titles_1_7_8_9_2">#REF!</definedName>
    <definedName name="Excel_BuiltIn_Print_Titles_1_7_8_9_3" localSheetId="16">#REF!</definedName>
    <definedName name="Excel_BuiltIn_Print_Titles_1_7_8_9_3" localSheetId="53">#REF!</definedName>
    <definedName name="Excel_BuiltIn_Print_Titles_1_7_8_9_3">#REF!</definedName>
    <definedName name="Excel_BuiltIn_Print_Titles_1_7_9" localSheetId="16">#REF!</definedName>
    <definedName name="Excel_BuiltIn_Print_Titles_1_7_9" localSheetId="53">#REF!</definedName>
    <definedName name="Excel_BuiltIn_Print_Titles_1_7_9">#REF!</definedName>
    <definedName name="Excel_BuiltIn_Print_Titles_1_7_9_1" localSheetId="16">#REF!</definedName>
    <definedName name="Excel_BuiltIn_Print_Titles_1_7_9_1" localSheetId="53">#REF!</definedName>
    <definedName name="Excel_BuiltIn_Print_Titles_1_7_9_1">#REF!</definedName>
    <definedName name="Excel_BuiltIn_Print_Titles_1_7_9_2" localSheetId="16">#REF!</definedName>
    <definedName name="Excel_BuiltIn_Print_Titles_1_7_9_2" localSheetId="53">#REF!</definedName>
    <definedName name="Excel_BuiltIn_Print_Titles_1_7_9_2">#REF!</definedName>
    <definedName name="Excel_BuiltIn_Print_Titles_1_7_9_3" localSheetId="16">#REF!</definedName>
    <definedName name="Excel_BuiltIn_Print_Titles_1_7_9_3" localSheetId="53">#REF!</definedName>
    <definedName name="Excel_BuiltIn_Print_Titles_1_7_9_3">#REF!</definedName>
    <definedName name="Excel_BuiltIn_Print_Titles_1_8" localSheetId="16">#REF!</definedName>
    <definedName name="Excel_BuiltIn_Print_Titles_1_8" localSheetId="53">#REF!</definedName>
    <definedName name="Excel_BuiltIn_Print_Titles_1_8">#REF!</definedName>
    <definedName name="Excel_BuiltIn_Print_Titles_1_8_1" localSheetId="16">#REF!</definedName>
    <definedName name="Excel_BuiltIn_Print_Titles_1_8_1" localSheetId="53">#REF!</definedName>
    <definedName name="Excel_BuiltIn_Print_Titles_1_8_1">#REF!</definedName>
    <definedName name="Excel_BuiltIn_Print_Titles_1_8_1_1" localSheetId="16">#REF!</definedName>
    <definedName name="Excel_BuiltIn_Print_Titles_1_8_1_1" localSheetId="53">#REF!</definedName>
    <definedName name="Excel_BuiltIn_Print_Titles_1_8_1_1">#REF!</definedName>
    <definedName name="Excel_BuiltIn_Print_Titles_1_8_1_1_1">#REF!</definedName>
    <definedName name="Excel_BuiltIn_Print_Titles_1_8_1_10" localSheetId="16">#REF!</definedName>
    <definedName name="Excel_BuiltIn_Print_Titles_1_8_1_10" localSheetId="53">#REF!</definedName>
    <definedName name="Excel_BuiltIn_Print_Titles_1_8_1_10">#REF!</definedName>
    <definedName name="Excel_BuiltIn_Print_Titles_1_8_1_10_1" localSheetId="16">#REF!</definedName>
    <definedName name="Excel_BuiltIn_Print_Titles_1_8_1_10_1" localSheetId="53">#REF!</definedName>
    <definedName name="Excel_BuiltIn_Print_Titles_1_8_1_10_1">#REF!</definedName>
    <definedName name="Excel_BuiltIn_Print_Titles_1_8_1_10_2" localSheetId="16">#REF!</definedName>
    <definedName name="Excel_BuiltIn_Print_Titles_1_8_1_10_2" localSheetId="53">#REF!</definedName>
    <definedName name="Excel_BuiltIn_Print_Titles_1_8_1_10_2">#REF!</definedName>
    <definedName name="Excel_BuiltIn_Print_Titles_1_8_1_10_3" localSheetId="16">#REF!</definedName>
    <definedName name="Excel_BuiltIn_Print_Titles_1_8_1_10_3" localSheetId="53">#REF!</definedName>
    <definedName name="Excel_BuiltIn_Print_Titles_1_8_1_10_3">#REF!</definedName>
    <definedName name="Excel_BuiltIn_Print_Titles_1_8_1_2" localSheetId="16">#REF!</definedName>
    <definedName name="Excel_BuiltIn_Print_Titles_1_8_1_2" localSheetId="53">#REF!</definedName>
    <definedName name="Excel_BuiltIn_Print_Titles_1_8_1_2">#REF!</definedName>
    <definedName name="Excel_BuiltIn_Print_Titles_1_8_1_3" localSheetId="16">#REF!</definedName>
    <definedName name="Excel_BuiltIn_Print_Titles_1_8_1_3" localSheetId="53">#REF!</definedName>
    <definedName name="Excel_BuiltIn_Print_Titles_1_8_1_3">#REF!</definedName>
    <definedName name="Excel_BuiltIn_Print_Titles_1_8_1_9" localSheetId="16">#REF!</definedName>
    <definedName name="Excel_BuiltIn_Print_Titles_1_8_1_9" localSheetId="53">#REF!</definedName>
    <definedName name="Excel_BuiltIn_Print_Titles_1_8_1_9">#REF!</definedName>
    <definedName name="Excel_BuiltIn_Print_Titles_1_8_1_9_1" localSheetId="16">#REF!</definedName>
    <definedName name="Excel_BuiltIn_Print_Titles_1_8_1_9_1" localSheetId="53">#REF!</definedName>
    <definedName name="Excel_BuiltIn_Print_Titles_1_8_1_9_1">#REF!</definedName>
    <definedName name="Excel_BuiltIn_Print_Titles_1_8_1_9_2" localSheetId="16">#REF!</definedName>
    <definedName name="Excel_BuiltIn_Print_Titles_1_8_1_9_2" localSheetId="53">#REF!</definedName>
    <definedName name="Excel_BuiltIn_Print_Titles_1_8_1_9_2">#REF!</definedName>
    <definedName name="Excel_BuiltIn_Print_Titles_1_8_1_9_3" localSheetId="16">#REF!</definedName>
    <definedName name="Excel_BuiltIn_Print_Titles_1_8_1_9_3" localSheetId="53">#REF!</definedName>
    <definedName name="Excel_BuiltIn_Print_Titles_1_8_1_9_3">#REF!</definedName>
    <definedName name="Excel_BuiltIn_Print_Titles_1_8_10" localSheetId="16">#REF!</definedName>
    <definedName name="Excel_BuiltIn_Print_Titles_1_8_10" localSheetId="53">#REF!</definedName>
    <definedName name="Excel_BuiltIn_Print_Titles_1_8_10">#REF!</definedName>
    <definedName name="Excel_BuiltIn_Print_Titles_1_8_10_1" localSheetId="16">#REF!</definedName>
    <definedName name="Excel_BuiltIn_Print_Titles_1_8_10_1" localSheetId="53">#REF!</definedName>
    <definedName name="Excel_BuiltIn_Print_Titles_1_8_10_1">#REF!</definedName>
    <definedName name="Excel_BuiltIn_Print_Titles_1_8_10_2" localSheetId="16">#REF!</definedName>
    <definedName name="Excel_BuiltIn_Print_Titles_1_8_10_2" localSheetId="53">#REF!</definedName>
    <definedName name="Excel_BuiltIn_Print_Titles_1_8_10_2">#REF!</definedName>
    <definedName name="Excel_BuiltIn_Print_Titles_1_8_10_3" localSheetId="16">#REF!</definedName>
    <definedName name="Excel_BuiltIn_Print_Titles_1_8_10_3" localSheetId="53">#REF!</definedName>
    <definedName name="Excel_BuiltIn_Print_Titles_1_8_10_3">#REF!</definedName>
    <definedName name="Excel_BuiltIn_Print_Titles_1_8_2" localSheetId="16">#REF!</definedName>
    <definedName name="Excel_BuiltIn_Print_Titles_1_8_2" localSheetId="53">#REF!</definedName>
    <definedName name="Excel_BuiltIn_Print_Titles_1_8_2">#REF!</definedName>
    <definedName name="Excel_BuiltIn_Print_Titles_1_8_3" localSheetId="16">#REF!</definedName>
    <definedName name="Excel_BuiltIn_Print_Titles_1_8_3" localSheetId="53">#REF!</definedName>
    <definedName name="Excel_BuiltIn_Print_Titles_1_8_3">#REF!</definedName>
    <definedName name="Excel_BuiltIn_Print_Titles_1_8_4" localSheetId="16">#REF!</definedName>
    <definedName name="Excel_BuiltIn_Print_Titles_1_8_4" localSheetId="53">#REF!</definedName>
    <definedName name="Excel_BuiltIn_Print_Titles_1_8_4">#REF!</definedName>
    <definedName name="Excel_BuiltIn_Print_Titles_1_8_4_1" localSheetId="16">#REF!</definedName>
    <definedName name="Excel_BuiltIn_Print_Titles_1_8_4_1" localSheetId="53">#REF!</definedName>
    <definedName name="Excel_BuiltIn_Print_Titles_1_8_4_1">#REF!</definedName>
    <definedName name="Excel_BuiltIn_Print_Titles_1_8_4_1_1" localSheetId="16">#REF!</definedName>
    <definedName name="Excel_BuiltIn_Print_Titles_1_8_4_1_1" localSheetId="53">#REF!</definedName>
    <definedName name="Excel_BuiltIn_Print_Titles_1_8_4_1_1">#REF!</definedName>
    <definedName name="Excel_BuiltIn_Print_Titles_1_8_4_1_1_1">#REF!</definedName>
    <definedName name="Excel_BuiltIn_Print_Titles_1_8_4_1_10" localSheetId="16">#REF!</definedName>
    <definedName name="Excel_BuiltIn_Print_Titles_1_8_4_1_10" localSheetId="53">#REF!</definedName>
    <definedName name="Excel_BuiltIn_Print_Titles_1_8_4_1_10">#REF!</definedName>
    <definedName name="Excel_BuiltIn_Print_Titles_1_8_4_1_10_1" localSheetId="16">#REF!</definedName>
    <definedName name="Excel_BuiltIn_Print_Titles_1_8_4_1_10_1" localSheetId="53">#REF!</definedName>
    <definedName name="Excel_BuiltIn_Print_Titles_1_8_4_1_10_1">#REF!</definedName>
    <definedName name="Excel_BuiltIn_Print_Titles_1_8_4_1_10_2" localSheetId="16">#REF!</definedName>
    <definedName name="Excel_BuiltIn_Print_Titles_1_8_4_1_10_2" localSheetId="53">#REF!</definedName>
    <definedName name="Excel_BuiltIn_Print_Titles_1_8_4_1_10_2">#REF!</definedName>
    <definedName name="Excel_BuiltIn_Print_Titles_1_8_4_1_10_3" localSheetId="16">#REF!</definedName>
    <definedName name="Excel_BuiltIn_Print_Titles_1_8_4_1_10_3" localSheetId="53">#REF!</definedName>
    <definedName name="Excel_BuiltIn_Print_Titles_1_8_4_1_10_3">#REF!</definedName>
    <definedName name="Excel_BuiltIn_Print_Titles_1_8_4_1_2" localSheetId="16">#REF!</definedName>
    <definedName name="Excel_BuiltIn_Print_Titles_1_8_4_1_2" localSheetId="53">#REF!</definedName>
    <definedName name="Excel_BuiltIn_Print_Titles_1_8_4_1_2">#REF!</definedName>
    <definedName name="Excel_BuiltIn_Print_Titles_1_8_4_1_3" localSheetId="16">#REF!</definedName>
    <definedName name="Excel_BuiltIn_Print_Titles_1_8_4_1_3" localSheetId="53">#REF!</definedName>
    <definedName name="Excel_BuiltIn_Print_Titles_1_8_4_1_3">#REF!</definedName>
    <definedName name="Excel_BuiltIn_Print_Titles_1_8_4_1_9" localSheetId="16">#REF!</definedName>
    <definedName name="Excel_BuiltIn_Print_Titles_1_8_4_1_9" localSheetId="53">#REF!</definedName>
    <definedName name="Excel_BuiltIn_Print_Titles_1_8_4_1_9">#REF!</definedName>
    <definedName name="Excel_BuiltIn_Print_Titles_1_8_4_1_9_1" localSheetId="16">#REF!</definedName>
    <definedName name="Excel_BuiltIn_Print_Titles_1_8_4_1_9_1" localSheetId="53">#REF!</definedName>
    <definedName name="Excel_BuiltIn_Print_Titles_1_8_4_1_9_1">#REF!</definedName>
    <definedName name="Excel_BuiltIn_Print_Titles_1_8_4_1_9_2" localSheetId="16">#REF!</definedName>
    <definedName name="Excel_BuiltIn_Print_Titles_1_8_4_1_9_2" localSheetId="53">#REF!</definedName>
    <definedName name="Excel_BuiltIn_Print_Titles_1_8_4_1_9_2">#REF!</definedName>
    <definedName name="Excel_BuiltIn_Print_Titles_1_8_4_1_9_3" localSheetId="16">#REF!</definedName>
    <definedName name="Excel_BuiltIn_Print_Titles_1_8_4_1_9_3" localSheetId="53">#REF!</definedName>
    <definedName name="Excel_BuiltIn_Print_Titles_1_8_4_1_9_3">#REF!</definedName>
    <definedName name="Excel_BuiltIn_Print_Titles_1_8_4_10" localSheetId="16">#REF!</definedName>
    <definedName name="Excel_BuiltIn_Print_Titles_1_8_4_10" localSheetId="53">#REF!</definedName>
    <definedName name="Excel_BuiltIn_Print_Titles_1_8_4_10">#REF!</definedName>
    <definedName name="Excel_BuiltIn_Print_Titles_1_8_4_10_1" localSheetId="16">#REF!</definedName>
    <definedName name="Excel_BuiltIn_Print_Titles_1_8_4_10_1" localSheetId="53">#REF!</definedName>
    <definedName name="Excel_BuiltIn_Print_Titles_1_8_4_10_1">#REF!</definedName>
    <definedName name="Excel_BuiltIn_Print_Titles_1_8_4_10_2" localSheetId="16">#REF!</definedName>
    <definedName name="Excel_BuiltIn_Print_Titles_1_8_4_10_2" localSheetId="53">#REF!</definedName>
    <definedName name="Excel_BuiltIn_Print_Titles_1_8_4_10_2">#REF!</definedName>
    <definedName name="Excel_BuiltIn_Print_Titles_1_8_4_10_3" localSheetId="16">#REF!</definedName>
    <definedName name="Excel_BuiltIn_Print_Titles_1_8_4_10_3" localSheetId="53">#REF!</definedName>
    <definedName name="Excel_BuiltIn_Print_Titles_1_8_4_10_3">#REF!</definedName>
    <definedName name="Excel_BuiltIn_Print_Titles_1_8_4_2" localSheetId="16">#REF!</definedName>
    <definedName name="Excel_BuiltIn_Print_Titles_1_8_4_2" localSheetId="53">#REF!</definedName>
    <definedName name="Excel_BuiltIn_Print_Titles_1_8_4_2">#REF!</definedName>
    <definedName name="Excel_BuiltIn_Print_Titles_1_8_4_3" localSheetId="16">#REF!</definedName>
    <definedName name="Excel_BuiltIn_Print_Titles_1_8_4_3" localSheetId="53">#REF!</definedName>
    <definedName name="Excel_BuiltIn_Print_Titles_1_8_4_3">#REF!</definedName>
    <definedName name="Excel_BuiltIn_Print_Titles_1_8_4_4" localSheetId="16">#REF!</definedName>
    <definedName name="Excel_BuiltIn_Print_Titles_1_8_4_4" localSheetId="53">#REF!</definedName>
    <definedName name="Excel_BuiltIn_Print_Titles_1_8_4_4">#REF!</definedName>
    <definedName name="Excel_BuiltIn_Print_Titles_1_8_4_4_1" localSheetId="16">#REF!</definedName>
    <definedName name="Excel_BuiltIn_Print_Titles_1_8_4_4_1" localSheetId="53">#REF!</definedName>
    <definedName name="Excel_BuiltIn_Print_Titles_1_8_4_4_1">#REF!</definedName>
    <definedName name="Excel_BuiltIn_Print_Titles_1_8_4_4_10" localSheetId="16">#REF!</definedName>
    <definedName name="Excel_BuiltIn_Print_Titles_1_8_4_4_10" localSheetId="53">#REF!</definedName>
    <definedName name="Excel_BuiltIn_Print_Titles_1_8_4_4_10">#REF!</definedName>
    <definedName name="Excel_BuiltIn_Print_Titles_1_8_4_4_10_1" localSheetId="16">#REF!</definedName>
    <definedName name="Excel_BuiltIn_Print_Titles_1_8_4_4_10_1" localSheetId="53">#REF!</definedName>
    <definedName name="Excel_BuiltIn_Print_Titles_1_8_4_4_10_1">#REF!</definedName>
    <definedName name="Excel_BuiltIn_Print_Titles_1_8_4_4_10_2" localSheetId="16">#REF!</definedName>
    <definedName name="Excel_BuiltIn_Print_Titles_1_8_4_4_10_2" localSheetId="53">#REF!</definedName>
    <definedName name="Excel_BuiltIn_Print_Titles_1_8_4_4_10_2">#REF!</definedName>
    <definedName name="Excel_BuiltIn_Print_Titles_1_8_4_4_10_3" localSheetId="16">#REF!</definedName>
    <definedName name="Excel_BuiltIn_Print_Titles_1_8_4_4_10_3" localSheetId="53">#REF!</definedName>
    <definedName name="Excel_BuiltIn_Print_Titles_1_8_4_4_10_3">#REF!</definedName>
    <definedName name="Excel_BuiltIn_Print_Titles_1_8_4_4_2" localSheetId="16">#REF!</definedName>
    <definedName name="Excel_BuiltIn_Print_Titles_1_8_4_4_2" localSheetId="53">#REF!</definedName>
    <definedName name="Excel_BuiltIn_Print_Titles_1_8_4_4_2">#REF!</definedName>
    <definedName name="Excel_BuiltIn_Print_Titles_1_8_4_4_3" localSheetId="16">#REF!</definedName>
    <definedName name="Excel_BuiltIn_Print_Titles_1_8_4_4_3" localSheetId="53">#REF!</definedName>
    <definedName name="Excel_BuiltIn_Print_Titles_1_8_4_4_3">#REF!</definedName>
    <definedName name="Excel_BuiltIn_Print_Titles_1_8_4_4_9" localSheetId="16">#REF!</definedName>
    <definedName name="Excel_BuiltIn_Print_Titles_1_8_4_4_9" localSheetId="53">#REF!</definedName>
    <definedName name="Excel_BuiltIn_Print_Titles_1_8_4_4_9">#REF!</definedName>
    <definedName name="Excel_BuiltIn_Print_Titles_1_8_4_4_9_1" localSheetId="16">#REF!</definedName>
    <definedName name="Excel_BuiltIn_Print_Titles_1_8_4_4_9_1" localSheetId="53">#REF!</definedName>
    <definedName name="Excel_BuiltIn_Print_Titles_1_8_4_4_9_1">#REF!</definedName>
    <definedName name="Excel_BuiltIn_Print_Titles_1_8_4_4_9_2" localSheetId="16">#REF!</definedName>
    <definedName name="Excel_BuiltIn_Print_Titles_1_8_4_4_9_2" localSheetId="53">#REF!</definedName>
    <definedName name="Excel_BuiltIn_Print_Titles_1_8_4_4_9_2">#REF!</definedName>
    <definedName name="Excel_BuiltIn_Print_Titles_1_8_4_4_9_3" localSheetId="16">#REF!</definedName>
    <definedName name="Excel_BuiltIn_Print_Titles_1_8_4_4_9_3" localSheetId="53">#REF!</definedName>
    <definedName name="Excel_BuiltIn_Print_Titles_1_8_4_4_9_3">#REF!</definedName>
    <definedName name="Excel_BuiltIn_Print_Titles_1_8_4_5" localSheetId="16">#REF!</definedName>
    <definedName name="Excel_BuiltIn_Print_Titles_1_8_4_5" localSheetId="53">#REF!</definedName>
    <definedName name="Excel_BuiltIn_Print_Titles_1_8_4_5">#REF!</definedName>
    <definedName name="Excel_BuiltIn_Print_Titles_1_8_4_5_1" localSheetId="16">#REF!</definedName>
    <definedName name="Excel_BuiltIn_Print_Titles_1_8_4_5_1" localSheetId="53">#REF!</definedName>
    <definedName name="Excel_BuiltIn_Print_Titles_1_8_4_5_1">#REF!</definedName>
    <definedName name="Excel_BuiltIn_Print_Titles_1_8_4_5_10" localSheetId="16">#REF!</definedName>
    <definedName name="Excel_BuiltIn_Print_Titles_1_8_4_5_10" localSheetId="53">#REF!</definedName>
    <definedName name="Excel_BuiltIn_Print_Titles_1_8_4_5_10">#REF!</definedName>
    <definedName name="Excel_BuiltIn_Print_Titles_1_8_4_5_10_1" localSheetId="16">#REF!</definedName>
    <definedName name="Excel_BuiltIn_Print_Titles_1_8_4_5_10_1" localSheetId="53">#REF!</definedName>
    <definedName name="Excel_BuiltIn_Print_Titles_1_8_4_5_10_1">#REF!</definedName>
    <definedName name="Excel_BuiltIn_Print_Titles_1_8_4_5_10_2" localSheetId="16">#REF!</definedName>
    <definedName name="Excel_BuiltIn_Print_Titles_1_8_4_5_10_2" localSheetId="53">#REF!</definedName>
    <definedName name="Excel_BuiltIn_Print_Titles_1_8_4_5_10_2">#REF!</definedName>
    <definedName name="Excel_BuiltIn_Print_Titles_1_8_4_5_10_3" localSheetId="16">#REF!</definedName>
    <definedName name="Excel_BuiltIn_Print_Titles_1_8_4_5_10_3" localSheetId="53">#REF!</definedName>
    <definedName name="Excel_BuiltIn_Print_Titles_1_8_4_5_10_3">#REF!</definedName>
    <definedName name="Excel_BuiltIn_Print_Titles_1_8_4_5_2" localSheetId="16">#REF!</definedName>
    <definedName name="Excel_BuiltIn_Print_Titles_1_8_4_5_2" localSheetId="53">#REF!</definedName>
    <definedName name="Excel_BuiltIn_Print_Titles_1_8_4_5_2">#REF!</definedName>
    <definedName name="Excel_BuiltIn_Print_Titles_1_8_4_5_3" localSheetId="16">#REF!</definedName>
    <definedName name="Excel_BuiltIn_Print_Titles_1_8_4_5_3" localSheetId="53">#REF!</definedName>
    <definedName name="Excel_BuiltIn_Print_Titles_1_8_4_5_3">#REF!</definedName>
    <definedName name="Excel_BuiltIn_Print_Titles_1_8_4_5_9" localSheetId="16">#REF!</definedName>
    <definedName name="Excel_BuiltIn_Print_Titles_1_8_4_5_9" localSheetId="53">#REF!</definedName>
    <definedName name="Excel_BuiltIn_Print_Titles_1_8_4_5_9">#REF!</definedName>
    <definedName name="Excel_BuiltIn_Print_Titles_1_8_4_5_9_1" localSheetId="16">#REF!</definedName>
    <definedName name="Excel_BuiltIn_Print_Titles_1_8_4_5_9_1" localSheetId="53">#REF!</definedName>
    <definedName name="Excel_BuiltIn_Print_Titles_1_8_4_5_9_1">#REF!</definedName>
    <definedName name="Excel_BuiltIn_Print_Titles_1_8_4_5_9_2" localSheetId="16">#REF!</definedName>
    <definedName name="Excel_BuiltIn_Print_Titles_1_8_4_5_9_2" localSheetId="53">#REF!</definedName>
    <definedName name="Excel_BuiltIn_Print_Titles_1_8_4_5_9_2">#REF!</definedName>
    <definedName name="Excel_BuiltIn_Print_Titles_1_8_4_5_9_3" localSheetId="16">#REF!</definedName>
    <definedName name="Excel_BuiltIn_Print_Titles_1_8_4_5_9_3" localSheetId="53">#REF!</definedName>
    <definedName name="Excel_BuiltIn_Print_Titles_1_8_4_5_9_3">#REF!</definedName>
    <definedName name="Excel_BuiltIn_Print_Titles_1_8_4_6" localSheetId="16">#REF!</definedName>
    <definedName name="Excel_BuiltIn_Print_Titles_1_8_4_6" localSheetId="53">#REF!</definedName>
    <definedName name="Excel_BuiltIn_Print_Titles_1_8_4_6">#REF!</definedName>
    <definedName name="Excel_BuiltIn_Print_Titles_1_8_4_6_1" localSheetId="16">#REF!</definedName>
    <definedName name="Excel_BuiltIn_Print_Titles_1_8_4_6_1" localSheetId="53">#REF!</definedName>
    <definedName name="Excel_BuiltIn_Print_Titles_1_8_4_6_1">#REF!</definedName>
    <definedName name="Excel_BuiltIn_Print_Titles_1_8_4_6_10" localSheetId="16">#REF!</definedName>
    <definedName name="Excel_BuiltIn_Print_Titles_1_8_4_6_10" localSheetId="53">#REF!</definedName>
    <definedName name="Excel_BuiltIn_Print_Titles_1_8_4_6_10">#REF!</definedName>
    <definedName name="Excel_BuiltIn_Print_Titles_1_8_4_6_10_1" localSheetId="16">#REF!</definedName>
    <definedName name="Excel_BuiltIn_Print_Titles_1_8_4_6_10_1" localSheetId="53">#REF!</definedName>
    <definedName name="Excel_BuiltIn_Print_Titles_1_8_4_6_10_1">#REF!</definedName>
    <definedName name="Excel_BuiltIn_Print_Titles_1_8_4_6_10_2" localSheetId="16">#REF!</definedName>
    <definedName name="Excel_BuiltIn_Print_Titles_1_8_4_6_10_2" localSheetId="53">#REF!</definedName>
    <definedName name="Excel_BuiltIn_Print_Titles_1_8_4_6_10_2">#REF!</definedName>
    <definedName name="Excel_BuiltIn_Print_Titles_1_8_4_6_10_3" localSheetId="16">#REF!</definedName>
    <definedName name="Excel_BuiltIn_Print_Titles_1_8_4_6_10_3" localSheetId="53">#REF!</definedName>
    <definedName name="Excel_BuiltIn_Print_Titles_1_8_4_6_10_3">#REF!</definedName>
    <definedName name="Excel_BuiltIn_Print_Titles_1_8_4_6_2" localSheetId="16">#REF!</definedName>
    <definedName name="Excel_BuiltIn_Print_Titles_1_8_4_6_2" localSheetId="53">#REF!</definedName>
    <definedName name="Excel_BuiltIn_Print_Titles_1_8_4_6_2">#REF!</definedName>
    <definedName name="Excel_BuiltIn_Print_Titles_1_8_4_6_3" localSheetId="16">#REF!</definedName>
    <definedName name="Excel_BuiltIn_Print_Titles_1_8_4_6_3" localSheetId="53">#REF!</definedName>
    <definedName name="Excel_BuiltIn_Print_Titles_1_8_4_6_3">#REF!</definedName>
    <definedName name="Excel_BuiltIn_Print_Titles_1_8_4_6_9" localSheetId="16">#REF!</definedName>
    <definedName name="Excel_BuiltIn_Print_Titles_1_8_4_6_9" localSheetId="53">#REF!</definedName>
    <definedName name="Excel_BuiltIn_Print_Titles_1_8_4_6_9">#REF!</definedName>
    <definedName name="Excel_BuiltIn_Print_Titles_1_8_4_6_9_1" localSheetId="16">#REF!</definedName>
    <definedName name="Excel_BuiltIn_Print_Titles_1_8_4_6_9_1" localSheetId="53">#REF!</definedName>
    <definedName name="Excel_BuiltIn_Print_Titles_1_8_4_6_9_1">#REF!</definedName>
    <definedName name="Excel_BuiltIn_Print_Titles_1_8_4_6_9_2" localSheetId="16">#REF!</definedName>
    <definedName name="Excel_BuiltIn_Print_Titles_1_8_4_6_9_2" localSheetId="53">#REF!</definedName>
    <definedName name="Excel_BuiltIn_Print_Titles_1_8_4_6_9_2">#REF!</definedName>
    <definedName name="Excel_BuiltIn_Print_Titles_1_8_4_6_9_3" localSheetId="16">#REF!</definedName>
    <definedName name="Excel_BuiltIn_Print_Titles_1_8_4_6_9_3" localSheetId="53">#REF!</definedName>
    <definedName name="Excel_BuiltIn_Print_Titles_1_8_4_6_9_3">#REF!</definedName>
    <definedName name="Excel_BuiltIn_Print_Titles_1_8_4_8" localSheetId="16">#REF!</definedName>
    <definedName name="Excel_BuiltIn_Print_Titles_1_8_4_8" localSheetId="53">#REF!</definedName>
    <definedName name="Excel_BuiltIn_Print_Titles_1_8_4_8">#REF!</definedName>
    <definedName name="Excel_BuiltIn_Print_Titles_1_8_4_8_1" localSheetId="16">#REF!</definedName>
    <definedName name="Excel_BuiltIn_Print_Titles_1_8_4_8_1" localSheetId="53">#REF!</definedName>
    <definedName name="Excel_BuiltIn_Print_Titles_1_8_4_8_1">#REF!</definedName>
    <definedName name="Excel_BuiltIn_Print_Titles_1_8_4_8_10" localSheetId="16">#REF!</definedName>
    <definedName name="Excel_BuiltIn_Print_Titles_1_8_4_8_10" localSheetId="53">#REF!</definedName>
    <definedName name="Excel_BuiltIn_Print_Titles_1_8_4_8_10">#REF!</definedName>
    <definedName name="Excel_BuiltIn_Print_Titles_1_8_4_8_10_1" localSheetId="16">#REF!</definedName>
    <definedName name="Excel_BuiltIn_Print_Titles_1_8_4_8_10_1" localSheetId="53">#REF!</definedName>
    <definedName name="Excel_BuiltIn_Print_Titles_1_8_4_8_10_1">#REF!</definedName>
    <definedName name="Excel_BuiltIn_Print_Titles_1_8_4_8_10_2" localSheetId="16">#REF!</definedName>
    <definedName name="Excel_BuiltIn_Print_Titles_1_8_4_8_10_2" localSheetId="53">#REF!</definedName>
    <definedName name="Excel_BuiltIn_Print_Titles_1_8_4_8_10_2">#REF!</definedName>
    <definedName name="Excel_BuiltIn_Print_Titles_1_8_4_8_10_3" localSheetId="16">#REF!</definedName>
    <definedName name="Excel_BuiltIn_Print_Titles_1_8_4_8_10_3" localSheetId="53">#REF!</definedName>
    <definedName name="Excel_BuiltIn_Print_Titles_1_8_4_8_10_3">#REF!</definedName>
    <definedName name="Excel_BuiltIn_Print_Titles_1_8_4_8_2" localSheetId="16">#REF!</definedName>
    <definedName name="Excel_BuiltIn_Print_Titles_1_8_4_8_2" localSheetId="53">#REF!</definedName>
    <definedName name="Excel_BuiltIn_Print_Titles_1_8_4_8_2">#REF!</definedName>
    <definedName name="Excel_BuiltIn_Print_Titles_1_8_4_8_3" localSheetId="16">#REF!</definedName>
    <definedName name="Excel_BuiltIn_Print_Titles_1_8_4_8_3" localSheetId="53">#REF!</definedName>
    <definedName name="Excel_BuiltIn_Print_Titles_1_8_4_8_3">#REF!</definedName>
    <definedName name="Excel_BuiltIn_Print_Titles_1_8_4_8_9" localSheetId="16">#REF!</definedName>
    <definedName name="Excel_BuiltIn_Print_Titles_1_8_4_8_9" localSheetId="53">#REF!</definedName>
    <definedName name="Excel_BuiltIn_Print_Titles_1_8_4_8_9">#REF!</definedName>
    <definedName name="Excel_BuiltIn_Print_Titles_1_8_4_8_9_1" localSheetId="16">#REF!</definedName>
    <definedName name="Excel_BuiltIn_Print_Titles_1_8_4_8_9_1" localSheetId="53">#REF!</definedName>
    <definedName name="Excel_BuiltIn_Print_Titles_1_8_4_8_9_1">#REF!</definedName>
    <definedName name="Excel_BuiltIn_Print_Titles_1_8_4_8_9_2" localSheetId="16">#REF!</definedName>
    <definedName name="Excel_BuiltIn_Print_Titles_1_8_4_8_9_2" localSheetId="53">#REF!</definedName>
    <definedName name="Excel_BuiltIn_Print_Titles_1_8_4_8_9_2">#REF!</definedName>
    <definedName name="Excel_BuiltIn_Print_Titles_1_8_4_8_9_3" localSheetId="16">#REF!</definedName>
    <definedName name="Excel_BuiltIn_Print_Titles_1_8_4_8_9_3" localSheetId="53">#REF!</definedName>
    <definedName name="Excel_BuiltIn_Print_Titles_1_8_4_8_9_3">#REF!</definedName>
    <definedName name="Excel_BuiltIn_Print_Titles_1_8_4_9" localSheetId="16">#REF!</definedName>
    <definedName name="Excel_BuiltIn_Print_Titles_1_8_4_9" localSheetId="53">#REF!</definedName>
    <definedName name="Excel_BuiltIn_Print_Titles_1_8_4_9">#REF!</definedName>
    <definedName name="Excel_BuiltIn_Print_Titles_1_8_4_9_1" localSheetId="16">#REF!</definedName>
    <definedName name="Excel_BuiltIn_Print_Titles_1_8_4_9_1" localSheetId="53">#REF!</definedName>
    <definedName name="Excel_BuiltIn_Print_Titles_1_8_4_9_1">#REF!</definedName>
    <definedName name="Excel_BuiltIn_Print_Titles_1_8_4_9_2" localSheetId="16">#REF!</definedName>
    <definedName name="Excel_BuiltIn_Print_Titles_1_8_4_9_2" localSheetId="53">#REF!</definedName>
    <definedName name="Excel_BuiltIn_Print_Titles_1_8_4_9_2">#REF!</definedName>
    <definedName name="Excel_BuiltIn_Print_Titles_1_8_4_9_3" localSheetId="16">#REF!</definedName>
    <definedName name="Excel_BuiltIn_Print_Titles_1_8_4_9_3" localSheetId="53">#REF!</definedName>
    <definedName name="Excel_BuiltIn_Print_Titles_1_8_4_9_3">#REF!</definedName>
    <definedName name="Excel_BuiltIn_Print_Titles_1_8_5" localSheetId="16">#REF!</definedName>
    <definedName name="Excel_BuiltIn_Print_Titles_1_8_5" localSheetId="53">#REF!</definedName>
    <definedName name="Excel_BuiltIn_Print_Titles_1_8_5">#REF!</definedName>
    <definedName name="Excel_BuiltIn_Print_Titles_1_8_5_1" localSheetId="16">#REF!</definedName>
    <definedName name="Excel_BuiltIn_Print_Titles_1_8_5_1" localSheetId="53">#REF!</definedName>
    <definedName name="Excel_BuiltIn_Print_Titles_1_8_5_1">#REF!</definedName>
    <definedName name="Excel_BuiltIn_Print_Titles_1_8_5_10" localSheetId="16">#REF!</definedName>
    <definedName name="Excel_BuiltIn_Print_Titles_1_8_5_10" localSheetId="53">#REF!</definedName>
    <definedName name="Excel_BuiltIn_Print_Titles_1_8_5_10">#REF!</definedName>
    <definedName name="Excel_BuiltIn_Print_Titles_1_8_5_10_1" localSheetId="16">#REF!</definedName>
    <definedName name="Excel_BuiltIn_Print_Titles_1_8_5_10_1" localSheetId="53">#REF!</definedName>
    <definedName name="Excel_BuiltIn_Print_Titles_1_8_5_10_1">#REF!</definedName>
    <definedName name="Excel_BuiltIn_Print_Titles_1_8_5_10_2" localSheetId="16">#REF!</definedName>
    <definedName name="Excel_BuiltIn_Print_Titles_1_8_5_10_2" localSheetId="53">#REF!</definedName>
    <definedName name="Excel_BuiltIn_Print_Titles_1_8_5_10_2">#REF!</definedName>
    <definedName name="Excel_BuiltIn_Print_Titles_1_8_5_10_3" localSheetId="16">#REF!</definedName>
    <definedName name="Excel_BuiltIn_Print_Titles_1_8_5_10_3" localSheetId="53">#REF!</definedName>
    <definedName name="Excel_BuiltIn_Print_Titles_1_8_5_10_3">#REF!</definedName>
    <definedName name="Excel_BuiltIn_Print_Titles_1_8_5_2" localSheetId="16">#REF!</definedName>
    <definedName name="Excel_BuiltIn_Print_Titles_1_8_5_2" localSheetId="53">#REF!</definedName>
    <definedName name="Excel_BuiltIn_Print_Titles_1_8_5_2">#REF!</definedName>
    <definedName name="Excel_BuiltIn_Print_Titles_1_8_5_3" localSheetId="16">#REF!</definedName>
    <definedName name="Excel_BuiltIn_Print_Titles_1_8_5_3" localSheetId="53">#REF!</definedName>
    <definedName name="Excel_BuiltIn_Print_Titles_1_8_5_3">#REF!</definedName>
    <definedName name="Excel_BuiltIn_Print_Titles_1_8_5_9" localSheetId="16">#REF!</definedName>
    <definedName name="Excel_BuiltIn_Print_Titles_1_8_5_9" localSheetId="53">#REF!</definedName>
    <definedName name="Excel_BuiltIn_Print_Titles_1_8_5_9">#REF!</definedName>
    <definedName name="Excel_BuiltIn_Print_Titles_1_8_5_9_1" localSheetId="16">#REF!</definedName>
    <definedName name="Excel_BuiltIn_Print_Titles_1_8_5_9_1" localSheetId="53">#REF!</definedName>
    <definedName name="Excel_BuiltIn_Print_Titles_1_8_5_9_1">#REF!</definedName>
    <definedName name="Excel_BuiltIn_Print_Titles_1_8_5_9_2" localSheetId="16">#REF!</definedName>
    <definedName name="Excel_BuiltIn_Print_Titles_1_8_5_9_2" localSheetId="53">#REF!</definedName>
    <definedName name="Excel_BuiltIn_Print_Titles_1_8_5_9_2">#REF!</definedName>
    <definedName name="Excel_BuiltIn_Print_Titles_1_8_5_9_3" localSheetId="16">#REF!</definedName>
    <definedName name="Excel_BuiltIn_Print_Titles_1_8_5_9_3" localSheetId="53">#REF!</definedName>
    <definedName name="Excel_BuiltIn_Print_Titles_1_8_5_9_3">#REF!</definedName>
    <definedName name="Excel_BuiltIn_Print_Titles_1_8_6" localSheetId="16">#REF!</definedName>
    <definedName name="Excel_BuiltIn_Print_Titles_1_8_6" localSheetId="53">#REF!</definedName>
    <definedName name="Excel_BuiltIn_Print_Titles_1_8_6">#REF!</definedName>
    <definedName name="Excel_BuiltIn_Print_Titles_1_8_6_1" localSheetId="16">#REF!</definedName>
    <definedName name="Excel_BuiltIn_Print_Titles_1_8_6_1" localSheetId="53">#REF!</definedName>
    <definedName name="Excel_BuiltIn_Print_Titles_1_8_6_1">#REF!</definedName>
    <definedName name="Excel_BuiltIn_Print_Titles_1_8_6_10" localSheetId="16">#REF!</definedName>
    <definedName name="Excel_BuiltIn_Print_Titles_1_8_6_10" localSheetId="53">#REF!</definedName>
    <definedName name="Excel_BuiltIn_Print_Titles_1_8_6_10">#REF!</definedName>
    <definedName name="Excel_BuiltIn_Print_Titles_1_8_6_10_1" localSheetId="16">#REF!</definedName>
    <definedName name="Excel_BuiltIn_Print_Titles_1_8_6_10_1" localSheetId="53">#REF!</definedName>
    <definedName name="Excel_BuiltIn_Print_Titles_1_8_6_10_1">#REF!</definedName>
    <definedName name="Excel_BuiltIn_Print_Titles_1_8_6_10_2" localSheetId="16">#REF!</definedName>
    <definedName name="Excel_BuiltIn_Print_Titles_1_8_6_10_2" localSheetId="53">#REF!</definedName>
    <definedName name="Excel_BuiltIn_Print_Titles_1_8_6_10_2">#REF!</definedName>
    <definedName name="Excel_BuiltIn_Print_Titles_1_8_6_10_3" localSheetId="16">#REF!</definedName>
    <definedName name="Excel_BuiltIn_Print_Titles_1_8_6_10_3" localSheetId="53">#REF!</definedName>
    <definedName name="Excel_BuiltIn_Print_Titles_1_8_6_10_3">#REF!</definedName>
    <definedName name="Excel_BuiltIn_Print_Titles_1_8_6_2" localSheetId="16">#REF!</definedName>
    <definedName name="Excel_BuiltIn_Print_Titles_1_8_6_2" localSheetId="53">#REF!</definedName>
    <definedName name="Excel_BuiltIn_Print_Titles_1_8_6_2">#REF!</definedName>
    <definedName name="Excel_BuiltIn_Print_Titles_1_8_6_3" localSheetId="16">#REF!</definedName>
    <definedName name="Excel_BuiltIn_Print_Titles_1_8_6_3" localSheetId="53">#REF!</definedName>
    <definedName name="Excel_BuiltIn_Print_Titles_1_8_6_3">#REF!</definedName>
    <definedName name="Excel_BuiltIn_Print_Titles_1_8_6_9" localSheetId="16">#REF!</definedName>
    <definedName name="Excel_BuiltIn_Print_Titles_1_8_6_9" localSheetId="53">#REF!</definedName>
    <definedName name="Excel_BuiltIn_Print_Titles_1_8_6_9">#REF!</definedName>
    <definedName name="Excel_BuiltIn_Print_Titles_1_8_6_9_1" localSheetId="16">#REF!</definedName>
    <definedName name="Excel_BuiltIn_Print_Titles_1_8_6_9_1" localSheetId="53">#REF!</definedName>
    <definedName name="Excel_BuiltIn_Print_Titles_1_8_6_9_1">#REF!</definedName>
    <definedName name="Excel_BuiltIn_Print_Titles_1_8_6_9_2" localSheetId="16">#REF!</definedName>
    <definedName name="Excel_BuiltIn_Print_Titles_1_8_6_9_2" localSheetId="53">#REF!</definedName>
    <definedName name="Excel_BuiltIn_Print_Titles_1_8_6_9_2">#REF!</definedName>
    <definedName name="Excel_BuiltIn_Print_Titles_1_8_6_9_3" localSheetId="16">#REF!</definedName>
    <definedName name="Excel_BuiltIn_Print_Titles_1_8_6_9_3" localSheetId="53">#REF!</definedName>
    <definedName name="Excel_BuiltIn_Print_Titles_1_8_6_9_3">#REF!</definedName>
    <definedName name="Excel_BuiltIn_Print_Titles_1_8_8" localSheetId="16">#REF!</definedName>
    <definedName name="Excel_BuiltIn_Print_Titles_1_8_8" localSheetId="53">#REF!</definedName>
    <definedName name="Excel_BuiltIn_Print_Titles_1_8_8">#REF!</definedName>
    <definedName name="Excel_BuiltIn_Print_Titles_1_8_8_1" localSheetId="16">#REF!</definedName>
    <definedName name="Excel_BuiltIn_Print_Titles_1_8_8_1" localSheetId="53">#REF!</definedName>
    <definedName name="Excel_BuiltIn_Print_Titles_1_8_8_1">#REF!</definedName>
    <definedName name="Excel_BuiltIn_Print_Titles_1_8_8_10" localSheetId="16">#REF!</definedName>
    <definedName name="Excel_BuiltIn_Print_Titles_1_8_8_10" localSheetId="53">#REF!</definedName>
    <definedName name="Excel_BuiltIn_Print_Titles_1_8_8_10">#REF!</definedName>
    <definedName name="Excel_BuiltIn_Print_Titles_1_8_8_10_1" localSheetId="16">#REF!</definedName>
    <definedName name="Excel_BuiltIn_Print_Titles_1_8_8_10_1" localSheetId="53">#REF!</definedName>
    <definedName name="Excel_BuiltIn_Print_Titles_1_8_8_10_1">#REF!</definedName>
    <definedName name="Excel_BuiltIn_Print_Titles_1_8_8_10_2" localSheetId="16">#REF!</definedName>
    <definedName name="Excel_BuiltIn_Print_Titles_1_8_8_10_2" localSheetId="53">#REF!</definedName>
    <definedName name="Excel_BuiltIn_Print_Titles_1_8_8_10_2">#REF!</definedName>
    <definedName name="Excel_BuiltIn_Print_Titles_1_8_8_10_3" localSheetId="16">#REF!</definedName>
    <definedName name="Excel_BuiltIn_Print_Titles_1_8_8_10_3" localSheetId="53">#REF!</definedName>
    <definedName name="Excel_BuiltIn_Print_Titles_1_8_8_10_3">#REF!</definedName>
    <definedName name="Excel_BuiltIn_Print_Titles_1_8_8_2" localSheetId="16">#REF!</definedName>
    <definedName name="Excel_BuiltIn_Print_Titles_1_8_8_2" localSheetId="53">#REF!</definedName>
    <definedName name="Excel_BuiltIn_Print_Titles_1_8_8_2">#REF!</definedName>
    <definedName name="Excel_BuiltIn_Print_Titles_1_8_8_3" localSheetId="16">#REF!</definedName>
    <definedName name="Excel_BuiltIn_Print_Titles_1_8_8_3" localSheetId="53">#REF!</definedName>
    <definedName name="Excel_BuiltIn_Print_Titles_1_8_8_3">#REF!</definedName>
    <definedName name="Excel_BuiltIn_Print_Titles_1_8_8_9" localSheetId="16">#REF!</definedName>
    <definedName name="Excel_BuiltIn_Print_Titles_1_8_8_9" localSheetId="53">#REF!</definedName>
    <definedName name="Excel_BuiltIn_Print_Titles_1_8_8_9">#REF!</definedName>
    <definedName name="Excel_BuiltIn_Print_Titles_1_8_8_9_1" localSheetId="16">#REF!</definedName>
    <definedName name="Excel_BuiltIn_Print_Titles_1_8_8_9_1" localSheetId="53">#REF!</definedName>
    <definedName name="Excel_BuiltIn_Print_Titles_1_8_8_9_1">#REF!</definedName>
    <definedName name="Excel_BuiltIn_Print_Titles_1_8_8_9_2" localSheetId="16">#REF!</definedName>
    <definedName name="Excel_BuiltIn_Print_Titles_1_8_8_9_2" localSheetId="53">#REF!</definedName>
    <definedName name="Excel_BuiltIn_Print_Titles_1_8_8_9_2">#REF!</definedName>
    <definedName name="Excel_BuiltIn_Print_Titles_1_8_8_9_3" localSheetId="16">#REF!</definedName>
    <definedName name="Excel_BuiltIn_Print_Titles_1_8_8_9_3" localSheetId="53">#REF!</definedName>
    <definedName name="Excel_BuiltIn_Print_Titles_1_8_8_9_3">#REF!</definedName>
    <definedName name="Excel_BuiltIn_Print_Titles_1_8_9" localSheetId="16">#REF!</definedName>
    <definedName name="Excel_BuiltIn_Print_Titles_1_8_9" localSheetId="53">#REF!</definedName>
    <definedName name="Excel_BuiltIn_Print_Titles_1_8_9">#REF!</definedName>
    <definedName name="Excel_BuiltIn_Print_Titles_1_8_9_1" localSheetId="16">#REF!</definedName>
    <definedName name="Excel_BuiltIn_Print_Titles_1_8_9_1" localSheetId="53">#REF!</definedName>
    <definedName name="Excel_BuiltIn_Print_Titles_1_8_9_1">#REF!</definedName>
    <definedName name="Excel_BuiltIn_Print_Titles_1_8_9_2" localSheetId="16">#REF!</definedName>
    <definedName name="Excel_BuiltIn_Print_Titles_1_8_9_2" localSheetId="53">#REF!</definedName>
    <definedName name="Excel_BuiltIn_Print_Titles_1_8_9_2">#REF!</definedName>
    <definedName name="Excel_BuiltIn_Print_Titles_1_8_9_3" localSheetId="16">#REF!</definedName>
    <definedName name="Excel_BuiltIn_Print_Titles_1_8_9_3" localSheetId="53">#REF!</definedName>
    <definedName name="Excel_BuiltIn_Print_Titles_1_8_9_3">#REF!</definedName>
    <definedName name="Excel_BuiltIn_Print_Titles_1_9" localSheetId="16">#REF!</definedName>
    <definedName name="Excel_BuiltIn_Print_Titles_1_9" localSheetId="53">#REF!</definedName>
    <definedName name="Excel_BuiltIn_Print_Titles_1_9">#REF!</definedName>
    <definedName name="Excel_BuiltIn_Print_Titles_1_9_1" localSheetId="16">#REF!</definedName>
    <definedName name="Excel_BuiltIn_Print_Titles_1_9_1" localSheetId="53">#REF!</definedName>
    <definedName name="Excel_BuiltIn_Print_Titles_1_9_1">#REF!</definedName>
    <definedName name="Excel_BuiltIn_Print_Titles_1_9_1_1" localSheetId="16">#REF!</definedName>
    <definedName name="Excel_BuiltIn_Print_Titles_1_9_1_1" localSheetId="53">#REF!</definedName>
    <definedName name="Excel_BuiltIn_Print_Titles_1_9_1_1">#REF!</definedName>
    <definedName name="Excel_BuiltIn_Print_Titles_1_9_1_1_1">#REF!</definedName>
    <definedName name="Excel_BuiltIn_Print_Titles_1_9_1_2" localSheetId="16">#REF!</definedName>
    <definedName name="Excel_BuiltIn_Print_Titles_1_9_1_2" localSheetId="53">#REF!</definedName>
    <definedName name="Excel_BuiltIn_Print_Titles_1_9_1_2">#REF!</definedName>
    <definedName name="Excel_BuiltIn_Print_Titles_1_9_1_3" localSheetId="16">#REF!</definedName>
    <definedName name="Excel_BuiltIn_Print_Titles_1_9_1_3" localSheetId="53">#REF!</definedName>
    <definedName name="Excel_BuiltIn_Print_Titles_1_9_1_3">#REF!</definedName>
    <definedName name="Excel_BuiltIn_Print_Titles_1_9_10" localSheetId="16">#REF!</definedName>
    <definedName name="Excel_BuiltIn_Print_Titles_1_9_10" localSheetId="53">#REF!</definedName>
    <definedName name="Excel_BuiltIn_Print_Titles_1_9_10">#REF!</definedName>
    <definedName name="Excel_BuiltIn_Print_Titles_1_9_10_1" localSheetId="16">#REF!</definedName>
    <definedName name="Excel_BuiltIn_Print_Titles_1_9_10_1" localSheetId="53">#REF!</definedName>
    <definedName name="Excel_BuiltIn_Print_Titles_1_9_10_1">#REF!</definedName>
    <definedName name="Excel_BuiltIn_Print_Titles_1_9_10_2" localSheetId="16">#REF!</definedName>
    <definedName name="Excel_BuiltIn_Print_Titles_1_9_10_2" localSheetId="53">#REF!</definedName>
    <definedName name="Excel_BuiltIn_Print_Titles_1_9_10_2">#REF!</definedName>
    <definedName name="Excel_BuiltIn_Print_Titles_1_9_10_3" localSheetId="16">#REF!</definedName>
    <definedName name="Excel_BuiltIn_Print_Titles_1_9_10_3" localSheetId="53">#REF!</definedName>
    <definedName name="Excel_BuiltIn_Print_Titles_1_9_10_3">#REF!</definedName>
    <definedName name="Excel_BuiltIn_Print_Titles_1_9_2" localSheetId="16">#REF!</definedName>
    <definedName name="Excel_BuiltIn_Print_Titles_1_9_2" localSheetId="53">#REF!</definedName>
    <definedName name="Excel_BuiltIn_Print_Titles_1_9_2">#REF!</definedName>
    <definedName name="Excel_BuiltIn_Print_Titles_1_9_3" localSheetId="16">#REF!</definedName>
    <definedName name="Excel_BuiltIn_Print_Titles_1_9_3" localSheetId="53">#REF!</definedName>
    <definedName name="Excel_BuiltIn_Print_Titles_1_9_3">#REF!</definedName>
    <definedName name="Excel_BuiltIn_Print_Titles_1_9_4" localSheetId="16">#REF!</definedName>
    <definedName name="Excel_BuiltIn_Print_Titles_1_9_4" localSheetId="53">#REF!</definedName>
    <definedName name="Excel_BuiltIn_Print_Titles_1_9_4">#REF!</definedName>
    <definedName name="Excel_BuiltIn_Print_Titles_1_9_4_1" localSheetId="16">#REF!</definedName>
    <definedName name="Excel_BuiltIn_Print_Titles_1_9_4_1" localSheetId="53">#REF!</definedName>
    <definedName name="Excel_BuiltIn_Print_Titles_1_9_4_1">#REF!</definedName>
    <definedName name="Excel_BuiltIn_Print_Titles_1_9_4_1_1" localSheetId="16">#REF!</definedName>
    <definedName name="Excel_BuiltIn_Print_Titles_1_9_4_1_1" localSheetId="53">#REF!</definedName>
    <definedName name="Excel_BuiltIn_Print_Titles_1_9_4_1_1">#REF!</definedName>
    <definedName name="Excel_BuiltIn_Print_Titles_1_9_4_1_1_1">#REF!</definedName>
    <definedName name="Excel_BuiltIn_Print_Titles_1_9_4_1_10" localSheetId="16">#REF!</definedName>
    <definedName name="Excel_BuiltIn_Print_Titles_1_9_4_1_10" localSheetId="53">#REF!</definedName>
    <definedName name="Excel_BuiltIn_Print_Titles_1_9_4_1_10">#REF!</definedName>
    <definedName name="Excel_BuiltIn_Print_Titles_1_9_4_1_10_1" localSheetId="16">#REF!</definedName>
    <definedName name="Excel_BuiltIn_Print_Titles_1_9_4_1_10_1" localSheetId="53">#REF!</definedName>
    <definedName name="Excel_BuiltIn_Print_Titles_1_9_4_1_10_1">#REF!</definedName>
    <definedName name="Excel_BuiltIn_Print_Titles_1_9_4_1_10_2" localSheetId="16">#REF!</definedName>
    <definedName name="Excel_BuiltIn_Print_Titles_1_9_4_1_10_2" localSheetId="53">#REF!</definedName>
    <definedName name="Excel_BuiltIn_Print_Titles_1_9_4_1_10_2">#REF!</definedName>
    <definedName name="Excel_BuiltIn_Print_Titles_1_9_4_1_10_3" localSheetId="16">#REF!</definedName>
    <definedName name="Excel_BuiltIn_Print_Titles_1_9_4_1_10_3" localSheetId="53">#REF!</definedName>
    <definedName name="Excel_BuiltIn_Print_Titles_1_9_4_1_10_3">#REF!</definedName>
    <definedName name="Excel_BuiltIn_Print_Titles_1_9_4_1_2" localSheetId="16">#REF!</definedName>
    <definedName name="Excel_BuiltIn_Print_Titles_1_9_4_1_2" localSheetId="53">#REF!</definedName>
    <definedName name="Excel_BuiltIn_Print_Titles_1_9_4_1_2">#REF!</definedName>
    <definedName name="Excel_BuiltIn_Print_Titles_1_9_4_1_3" localSheetId="16">#REF!</definedName>
    <definedName name="Excel_BuiltIn_Print_Titles_1_9_4_1_3" localSheetId="53">#REF!</definedName>
    <definedName name="Excel_BuiltIn_Print_Titles_1_9_4_1_3">#REF!</definedName>
    <definedName name="Excel_BuiltIn_Print_Titles_1_9_4_1_9" localSheetId="16">#REF!</definedName>
    <definedName name="Excel_BuiltIn_Print_Titles_1_9_4_1_9" localSheetId="53">#REF!</definedName>
    <definedName name="Excel_BuiltIn_Print_Titles_1_9_4_1_9">#REF!</definedName>
    <definedName name="Excel_BuiltIn_Print_Titles_1_9_4_1_9_1" localSheetId="16">#REF!</definedName>
    <definedName name="Excel_BuiltIn_Print_Titles_1_9_4_1_9_1" localSheetId="53">#REF!</definedName>
    <definedName name="Excel_BuiltIn_Print_Titles_1_9_4_1_9_1">#REF!</definedName>
    <definedName name="Excel_BuiltIn_Print_Titles_1_9_4_1_9_2" localSheetId="16">#REF!</definedName>
    <definedName name="Excel_BuiltIn_Print_Titles_1_9_4_1_9_2" localSheetId="53">#REF!</definedName>
    <definedName name="Excel_BuiltIn_Print_Titles_1_9_4_1_9_2">#REF!</definedName>
    <definedName name="Excel_BuiltIn_Print_Titles_1_9_4_1_9_3" localSheetId="16">#REF!</definedName>
    <definedName name="Excel_BuiltIn_Print_Titles_1_9_4_1_9_3" localSheetId="53">#REF!</definedName>
    <definedName name="Excel_BuiltIn_Print_Titles_1_9_4_1_9_3">#REF!</definedName>
    <definedName name="Excel_BuiltIn_Print_Titles_1_9_4_10" localSheetId="16">#REF!</definedName>
    <definedName name="Excel_BuiltIn_Print_Titles_1_9_4_10" localSheetId="53">#REF!</definedName>
    <definedName name="Excel_BuiltIn_Print_Titles_1_9_4_10">#REF!</definedName>
    <definedName name="Excel_BuiltIn_Print_Titles_1_9_4_10_1" localSheetId="16">#REF!</definedName>
    <definedName name="Excel_BuiltIn_Print_Titles_1_9_4_10_1" localSheetId="53">#REF!</definedName>
    <definedName name="Excel_BuiltIn_Print_Titles_1_9_4_10_1">#REF!</definedName>
    <definedName name="Excel_BuiltIn_Print_Titles_1_9_4_10_2" localSheetId="16">#REF!</definedName>
    <definedName name="Excel_BuiltIn_Print_Titles_1_9_4_10_2" localSheetId="53">#REF!</definedName>
    <definedName name="Excel_BuiltIn_Print_Titles_1_9_4_10_2">#REF!</definedName>
    <definedName name="Excel_BuiltIn_Print_Titles_1_9_4_10_3" localSheetId="16">#REF!</definedName>
    <definedName name="Excel_BuiltIn_Print_Titles_1_9_4_10_3" localSheetId="53">#REF!</definedName>
    <definedName name="Excel_BuiltIn_Print_Titles_1_9_4_10_3">#REF!</definedName>
    <definedName name="Excel_BuiltIn_Print_Titles_1_9_4_2" localSheetId="16">#REF!</definedName>
    <definedName name="Excel_BuiltIn_Print_Titles_1_9_4_2" localSheetId="53">#REF!</definedName>
    <definedName name="Excel_BuiltIn_Print_Titles_1_9_4_2">#REF!</definedName>
    <definedName name="Excel_BuiltIn_Print_Titles_1_9_4_3" localSheetId="16">#REF!</definedName>
    <definedName name="Excel_BuiltIn_Print_Titles_1_9_4_3" localSheetId="53">#REF!</definedName>
    <definedName name="Excel_BuiltIn_Print_Titles_1_9_4_3">#REF!</definedName>
    <definedName name="Excel_BuiltIn_Print_Titles_1_9_4_4" localSheetId="16">#REF!</definedName>
    <definedName name="Excel_BuiltIn_Print_Titles_1_9_4_4" localSheetId="53">#REF!</definedName>
    <definedName name="Excel_BuiltIn_Print_Titles_1_9_4_4">#REF!</definedName>
    <definedName name="Excel_BuiltIn_Print_Titles_1_9_4_4_1" localSheetId="16">#REF!</definedName>
    <definedName name="Excel_BuiltIn_Print_Titles_1_9_4_4_1" localSheetId="53">#REF!</definedName>
    <definedName name="Excel_BuiltIn_Print_Titles_1_9_4_4_1">#REF!</definedName>
    <definedName name="Excel_BuiltIn_Print_Titles_1_9_4_4_10" localSheetId="16">#REF!</definedName>
    <definedName name="Excel_BuiltIn_Print_Titles_1_9_4_4_10" localSheetId="53">#REF!</definedName>
    <definedName name="Excel_BuiltIn_Print_Titles_1_9_4_4_10">#REF!</definedName>
    <definedName name="Excel_BuiltIn_Print_Titles_1_9_4_4_10_1" localSheetId="16">#REF!</definedName>
    <definedName name="Excel_BuiltIn_Print_Titles_1_9_4_4_10_1" localSheetId="53">#REF!</definedName>
    <definedName name="Excel_BuiltIn_Print_Titles_1_9_4_4_10_1">#REF!</definedName>
    <definedName name="Excel_BuiltIn_Print_Titles_1_9_4_4_10_2" localSheetId="16">#REF!</definedName>
    <definedName name="Excel_BuiltIn_Print_Titles_1_9_4_4_10_2" localSheetId="53">#REF!</definedName>
    <definedName name="Excel_BuiltIn_Print_Titles_1_9_4_4_10_2">#REF!</definedName>
    <definedName name="Excel_BuiltIn_Print_Titles_1_9_4_4_10_3" localSheetId="16">#REF!</definedName>
    <definedName name="Excel_BuiltIn_Print_Titles_1_9_4_4_10_3" localSheetId="53">#REF!</definedName>
    <definedName name="Excel_BuiltIn_Print_Titles_1_9_4_4_10_3">#REF!</definedName>
    <definedName name="Excel_BuiltIn_Print_Titles_1_9_4_4_2" localSheetId="16">#REF!</definedName>
    <definedName name="Excel_BuiltIn_Print_Titles_1_9_4_4_2" localSheetId="53">#REF!</definedName>
    <definedName name="Excel_BuiltIn_Print_Titles_1_9_4_4_2">#REF!</definedName>
    <definedName name="Excel_BuiltIn_Print_Titles_1_9_4_4_3" localSheetId="16">#REF!</definedName>
    <definedName name="Excel_BuiltIn_Print_Titles_1_9_4_4_3" localSheetId="53">#REF!</definedName>
    <definedName name="Excel_BuiltIn_Print_Titles_1_9_4_4_3">#REF!</definedName>
    <definedName name="Excel_BuiltIn_Print_Titles_1_9_4_4_9" localSheetId="16">#REF!</definedName>
    <definedName name="Excel_BuiltIn_Print_Titles_1_9_4_4_9" localSheetId="53">#REF!</definedName>
    <definedName name="Excel_BuiltIn_Print_Titles_1_9_4_4_9">#REF!</definedName>
    <definedName name="Excel_BuiltIn_Print_Titles_1_9_4_4_9_1" localSheetId="16">#REF!</definedName>
    <definedName name="Excel_BuiltIn_Print_Titles_1_9_4_4_9_1" localSheetId="53">#REF!</definedName>
    <definedName name="Excel_BuiltIn_Print_Titles_1_9_4_4_9_1">#REF!</definedName>
    <definedName name="Excel_BuiltIn_Print_Titles_1_9_4_4_9_2" localSheetId="16">#REF!</definedName>
    <definedName name="Excel_BuiltIn_Print_Titles_1_9_4_4_9_2" localSheetId="53">#REF!</definedName>
    <definedName name="Excel_BuiltIn_Print_Titles_1_9_4_4_9_2">#REF!</definedName>
    <definedName name="Excel_BuiltIn_Print_Titles_1_9_4_4_9_3" localSheetId="16">#REF!</definedName>
    <definedName name="Excel_BuiltIn_Print_Titles_1_9_4_4_9_3" localSheetId="53">#REF!</definedName>
    <definedName name="Excel_BuiltIn_Print_Titles_1_9_4_4_9_3">#REF!</definedName>
    <definedName name="Excel_BuiltIn_Print_Titles_1_9_4_5" localSheetId="16">#REF!</definedName>
    <definedName name="Excel_BuiltIn_Print_Titles_1_9_4_5" localSheetId="53">#REF!</definedName>
    <definedName name="Excel_BuiltIn_Print_Titles_1_9_4_5">#REF!</definedName>
    <definedName name="Excel_BuiltIn_Print_Titles_1_9_4_5_1" localSheetId="16">#REF!</definedName>
    <definedName name="Excel_BuiltIn_Print_Titles_1_9_4_5_1" localSheetId="53">#REF!</definedName>
    <definedName name="Excel_BuiltIn_Print_Titles_1_9_4_5_1">#REF!</definedName>
    <definedName name="Excel_BuiltIn_Print_Titles_1_9_4_5_10" localSheetId="16">#REF!</definedName>
    <definedName name="Excel_BuiltIn_Print_Titles_1_9_4_5_10" localSheetId="53">#REF!</definedName>
    <definedName name="Excel_BuiltIn_Print_Titles_1_9_4_5_10">#REF!</definedName>
    <definedName name="Excel_BuiltIn_Print_Titles_1_9_4_5_10_1" localSheetId="16">#REF!</definedName>
    <definedName name="Excel_BuiltIn_Print_Titles_1_9_4_5_10_1" localSheetId="53">#REF!</definedName>
    <definedName name="Excel_BuiltIn_Print_Titles_1_9_4_5_10_1">#REF!</definedName>
    <definedName name="Excel_BuiltIn_Print_Titles_1_9_4_5_10_2" localSheetId="16">#REF!</definedName>
    <definedName name="Excel_BuiltIn_Print_Titles_1_9_4_5_10_2" localSheetId="53">#REF!</definedName>
    <definedName name="Excel_BuiltIn_Print_Titles_1_9_4_5_10_2">#REF!</definedName>
    <definedName name="Excel_BuiltIn_Print_Titles_1_9_4_5_10_3" localSheetId="16">#REF!</definedName>
    <definedName name="Excel_BuiltIn_Print_Titles_1_9_4_5_10_3" localSheetId="53">#REF!</definedName>
    <definedName name="Excel_BuiltIn_Print_Titles_1_9_4_5_10_3">#REF!</definedName>
    <definedName name="Excel_BuiltIn_Print_Titles_1_9_4_5_2" localSheetId="16">#REF!</definedName>
    <definedName name="Excel_BuiltIn_Print_Titles_1_9_4_5_2" localSheetId="53">#REF!</definedName>
    <definedName name="Excel_BuiltIn_Print_Titles_1_9_4_5_2">#REF!</definedName>
    <definedName name="Excel_BuiltIn_Print_Titles_1_9_4_5_3" localSheetId="16">#REF!</definedName>
    <definedName name="Excel_BuiltIn_Print_Titles_1_9_4_5_3" localSheetId="53">#REF!</definedName>
    <definedName name="Excel_BuiltIn_Print_Titles_1_9_4_5_3">#REF!</definedName>
    <definedName name="Excel_BuiltIn_Print_Titles_1_9_4_5_9" localSheetId="16">#REF!</definedName>
    <definedName name="Excel_BuiltIn_Print_Titles_1_9_4_5_9" localSheetId="53">#REF!</definedName>
    <definedName name="Excel_BuiltIn_Print_Titles_1_9_4_5_9">#REF!</definedName>
    <definedName name="Excel_BuiltIn_Print_Titles_1_9_4_5_9_1" localSheetId="16">#REF!</definedName>
    <definedName name="Excel_BuiltIn_Print_Titles_1_9_4_5_9_1" localSheetId="53">#REF!</definedName>
    <definedName name="Excel_BuiltIn_Print_Titles_1_9_4_5_9_1">#REF!</definedName>
    <definedName name="Excel_BuiltIn_Print_Titles_1_9_4_5_9_2" localSheetId="16">#REF!</definedName>
    <definedName name="Excel_BuiltIn_Print_Titles_1_9_4_5_9_2" localSheetId="53">#REF!</definedName>
    <definedName name="Excel_BuiltIn_Print_Titles_1_9_4_5_9_2">#REF!</definedName>
    <definedName name="Excel_BuiltIn_Print_Titles_1_9_4_5_9_3" localSheetId="16">#REF!</definedName>
    <definedName name="Excel_BuiltIn_Print_Titles_1_9_4_5_9_3" localSheetId="53">#REF!</definedName>
    <definedName name="Excel_BuiltIn_Print_Titles_1_9_4_5_9_3">#REF!</definedName>
    <definedName name="Excel_BuiltIn_Print_Titles_1_9_4_6" localSheetId="16">#REF!</definedName>
    <definedName name="Excel_BuiltIn_Print_Titles_1_9_4_6" localSheetId="53">#REF!</definedName>
    <definedName name="Excel_BuiltIn_Print_Titles_1_9_4_6">#REF!</definedName>
    <definedName name="Excel_BuiltIn_Print_Titles_1_9_4_6_1" localSheetId="16">#REF!</definedName>
    <definedName name="Excel_BuiltIn_Print_Titles_1_9_4_6_1" localSheetId="53">#REF!</definedName>
    <definedName name="Excel_BuiltIn_Print_Titles_1_9_4_6_1">#REF!</definedName>
    <definedName name="Excel_BuiltIn_Print_Titles_1_9_4_6_10" localSheetId="16">#REF!</definedName>
    <definedName name="Excel_BuiltIn_Print_Titles_1_9_4_6_10" localSheetId="53">#REF!</definedName>
    <definedName name="Excel_BuiltIn_Print_Titles_1_9_4_6_10">#REF!</definedName>
    <definedName name="Excel_BuiltIn_Print_Titles_1_9_4_6_10_1" localSheetId="16">#REF!</definedName>
    <definedName name="Excel_BuiltIn_Print_Titles_1_9_4_6_10_1" localSheetId="53">#REF!</definedName>
    <definedName name="Excel_BuiltIn_Print_Titles_1_9_4_6_10_1">#REF!</definedName>
    <definedName name="Excel_BuiltIn_Print_Titles_1_9_4_6_10_2" localSheetId="16">#REF!</definedName>
    <definedName name="Excel_BuiltIn_Print_Titles_1_9_4_6_10_2" localSheetId="53">#REF!</definedName>
    <definedName name="Excel_BuiltIn_Print_Titles_1_9_4_6_10_2">#REF!</definedName>
    <definedName name="Excel_BuiltIn_Print_Titles_1_9_4_6_10_3" localSheetId="16">#REF!</definedName>
    <definedName name="Excel_BuiltIn_Print_Titles_1_9_4_6_10_3" localSheetId="53">#REF!</definedName>
    <definedName name="Excel_BuiltIn_Print_Titles_1_9_4_6_10_3">#REF!</definedName>
    <definedName name="Excel_BuiltIn_Print_Titles_1_9_4_6_2" localSheetId="16">#REF!</definedName>
    <definedName name="Excel_BuiltIn_Print_Titles_1_9_4_6_2" localSheetId="53">#REF!</definedName>
    <definedName name="Excel_BuiltIn_Print_Titles_1_9_4_6_2">#REF!</definedName>
    <definedName name="Excel_BuiltIn_Print_Titles_1_9_4_6_3" localSheetId="16">#REF!</definedName>
    <definedName name="Excel_BuiltIn_Print_Titles_1_9_4_6_3" localSheetId="53">#REF!</definedName>
    <definedName name="Excel_BuiltIn_Print_Titles_1_9_4_6_3">#REF!</definedName>
    <definedName name="Excel_BuiltIn_Print_Titles_1_9_4_6_9" localSheetId="16">#REF!</definedName>
    <definedName name="Excel_BuiltIn_Print_Titles_1_9_4_6_9" localSheetId="53">#REF!</definedName>
    <definedName name="Excel_BuiltIn_Print_Titles_1_9_4_6_9">#REF!</definedName>
    <definedName name="Excel_BuiltIn_Print_Titles_1_9_4_6_9_1" localSheetId="16">#REF!</definedName>
    <definedName name="Excel_BuiltIn_Print_Titles_1_9_4_6_9_1" localSheetId="53">#REF!</definedName>
    <definedName name="Excel_BuiltIn_Print_Titles_1_9_4_6_9_1">#REF!</definedName>
    <definedName name="Excel_BuiltIn_Print_Titles_1_9_4_6_9_2" localSheetId="16">#REF!</definedName>
    <definedName name="Excel_BuiltIn_Print_Titles_1_9_4_6_9_2" localSheetId="53">#REF!</definedName>
    <definedName name="Excel_BuiltIn_Print_Titles_1_9_4_6_9_2">#REF!</definedName>
    <definedName name="Excel_BuiltIn_Print_Titles_1_9_4_6_9_3" localSheetId="16">#REF!</definedName>
    <definedName name="Excel_BuiltIn_Print_Titles_1_9_4_6_9_3" localSheetId="53">#REF!</definedName>
    <definedName name="Excel_BuiltIn_Print_Titles_1_9_4_6_9_3">#REF!</definedName>
    <definedName name="Excel_BuiltIn_Print_Titles_1_9_4_8" localSheetId="16">#REF!</definedName>
    <definedName name="Excel_BuiltIn_Print_Titles_1_9_4_8" localSheetId="53">#REF!</definedName>
    <definedName name="Excel_BuiltIn_Print_Titles_1_9_4_8">#REF!</definedName>
    <definedName name="Excel_BuiltIn_Print_Titles_1_9_4_8_1" localSheetId="16">#REF!</definedName>
    <definedName name="Excel_BuiltIn_Print_Titles_1_9_4_8_1" localSheetId="53">#REF!</definedName>
    <definedName name="Excel_BuiltIn_Print_Titles_1_9_4_8_1">#REF!</definedName>
    <definedName name="Excel_BuiltIn_Print_Titles_1_9_4_8_10" localSheetId="16">#REF!</definedName>
    <definedName name="Excel_BuiltIn_Print_Titles_1_9_4_8_10" localSheetId="53">#REF!</definedName>
    <definedName name="Excel_BuiltIn_Print_Titles_1_9_4_8_10">#REF!</definedName>
    <definedName name="Excel_BuiltIn_Print_Titles_1_9_4_8_10_1" localSheetId="16">#REF!</definedName>
    <definedName name="Excel_BuiltIn_Print_Titles_1_9_4_8_10_1" localSheetId="53">#REF!</definedName>
    <definedName name="Excel_BuiltIn_Print_Titles_1_9_4_8_10_1">#REF!</definedName>
    <definedName name="Excel_BuiltIn_Print_Titles_1_9_4_8_10_2" localSheetId="16">#REF!</definedName>
    <definedName name="Excel_BuiltIn_Print_Titles_1_9_4_8_10_2" localSheetId="53">#REF!</definedName>
    <definedName name="Excel_BuiltIn_Print_Titles_1_9_4_8_10_2">#REF!</definedName>
    <definedName name="Excel_BuiltIn_Print_Titles_1_9_4_8_10_3" localSheetId="16">#REF!</definedName>
    <definedName name="Excel_BuiltIn_Print_Titles_1_9_4_8_10_3" localSheetId="53">#REF!</definedName>
    <definedName name="Excel_BuiltIn_Print_Titles_1_9_4_8_10_3">#REF!</definedName>
    <definedName name="Excel_BuiltIn_Print_Titles_1_9_4_8_2" localSheetId="16">#REF!</definedName>
    <definedName name="Excel_BuiltIn_Print_Titles_1_9_4_8_2" localSheetId="53">#REF!</definedName>
    <definedName name="Excel_BuiltIn_Print_Titles_1_9_4_8_2">#REF!</definedName>
    <definedName name="Excel_BuiltIn_Print_Titles_1_9_4_8_3" localSheetId="16">#REF!</definedName>
    <definedName name="Excel_BuiltIn_Print_Titles_1_9_4_8_3" localSheetId="53">#REF!</definedName>
    <definedName name="Excel_BuiltIn_Print_Titles_1_9_4_8_3">#REF!</definedName>
    <definedName name="Excel_BuiltIn_Print_Titles_1_9_4_8_9" localSheetId="16">#REF!</definedName>
    <definedName name="Excel_BuiltIn_Print_Titles_1_9_4_8_9" localSheetId="53">#REF!</definedName>
    <definedName name="Excel_BuiltIn_Print_Titles_1_9_4_8_9">#REF!</definedName>
    <definedName name="Excel_BuiltIn_Print_Titles_1_9_4_8_9_1" localSheetId="16">#REF!</definedName>
    <definedName name="Excel_BuiltIn_Print_Titles_1_9_4_8_9_1" localSheetId="53">#REF!</definedName>
    <definedName name="Excel_BuiltIn_Print_Titles_1_9_4_8_9_1">#REF!</definedName>
    <definedName name="Excel_BuiltIn_Print_Titles_1_9_4_8_9_2" localSheetId="16">#REF!</definedName>
    <definedName name="Excel_BuiltIn_Print_Titles_1_9_4_8_9_2" localSheetId="53">#REF!</definedName>
    <definedName name="Excel_BuiltIn_Print_Titles_1_9_4_8_9_2">#REF!</definedName>
    <definedName name="Excel_BuiltIn_Print_Titles_1_9_4_8_9_3" localSheetId="16">#REF!</definedName>
    <definedName name="Excel_BuiltIn_Print_Titles_1_9_4_8_9_3" localSheetId="53">#REF!</definedName>
    <definedName name="Excel_BuiltIn_Print_Titles_1_9_4_8_9_3">#REF!</definedName>
    <definedName name="Excel_BuiltIn_Print_Titles_1_9_4_9" localSheetId="16">#REF!</definedName>
    <definedName name="Excel_BuiltIn_Print_Titles_1_9_4_9" localSheetId="53">#REF!</definedName>
    <definedName name="Excel_BuiltIn_Print_Titles_1_9_4_9">#REF!</definedName>
    <definedName name="Excel_BuiltIn_Print_Titles_1_9_4_9_1" localSheetId="16">#REF!</definedName>
    <definedName name="Excel_BuiltIn_Print_Titles_1_9_4_9_1" localSheetId="53">#REF!</definedName>
    <definedName name="Excel_BuiltIn_Print_Titles_1_9_4_9_1">#REF!</definedName>
    <definedName name="Excel_BuiltIn_Print_Titles_1_9_4_9_2" localSheetId="16">#REF!</definedName>
    <definedName name="Excel_BuiltIn_Print_Titles_1_9_4_9_2" localSheetId="53">#REF!</definedName>
    <definedName name="Excel_BuiltIn_Print_Titles_1_9_4_9_2">#REF!</definedName>
    <definedName name="Excel_BuiltIn_Print_Titles_1_9_4_9_3" localSheetId="16">#REF!</definedName>
    <definedName name="Excel_BuiltIn_Print_Titles_1_9_4_9_3" localSheetId="53">#REF!</definedName>
    <definedName name="Excel_BuiltIn_Print_Titles_1_9_4_9_3">#REF!</definedName>
    <definedName name="Excel_BuiltIn_Print_Titles_1_9_5" localSheetId="16">#REF!</definedName>
    <definedName name="Excel_BuiltIn_Print_Titles_1_9_5" localSheetId="53">#REF!</definedName>
    <definedName name="Excel_BuiltIn_Print_Titles_1_9_5">#REF!</definedName>
    <definedName name="Excel_BuiltIn_Print_Titles_1_9_5_1" localSheetId="16">#REF!</definedName>
    <definedName name="Excel_BuiltIn_Print_Titles_1_9_5_1" localSheetId="53">#REF!</definedName>
    <definedName name="Excel_BuiltIn_Print_Titles_1_9_5_1">#REF!</definedName>
    <definedName name="Excel_BuiltIn_Print_Titles_1_9_5_10" localSheetId="16">#REF!</definedName>
    <definedName name="Excel_BuiltIn_Print_Titles_1_9_5_10" localSheetId="53">#REF!</definedName>
    <definedName name="Excel_BuiltIn_Print_Titles_1_9_5_10">#REF!</definedName>
    <definedName name="Excel_BuiltIn_Print_Titles_1_9_5_10_1" localSheetId="16">#REF!</definedName>
    <definedName name="Excel_BuiltIn_Print_Titles_1_9_5_10_1" localSheetId="53">#REF!</definedName>
    <definedName name="Excel_BuiltIn_Print_Titles_1_9_5_10_1">#REF!</definedName>
    <definedName name="Excel_BuiltIn_Print_Titles_1_9_5_10_2" localSheetId="16">#REF!</definedName>
    <definedName name="Excel_BuiltIn_Print_Titles_1_9_5_10_2" localSheetId="53">#REF!</definedName>
    <definedName name="Excel_BuiltIn_Print_Titles_1_9_5_10_2">#REF!</definedName>
    <definedName name="Excel_BuiltIn_Print_Titles_1_9_5_10_3" localSheetId="16">#REF!</definedName>
    <definedName name="Excel_BuiltIn_Print_Titles_1_9_5_10_3" localSheetId="53">#REF!</definedName>
    <definedName name="Excel_BuiltIn_Print_Titles_1_9_5_10_3">#REF!</definedName>
    <definedName name="Excel_BuiltIn_Print_Titles_1_9_5_2" localSheetId="16">#REF!</definedName>
    <definedName name="Excel_BuiltIn_Print_Titles_1_9_5_2" localSheetId="53">#REF!</definedName>
    <definedName name="Excel_BuiltIn_Print_Titles_1_9_5_2">#REF!</definedName>
    <definedName name="Excel_BuiltIn_Print_Titles_1_9_5_3" localSheetId="16">#REF!</definedName>
    <definedName name="Excel_BuiltIn_Print_Titles_1_9_5_3" localSheetId="53">#REF!</definedName>
    <definedName name="Excel_BuiltIn_Print_Titles_1_9_5_3">#REF!</definedName>
    <definedName name="Excel_BuiltIn_Print_Titles_1_9_5_9" localSheetId="16">#REF!</definedName>
    <definedName name="Excel_BuiltIn_Print_Titles_1_9_5_9" localSheetId="53">#REF!</definedName>
    <definedName name="Excel_BuiltIn_Print_Titles_1_9_5_9">#REF!</definedName>
    <definedName name="Excel_BuiltIn_Print_Titles_1_9_5_9_1" localSheetId="16">#REF!</definedName>
    <definedName name="Excel_BuiltIn_Print_Titles_1_9_5_9_1" localSheetId="53">#REF!</definedName>
    <definedName name="Excel_BuiltIn_Print_Titles_1_9_5_9_1">#REF!</definedName>
    <definedName name="Excel_BuiltIn_Print_Titles_1_9_5_9_2" localSheetId="16">#REF!</definedName>
    <definedName name="Excel_BuiltIn_Print_Titles_1_9_5_9_2" localSheetId="53">#REF!</definedName>
    <definedName name="Excel_BuiltIn_Print_Titles_1_9_5_9_2">#REF!</definedName>
    <definedName name="Excel_BuiltIn_Print_Titles_1_9_5_9_3" localSheetId="16">#REF!</definedName>
    <definedName name="Excel_BuiltIn_Print_Titles_1_9_5_9_3" localSheetId="53">#REF!</definedName>
    <definedName name="Excel_BuiltIn_Print_Titles_1_9_5_9_3">#REF!</definedName>
    <definedName name="Excel_BuiltIn_Print_Titles_1_9_6" localSheetId="16">#REF!</definedName>
    <definedName name="Excel_BuiltIn_Print_Titles_1_9_6" localSheetId="53">#REF!</definedName>
    <definedName name="Excel_BuiltIn_Print_Titles_1_9_6">#REF!</definedName>
    <definedName name="Excel_BuiltIn_Print_Titles_1_9_6_1" localSheetId="16">#REF!</definedName>
    <definedName name="Excel_BuiltIn_Print_Titles_1_9_6_1" localSheetId="53">#REF!</definedName>
    <definedName name="Excel_BuiltIn_Print_Titles_1_9_6_1">#REF!</definedName>
    <definedName name="Excel_BuiltIn_Print_Titles_1_9_6_10" localSheetId="16">#REF!</definedName>
    <definedName name="Excel_BuiltIn_Print_Titles_1_9_6_10" localSheetId="53">#REF!</definedName>
    <definedName name="Excel_BuiltIn_Print_Titles_1_9_6_10">#REF!</definedName>
    <definedName name="Excel_BuiltIn_Print_Titles_1_9_6_10_1" localSheetId="16">#REF!</definedName>
    <definedName name="Excel_BuiltIn_Print_Titles_1_9_6_10_1" localSheetId="53">#REF!</definedName>
    <definedName name="Excel_BuiltIn_Print_Titles_1_9_6_10_1">#REF!</definedName>
    <definedName name="Excel_BuiltIn_Print_Titles_1_9_6_10_2" localSheetId="16">#REF!</definedName>
    <definedName name="Excel_BuiltIn_Print_Titles_1_9_6_10_2" localSheetId="53">#REF!</definedName>
    <definedName name="Excel_BuiltIn_Print_Titles_1_9_6_10_2">#REF!</definedName>
    <definedName name="Excel_BuiltIn_Print_Titles_1_9_6_10_3" localSheetId="16">#REF!</definedName>
    <definedName name="Excel_BuiltIn_Print_Titles_1_9_6_10_3" localSheetId="53">#REF!</definedName>
    <definedName name="Excel_BuiltIn_Print_Titles_1_9_6_10_3">#REF!</definedName>
    <definedName name="Excel_BuiltIn_Print_Titles_1_9_6_2" localSheetId="16">#REF!</definedName>
    <definedName name="Excel_BuiltIn_Print_Titles_1_9_6_2" localSheetId="53">#REF!</definedName>
    <definedName name="Excel_BuiltIn_Print_Titles_1_9_6_2">#REF!</definedName>
    <definedName name="Excel_BuiltIn_Print_Titles_1_9_6_3" localSheetId="16">#REF!</definedName>
    <definedName name="Excel_BuiltIn_Print_Titles_1_9_6_3" localSheetId="53">#REF!</definedName>
    <definedName name="Excel_BuiltIn_Print_Titles_1_9_6_3">#REF!</definedName>
    <definedName name="Excel_BuiltIn_Print_Titles_1_9_6_9" localSheetId="16">#REF!</definedName>
    <definedName name="Excel_BuiltIn_Print_Titles_1_9_6_9" localSheetId="53">#REF!</definedName>
    <definedName name="Excel_BuiltIn_Print_Titles_1_9_6_9">#REF!</definedName>
    <definedName name="Excel_BuiltIn_Print_Titles_1_9_6_9_1" localSheetId="16">#REF!</definedName>
    <definedName name="Excel_BuiltIn_Print_Titles_1_9_6_9_1" localSheetId="53">#REF!</definedName>
    <definedName name="Excel_BuiltIn_Print_Titles_1_9_6_9_1">#REF!</definedName>
    <definedName name="Excel_BuiltIn_Print_Titles_1_9_6_9_2" localSheetId="16">#REF!</definedName>
    <definedName name="Excel_BuiltIn_Print_Titles_1_9_6_9_2" localSheetId="53">#REF!</definedName>
    <definedName name="Excel_BuiltIn_Print_Titles_1_9_6_9_2">#REF!</definedName>
    <definedName name="Excel_BuiltIn_Print_Titles_1_9_6_9_3" localSheetId="16">#REF!</definedName>
    <definedName name="Excel_BuiltIn_Print_Titles_1_9_6_9_3" localSheetId="53">#REF!</definedName>
    <definedName name="Excel_BuiltIn_Print_Titles_1_9_6_9_3">#REF!</definedName>
    <definedName name="Excel_BuiltIn_Print_Titles_1_9_8" localSheetId="16">#REF!</definedName>
    <definedName name="Excel_BuiltIn_Print_Titles_1_9_8" localSheetId="53">#REF!</definedName>
    <definedName name="Excel_BuiltIn_Print_Titles_1_9_8">#REF!</definedName>
    <definedName name="Excel_BuiltIn_Print_Titles_1_9_8_1" localSheetId="16">#REF!</definedName>
    <definedName name="Excel_BuiltIn_Print_Titles_1_9_8_1" localSheetId="53">#REF!</definedName>
    <definedName name="Excel_BuiltIn_Print_Titles_1_9_8_1">#REF!</definedName>
    <definedName name="Excel_BuiltIn_Print_Titles_1_9_8_10" localSheetId="16">#REF!</definedName>
    <definedName name="Excel_BuiltIn_Print_Titles_1_9_8_10" localSheetId="53">#REF!</definedName>
    <definedName name="Excel_BuiltIn_Print_Titles_1_9_8_10">#REF!</definedName>
    <definedName name="Excel_BuiltIn_Print_Titles_1_9_8_10_1" localSheetId="16">#REF!</definedName>
    <definedName name="Excel_BuiltIn_Print_Titles_1_9_8_10_1" localSheetId="53">#REF!</definedName>
    <definedName name="Excel_BuiltIn_Print_Titles_1_9_8_10_1">#REF!</definedName>
    <definedName name="Excel_BuiltIn_Print_Titles_1_9_8_10_2" localSheetId="16">#REF!</definedName>
    <definedName name="Excel_BuiltIn_Print_Titles_1_9_8_10_2" localSheetId="53">#REF!</definedName>
    <definedName name="Excel_BuiltIn_Print_Titles_1_9_8_10_2">#REF!</definedName>
    <definedName name="Excel_BuiltIn_Print_Titles_1_9_8_10_3" localSheetId="16">#REF!</definedName>
    <definedName name="Excel_BuiltIn_Print_Titles_1_9_8_10_3" localSheetId="53">#REF!</definedName>
    <definedName name="Excel_BuiltIn_Print_Titles_1_9_8_10_3">#REF!</definedName>
    <definedName name="Excel_BuiltIn_Print_Titles_1_9_8_2" localSheetId="16">#REF!</definedName>
    <definedName name="Excel_BuiltIn_Print_Titles_1_9_8_2" localSheetId="53">#REF!</definedName>
    <definedName name="Excel_BuiltIn_Print_Titles_1_9_8_2">#REF!</definedName>
    <definedName name="Excel_BuiltIn_Print_Titles_1_9_8_3" localSheetId="16">#REF!</definedName>
    <definedName name="Excel_BuiltIn_Print_Titles_1_9_8_3" localSheetId="53">#REF!</definedName>
    <definedName name="Excel_BuiltIn_Print_Titles_1_9_8_3">#REF!</definedName>
    <definedName name="Excel_BuiltIn_Print_Titles_1_9_8_9" localSheetId="16">#REF!</definedName>
    <definedName name="Excel_BuiltIn_Print_Titles_1_9_8_9" localSheetId="53">#REF!</definedName>
    <definedName name="Excel_BuiltIn_Print_Titles_1_9_8_9">#REF!</definedName>
    <definedName name="Excel_BuiltIn_Print_Titles_1_9_8_9_1" localSheetId="16">#REF!</definedName>
    <definedName name="Excel_BuiltIn_Print_Titles_1_9_8_9_1" localSheetId="53">#REF!</definedName>
    <definedName name="Excel_BuiltIn_Print_Titles_1_9_8_9_1">#REF!</definedName>
    <definedName name="Excel_BuiltIn_Print_Titles_1_9_8_9_2" localSheetId="16">#REF!</definedName>
    <definedName name="Excel_BuiltIn_Print_Titles_1_9_8_9_2" localSheetId="53">#REF!</definedName>
    <definedName name="Excel_BuiltIn_Print_Titles_1_9_8_9_2">#REF!</definedName>
    <definedName name="Excel_BuiltIn_Print_Titles_1_9_8_9_3" localSheetId="16">#REF!</definedName>
    <definedName name="Excel_BuiltIn_Print_Titles_1_9_8_9_3" localSheetId="53">#REF!</definedName>
    <definedName name="Excel_BuiltIn_Print_Titles_1_9_8_9_3">#REF!</definedName>
    <definedName name="Excel_BuiltIn_Print_Titles_1_9_9" localSheetId="16">#REF!</definedName>
    <definedName name="Excel_BuiltIn_Print_Titles_1_9_9" localSheetId="53">#REF!</definedName>
    <definedName name="Excel_BuiltIn_Print_Titles_1_9_9">#REF!</definedName>
    <definedName name="Excel_BuiltIn_Print_Titles_1_9_9_1" localSheetId="16">#REF!</definedName>
    <definedName name="Excel_BuiltIn_Print_Titles_1_9_9_1" localSheetId="53">#REF!</definedName>
    <definedName name="Excel_BuiltIn_Print_Titles_1_9_9_1">#REF!</definedName>
    <definedName name="Excel_BuiltIn_Print_Titles_1_9_9_2" localSheetId="16">#REF!</definedName>
    <definedName name="Excel_BuiltIn_Print_Titles_1_9_9_2" localSheetId="53">#REF!</definedName>
    <definedName name="Excel_BuiltIn_Print_Titles_1_9_9_2">#REF!</definedName>
    <definedName name="Excel_BuiltIn_Print_Titles_1_9_9_3" localSheetId="16">#REF!</definedName>
    <definedName name="Excel_BuiltIn_Print_Titles_1_9_9_3" localSheetId="53">#REF!</definedName>
    <definedName name="Excel_BuiltIn_Print_Titles_1_9_9_3">#REF!</definedName>
    <definedName name="Excel_BuiltIn_Print_Titles_2" localSheetId="16">#REF!</definedName>
    <definedName name="Excel_BuiltIn_Print_Titles_2" localSheetId="53">#REF!</definedName>
    <definedName name="Excel_BuiltIn_Print_Titles_2">#REF!</definedName>
    <definedName name="Excel_BuiltIn_Print_Titles_2_1" localSheetId="16">#REF!</definedName>
    <definedName name="Excel_BuiltIn_Print_Titles_2_1" localSheetId="53">#REF!</definedName>
    <definedName name="Excel_BuiltIn_Print_Titles_2_1">#REF!</definedName>
    <definedName name="Excel_BuiltIn_Print_Titles_2_10" localSheetId="16">#REF!</definedName>
    <definedName name="Excel_BuiltIn_Print_Titles_2_10" localSheetId="53">#REF!</definedName>
    <definedName name="Excel_BuiltIn_Print_Titles_2_10">#REF!</definedName>
    <definedName name="Excel_BuiltIn_Print_Titles_2_10_1" localSheetId="16">#REF!</definedName>
    <definedName name="Excel_BuiltIn_Print_Titles_2_10_1" localSheetId="53">#REF!</definedName>
    <definedName name="Excel_BuiltIn_Print_Titles_2_10_1">#REF!</definedName>
    <definedName name="Excel_BuiltIn_Print_Titles_2_10_2" localSheetId="16">#REF!</definedName>
    <definedName name="Excel_BuiltIn_Print_Titles_2_10_2" localSheetId="53">#REF!</definedName>
    <definedName name="Excel_BuiltIn_Print_Titles_2_10_2">#REF!</definedName>
    <definedName name="Excel_BuiltIn_Print_Titles_2_10_3" localSheetId="16">#REF!</definedName>
    <definedName name="Excel_BuiltIn_Print_Titles_2_10_3" localSheetId="53">#REF!</definedName>
    <definedName name="Excel_BuiltIn_Print_Titles_2_10_3">#REF!</definedName>
    <definedName name="Excel_BuiltIn_Print_Titles_2_2" localSheetId="16">#REF!</definedName>
    <definedName name="Excel_BuiltIn_Print_Titles_2_2" localSheetId="53">#REF!</definedName>
    <definedName name="Excel_BuiltIn_Print_Titles_2_2">#REF!</definedName>
    <definedName name="Excel_BuiltIn_Print_Titles_2_3" localSheetId="16">#REF!</definedName>
    <definedName name="Excel_BuiltIn_Print_Titles_2_3" localSheetId="53">#REF!</definedName>
    <definedName name="Excel_BuiltIn_Print_Titles_2_3">#REF!</definedName>
    <definedName name="Excel_BuiltIn_Print_Titles_2_4" localSheetId="16">#REF!</definedName>
    <definedName name="Excel_BuiltIn_Print_Titles_2_4" localSheetId="53">#REF!</definedName>
    <definedName name="Excel_BuiltIn_Print_Titles_2_4">#REF!</definedName>
    <definedName name="Excel_BuiltIn_Print_Titles_2_4_1" localSheetId="16">#REF!</definedName>
    <definedName name="Excel_BuiltIn_Print_Titles_2_4_1" localSheetId="53">#REF!</definedName>
    <definedName name="Excel_BuiltIn_Print_Titles_2_4_1">#REF!</definedName>
    <definedName name="Excel_BuiltIn_Print_Titles_2_4_1_1" localSheetId="16">#REF!</definedName>
    <definedName name="Excel_BuiltIn_Print_Titles_2_4_1_1" localSheetId="53">#REF!</definedName>
    <definedName name="Excel_BuiltIn_Print_Titles_2_4_1_1">#REF!</definedName>
    <definedName name="Excel_BuiltIn_Print_Titles_2_4_1_1_1">#REF!</definedName>
    <definedName name="Excel_BuiltIn_Print_Titles_2_4_1_10" localSheetId="16">#REF!</definedName>
    <definedName name="Excel_BuiltIn_Print_Titles_2_4_1_10" localSheetId="53">#REF!</definedName>
    <definedName name="Excel_BuiltIn_Print_Titles_2_4_1_10">#REF!</definedName>
    <definedName name="Excel_BuiltIn_Print_Titles_2_4_1_10_1" localSheetId="16">#REF!</definedName>
    <definedName name="Excel_BuiltIn_Print_Titles_2_4_1_10_1" localSheetId="53">#REF!</definedName>
    <definedName name="Excel_BuiltIn_Print_Titles_2_4_1_10_1">#REF!</definedName>
    <definedName name="Excel_BuiltIn_Print_Titles_2_4_1_10_2" localSheetId="16">#REF!</definedName>
    <definedName name="Excel_BuiltIn_Print_Titles_2_4_1_10_2" localSheetId="53">#REF!</definedName>
    <definedName name="Excel_BuiltIn_Print_Titles_2_4_1_10_2">#REF!</definedName>
    <definedName name="Excel_BuiltIn_Print_Titles_2_4_1_10_3" localSheetId="16">#REF!</definedName>
    <definedName name="Excel_BuiltIn_Print_Titles_2_4_1_10_3" localSheetId="53">#REF!</definedName>
    <definedName name="Excel_BuiltIn_Print_Titles_2_4_1_10_3">#REF!</definedName>
    <definedName name="Excel_BuiltIn_Print_Titles_2_4_1_2" localSheetId="16">#REF!</definedName>
    <definedName name="Excel_BuiltIn_Print_Titles_2_4_1_2" localSheetId="53">#REF!</definedName>
    <definedName name="Excel_BuiltIn_Print_Titles_2_4_1_2">#REF!</definedName>
    <definedName name="Excel_BuiltIn_Print_Titles_2_4_1_3" localSheetId="16">#REF!</definedName>
    <definedName name="Excel_BuiltIn_Print_Titles_2_4_1_3" localSheetId="53">#REF!</definedName>
    <definedName name="Excel_BuiltIn_Print_Titles_2_4_1_3">#REF!</definedName>
    <definedName name="Excel_BuiltIn_Print_Titles_2_4_1_9" localSheetId="16">#REF!</definedName>
    <definedName name="Excel_BuiltIn_Print_Titles_2_4_1_9" localSheetId="53">#REF!</definedName>
    <definedName name="Excel_BuiltIn_Print_Titles_2_4_1_9">#REF!</definedName>
    <definedName name="Excel_BuiltIn_Print_Titles_2_4_1_9_1" localSheetId="16">#REF!</definedName>
    <definedName name="Excel_BuiltIn_Print_Titles_2_4_1_9_1" localSheetId="53">#REF!</definedName>
    <definedName name="Excel_BuiltIn_Print_Titles_2_4_1_9_1">#REF!</definedName>
    <definedName name="Excel_BuiltIn_Print_Titles_2_4_1_9_2" localSheetId="16">#REF!</definedName>
    <definedName name="Excel_BuiltIn_Print_Titles_2_4_1_9_2" localSheetId="53">#REF!</definedName>
    <definedName name="Excel_BuiltIn_Print_Titles_2_4_1_9_2">#REF!</definedName>
    <definedName name="Excel_BuiltIn_Print_Titles_2_4_1_9_3" localSheetId="16">#REF!</definedName>
    <definedName name="Excel_BuiltIn_Print_Titles_2_4_1_9_3" localSheetId="53">#REF!</definedName>
    <definedName name="Excel_BuiltIn_Print_Titles_2_4_1_9_3">#REF!</definedName>
    <definedName name="Excel_BuiltIn_Print_Titles_2_4_10" localSheetId="16">#REF!</definedName>
    <definedName name="Excel_BuiltIn_Print_Titles_2_4_10" localSheetId="53">#REF!</definedName>
    <definedName name="Excel_BuiltIn_Print_Titles_2_4_10">#REF!</definedName>
    <definedName name="Excel_BuiltIn_Print_Titles_2_4_10_1" localSheetId="16">#REF!</definedName>
    <definedName name="Excel_BuiltIn_Print_Titles_2_4_10_1" localSheetId="53">#REF!</definedName>
    <definedName name="Excel_BuiltIn_Print_Titles_2_4_10_1">#REF!</definedName>
    <definedName name="Excel_BuiltIn_Print_Titles_2_4_10_2" localSheetId="16">#REF!</definedName>
    <definedName name="Excel_BuiltIn_Print_Titles_2_4_10_2" localSheetId="53">#REF!</definedName>
    <definedName name="Excel_BuiltIn_Print_Titles_2_4_10_2">#REF!</definedName>
    <definedName name="Excel_BuiltIn_Print_Titles_2_4_10_3" localSheetId="16">#REF!</definedName>
    <definedName name="Excel_BuiltIn_Print_Titles_2_4_10_3" localSheetId="53">#REF!</definedName>
    <definedName name="Excel_BuiltIn_Print_Titles_2_4_10_3">#REF!</definedName>
    <definedName name="Excel_BuiltIn_Print_Titles_2_4_2" localSheetId="16">#REF!</definedName>
    <definedName name="Excel_BuiltIn_Print_Titles_2_4_2" localSheetId="53">#REF!</definedName>
    <definedName name="Excel_BuiltIn_Print_Titles_2_4_2">#REF!</definedName>
    <definedName name="Excel_BuiltIn_Print_Titles_2_4_3" localSheetId="16">#REF!</definedName>
    <definedName name="Excel_BuiltIn_Print_Titles_2_4_3" localSheetId="53">#REF!</definedName>
    <definedName name="Excel_BuiltIn_Print_Titles_2_4_3">#REF!</definedName>
    <definedName name="Excel_BuiltIn_Print_Titles_2_4_4" localSheetId="16">#REF!</definedName>
    <definedName name="Excel_BuiltIn_Print_Titles_2_4_4" localSheetId="53">#REF!</definedName>
    <definedName name="Excel_BuiltIn_Print_Titles_2_4_4">#REF!</definedName>
    <definedName name="Excel_BuiltIn_Print_Titles_2_4_4_1" localSheetId="16">#REF!</definedName>
    <definedName name="Excel_BuiltIn_Print_Titles_2_4_4_1" localSheetId="53">#REF!</definedName>
    <definedName name="Excel_BuiltIn_Print_Titles_2_4_4_1">#REF!</definedName>
    <definedName name="Excel_BuiltIn_Print_Titles_2_4_4_10" localSheetId="16">#REF!</definedName>
    <definedName name="Excel_BuiltIn_Print_Titles_2_4_4_10" localSheetId="53">#REF!</definedName>
    <definedName name="Excel_BuiltIn_Print_Titles_2_4_4_10">#REF!</definedName>
    <definedName name="Excel_BuiltIn_Print_Titles_2_4_4_10_1" localSheetId="16">#REF!</definedName>
    <definedName name="Excel_BuiltIn_Print_Titles_2_4_4_10_1" localSheetId="53">#REF!</definedName>
    <definedName name="Excel_BuiltIn_Print_Titles_2_4_4_10_1">#REF!</definedName>
    <definedName name="Excel_BuiltIn_Print_Titles_2_4_4_10_2" localSheetId="16">#REF!</definedName>
    <definedName name="Excel_BuiltIn_Print_Titles_2_4_4_10_2" localSheetId="53">#REF!</definedName>
    <definedName name="Excel_BuiltIn_Print_Titles_2_4_4_10_2">#REF!</definedName>
    <definedName name="Excel_BuiltIn_Print_Titles_2_4_4_10_3" localSheetId="16">#REF!</definedName>
    <definedName name="Excel_BuiltIn_Print_Titles_2_4_4_10_3" localSheetId="53">#REF!</definedName>
    <definedName name="Excel_BuiltIn_Print_Titles_2_4_4_10_3">#REF!</definedName>
    <definedName name="Excel_BuiltIn_Print_Titles_2_4_4_2" localSheetId="16">#REF!</definedName>
    <definedName name="Excel_BuiltIn_Print_Titles_2_4_4_2" localSheetId="53">#REF!</definedName>
    <definedName name="Excel_BuiltIn_Print_Titles_2_4_4_2">#REF!</definedName>
    <definedName name="Excel_BuiltIn_Print_Titles_2_4_4_3" localSheetId="16">#REF!</definedName>
    <definedName name="Excel_BuiltIn_Print_Titles_2_4_4_3" localSheetId="53">#REF!</definedName>
    <definedName name="Excel_BuiltIn_Print_Titles_2_4_4_3">#REF!</definedName>
    <definedName name="Excel_BuiltIn_Print_Titles_2_4_4_9" localSheetId="16">#REF!</definedName>
    <definedName name="Excel_BuiltIn_Print_Titles_2_4_4_9" localSheetId="53">#REF!</definedName>
    <definedName name="Excel_BuiltIn_Print_Titles_2_4_4_9">#REF!</definedName>
    <definedName name="Excel_BuiltIn_Print_Titles_2_4_4_9_1" localSheetId="16">#REF!</definedName>
    <definedName name="Excel_BuiltIn_Print_Titles_2_4_4_9_1" localSheetId="53">#REF!</definedName>
    <definedName name="Excel_BuiltIn_Print_Titles_2_4_4_9_1">#REF!</definedName>
    <definedName name="Excel_BuiltIn_Print_Titles_2_4_4_9_2" localSheetId="16">#REF!</definedName>
    <definedName name="Excel_BuiltIn_Print_Titles_2_4_4_9_2" localSheetId="53">#REF!</definedName>
    <definedName name="Excel_BuiltIn_Print_Titles_2_4_4_9_2">#REF!</definedName>
    <definedName name="Excel_BuiltIn_Print_Titles_2_4_4_9_3" localSheetId="16">#REF!</definedName>
    <definedName name="Excel_BuiltIn_Print_Titles_2_4_4_9_3" localSheetId="53">#REF!</definedName>
    <definedName name="Excel_BuiltIn_Print_Titles_2_4_4_9_3">#REF!</definedName>
    <definedName name="Excel_BuiltIn_Print_Titles_2_4_5" localSheetId="16">#REF!</definedName>
    <definedName name="Excel_BuiltIn_Print_Titles_2_4_5" localSheetId="53">#REF!</definedName>
    <definedName name="Excel_BuiltIn_Print_Titles_2_4_5">#REF!</definedName>
    <definedName name="Excel_BuiltIn_Print_Titles_2_4_5_1" localSheetId="16">#REF!</definedName>
    <definedName name="Excel_BuiltIn_Print_Titles_2_4_5_1" localSheetId="53">#REF!</definedName>
    <definedName name="Excel_BuiltIn_Print_Titles_2_4_5_1">#REF!</definedName>
    <definedName name="Excel_BuiltIn_Print_Titles_2_4_5_10" localSheetId="16">#REF!</definedName>
    <definedName name="Excel_BuiltIn_Print_Titles_2_4_5_10" localSheetId="53">#REF!</definedName>
    <definedName name="Excel_BuiltIn_Print_Titles_2_4_5_10">#REF!</definedName>
    <definedName name="Excel_BuiltIn_Print_Titles_2_4_5_10_1" localSheetId="16">#REF!</definedName>
    <definedName name="Excel_BuiltIn_Print_Titles_2_4_5_10_1" localSheetId="53">#REF!</definedName>
    <definedName name="Excel_BuiltIn_Print_Titles_2_4_5_10_1">#REF!</definedName>
    <definedName name="Excel_BuiltIn_Print_Titles_2_4_5_10_2" localSheetId="16">#REF!</definedName>
    <definedName name="Excel_BuiltIn_Print_Titles_2_4_5_10_2" localSheetId="53">#REF!</definedName>
    <definedName name="Excel_BuiltIn_Print_Titles_2_4_5_10_2">#REF!</definedName>
    <definedName name="Excel_BuiltIn_Print_Titles_2_4_5_10_3" localSheetId="16">#REF!</definedName>
    <definedName name="Excel_BuiltIn_Print_Titles_2_4_5_10_3" localSheetId="53">#REF!</definedName>
    <definedName name="Excel_BuiltIn_Print_Titles_2_4_5_10_3">#REF!</definedName>
    <definedName name="Excel_BuiltIn_Print_Titles_2_4_5_2" localSheetId="16">#REF!</definedName>
    <definedName name="Excel_BuiltIn_Print_Titles_2_4_5_2" localSheetId="53">#REF!</definedName>
    <definedName name="Excel_BuiltIn_Print_Titles_2_4_5_2">#REF!</definedName>
    <definedName name="Excel_BuiltIn_Print_Titles_2_4_5_3" localSheetId="16">#REF!</definedName>
    <definedName name="Excel_BuiltIn_Print_Titles_2_4_5_3" localSheetId="53">#REF!</definedName>
    <definedName name="Excel_BuiltIn_Print_Titles_2_4_5_3">#REF!</definedName>
    <definedName name="Excel_BuiltIn_Print_Titles_2_4_5_9" localSheetId="16">#REF!</definedName>
    <definedName name="Excel_BuiltIn_Print_Titles_2_4_5_9" localSheetId="53">#REF!</definedName>
    <definedName name="Excel_BuiltIn_Print_Titles_2_4_5_9">#REF!</definedName>
    <definedName name="Excel_BuiltIn_Print_Titles_2_4_5_9_1" localSheetId="16">#REF!</definedName>
    <definedName name="Excel_BuiltIn_Print_Titles_2_4_5_9_1" localSheetId="53">#REF!</definedName>
    <definedName name="Excel_BuiltIn_Print_Titles_2_4_5_9_1">#REF!</definedName>
    <definedName name="Excel_BuiltIn_Print_Titles_2_4_5_9_2" localSheetId="16">#REF!</definedName>
    <definedName name="Excel_BuiltIn_Print_Titles_2_4_5_9_2" localSheetId="53">#REF!</definedName>
    <definedName name="Excel_BuiltIn_Print_Titles_2_4_5_9_2">#REF!</definedName>
    <definedName name="Excel_BuiltIn_Print_Titles_2_4_5_9_3" localSheetId="16">#REF!</definedName>
    <definedName name="Excel_BuiltIn_Print_Titles_2_4_5_9_3" localSheetId="53">#REF!</definedName>
    <definedName name="Excel_BuiltIn_Print_Titles_2_4_5_9_3">#REF!</definedName>
    <definedName name="Excel_BuiltIn_Print_Titles_2_4_6" localSheetId="16">#REF!</definedName>
    <definedName name="Excel_BuiltIn_Print_Titles_2_4_6" localSheetId="53">#REF!</definedName>
    <definedName name="Excel_BuiltIn_Print_Titles_2_4_6">#REF!</definedName>
    <definedName name="Excel_BuiltIn_Print_Titles_2_4_6_1" localSheetId="16">#REF!</definedName>
    <definedName name="Excel_BuiltIn_Print_Titles_2_4_6_1" localSheetId="53">#REF!</definedName>
    <definedName name="Excel_BuiltIn_Print_Titles_2_4_6_1">#REF!</definedName>
    <definedName name="Excel_BuiltIn_Print_Titles_2_4_6_10" localSheetId="16">#REF!</definedName>
    <definedName name="Excel_BuiltIn_Print_Titles_2_4_6_10" localSheetId="53">#REF!</definedName>
    <definedName name="Excel_BuiltIn_Print_Titles_2_4_6_10">#REF!</definedName>
    <definedName name="Excel_BuiltIn_Print_Titles_2_4_6_10_1" localSheetId="16">#REF!</definedName>
    <definedName name="Excel_BuiltIn_Print_Titles_2_4_6_10_1" localSheetId="53">#REF!</definedName>
    <definedName name="Excel_BuiltIn_Print_Titles_2_4_6_10_1">#REF!</definedName>
    <definedName name="Excel_BuiltIn_Print_Titles_2_4_6_10_2" localSheetId="16">#REF!</definedName>
    <definedName name="Excel_BuiltIn_Print_Titles_2_4_6_10_2" localSheetId="53">#REF!</definedName>
    <definedName name="Excel_BuiltIn_Print_Titles_2_4_6_10_2">#REF!</definedName>
    <definedName name="Excel_BuiltIn_Print_Titles_2_4_6_10_3" localSheetId="16">#REF!</definedName>
    <definedName name="Excel_BuiltIn_Print_Titles_2_4_6_10_3" localSheetId="53">#REF!</definedName>
    <definedName name="Excel_BuiltIn_Print_Titles_2_4_6_10_3">#REF!</definedName>
    <definedName name="Excel_BuiltIn_Print_Titles_2_4_6_2" localSheetId="16">#REF!</definedName>
    <definedName name="Excel_BuiltIn_Print_Titles_2_4_6_2" localSheetId="53">#REF!</definedName>
    <definedName name="Excel_BuiltIn_Print_Titles_2_4_6_2">#REF!</definedName>
    <definedName name="Excel_BuiltIn_Print_Titles_2_4_6_3" localSheetId="16">#REF!</definedName>
    <definedName name="Excel_BuiltIn_Print_Titles_2_4_6_3" localSheetId="53">#REF!</definedName>
    <definedName name="Excel_BuiltIn_Print_Titles_2_4_6_3">#REF!</definedName>
    <definedName name="Excel_BuiltIn_Print_Titles_2_4_6_9" localSheetId="16">#REF!</definedName>
    <definedName name="Excel_BuiltIn_Print_Titles_2_4_6_9" localSheetId="53">#REF!</definedName>
    <definedName name="Excel_BuiltIn_Print_Titles_2_4_6_9">#REF!</definedName>
    <definedName name="Excel_BuiltIn_Print_Titles_2_4_6_9_1" localSheetId="16">#REF!</definedName>
    <definedName name="Excel_BuiltIn_Print_Titles_2_4_6_9_1" localSheetId="53">#REF!</definedName>
    <definedName name="Excel_BuiltIn_Print_Titles_2_4_6_9_1">#REF!</definedName>
    <definedName name="Excel_BuiltIn_Print_Titles_2_4_6_9_2" localSheetId="16">#REF!</definedName>
    <definedName name="Excel_BuiltIn_Print_Titles_2_4_6_9_2" localSheetId="53">#REF!</definedName>
    <definedName name="Excel_BuiltIn_Print_Titles_2_4_6_9_2">#REF!</definedName>
    <definedName name="Excel_BuiltIn_Print_Titles_2_4_6_9_3" localSheetId="16">#REF!</definedName>
    <definedName name="Excel_BuiltIn_Print_Titles_2_4_6_9_3" localSheetId="53">#REF!</definedName>
    <definedName name="Excel_BuiltIn_Print_Titles_2_4_6_9_3">#REF!</definedName>
    <definedName name="Excel_BuiltIn_Print_Titles_2_4_8" localSheetId="16">#REF!</definedName>
    <definedName name="Excel_BuiltIn_Print_Titles_2_4_8" localSheetId="53">#REF!</definedName>
    <definedName name="Excel_BuiltIn_Print_Titles_2_4_8">#REF!</definedName>
    <definedName name="Excel_BuiltIn_Print_Titles_2_4_8_1" localSheetId="16">#REF!</definedName>
    <definedName name="Excel_BuiltIn_Print_Titles_2_4_8_1" localSheetId="53">#REF!</definedName>
    <definedName name="Excel_BuiltIn_Print_Titles_2_4_8_1">#REF!</definedName>
    <definedName name="Excel_BuiltIn_Print_Titles_2_4_8_10" localSheetId="16">#REF!</definedName>
    <definedName name="Excel_BuiltIn_Print_Titles_2_4_8_10" localSheetId="53">#REF!</definedName>
    <definedName name="Excel_BuiltIn_Print_Titles_2_4_8_10">#REF!</definedName>
    <definedName name="Excel_BuiltIn_Print_Titles_2_4_8_10_1" localSheetId="16">#REF!</definedName>
    <definedName name="Excel_BuiltIn_Print_Titles_2_4_8_10_1" localSheetId="53">#REF!</definedName>
    <definedName name="Excel_BuiltIn_Print_Titles_2_4_8_10_1">#REF!</definedName>
    <definedName name="Excel_BuiltIn_Print_Titles_2_4_8_10_2" localSheetId="16">#REF!</definedName>
    <definedName name="Excel_BuiltIn_Print_Titles_2_4_8_10_2" localSheetId="53">#REF!</definedName>
    <definedName name="Excel_BuiltIn_Print_Titles_2_4_8_10_2">#REF!</definedName>
    <definedName name="Excel_BuiltIn_Print_Titles_2_4_8_10_3" localSheetId="16">#REF!</definedName>
    <definedName name="Excel_BuiltIn_Print_Titles_2_4_8_10_3" localSheetId="53">#REF!</definedName>
    <definedName name="Excel_BuiltIn_Print_Titles_2_4_8_10_3">#REF!</definedName>
    <definedName name="Excel_BuiltIn_Print_Titles_2_4_8_2" localSheetId="16">#REF!</definedName>
    <definedName name="Excel_BuiltIn_Print_Titles_2_4_8_2" localSheetId="53">#REF!</definedName>
    <definedName name="Excel_BuiltIn_Print_Titles_2_4_8_2">#REF!</definedName>
    <definedName name="Excel_BuiltIn_Print_Titles_2_4_8_3" localSheetId="16">#REF!</definedName>
    <definedName name="Excel_BuiltIn_Print_Titles_2_4_8_3" localSheetId="53">#REF!</definedName>
    <definedName name="Excel_BuiltIn_Print_Titles_2_4_8_3">#REF!</definedName>
    <definedName name="Excel_BuiltIn_Print_Titles_2_4_8_9" localSheetId="16">#REF!</definedName>
    <definedName name="Excel_BuiltIn_Print_Titles_2_4_8_9" localSheetId="53">#REF!</definedName>
    <definedName name="Excel_BuiltIn_Print_Titles_2_4_8_9">#REF!</definedName>
    <definedName name="Excel_BuiltIn_Print_Titles_2_4_8_9_1" localSheetId="16">#REF!</definedName>
    <definedName name="Excel_BuiltIn_Print_Titles_2_4_8_9_1" localSheetId="53">#REF!</definedName>
    <definedName name="Excel_BuiltIn_Print_Titles_2_4_8_9_1">#REF!</definedName>
    <definedName name="Excel_BuiltIn_Print_Titles_2_4_8_9_2" localSheetId="16">#REF!</definedName>
    <definedName name="Excel_BuiltIn_Print_Titles_2_4_8_9_2" localSheetId="53">#REF!</definedName>
    <definedName name="Excel_BuiltIn_Print_Titles_2_4_8_9_2">#REF!</definedName>
    <definedName name="Excel_BuiltIn_Print_Titles_2_4_8_9_3" localSheetId="16">#REF!</definedName>
    <definedName name="Excel_BuiltIn_Print_Titles_2_4_8_9_3" localSheetId="53">#REF!</definedName>
    <definedName name="Excel_BuiltIn_Print_Titles_2_4_8_9_3">#REF!</definedName>
    <definedName name="Excel_BuiltIn_Print_Titles_2_4_9" localSheetId="16">#REF!</definedName>
    <definedName name="Excel_BuiltIn_Print_Titles_2_4_9" localSheetId="53">#REF!</definedName>
    <definedName name="Excel_BuiltIn_Print_Titles_2_4_9">#REF!</definedName>
    <definedName name="Excel_BuiltIn_Print_Titles_2_4_9_1" localSheetId="16">#REF!</definedName>
    <definedName name="Excel_BuiltIn_Print_Titles_2_4_9_1" localSheetId="53">#REF!</definedName>
    <definedName name="Excel_BuiltIn_Print_Titles_2_4_9_1">#REF!</definedName>
    <definedName name="Excel_BuiltIn_Print_Titles_2_4_9_2" localSheetId="16">#REF!</definedName>
    <definedName name="Excel_BuiltIn_Print_Titles_2_4_9_2" localSheetId="53">#REF!</definedName>
    <definedName name="Excel_BuiltIn_Print_Titles_2_4_9_2">#REF!</definedName>
    <definedName name="Excel_BuiltIn_Print_Titles_2_4_9_3" localSheetId="16">#REF!</definedName>
    <definedName name="Excel_BuiltIn_Print_Titles_2_4_9_3" localSheetId="53">#REF!</definedName>
    <definedName name="Excel_BuiltIn_Print_Titles_2_4_9_3">#REF!</definedName>
    <definedName name="Excel_BuiltIn_Print_Titles_2_5" localSheetId="16">#REF!</definedName>
    <definedName name="Excel_BuiltIn_Print_Titles_2_5" localSheetId="53">#REF!</definedName>
    <definedName name="Excel_BuiltIn_Print_Titles_2_5">#REF!</definedName>
    <definedName name="Excel_BuiltIn_Print_Titles_2_5_1" localSheetId="16">#REF!</definedName>
    <definedName name="Excel_BuiltIn_Print_Titles_2_5_1" localSheetId="53">#REF!</definedName>
    <definedName name="Excel_BuiltIn_Print_Titles_2_5_1">#REF!</definedName>
    <definedName name="Excel_BuiltIn_Print_Titles_2_5_10" localSheetId="16">#REF!</definedName>
    <definedName name="Excel_BuiltIn_Print_Titles_2_5_10" localSheetId="53">#REF!</definedName>
    <definedName name="Excel_BuiltIn_Print_Titles_2_5_10">#REF!</definedName>
    <definedName name="Excel_BuiltIn_Print_Titles_2_5_10_1" localSheetId="16">#REF!</definedName>
    <definedName name="Excel_BuiltIn_Print_Titles_2_5_10_1" localSheetId="53">#REF!</definedName>
    <definedName name="Excel_BuiltIn_Print_Titles_2_5_10_1">#REF!</definedName>
    <definedName name="Excel_BuiltIn_Print_Titles_2_5_10_2" localSheetId="16">#REF!</definedName>
    <definedName name="Excel_BuiltIn_Print_Titles_2_5_10_2" localSheetId="53">#REF!</definedName>
    <definedName name="Excel_BuiltIn_Print_Titles_2_5_10_2">#REF!</definedName>
    <definedName name="Excel_BuiltIn_Print_Titles_2_5_10_3" localSheetId="16">#REF!</definedName>
    <definedName name="Excel_BuiltIn_Print_Titles_2_5_10_3" localSheetId="53">#REF!</definedName>
    <definedName name="Excel_BuiltIn_Print_Titles_2_5_10_3">#REF!</definedName>
    <definedName name="Excel_BuiltIn_Print_Titles_2_5_2" localSheetId="16">#REF!</definedName>
    <definedName name="Excel_BuiltIn_Print_Titles_2_5_2" localSheetId="53">#REF!</definedName>
    <definedName name="Excel_BuiltIn_Print_Titles_2_5_2">#REF!</definedName>
    <definedName name="Excel_BuiltIn_Print_Titles_2_5_3" localSheetId="16">#REF!</definedName>
    <definedName name="Excel_BuiltIn_Print_Titles_2_5_3" localSheetId="53">#REF!</definedName>
    <definedName name="Excel_BuiltIn_Print_Titles_2_5_3">#REF!</definedName>
    <definedName name="Excel_BuiltIn_Print_Titles_2_5_9" localSheetId="16">#REF!</definedName>
    <definedName name="Excel_BuiltIn_Print_Titles_2_5_9" localSheetId="53">#REF!</definedName>
    <definedName name="Excel_BuiltIn_Print_Titles_2_5_9">#REF!</definedName>
    <definedName name="Excel_BuiltIn_Print_Titles_2_5_9_1" localSheetId="16">#REF!</definedName>
    <definedName name="Excel_BuiltIn_Print_Titles_2_5_9_1" localSheetId="53">#REF!</definedName>
    <definedName name="Excel_BuiltIn_Print_Titles_2_5_9_1">#REF!</definedName>
    <definedName name="Excel_BuiltIn_Print_Titles_2_5_9_2" localSheetId="16">#REF!</definedName>
    <definedName name="Excel_BuiltIn_Print_Titles_2_5_9_2" localSheetId="53">#REF!</definedName>
    <definedName name="Excel_BuiltIn_Print_Titles_2_5_9_2">#REF!</definedName>
    <definedName name="Excel_BuiltIn_Print_Titles_2_5_9_3" localSheetId="16">#REF!</definedName>
    <definedName name="Excel_BuiltIn_Print_Titles_2_5_9_3" localSheetId="53">#REF!</definedName>
    <definedName name="Excel_BuiltIn_Print_Titles_2_5_9_3">#REF!</definedName>
    <definedName name="Excel_BuiltIn_Print_Titles_2_6" localSheetId="16">#REF!</definedName>
    <definedName name="Excel_BuiltIn_Print_Titles_2_6" localSheetId="53">#REF!</definedName>
    <definedName name="Excel_BuiltIn_Print_Titles_2_6">#REF!</definedName>
    <definedName name="Excel_BuiltIn_Print_Titles_2_6_1" localSheetId="16">#REF!</definedName>
    <definedName name="Excel_BuiltIn_Print_Titles_2_6_1" localSheetId="53">#REF!</definedName>
    <definedName name="Excel_BuiltIn_Print_Titles_2_6_1">#REF!</definedName>
    <definedName name="Excel_BuiltIn_Print_Titles_2_6_10" localSheetId="16">#REF!</definedName>
    <definedName name="Excel_BuiltIn_Print_Titles_2_6_10" localSheetId="53">#REF!</definedName>
    <definedName name="Excel_BuiltIn_Print_Titles_2_6_10">#REF!</definedName>
    <definedName name="Excel_BuiltIn_Print_Titles_2_6_10_1" localSheetId="16">#REF!</definedName>
    <definedName name="Excel_BuiltIn_Print_Titles_2_6_10_1" localSheetId="53">#REF!</definedName>
    <definedName name="Excel_BuiltIn_Print_Titles_2_6_10_1">#REF!</definedName>
    <definedName name="Excel_BuiltIn_Print_Titles_2_6_10_2" localSheetId="16">#REF!</definedName>
    <definedName name="Excel_BuiltIn_Print_Titles_2_6_10_2" localSheetId="53">#REF!</definedName>
    <definedName name="Excel_BuiltIn_Print_Titles_2_6_10_2">#REF!</definedName>
    <definedName name="Excel_BuiltIn_Print_Titles_2_6_10_3" localSheetId="16">#REF!</definedName>
    <definedName name="Excel_BuiltIn_Print_Titles_2_6_10_3" localSheetId="53">#REF!</definedName>
    <definedName name="Excel_BuiltIn_Print_Titles_2_6_10_3">#REF!</definedName>
    <definedName name="Excel_BuiltIn_Print_Titles_2_6_2" localSheetId="16">#REF!</definedName>
    <definedName name="Excel_BuiltIn_Print_Titles_2_6_2" localSheetId="53">#REF!</definedName>
    <definedName name="Excel_BuiltIn_Print_Titles_2_6_2">#REF!</definedName>
    <definedName name="Excel_BuiltIn_Print_Titles_2_6_3" localSheetId="16">#REF!</definedName>
    <definedName name="Excel_BuiltIn_Print_Titles_2_6_3" localSheetId="53">#REF!</definedName>
    <definedName name="Excel_BuiltIn_Print_Titles_2_6_3">#REF!</definedName>
    <definedName name="Excel_BuiltIn_Print_Titles_2_6_9" localSheetId="16">#REF!</definedName>
    <definedName name="Excel_BuiltIn_Print_Titles_2_6_9" localSheetId="53">#REF!</definedName>
    <definedName name="Excel_BuiltIn_Print_Titles_2_6_9">#REF!</definedName>
    <definedName name="Excel_BuiltIn_Print_Titles_2_6_9_1" localSheetId="16">#REF!</definedName>
    <definedName name="Excel_BuiltIn_Print_Titles_2_6_9_1" localSheetId="53">#REF!</definedName>
    <definedName name="Excel_BuiltIn_Print_Titles_2_6_9_1">#REF!</definedName>
    <definedName name="Excel_BuiltIn_Print_Titles_2_6_9_2" localSheetId="16">#REF!</definedName>
    <definedName name="Excel_BuiltIn_Print_Titles_2_6_9_2" localSheetId="53">#REF!</definedName>
    <definedName name="Excel_BuiltIn_Print_Titles_2_6_9_2">#REF!</definedName>
    <definedName name="Excel_BuiltIn_Print_Titles_2_6_9_3" localSheetId="16">#REF!</definedName>
    <definedName name="Excel_BuiltIn_Print_Titles_2_6_9_3" localSheetId="53">#REF!</definedName>
    <definedName name="Excel_BuiltIn_Print_Titles_2_6_9_3">#REF!</definedName>
    <definedName name="Excel_BuiltIn_Print_Titles_2_7" localSheetId="16">#REF!</definedName>
    <definedName name="Excel_BuiltIn_Print_Titles_2_7" localSheetId="53">#REF!</definedName>
    <definedName name="Excel_BuiltIn_Print_Titles_2_7">#REF!</definedName>
    <definedName name="Excel_BuiltIn_Print_Titles_2_7_1" localSheetId="16">#REF!</definedName>
    <definedName name="Excel_BuiltIn_Print_Titles_2_7_1" localSheetId="53">#REF!</definedName>
    <definedName name="Excel_BuiltIn_Print_Titles_2_7_1">#REF!</definedName>
    <definedName name="Excel_BuiltIn_Print_Titles_2_7_10" localSheetId="16">#REF!</definedName>
    <definedName name="Excel_BuiltIn_Print_Titles_2_7_10" localSheetId="53">#REF!</definedName>
    <definedName name="Excel_BuiltIn_Print_Titles_2_7_10">#REF!</definedName>
    <definedName name="Excel_BuiltIn_Print_Titles_2_7_10_1" localSheetId="16">#REF!</definedName>
    <definedName name="Excel_BuiltIn_Print_Titles_2_7_10_1" localSheetId="53">#REF!</definedName>
    <definedName name="Excel_BuiltIn_Print_Titles_2_7_10_1">#REF!</definedName>
    <definedName name="Excel_BuiltIn_Print_Titles_2_7_10_2" localSheetId="16">#REF!</definedName>
    <definedName name="Excel_BuiltIn_Print_Titles_2_7_10_2" localSheetId="53">#REF!</definedName>
    <definedName name="Excel_BuiltIn_Print_Titles_2_7_10_2">#REF!</definedName>
    <definedName name="Excel_BuiltIn_Print_Titles_2_7_10_3" localSheetId="16">#REF!</definedName>
    <definedName name="Excel_BuiltIn_Print_Titles_2_7_10_3" localSheetId="53">#REF!</definedName>
    <definedName name="Excel_BuiltIn_Print_Titles_2_7_10_3">#REF!</definedName>
    <definedName name="Excel_BuiltIn_Print_Titles_2_7_2" localSheetId="16">#REF!</definedName>
    <definedName name="Excel_BuiltIn_Print_Titles_2_7_2" localSheetId="53">#REF!</definedName>
    <definedName name="Excel_BuiltIn_Print_Titles_2_7_2">#REF!</definedName>
    <definedName name="Excel_BuiltIn_Print_Titles_2_7_3" localSheetId="16">#REF!</definedName>
    <definedName name="Excel_BuiltIn_Print_Titles_2_7_3" localSheetId="53">#REF!</definedName>
    <definedName name="Excel_BuiltIn_Print_Titles_2_7_3">#REF!</definedName>
    <definedName name="Excel_BuiltIn_Print_Titles_2_7_4" localSheetId="16">#REF!</definedName>
    <definedName name="Excel_BuiltIn_Print_Titles_2_7_4" localSheetId="53">#REF!</definedName>
    <definedName name="Excel_BuiltIn_Print_Titles_2_7_4">#REF!</definedName>
    <definedName name="Excel_BuiltIn_Print_Titles_2_7_4_1" localSheetId="16">#REF!</definedName>
    <definedName name="Excel_BuiltIn_Print_Titles_2_7_4_1" localSheetId="53">#REF!</definedName>
    <definedName name="Excel_BuiltIn_Print_Titles_2_7_4_1">#REF!</definedName>
    <definedName name="Excel_BuiltIn_Print_Titles_2_7_4_1_1" localSheetId="16">#REF!</definedName>
    <definedName name="Excel_BuiltIn_Print_Titles_2_7_4_1_1" localSheetId="53">#REF!</definedName>
    <definedName name="Excel_BuiltIn_Print_Titles_2_7_4_1_1">#REF!</definedName>
    <definedName name="Excel_BuiltIn_Print_Titles_2_7_4_1_1_1">#REF!</definedName>
    <definedName name="Excel_BuiltIn_Print_Titles_2_7_4_1_10" localSheetId="16">#REF!</definedName>
    <definedName name="Excel_BuiltIn_Print_Titles_2_7_4_1_10" localSheetId="53">#REF!</definedName>
    <definedName name="Excel_BuiltIn_Print_Titles_2_7_4_1_10">#REF!</definedName>
    <definedName name="Excel_BuiltIn_Print_Titles_2_7_4_1_10_1" localSheetId="16">#REF!</definedName>
    <definedName name="Excel_BuiltIn_Print_Titles_2_7_4_1_10_1" localSheetId="53">#REF!</definedName>
    <definedName name="Excel_BuiltIn_Print_Titles_2_7_4_1_10_1">#REF!</definedName>
    <definedName name="Excel_BuiltIn_Print_Titles_2_7_4_1_10_2" localSheetId="16">#REF!</definedName>
    <definedName name="Excel_BuiltIn_Print_Titles_2_7_4_1_10_2" localSheetId="53">#REF!</definedName>
    <definedName name="Excel_BuiltIn_Print_Titles_2_7_4_1_10_2">#REF!</definedName>
    <definedName name="Excel_BuiltIn_Print_Titles_2_7_4_1_10_3" localSheetId="16">#REF!</definedName>
    <definedName name="Excel_BuiltIn_Print_Titles_2_7_4_1_10_3" localSheetId="53">#REF!</definedName>
    <definedName name="Excel_BuiltIn_Print_Titles_2_7_4_1_10_3">#REF!</definedName>
    <definedName name="Excel_BuiltIn_Print_Titles_2_7_4_1_2" localSheetId="16">#REF!</definedName>
    <definedName name="Excel_BuiltIn_Print_Titles_2_7_4_1_2" localSheetId="53">#REF!</definedName>
    <definedName name="Excel_BuiltIn_Print_Titles_2_7_4_1_2">#REF!</definedName>
    <definedName name="Excel_BuiltIn_Print_Titles_2_7_4_1_3" localSheetId="16">#REF!</definedName>
    <definedName name="Excel_BuiltIn_Print_Titles_2_7_4_1_3" localSheetId="53">#REF!</definedName>
    <definedName name="Excel_BuiltIn_Print_Titles_2_7_4_1_3">#REF!</definedName>
    <definedName name="Excel_BuiltIn_Print_Titles_2_7_4_1_9" localSheetId="16">#REF!</definedName>
    <definedName name="Excel_BuiltIn_Print_Titles_2_7_4_1_9" localSheetId="53">#REF!</definedName>
    <definedName name="Excel_BuiltIn_Print_Titles_2_7_4_1_9">#REF!</definedName>
    <definedName name="Excel_BuiltIn_Print_Titles_2_7_4_1_9_1" localSheetId="16">#REF!</definedName>
    <definedName name="Excel_BuiltIn_Print_Titles_2_7_4_1_9_1" localSheetId="53">#REF!</definedName>
    <definedName name="Excel_BuiltIn_Print_Titles_2_7_4_1_9_1">#REF!</definedName>
    <definedName name="Excel_BuiltIn_Print_Titles_2_7_4_1_9_2" localSheetId="16">#REF!</definedName>
    <definedName name="Excel_BuiltIn_Print_Titles_2_7_4_1_9_2" localSheetId="53">#REF!</definedName>
    <definedName name="Excel_BuiltIn_Print_Titles_2_7_4_1_9_2">#REF!</definedName>
    <definedName name="Excel_BuiltIn_Print_Titles_2_7_4_1_9_3" localSheetId="16">#REF!</definedName>
    <definedName name="Excel_BuiltIn_Print_Titles_2_7_4_1_9_3" localSheetId="53">#REF!</definedName>
    <definedName name="Excel_BuiltIn_Print_Titles_2_7_4_1_9_3">#REF!</definedName>
    <definedName name="Excel_BuiltIn_Print_Titles_2_7_4_10" localSheetId="16">#REF!</definedName>
    <definedName name="Excel_BuiltIn_Print_Titles_2_7_4_10" localSheetId="53">#REF!</definedName>
    <definedName name="Excel_BuiltIn_Print_Titles_2_7_4_10">#REF!</definedName>
    <definedName name="Excel_BuiltIn_Print_Titles_2_7_4_10_1" localSheetId="16">#REF!</definedName>
    <definedName name="Excel_BuiltIn_Print_Titles_2_7_4_10_1" localSheetId="53">#REF!</definedName>
    <definedName name="Excel_BuiltIn_Print_Titles_2_7_4_10_1">#REF!</definedName>
    <definedName name="Excel_BuiltIn_Print_Titles_2_7_4_10_2" localSheetId="16">#REF!</definedName>
    <definedName name="Excel_BuiltIn_Print_Titles_2_7_4_10_2" localSheetId="53">#REF!</definedName>
    <definedName name="Excel_BuiltIn_Print_Titles_2_7_4_10_2">#REF!</definedName>
    <definedName name="Excel_BuiltIn_Print_Titles_2_7_4_10_3" localSheetId="16">#REF!</definedName>
    <definedName name="Excel_BuiltIn_Print_Titles_2_7_4_10_3" localSheetId="53">#REF!</definedName>
    <definedName name="Excel_BuiltIn_Print_Titles_2_7_4_10_3">#REF!</definedName>
    <definedName name="Excel_BuiltIn_Print_Titles_2_7_4_2" localSheetId="16">#REF!</definedName>
    <definedName name="Excel_BuiltIn_Print_Titles_2_7_4_2" localSheetId="53">#REF!</definedName>
    <definedName name="Excel_BuiltIn_Print_Titles_2_7_4_2">#REF!</definedName>
    <definedName name="Excel_BuiltIn_Print_Titles_2_7_4_3" localSheetId="16">#REF!</definedName>
    <definedName name="Excel_BuiltIn_Print_Titles_2_7_4_3" localSheetId="53">#REF!</definedName>
    <definedName name="Excel_BuiltIn_Print_Titles_2_7_4_3">#REF!</definedName>
    <definedName name="Excel_BuiltIn_Print_Titles_2_7_4_4" localSheetId="16">#REF!</definedName>
    <definedName name="Excel_BuiltIn_Print_Titles_2_7_4_4" localSheetId="53">#REF!</definedName>
    <definedName name="Excel_BuiltIn_Print_Titles_2_7_4_4">#REF!</definedName>
    <definedName name="Excel_BuiltIn_Print_Titles_2_7_4_4_1" localSheetId="16">#REF!</definedName>
    <definedName name="Excel_BuiltIn_Print_Titles_2_7_4_4_1" localSheetId="53">#REF!</definedName>
    <definedName name="Excel_BuiltIn_Print_Titles_2_7_4_4_1">#REF!</definedName>
    <definedName name="Excel_BuiltIn_Print_Titles_2_7_4_4_10" localSheetId="16">#REF!</definedName>
    <definedName name="Excel_BuiltIn_Print_Titles_2_7_4_4_10" localSheetId="53">#REF!</definedName>
    <definedName name="Excel_BuiltIn_Print_Titles_2_7_4_4_10">#REF!</definedName>
    <definedName name="Excel_BuiltIn_Print_Titles_2_7_4_4_10_1" localSheetId="16">#REF!</definedName>
    <definedName name="Excel_BuiltIn_Print_Titles_2_7_4_4_10_1" localSheetId="53">#REF!</definedName>
    <definedName name="Excel_BuiltIn_Print_Titles_2_7_4_4_10_1">#REF!</definedName>
    <definedName name="Excel_BuiltIn_Print_Titles_2_7_4_4_10_2" localSheetId="16">#REF!</definedName>
    <definedName name="Excel_BuiltIn_Print_Titles_2_7_4_4_10_2" localSheetId="53">#REF!</definedName>
    <definedName name="Excel_BuiltIn_Print_Titles_2_7_4_4_10_2">#REF!</definedName>
    <definedName name="Excel_BuiltIn_Print_Titles_2_7_4_4_10_3" localSheetId="16">#REF!</definedName>
    <definedName name="Excel_BuiltIn_Print_Titles_2_7_4_4_10_3" localSheetId="53">#REF!</definedName>
    <definedName name="Excel_BuiltIn_Print_Titles_2_7_4_4_10_3">#REF!</definedName>
    <definedName name="Excel_BuiltIn_Print_Titles_2_7_4_4_2" localSheetId="16">#REF!</definedName>
    <definedName name="Excel_BuiltIn_Print_Titles_2_7_4_4_2" localSheetId="53">#REF!</definedName>
    <definedName name="Excel_BuiltIn_Print_Titles_2_7_4_4_2">#REF!</definedName>
    <definedName name="Excel_BuiltIn_Print_Titles_2_7_4_4_3" localSheetId="16">#REF!</definedName>
    <definedName name="Excel_BuiltIn_Print_Titles_2_7_4_4_3" localSheetId="53">#REF!</definedName>
    <definedName name="Excel_BuiltIn_Print_Titles_2_7_4_4_3">#REF!</definedName>
    <definedName name="Excel_BuiltIn_Print_Titles_2_7_4_4_9" localSheetId="16">#REF!</definedName>
    <definedName name="Excel_BuiltIn_Print_Titles_2_7_4_4_9" localSheetId="53">#REF!</definedName>
    <definedName name="Excel_BuiltIn_Print_Titles_2_7_4_4_9">#REF!</definedName>
    <definedName name="Excel_BuiltIn_Print_Titles_2_7_4_4_9_1" localSheetId="16">#REF!</definedName>
    <definedName name="Excel_BuiltIn_Print_Titles_2_7_4_4_9_1" localSheetId="53">#REF!</definedName>
    <definedName name="Excel_BuiltIn_Print_Titles_2_7_4_4_9_1">#REF!</definedName>
    <definedName name="Excel_BuiltIn_Print_Titles_2_7_4_4_9_2" localSheetId="16">#REF!</definedName>
    <definedName name="Excel_BuiltIn_Print_Titles_2_7_4_4_9_2" localSheetId="53">#REF!</definedName>
    <definedName name="Excel_BuiltIn_Print_Titles_2_7_4_4_9_2">#REF!</definedName>
    <definedName name="Excel_BuiltIn_Print_Titles_2_7_4_4_9_3" localSheetId="16">#REF!</definedName>
    <definedName name="Excel_BuiltIn_Print_Titles_2_7_4_4_9_3" localSheetId="53">#REF!</definedName>
    <definedName name="Excel_BuiltIn_Print_Titles_2_7_4_4_9_3">#REF!</definedName>
    <definedName name="Excel_BuiltIn_Print_Titles_2_7_4_5" localSheetId="16">#REF!</definedName>
    <definedName name="Excel_BuiltIn_Print_Titles_2_7_4_5" localSheetId="53">#REF!</definedName>
    <definedName name="Excel_BuiltIn_Print_Titles_2_7_4_5">#REF!</definedName>
    <definedName name="Excel_BuiltIn_Print_Titles_2_7_4_5_1" localSheetId="16">#REF!</definedName>
    <definedName name="Excel_BuiltIn_Print_Titles_2_7_4_5_1" localSheetId="53">#REF!</definedName>
    <definedName name="Excel_BuiltIn_Print_Titles_2_7_4_5_1">#REF!</definedName>
    <definedName name="Excel_BuiltIn_Print_Titles_2_7_4_5_10" localSheetId="16">#REF!</definedName>
    <definedName name="Excel_BuiltIn_Print_Titles_2_7_4_5_10" localSheetId="53">#REF!</definedName>
    <definedName name="Excel_BuiltIn_Print_Titles_2_7_4_5_10">#REF!</definedName>
    <definedName name="Excel_BuiltIn_Print_Titles_2_7_4_5_10_1" localSheetId="16">#REF!</definedName>
    <definedName name="Excel_BuiltIn_Print_Titles_2_7_4_5_10_1" localSheetId="53">#REF!</definedName>
    <definedName name="Excel_BuiltIn_Print_Titles_2_7_4_5_10_1">#REF!</definedName>
    <definedName name="Excel_BuiltIn_Print_Titles_2_7_4_5_10_2" localSheetId="16">#REF!</definedName>
    <definedName name="Excel_BuiltIn_Print_Titles_2_7_4_5_10_2" localSheetId="53">#REF!</definedName>
    <definedName name="Excel_BuiltIn_Print_Titles_2_7_4_5_10_2">#REF!</definedName>
    <definedName name="Excel_BuiltIn_Print_Titles_2_7_4_5_10_3" localSheetId="16">#REF!</definedName>
    <definedName name="Excel_BuiltIn_Print_Titles_2_7_4_5_10_3" localSheetId="53">#REF!</definedName>
    <definedName name="Excel_BuiltIn_Print_Titles_2_7_4_5_10_3">#REF!</definedName>
    <definedName name="Excel_BuiltIn_Print_Titles_2_7_4_5_2" localSheetId="16">#REF!</definedName>
    <definedName name="Excel_BuiltIn_Print_Titles_2_7_4_5_2" localSheetId="53">#REF!</definedName>
    <definedName name="Excel_BuiltIn_Print_Titles_2_7_4_5_2">#REF!</definedName>
    <definedName name="Excel_BuiltIn_Print_Titles_2_7_4_5_3" localSheetId="16">#REF!</definedName>
    <definedName name="Excel_BuiltIn_Print_Titles_2_7_4_5_3" localSheetId="53">#REF!</definedName>
    <definedName name="Excel_BuiltIn_Print_Titles_2_7_4_5_3">#REF!</definedName>
    <definedName name="Excel_BuiltIn_Print_Titles_2_7_4_5_9" localSheetId="16">#REF!</definedName>
    <definedName name="Excel_BuiltIn_Print_Titles_2_7_4_5_9" localSheetId="53">#REF!</definedName>
    <definedName name="Excel_BuiltIn_Print_Titles_2_7_4_5_9">#REF!</definedName>
    <definedName name="Excel_BuiltIn_Print_Titles_2_7_4_5_9_1" localSheetId="16">#REF!</definedName>
    <definedName name="Excel_BuiltIn_Print_Titles_2_7_4_5_9_1" localSheetId="53">#REF!</definedName>
    <definedName name="Excel_BuiltIn_Print_Titles_2_7_4_5_9_1">#REF!</definedName>
    <definedName name="Excel_BuiltIn_Print_Titles_2_7_4_5_9_2" localSheetId="16">#REF!</definedName>
    <definedName name="Excel_BuiltIn_Print_Titles_2_7_4_5_9_2" localSheetId="53">#REF!</definedName>
    <definedName name="Excel_BuiltIn_Print_Titles_2_7_4_5_9_2">#REF!</definedName>
    <definedName name="Excel_BuiltIn_Print_Titles_2_7_4_5_9_3" localSheetId="16">#REF!</definedName>
    <definedName name="Excel_BuiltIn_Print_Titles_2_7_4_5_9_3" localSheetId="53">#REF!</definedName>
    <definedName name="Excel_BuiltIn_Print_Titles_2_7_4_5_9_3">#REF!</definedName>
    <definedName name="Excel_BuiltIn_Print_Titles_2_7_4_6" localSheetId="16">#REF!</definedName>
    <definedName name="Excel_BuiltIn_Print_Titles_2_7_4_6" localSheetId="53">#REF!</definedName>
    <definedName name="Excel_BuiltIn_Print_Titles_2_7_4_6">#REF!</definedName>
    <definedName name="Excel_BuiltIn_Print_Titles_2_7_4_6_1" localSheetId="16">#REF!</definedName>
    <definedName name="Excel_BuiltIn_Print_Titles_2_7_4_6_1" localSheetId="53">#REF!</definedName>
    <definedName name="Excel_BuiltIn_Print_Titles_2_7_4_6_1">#REF!</definedName>
    <definedName name="Excel_BuiltIn_Print_Titles_2_7_4_6_10" localSheetId="16">#REF!</definedName>
    <definedName name="Excel_BuiltIn_Print_Titles_2_7_4_6_10" localSheetId="53">#REF!</definedName>
    <definedName name="Excel_BuiltIn_Print_Titles_2_7_4_6_10">#REF!</definedName>
    <definedName name="Excel_BuiltIn_Print_Titles_2_7_4_6_10_1" localSheetId="16">#REF!</definedName>
    <definedName name="Excel_BuiltIn_Print_Titles_2_7_4_6_10_1" localSheetId="53">#REF!</definedName>
    <definedName name="Excel_BuiltIn_Print_Titles_2_7_4_6_10_1">#REF!</definedName>
    <definedName name="Excel_BuiltIn_Print_Titles_2_7_4_6_10_2" localSheetId="16">#REF!</definedName>
    <definedName name="Excel_BuiltIn_Print_Titles_2_7_4_6_10_2" localSheetId="53">#REF!</definedName>
    <definedName name="Excel_BuiltIn_Print_Titles_2_7_4_6_10_2">#REF!</definedName>
    <definedName name="Excel_BuiltIn_Print_Titles_2_7_4_6_10_3" localSheetId="16">#REF!</definedName>
    <definedName name="Excel_BuiltIn_Print_Titles_2_7_4_6_10_3" localSheetId="53">#REF!</definedName>
    <definedName name="Excel_BuiltIn_Print_Titles_2_7_4_6_10_3">#REF!</definedName>
    <definedName name="Excel_BuiltIn_Print_Titles_2_7_4_6_2" localSheetId="16">#REF!</definedName>
    <definedName name="Excel_BuiltIn_Print_Titles_2_7_4_6_2" localSheetId="53">#REF!</definedName>
    <definedName name="Excel_BuiltIn_Print_Titles_2_7_4_6_2">#REF!</definedName>
    <definedName name="Excel_BuiltIn_Print_Titles_2_7_4_6_3" localSheetId="16">#REF!</definedName>
    <definedName name="Excel_BuiltIn_Print_Titles_2_7_4_6_3" localSheetId="53">#REF!</definedName>
    <definedName name="Excel_BuiltIn_Print_Titles_2_7_4_6_3">#REF!</definedName>
    <definedName name="Excel_BuiltIn_Print_Titles_2_7_4_6_9" localSheetId="16">#REF!</definedName>
    <definedName name="Excel_BuiltIn_Print_Titles_2_7_4_6_9" localSheetId="53">#REF!</definedName>
    <definedName name="Excel_BuiltIn_Print_Titles_2_7_4_6_9">#REF!</definedName>
    <definedName name="Excel_BuiltIn_Print_Titles_2_7_4_6_9_1" localSheetId="16">#REF!</definedName>
    <definedName name="Excel_BuiltIn_Print_Titles_2_7_4_6_9_1" localSheetId="53">#REF!</definedName>
    <definedName name="Excel_BuiltIn_Print_Titles_2_7_4_6_9_1">#REF!</definedName>
    <definedName name="Excel_BuiltIn_Print_Titles_2_7_4_6_9_2" localSheetId="16">#REF!</definedName>
    <definedName name="Excel_BuiltIn_Print_Titles_2_7_4_6_9_2" localSheetId="53">#REF!</definedName>
    <definedName name="Excel_BuiltIn_Print_Titles_2_7_4_6_9_2">#REF!</definedName>
    <definedName name="Excel_BuiltIn_Print_Titles_2_7_4_6_9_3" localSheetId="16">#REF!</definedName>
    <definedName name="Excel_BuiltIn_Print_Titles_2_7_4_6_9_3" localSheetId="53">#REF!</definedName>
    <definedName name="Excel_BuiltIn_Print_Titles_2_7_4_6_9_3">#REF!</definedName>
    <definedName name="Excel_BuiltIn_Print_Titles_2_7_4_8" localSheetId="16">#REF!</definedName>
    <definedName name="Excel_BuiltIn_Print_Titles_2_7_4_8" localSheetId="53">#REF!</definedName>
    <definedName name="Excel_BuiltIn_Print_Titles_2_7_4_8">#REF!</definedName>
    <definedName name="Excel_BuiltIn_Print_Titles_2_7_4_8_1" localSheetId="16">#REF!</definedName>
    <definedName name="Excel_BuiltIn_Print_Titles_2_7_4_8_1" localSheetId="53">#REF!</definedName>
    <definedName name="Excel_BuiltIn_Print_Titles_2_7_4_8_1">#REF!</definedName>
    <definedName name="Excel_BuiltIn_Print_Titles_2_7_4_8_10" localSheetId="16">#REF!</definedName>
    <definedName name="Excel_BuiltIn_Print_Titles_2_7_4_8_10" localSheetId="53">#REF!</definedName>
    <definedName name="Excel_BuiltIn_Print_Titles_2_7_4_8_10">#REF!</definedName>
    <definedName name="Excel_BuiltIn_Print_Titles_2_7_4_8_10_1" localSheetId="16">#REF!</definedName>
    <definedName name="Excel_BuiltIn_Print_Titles_2_7_4_8_10_1" localSheetId="53">#REF!</definedName>
    <definedName name="Excel_BuiltIn_Print_Titles_2_7_4_8_10_1">#REF!</definedName>
    <definedName name="Excel_BuiltIn_Print_Titles_2_7_4_8_10_2" localSheetId="16">#REF!</definedName>
    <definedName name="Excel_BuiltIn_Print_Titles_2_7_4_8_10_2" localSheetId="53">#REF!</definedName>
    <definedName name="Excel_BuiltIn_Print_Titles_2_7_4_8_10_2">#REF!</definedName>
    <definedName name="Excel_BuiltIn_Print_Titles_2_7_4_8_10_3" localSheetId="16">#REF!</definedName>
    <definedName name="Excel_BuiltIn_Print_Titles_2_7_4_8_10_3" localSheetId="53">#REF!</definedName>
    <definedName name="Excel_BuiltIn_Print_Titles_2_7_4_8_10_3">#REF!</definedName>
    <definedName name="Excel_BuiltIn_Print_Titles_2_7_4_8_2" localSheetId="16">#REF!</definedName>
    <definedName name="Excel_BuiltIn_Print_Titles_2_7_4_8_2" localSheetId="53">#REF!</definedName>
    <definedName name="Excel_BuiltIn_Print_Titles_2_7_4_8_2">#REF!</definedName>
    <definedName name="Excel_BuiltIn_Print_Titles_2_7_4_8_3" localSheetId="16">#REF!</definedName>
    <definedName name="Excel_BuiltIn_Print_Titles_2_7_4_8_3" localSheetId="53">#REF!</definedName>
    <definedName name="Excel_BuiltIn_Print_Titles_2_7_4_8_3">#REF!</definedName>
    <definedName name="Excel_BuiltIn_Print_Titles_2_7_4_8_9" localSheetId="16">#REF!</definedName>
    <definedName name="Excel_BuiltIn_Print_Titles_2_7_4_8_9" localSheetId="53">#REF!</definedName>
    <definedName name="Excel_BuiltIn_Print_Titles_2_7_4_8_9">#REF!</definedName>
    <definedName name="Excel_BuiltIn_Print_Titles_2_7_4_8_9_1" localSheetId="16">#REF!</definedName>
    <definedName name="Excel_BuiltIn_Print_Titles_2_7_4_8_9_1" localSheetId="53">#REF!</definedName>
    <definedName name="Excel_BuiltIn_Print_Titles_2_7_4_8_9_1">#REF!</definedName>
    <definedName name="Excel_BuiltIn_Print_Titles_2_7_4_8_9_2" localSheetId="16">#REF!</definedName>
    <definedName name="Excel_BuiltIn_Print_Titles_2_7_4_8_9_2" localSheetId="53">#REF!</definedName>
    <definedName name="Excel_BuiltIn_Print_Titles_2_7_4_8_9_2">#REF!</definedName>
    <definedName name="Excel_BuiltIn_Print_Titles_2_7_4_8_9_3" localSheetId="16">#REF!</definedName>
    <definedName name="Excel_BuiltIn_Print_Titles_2_7_4_8_9_3" localSheetId="53">#REF!</definedName>
    <definedName name="Excel_BuiltIn_Print_Titles_2_7_4_8_9_3">#REF!</definedName>
    <definedName name="Excel_BuiltIn_Print_Titles_2_7_4_9" localSheetId="16">#REF!</definedName>
    <definedName name="Excel_BuiltIn_Print_Titles_2_7_4_9" localSheetId="53">#REF!</definedName>
    <definedName name="Excel_BuiltIn_Print_Titles_2_7_4_9">#REF!</definedName>
    <definedName name="Excel_BuiltIn_Print_Titles_2_7_4_9_1" localSheetId="16">#REF!</definedName>
    <definedName name="Excel_BuiltIn_Print_Titles_2_7_4_9_1" localSheetId="53">#REF!</definedName>
    <definedName name="Excel_BuiltIn_Print_Titles_2_7_4_9_1">#REF!</definedName>
    <definedName name="Excel_BuiltIn_Print_Titles_2_7_4_9_2" localSheetId="16">#REF!</definedName>
    <definedName name="Excel_BuiltIn_Print_Titles_2_7_4_9_2" localSheetId="53">#REF!</definedName>
    <definedName name="Excel_BuiltIn_Print_Titles_2_7_4_9_2">#REF!</definedName>
    <definedName name="Excel_BuiltIn_Print_Titles_2_7_4_9_3" localSheetId="16">#REF!</definedName>
    <definedName name="Excel_BuiltIn_Print_Titles_2_7_4_9_3" localSheetId="53">#REF!</definedName>
    <definedName name="Excel_BuiltIn_Print_Titles_2_7_4_9_3">#REF!</definedName>
    <definedName name="Excel_BuiltIn_Print_Titles_2_7_5" localSheetId="16">#REF!</definedName>
    <definedName name="Excel_BuiltIn_Print_Titles_2_7_5" localSheetId="53">#REF!</definedName>
    <definedName name="Excel_BuiltIn_Print_Titles_2_7_5">#REF!</definedName>
    <definedName name="Excel_BuiltIn_Print_Titles_2_7_5_1" localSheetId="16">#REF!</definedName>
    <definedName name="Excel_BuiltIn_Print_Titles_2_7_5_1" localSheetId="53">#REF!</definedName>
    <definedName name="Excel_BuiltIn_Print_Titles_2_7_5_1">#REF!</definedName>
    <definedName name="Excel_BuiltIn_Print_Titles_2_7_5_10" localSheetId="16">#REF!</definedName>
    <definedName name="Excel_BuiltIn_Print_Titles_2_7_5_10" localSheetId="53">#REF!</definedName>
    <definedName name="Excel_BuiltIn_Print_Titles_2_7_5_10">#REF!</definedName>
    <definedName name="Excel_BuiltIn_Print_Titles_2_7_5_10_1" localSheetId="16">#REF!</definedName>
    <definedName name="Excel_BuiltIn_Print_Titles_2_7_5_10_1" localSheetId="53">#REF!</definedName>
    <definedName name="Excel_BuiltIn_Print_Titles_2_7_5_10_1">#REF!</definedName>
    <definedName name="Excel_BuiltIn_Print_Titles_2_7_5_10_2" localSheetId="16">#REF!</definedName>
    <definedName name="Excel_BuiltIn_Print_Titles_2_7_5_10_2" localSheetId="53">#REF!</definedName>
    <definedName name="Excel_BuiltIn_Print_Titles_2_7_5_10_2">#REF!</definedName>
    <definedName name="Excel_BuiltIn_Print_Titles_2_7_5_10_3" localSheetId="16">#REF!</definedName>
    <definedName name="Excel_BuiltIn_Print_Titles_2_7_5_10_3" localSheetId="53">#REF!</definedName>
    <definedName name="Excel_BuiltIn_Print_Titles_2_7_5_10_3">#REF!</definedName>
    <definedName name="Excel_BuiltIn_Print_Titles_2_7_5_2" localSheetId="16">#REF!</definedName>
    <definedName name="Excel_BuiltIn_Print_Titles_2_7_5_2" localSheetId="53">#REF!</definedName>
    <definedName name="Excel_BuiltIn_Print_Titles_2_7_5_2">#REF!</definedName>
    <definedName name="Excel_BuiltIn_Print_Titles_2_7_5_3" localSheetId="16">#REF!</definedName>
    <definedName name="Excel_BuiltIn_Print_Titles_2_7_5_3" localSheetId="53">#REF!</definedName>
    <definedName name="Excel_BuiltIn_Print_Titles_2_7_5_3">#REF!</definedName>
    <definedName name="Excel_BuiltIn_Print_Titles_2_7_5_9" localSheetId="16">#REF!</definedName>
    <definedName name="Excel_BuiltIn_Print_Titles_2_7_5_9" localSheetId="53">#REF!</definedName>
    <definedName name="Excel_BuiltIn_Print_Titles_2_7_5_9">#REF!</definedName>
    <definedName name="Excel_BuiltIn_Print_Titles_2_7_5_9_1" localSheetId="16">#REF!</definedName>
    <definedName name="Excel_BuiltIn_Print_Titles_2_7_5_9_1" localSheetId="53">#REF!</definedName>
    <definedName name="Excel_BuiltIn_Print_Titles_2_7_5_9_1">#REF!</definedName>
    <definedName name="Excel_BuiltIn_Print_Titles_2_7_5_9_2" localSheetId="16">#REF!</definedName>
    <definedName name="Excel_BuiltIn_Print_Titles_2_7_5_9_2" localSheetId="53">#REF!</definedName>
    <definedName name="Excel_BuiltIn_Print_Titles_2_7_5_9_2">#REF!</definedName>
    <definedName name="Excel_BuiltIn_Print_Titles_2_7_5_9_3" localSheetId="16">#REF!</definedName>
    <definedName name="Excel_BuiltIn_Print_Titles_2_7_5_9_3" localSheetId="53">#REF!</definedName>
    <definedName name="Excel_BuiltIn_Print_Titles_2_7_5_9_3">#REF!</definedName>
    <definedName name="Excel_BuiltIn_Print_Titles_2_7_6" localSheetId="16">#REF!</definedName>
    <definedName name="Excel_BuiltIn_Print_Titles_2_7_6" localSheetId="53">#REF!</definedName>
    <definedName name="Excel_BuiltIn_Print_Titles_2_7_6">#REF!</definedName>
    <definedName name="Excel_BuiltIn_Print_Titles_2_7_6_1" localSheetId="16">#REF!</definedName>
    <definedName name="Excel_BuiltIn_Print_Titles_2_7_6_1" localSheetId="53">#REF!</definedName>
    <definedName name="Excel_BuiltIn_Print_Titles_2_7_6_1">#REF!</definedName>
    <definedName name="Excel_BuiltIn_Print_Titles_2_7_6_10" localSheetId="16">#REF!</definedName>
    <definedName name="Excel_BuiltIn_Print_Titles_2_7_6_10" localSheetId="53">#REF!</definedName>
    <definedName name="Excel_BuiltIn_Print_Titles_2_7_6_10">#REF!</definedName>
    <definedName name="Excel_BuiltIn_Print_Titles_2_7_6_10_1" localSheetId="16">#REF!</definedName>
    <definedName name="Excel_BuiltIn_Print_Titles_2_7_6_10_1" localSheetId="53">#REF!</definedName>
    <definedName name="Excel_BuiltIn_Print_Titles_2_7_6_10_1">#REF!</definedName>
    <definedName name="Excel_BuiltIn_Print_Titles_2_7_6_10_2" localSheetId="16">#REF!</definedName>
    <definedName name="Excel_BuiltIn_Print_Titles_2_7_6_10_2" localSheetId="53">#REF!</definedName>
    <definedName name="Excel_BuiltIn_Print_Titles_2_7_6_10_2">#REF!</definedName>
    <definedName name="Excel_BuiltIn_Print_Titles_2_7_6_10_3" localSheetId="16">#REF!</definedName>
    <definedName name="Excel_BuiltIn_Print_Titles_2_7_6_10_3" localSheetId="53">#REF!</definedName>
    <definedName name="Excel_BuiltIn_Print_Titles_2_7_6_10_3">#REF!</definedName>
    <definedName name="Excel_BuiltIn_Print_Titles_2_7_6_2" localSheetId="16">#REF!</definedName>
    <definedName name="Excel_BuiltIn_Print_Titles_2_7_6_2" localSheetId="53">#REF!</definedName>
    <definedName name="Excel_BuiltIn_Print_Titles_2_7_6_2">#REF!</definedName>
    <definedName name="Excel_BuiltIn_Print_Titles_2_7_6_3" localSheetId="16">#REF!</definedName>
    <definedName name="Excel_BuiltIn_Print_Titles_2_7_6_3" localSheetId="53">#REF!</definedName>
    <definedName name="Excel_BuiltIn_Print_Titles_2_7_6_3">#REF!</definedName>
    <definedName name="Excel_BuiltIn_Print_Titles_2_7_6_9" localSheetId="16">#REF!</definedName>
    <definedName name="Excel_BuiltIn_Print_Titles_2_7_6_9" localSheetId="53">#REF!</definedName>
    <definedName name="Excel_BuiltIn_Print_Titles_2_7_6_9">#REF!</definedName>
    <definedName name="Excel_BuiltIn_Print_Titles_2_7_6_9_1" localSheetId="16">#REF!</definedName>
    <definedName name="Excel_BuiltIn_Print_Titles_2_7_6_9_1" localSheetId="53">#REF!</definedName>
    <definedName name="Excel_BuiltIn_Print_Titles_2_7_6_9_1">#REF!</definedName>
    <definedName name="Excel_BuiltIn_Print_Titles_2_7_6_9_2" localSheetId="16">#REF!</definedName>
    <definedName name="Excel_BuiltIn_Print_Titles_2_7_6_9_2" localSheetId="53">#REF!</definedName>
    <definedName name="Excel_BuiltIn_Print_Titles_2_7_6_9_2">#REF!</definedName>
    <definedName name="Excel_BuiltIn_Print_Titles_2_7_6_9_3" localSheetId="16">#REF!</definedName>
    <definedName name="Excel_BuiltIn_Print_Titles_2_7_6_9_3" localSheetId="53">#REF!</definedName>
    <definedName name="Excel_BuiltIn_Print_Titles_2_7_6_9_3">#REF!</definedName>
    <definedName name="Excel_BuiltIn_Print_Titles_2_7_8" localSheetId="16">#REF!</definedName>
    <definedName name="Excel_BuiltIn_Print_Titles_2_7_8" localSheetId="53">#REF!</definedName>
    <definedName name="Excel_BuiltIn_Print_Titles_2_7_8">#REF!</definedName>
    <definedName name="Excel_BuiltIn_Print_Titles_2_7_8_1" localSheetId="16">#REF!</definedName>
    <definedName name="Excel_BuiltIn_Print_Titles_2_7_8_1" localSheetId="53">#REF!</definedName>
    <definedName name="Excel_BuiltIn_Print_Titles_2_7_8_1">#REF!</definedName>
    <definedName name="Excel_BuiltIn_Print_Titles_2_7_8_10" localSheetId="16">#REF!</definedName>
    <definedName name="Excel_BuiltIn_Print_Titles_2_7_8_10" localSheetId="53">#REF!</definedName>
    <definedName name="Excel_BuiltIn_Print_Titles_2_7_8_10">#REF!</definedName>
    <definedName name="Excel_BuiltIn_Print_Titles_2_7_8_10_1" localSheetId="16">#REF!</definedName>
    <definedName name="Excel_BuiltIn_Print_Titles_2_7_8_10_1" localSheetId="53">#REF!</definedName>
    <definedName name="Excel_BuiltIn_Print_Titles_2_7_8_10_1">#REF!</definedName>
    <definedName name="Excel_BuiltIn_Print_Titles_2_7_8_10_2" localSheetId="16">#REF!</definedName>
    <definedName name="Excel_BuiltIn_Print_Titles_2_7_8_10_2" localSheetId="53">#REF!</definedName>
    <definedName name="Excel_BuiltIn_Print_Titles_2_7_8_10_2">#REF!</definedName>
    <definedName name="Excel_BuiltIn_Print_Titles_2_7_8_10_3" localSheetId="16">#REF!</definedName>
    <definedName name="Excel_BuiltIn_Print_Titles_2_7_8_10_3" localSheetId="53">#REF!</definedName>
    <definedName name="Excel_BuiltIn_Print_Titles_2_7_8_10_3">#REF!</definedName>
    <definedName name="Excel_BuiltIn_Print_Titles_2_7_8_2" localSheetId="16">#REF!</definedName>
    <definedName name="Excel_BuiltIn_Print_Titles_2_7_8_2" localSheetId="53">#REF!</definedName>
    <definedName name="Excel_BuiltIn_Print_Titles_2_7_8_2">#REF!</definedName>
    <definedName name="Excel_BuiltIn_Print_Titles_2_7_8_3" localSheetId="16">#REF!</definedName>
    <definedName name="Excel_BuiltIn_Print_Titles_2_7_8_3" localSheetId="53">#REF!</definedName>
    <definedName name="Excel_BuiltIn_Print_Titles_2_7_8_3">#REF!</definedName>
    <definedName name="Excel_BuiltIn_Print_Titles_2_7_8_9" localSheetId="16">#REF!</definedName>
    <definedName name="Excel_BuiltIn_Print_Titles_2_7_8_9" localSheetId="53">#REF!</definedName>
    <definedName name="Excel_BuiltIn_Print_Titles_2_7_8_9">#REF!</definedName>
    <definedName name="Excel_BuiltIn_Print_Titles_2_7_8_9_1" localSheetId="16">#REF!</definedName>
    <definedName name="Excel_BuiltIn_Print_Titles_2_7_8_9_1" localSheetId="53">#REF!</definedName>
    <definedName name="Excel_BuiltIn_Print_Titles_2_7_8_9_1">#REF!</definedName>
    <definedName name="Excel_BuiltIn_Print_Titles_2_7_8_9_2" localSheetId="16">#REF!</definedName>
    <definedName name="Excel_BuiltIn_Print_Titles_2_7_8_9_2" localSheetId="53">#REF!</definedName>
    <definedName name="Excel_BuiltIn_Print_Titles_2_7_8_9_2">#REF!</definedName>
    <definedName name="Excel_BuiltIn_Print_Titles_2_7_8_9_3" localSheetId="16">#REF!</definedName>
    <definedName name="Excel_BuiltIn_Print_Titles_2_7_8_9_3" localSheetId="53">#REF!</definedName>
    <definedName name="Excel_BuiltIn_Print_Titles_2_7_8_9_3">#REF!</definedName>
    <definedName name="Excel_BuiltIn_Print_Titles_2_7_9" localSheetId="16">#REF!</definedName>
    <definedName name="Excel_BuiltIn_Print_Titles_2_7_9" localSheetId="53">#REF!</definedName>
    <definedName name="Excel_BuiltIn_Print_Titles_2_7_9">#REF!</definedName>
    <definedName name="Excel_BuiltIn_Print_Titles_2_7_9_1" localSheetId="16">#REF!</definedName>
    <definedName name="Excel_BuiltIn_Print_Titles_2_7_9_1" localSheetId="53">#REF!</definedName>
    <definedName name="Excel_BuiltIn_Print_Titles_2_7_9_1">#REF!</definedName>
    <definedName name="Excel_BuiltIn_Print_Titles_2_7_9_2" localSheetId="16">#REF!</definedName>
    <definedName name="Excel_BuiltIn_Print_Titles_2_7_9_2" localSheetId="53">#REF!</definedName>
    <definedName name="Excel_BuiltIn_Print_Titles_2_7_9_2">#REF!</definedName>
    <definedName name="Excel_BuiltIn_Print_Titles_2_7_9_3" localSheetId="16">#REF!</definedName>
    <definedName name="Excel_BuiltIn_Print_Titles_2_7_9_3" localSheetId="53">#REF!</definedName>
    <definedName name="Excel_BuiltIn_Print_Titles_2_7_9_3">#REF!</definedName>
    <definedName name="Excel_BuiltIn_Print_Titles_2_8" localSheetId="16">#REF!</definedName>
    <definedName name="Excel_BuiltIn_Print_Titles_2_8" localSheetId="53">#REF!</definedName>
    <definedName name="Excel_BuiltIn_Print_Titles_2_8">#REF!</definedName>
    <definedName name="Excel_BuiltIn_Print_Titles_2_8_1" localSheetId="16">#REF!</definedName>
    <definedName name="Excel_BuiltIn_Print_Titles_2_8_1" localSheetId="53">#REF!</definedName>
    <definedName name="Excel_BuiltIn_Print_Titles_2_8_1">#REF!</definedName>
    <definedName name="Excel_BuiltIn_Print_Titles_2_8_1_1" localSheetId="16">#REF!</definedName>
    <definedName name="Excel_BuiltIn_Print_Titles_2_8_1_1" localSheetId="53">#REF!</definedName>
    <definedName name="Excel_BuiltIn_Print_Titles_2_8_1_1">#REF!</definedName>
    <definedName name="Excel_BuiltIn_Print_Titles_2_8_1_1_1">#REF!</definedName>
    <definedName name="Excel_BuiltIn_Print_Titles_2_8_1_10" localSheetId="16">#REF!</definedName>
    <definedName name="Excel_BuiltIn_Print_Titles_2_8_1_10" localSheetId="53">#REF!</definedName>
    <definedName name="Excel_BuiltIn_Print_Titles_2_8_1_10">#REF!</definedName>
    <definedName name="Excel_BuiltIn_Print_Titles_2_8_1_10_1" localSheetId="16">#REF!</definedName>
    <definedName name="Excel_BuiltIn_Print_Titles_2_8_1_10_1" localSheetId="53">#REF!</definedName>
    <definedName name="Excel_BuiltIn_Print_Titles_2_8_1_10_1">#REF!</definedName>
    <definedName name="Excel_BuiltIn_Print_Titles_2_8_1_10_2" localSheetId="16">#REF!</definedName>
    <definedName name="Excel_BuiltIn_Print_Titles_2_8_1_10_2" localSheetId="53">#REF!</definedName>
    <definedName name="Excel_BuiltIn_Print_Titles_2_8_1_10_2">#REF!</definedName>
    <definedName name="Excel_BuiltIn_Print_Titles_2_8_1_10_3" localSheetId="16">#REF!</definedName>
    <definedName name="Excel_BuiltIn_Print_Titles_2_8_1_10_3" localSheetId="53">#REF!</definedName>
    <definedName name="Excel_BuiltIn_Print_Titles_2_8_1_10_3">#REF!</definedName>
    <definedName name="Excel_BuiltIn_Print_Titles_2_8_1_2" localSheetId="16">#REF!</definedName>
    <definedName name="Excel_BuiltIn_Print_Titles_2_8_1_2" localSheetId="53">#REF!</definedName>
    <definedName name="Excel_BuiltIn_Print_Titles_2_8_1_2">#REF!</definedName>
    <definedName name="Excel_BuiltIn_Print_Titles_2_8_1_3" localSheetId="16">#REF!</definedName>
    <definedName name="Excel_BuiltIn_Print_Titles_2_8_1_3" localSheetId="53">#REF!</definedName>
    <definedName name="Excel_BuiltIn_Print_Titles_2_8_1_3">#REF!</definedName>
    <definedName name="Excel_BuiltIn_Print_Titles_2_8_1_9" localSheetId="16">#REF!</definedName>
    <definedName name="Excel_BuiltIn_Print_Titles_2_8_1_9" localSheetId="53">#REF!</definedName>
    <definedName name="Excel_BuiltIn_Print_Titles_2_8_1_9">#REF!</definedName>
    <definedName name="Excel_BuiltIn_Print_Titles_2_8_1_9_1" localSheetId="16">#REF!</definedName>
    <definedName name="Excel_BuiltIn_Print_Titles_2_8_1_9_1" localSheetId="53">#REF!</definedName>
    <definedName name="Excel_BuiltIn_Print_Titles_2_8_1_9_1">#REF!</definedName>
    <definedName name="Excel_BuiltIn_Print_Titles_2_8_1_9_2" localSheetId="16">#REF!</definedName>
    <definedName name="Excel_BuiltIn_Print_Titles_2_8_1_9_2" localSheetId="53">#REF!</definedName>
    <definedName name="Excel_BuiltIn_Print_Titles_2_8_1_9_2">#REF!</definedName>
    <definedName name="Excel_BuiltIn_Print_Titles_2_8_1_9_3" localSheetId="16">#REF!</definedName>
    <definedName name="Excel_BuiltIn_Print_Titles_2_8_1_9_3" localSheetId="53">#REF!</definedName>
    <definedName name="Excel_BuiltIn_Print_Titles_2_8_1_9_3">#REF!</definedName>
    <definedName name="Excel_BuiltIn_Print_Titles_2_8_10" localSheetId="16">#REF!</definedName>
    <definedName name="Excel_BuiltIn_Print_Titles_2_8_10" localSheetId="53">#REF!</definedName>
    <definedName name="Excel_BuiltIn_Print_Titles_2_8_10">#REF!</definedName>
    <definedName name="Excel_BuiltIn_Print_Titles_2_8_10_1" localSheetId="16">#REF!</definedName>
    <definedName name="Excel_BuiltIn_Print_Titles_2_8_10_1" localSheetId="53">#REF!</definedName>
    <definedName name="Excel_BuiltIn_Print_Titles_2_8_10_1">#REF!</definedName>
    <definedName name="Excel_BuiltIn_Print_Titles_2_8_10_2" localSheetId="16">#REF!</definedName>
    <definedName name="Excel_BuiltIn_Print_Titles_2_8_10_2" localSheetId="53">#REF!</definedName>
    <definedName name="Excel_BuiltIn_Print_Titles_2_8_10_2">#REF!</definedName>
    <definedName name="Excel_BuiltIn_Print_Titles_2_8_10_3" localSheetId="16">#REF!</definedName>
    <definedName name="Excel_BuiltIn_Print_Titles_2_8_10_3" localSheetId="53">#REF!</definedName>
    <definedName name="Excel_BuiltIn_Print_Titles_2_8_10_3">#REF!</definedName>
    <definedName name="Excel_BuiltIn_Print_Titles_2_8_2" localSheetId="16">#REF!</definedName>
    <definedName name="Excel_BuiltIn_Print_Titles_2_8_2" localSheetId="53">#REF!</definedName>
    <definedName name="Excel_BuiltIn_Print_Titles_2_8_2">#REF!</definedName>
    <definedName name="Excel_BuiltIn_Print_Titles_2_8_3" localSheetId="16">#REF!</definedName>
    <definedName name="Excel_BuiltIn_Print_Titles_2_8_3" localSheetId="53">#REF!</definedName>
    <definedName name="Excel_BuiltIn_Print_Titles_2_8_3">#REF!</definedName>
    <definedName name="Excel_BuiltIn_Print_Titles_2_8_4" localSheetId="16">#REF!</definedName>
    <definedName name="Excel_BuiltIn_Print_Titles_2_8_4" localSheetId="53">#REF!</definedName>
    <definedName name="Excel_BuiltIn_Print_Titles_2_8_4">#REF!</definedName>
    <definedName name="Excel_BuiltIn_Print_Titles_2_8_4_1" localSheetId="16">#REF!</definedName>
    <definedName name="Excel_BuiltIn_Print_Titles_2_8_4_1" localSheetId="53">#REF!</definedName>
    <definedName name="Excel_BuiltIn_Print_Titles_2_8_4_1">#REF!</definedName>
    <definedName name="Excel_BuiltIn_Print_Titles_2_8_4_1_1" localSheetId="16">#REF!</definedName>
    <definedName name="Excel_BuiltIn_Print_Titles_2_8_4_1_1" localSheetId="53">#REF!</definedName>
    <definedName name="Excel_BuiltIn_Print_Titles_2_8_4_1_1">#REF!</definedName>
    <definedName name="Excel_BuiltIn_Print_Titles_2_8_4_1_1_1">#REF!</definedName>
    <definedName name="Excel_BuiltIn_Print_Titles_2_8_4_1_10" localSheetId="16">#REF!</definedName>
    <definedName name="Excel_BuiltIn_Print_Titles_2_8_4_1_10" localSheetId="53">#REF!</definedName>
    <definedName name="Excel_BuiltIn_Print_Titles_2_8_4_1_10">#REF!</definedName>
    <definedName name="Excel_BuiltIn_Print_Titles_2_8_4_1_10_1" localSheetId="16">#REF!</definedName>
    <definedName name="Excel_BuiltIn_Print_Titles_2_8_4_1_10_1" localSheetId="53">#REF!</definedName>
    <definedName name="Excel_BuiltIn_Print_Titles_2_8_4_1_10_1">#REF!</definedName>
    <definedName name="Excel_BuiltIn_Print_Titles_2_8_4_1_10_2" localSheetId="16">#REF!</definedName>
    <definedName name="Excel_BuiltIn_Print_Titles_2_8_4_1_10_2" localSheetId="53">#REF!</definedName>
    <definedName name="Excel_BuiltIn_Print_Titles_2_8_4_1_10_2">#REF!</definedName>
    <definedName name="Excel_BuiltIn_Print_Titles_2_8_4_1_10_3" localSheetId="16">#REF!</definedName>
    <definedName name="Excel_BuiltIn_Print_Titles_2_8_4_1_10_3" localSheetId="53">#REF!</definedName>
    <definedName name="Excel_BuiltIn_Print_Titles_2_8_4_1_10_3">#REF!</definedName>
    <definedName name="Excel_BuiltIn_Print_Titles_2_8_4_1_2" localSheetId="16">#REF!</definedName>
    <definedName name="Excel_BuiltIn_Print_Titles_2_8_4_1_2" localSheetId="53">#REF!</definedName>
    <definedName name="Excel_BuiltIn_Print_Titles_2_8_4_1_2">#REF!</definedName>
    <definedName name="Excel_BuiltIn_Print_Titles_2_8_4_1_3" localSheetId="16">#REF!</definedName>
    <definedName name="Excel_BuiltIn_Print_Titles_2_8_4_1_3" localSheetId="53">#REF!</definedName>
    <definedName name="Excel_BuiltIn_Print_Titles_2_8_4_1_3">#REF!</definedName>
    <definedName name="Excel_BuiltIn_Print_Titles_2_8_4_1_9" localSheetId="16">#REF!</definedName>
    <definedName name="Excel_BuiltIn_Print_Titles_2_8_4_1_9" localSheetId="53">#REF!</definedName>
    <definedName name="Excel_BuiltIn_Print_Titles_2_8_4_1_9">#REF!</definedName>
    <definedName name="Excel_BuiltIn_Print_Titles_2_8_4_1_9_1" localSheetId="16">#REF!</definedName>
    <definedName name="Excel_BuiltIn_Print_Titles_2_8_4_1_9_1" localSheetId="53">#REF!</definedName>
    <definedName name="Excel_BuiltIn_Print_Titles_2_8_4_1_9_1">#REF!</definedName>
    <definedName name="Excel_BuiltIn_Print_Titles_2_8_4_1_9_2" localSheetId="16">#REF!</definedName>
    <definedName name="Excel_BuiltIn_Print_Titles_2_8_4_1_9_2" localSheetId="53">#REF!</definedName>
    <definedName name="Excel_BuiltIn_Print_Titles_2_8_4_1_9_2">#REF!</definedName>
    <definedName name="Excel_BuiltIn_Print_Titles_2_8_4_1_9_3" localSheetId="16">#REF!</definedName>
    <definedName name="Excel_BuiltIn_Print_Titles_2_8_4_1_9_3" localSheetId="53">#REF!</definedName>
    <definedName name="Excel_BuiltIn_Print_Titles_2_8_4_1_9_3">#REF!</definedName>
    <definedName name="Excel_BuiltIn_Print_Titles_2_8_4_10" localSheetId="16">#REF!</definedName>
    <definedName name="Excel_BuiltIn_Print_Titles_2_8_4_10" localSheetId="53">#REF!</definedName>
    <definedName name="Excel_BuiltIn_Print_Titles_2_8_4_10">#REF!</definedName>
    <definedName name="Excel_BuiltIn_Print_Titles_2_8_4_10_1" localSheetId="16">#REF!</definedName>
    <definedName name="Excel_BuiltIn_Print_Titles_2_8_4_10_1" localSheetId="53">#REF!</definedName>
    <definedName name="Excel_BuiltIn_Print_Titles_2_8_4_10_1">#REF!</definedName>
    <definedName name="Excel_BuiltIn_Print_Titles_2_8_4_10_2" localSheetId="16">#REF!</definedName>
    <definedName name="Excel_BuiltIn_Print_Titles_2_8_4_10_2" localSheetId="53">#REF!</definedName>
    <definedName name="Excel_BuiltIn_Print_Titles_2_8_4_10_2">#REF!</definedName>
    <definedName name="Excel_BuiltIn_Print_Titles_2_8_4_10_3" localSheetId="16">#REF!</definedName>
    <definedName name="Excel_BuiltIn_Print_Titles_2_8_4_10_3" localSheetId="53">#REF!</definedName>
    <definedName name="Excel_BuiltIn_Print_Titles_2_8_4_10_3">#REF!</definedName>
    <definedName name="Excel_BuiltIn_Print_Titles_2_8_4_2" localSheetId="16">#REF!</definedName>
    <definedName name="Excel_BuiltIn_Print_Titles_2_8_4_2" localSheetId="53">#REF!</definedName>
    <definedName name="Excel_BuiltIn_Print_Titles_2_8_4_2">#REF!</definedName>
    <definedName name="Excel_BuiltIn_Print_Titles_2_8_4_3" localSheetId="16">#REF!</definedName>
    <definedName name="Excel_BuiltIn_Print_Titles_2_8_4_3" localSheetId="53">#REF!</definedName>
    <definedName name="Excel_BuiltIn_Print_Titles_2_8_4_3">#REF!</definedName>
    <definedName name="Excel_BuiltIn_Print_Titles_2_8_4_4" localSheetId="16">#REF!</definedName>
    <definedName name="Excel_BuiltIn_Print_Titles_2_8_4_4" localSheetId="53">#REF!</definedName>
    <definedName name="Excel_BuiltIn_Print_Titles_2_8_4_4">#REF!</definedName>
    <definedName name="Excel_BuiltIn_Print_Titles_2_8_4_4_1" localSheetId="16">#REF!</definedName>
    <definedName name="Excel_BuiltIn_Print_Titles_2_8_4_4_1" localSheetId="53">#REF!</definedName>
    <definedName name="Excel_BuiltIn_Print_Titles_2_8_4_4_1">#REF!</definedName>
    <definedName name="Excel_BuiltIn_Print_Titles_2_8_4_4_10" localSheetId="16">#REF!</definedName>
    <definedName name="Excel_BuiltIn_Print_Titles_2_8_4_4_10" localSheetId="53">#REF!</definedName>
    <definedName name="Excel_BuiltIn_Print_Titles_2_8_4_4_10">#REF!</definedName>
    <definedName name="Excel_BuiltIn_Print_Titles_2_8_4_4_10_1" localSheetId="16">#REF!</definedName>
    <definedName name="Excel_BuiltIn_Print_Titles_2_8_4_4_10_1" localSheetId="53">#REF!</definedName>
    <definedName name="Excel_BuiltIn_Print_Titles_2_8_4_4_10_1">#REF!</definedName>
    <definedName name="Excel_BuiltIn_Print_Titles_2_8_4_4_10_2" localSheetId="16">#REF!</definedName>
    <definedName name="Excel_BuiltIn_Print_Titles_2_8_4_4_10_2" localSheetId="53">#REF!</definedName>
    <definedName name="Excel_BuiltIn_Print_Titles_2_8_4_4_10_2">#REF!</definedName>
    <definedName name="Excel_BuiltIn_Print_Titles_2_8_4_4_10_3" localSheetId="16">#REF!</definedName>
    <definedName name="Excel_BuiltIn_Print_Titles_2_8_4_4_10_3" localSheetId="53">#REF!</definedName>
    <definedName name="Excel_BuiltIn_Print_Titles_2_8_4_4_10_3">#REF!</definedName>
    <definedName name="Excel_BuiltIn_Print_Titles_2_8_4_4_2" localSheetId="16">#REF!</definedName>
    <definedName name="Excel_BuiltIn_Print_Titles_2_8_4_4_2" localSheetId="53">#REF!</definedName>
    <definedName name="Excel_BuiltIn_Print_Titles_2_8_4_4_2">#REF!</definedName>
    <definedName name="Excel_BuiltIn_Print_Titles_2_8_4_4_3" localSheetId="16">#REF!</definedName>
    <definedName name="Excel_BuiltIn_Print_Titles_2_8_4_4_3" localSheetId="53">#REF!</definedName>
    <definedName name="Excel_BuiltIn_Print_Titles_2_8_4_4_3">#REF!</definedName>
    <definedName name="Excel_BuiltIn_Print_Titles_2_8_4_4_9" localSheetId="16">#REF!</definedName>
    <definedName name="Excel_BuiltIn_Print_Titles_2_8_4_4_9" localSheetId="53">#REF!</definedName>
    <definedName name="Excel_BuiltIn_Print_Titles_2_8_4_4_9">#REF!</definedName>
    <definedName name="Excel_BuiltIn_Print_Titles_2_8_4_4_9_1" localSheetId="16">#REF!</definedName>
    <definedName name="Excel_BuiltIn_Print_Titles_2_8_4_4_9_1" localSheetId="53">#REF!</definedName>
    <definedName name="Excel_BuiltIn_Print_Titles_2_8_4_4_9_1">#REF!</definedName>
    <definedName name="Excel_BuiltIn_Print_Titles_2_8_4_4_9_2" localSheetId="16">#REF!</definedName>
    <definedName name="Excel_BuiltIn_Print_Titles_2_8_4_4_9_2" localSheetId="53">#REF!</definedName>
    <definedName name="Excel_BuiltIn_Print_Titles_2_8_4_4_9_2">#REF!</definedName>
    <definedName name="Excel_BuiltIn_Print_Titles_2_8_4_4_9_3" localSheetId="16">#REF!</definedName>
    <definedName name="Excel_BuiltIn_Print_Titles_2_8_4_4_9_3" localSheetId="53">#REF!</definedName>
    <definedName name="Excel_BuiltIn_Print_Titles_2_8_4_4_9_3">#REF!</definedName>
    <definedName name="Excel_BuiltIn_Print_Titles_2_8_4_5" localSheetId="16">#REF!</definedName>
    <definedName name="Excel_BuiltIn_Print_Titles_2_8_4_5" localSheetId="53">#REF!</definedName>
    <definedName name="Excel_BuiltIn_Print_Titles_2_8_4_5">#REF!</definedName>
    <definedName name="Excel_BuiltIn_Print_Titles_2_8_4_5_1" localSheetId="16">#REF!</definedName>
    <definedName name="Excel_BuiltIn_Print_Titles_2_8_4_5_1" localSheetId="53">#REF!</definedName>
    <definedName name="Excel_BuiltIn_Print_Titles_2_8_4_5_1">#REF!</definedName>
    <definedName name="Excel_BuiltIn_Print_Titles_2_8_4_5_10" localSheetId="16">#REF!</definedName>
    <definedName name="Excel_BuiltIn_Print_Titles_2_8_4_5_10" localSheetId="53">#REF!</definedName>
    <definedName name="Excel_BuiltIn_Print_Titles_2_8_4_5_10">#REF!</definedName>
    <definedName name="Excel_BuiltIn_Print_Titles_2_8_4_5_10_1" localSheetId="16">#REF!</definedName>
    <definedName name="Excel_BuiltIn_Print_Titles_2_8_4_5_10_1" localSheetId="53">#REF!</definedName>
    <definedName name="Excel_BuiltIn_Print_Titles_2_8_4_5_10_1">#REF!</definedName>
    <definedName name="Excel_BuiltIn_Print_Titles_2_8_4_5_10_2" localSheetId="16">#REF!</definedName>
    <definedName name="Excel_BuiltIn_Print_Titles_2_8_4_5_10_2" localSheetId="53">#REF!</definedName>
    <definedName name="Excel_BuiltIn_Print_Titles_2_8_4_5_10_2">#REF!</definedName>
    <definedName name="Excel_BuiltIn_Print_Titles_2_8_4_5_10_3" localSheetId="16">#REF!</definedName>
    <definedName name="Excel_BuiltIn_Print_Titles_2_8_4_5_10_3" localSheetId="53">#REF!</definedName>
    <definedName name="Excel_BuiltIn_Print_Titles_2_8_4_5_10_3">#REF!</definedName>
    <definedName name="Excel_BuiltIn_Print_Titles_2_8_4_5_2" localSheetId="16">#REF!</definedName>
    <definedName name="Excel_BuiltIn_Print_Titles_2_8_4_5_2" localSheetId="53">#REF!</definedName>
    <definedName name="Excel_BuiltIn_Print_Titles_2_8_4_5_2">#REF!</definedName>
    <definedName name="Excel_BuiltIn_Print_Titles_2_8_4_5_3" localSheetId="16">#REF!</definedName>
    <definedName name="Excel_BuiltIn_Print_Titles_2_8_4_5_3" localSheetId="53">#REF!</definedName>
    <definedName name="Excel_BuiltIn_Print_Titles_2_8_4_5_3">#REF!</definedName>
    <definedName name="Excel_BuiltIn_Print_Titles_2_8_4_5_9" localSheetId="16">#REF!</definedName>
    <definedName name="Excel_BuiltIn_Print_Titles_2_8_4_5_9" localSheetId="53">#REF!</definedName>
    <definedName name="Excel_BuiltIn_Print_Titles_2_8_4_5_9">#REF!</definedName>
    <definedName name="Excel_BuiltIn_Print_Titles_2_8_4_5_9_1" localSheetId="16">#REF!</definedName>
    <definedName name="Excel_BuiltIn_Print_Titles_2_8_4_5_9_1" localSheetId="53">#REF!</definedName>
    <definedName name="Excel_BuiltIn_Print_Titles_2_8_4_5_9_1">#REF!</definedName>
    <definedName name="Excel_BuiltIn_Print_Titles_2_8_4_5_9_2" localSheetId="16">#REF!</definedName>
    <definedName name="Excel_BuiltIn_Print_Titles_2_8_4_5_9_2" localSheetId="53">#REF!</definedName>
    <definedName name="Excel_BuiltIn_Print_Titles_2_8_4_5_9_2">#REF!</definedName>
    <definedName name="Excel_BuiltIn_Print_Titles_2_8_4_5_9_3" localSheetId="16">#REF!</definedName>
    <definedName name="Excel_BuiltIn_Print_Titles_2_8_4_5_9_3" localSheetId="53">#REF!</definedName>
    <definedName name="Excel_BuiltIn_Print_Titles_2_8_4_5_9_3">#REF!</definedName>
    <definedName name="Excel_BuiltIn_Print_Titles_2_8_4_6" localSheetId="16">#REF!</definedName>
    <definedName name="Excel_BuiltIn_Print_Titles_2_8_4_6" localSheetId="53">#REF!</definedName>
    <definedName name="Excel_BuiltIn_Print_Titles_2_8_4_6">#REF!</definedName>
    <definedName name="Excel_BuiltIn_Print_Titles_2_8_4_6_1" localSheetId="16">#REF!</definedName>
    <definedName name="Excel_BuiltIn_Print_Titles_2_8_4_6_1" localSheetId="53">#REF!</definedName>
    <definedName name="Excel_BuiltIn_Print_Titles_2_8_4_6_1">#REF!</definedName>
    <definedName name="Excel_BuiltIn_Print_Titles_2_8_4_6_10" localSheetId="16">#REF!</definedName>
    <definedName name="Excel_BuiltIn_Print_Titles_2_8_4_6_10" localSheetId="53">#REF!</definedName>
    <definedName name="Excel_BuiltIn_Print_Titles_2_8_4_6_10">#REF!</definedName>
    <definedName name="Excel_BuiltIn_Print_Titles_2_8_4_6_10_1" localSheetId="16">#REF!</definedName>
    <definedName name="Excel_BuiltIn_Print_Titles_2_8_4_6_10_1" localSheetId="53">#REF!</definedName>
    <definedName name="Excel_BuiltIn_Print_Titles_2_8_4_6_10_1">#REF!</definedName>
    <definedName name="Excel_BuiltIn_Print_Titles_2_8_4_6_10_2" localSheetId="16">#REF!</definedName>
    <definedName name="Excel_BuiltIn_Print_Titles_2_8_4_6_10_2" localSheetId="53">#REF!</definedName>
    <definedName name="Excel_BuiltIn_Print_Titles_2_8_4_6_10_2">#REF!</definedName>
    <definedName name="Excel_BuiltIn_Print_Titles_2_8_4_6_10_3" localSheetId="16">#REF!</definedName>
    <definedName name="Excel_BuiltIn_Print_Titles_2_8_4_6_10_3" localSheetId="53">#REF!</definedName>
    <definedName name="Excel_BuiltIn_Print_Titles_2_8_4_6_10_3">#REF!</definedName>
    <definedName name="Excel_BuiltIn_Print_Titles_2_8_4_6_2" localSheetId="16">#REF!</definedName>
    <definedName name="Excel_BuiltIn_Print_Titles_2_8_4_6_2" localSheetId="53">#REF!</definedName>
    <definedName name="Excel_BuiltIn_Print_Titles_2_8_4_6_2">#REF!</definedName>
    <definedName name="Excel_BuiltIn_Print_Titles_2_8_4_6_3" localSheetId="16">#REF!</definedName>
    <definedName name="Excel_BuiltIn_Print_Titles_2_8_4_6_3" localSheetId="53">#REF!</definedName>
    <definedName name="Excel_BuiltIn_Print_Titles_2_8_4_6_3">#REF!</definedName>
    <definedName name="Excel_BuiltIn_Print_Titles_2_8_4_6_9" localSheetId="16">#REF!</definedName>
    <definedName name="Excel_BuiltIn_Print_Titles_2_8_4_6_9" localSheetId="53">#REF!</definedName>
    <definedName name="Excel_BuiltIn_Print_Titles_2_8_4_6_9">#REF!</definedName>
    <definedName name="Excel_BuiltIn_Print_Titles_2_8_4_6_9_1" localSheetId="16">#REF!</definedName>
    <definedName name="Excel_BuiltIn_Print_Titles_2_8_4_6_9_1" localSheetId="53">#REF!</definedName>
    <definedName name="Excel_BuiltIn_Print_Titles_2_8_4_6_9_1">#REF!</definedName>
    <definedName name="Excel_BuiltIn_Print_Titles_2_8_4_6_9_2" localSheetId="16">#REF!</definedName>
    <definedName name="Excel_BuiltIn_Print_Titles_2_8_4_6_9_2" localSheetId="53">#REF!</definedName>
    <definedName name="Excel_BuiltIn_Print_Titles_2_8_4_6_9_2">#REF!</definedName>
    <definedName name="Excel_BuiltIn_Print_Titles_2_8_4_6_9_3" localSheetId="16">#REF!</definedName>
    <definedName name="Excel_BuiltIn_Print_Titles_2_8_4_6_9_3" localSheetId="53">#REF!</definedName>
    <definedName name="Excel_BuiltIn_Print_Titles_2_8_4_6_9_3">#REF!</definedName>
    <definedName name="Excel_BuiltIn_Print_Titles_2_8_4_8" localSheetId="16">#REF!</definedName>
    <definedName name="Excel_BuiltIn_Print_Titles_2_8_4_8" localSheetId="53">#REF!</definedName>
    <definedName name="Excel_BuiltIn_Print_Titles_2_8_4_8">#REF!</definedName>
    <definedName name="Excel_BuiltIn_Print_Titles_2_8_4_8_1" localSheetId="16">#REF!</definedName>
    <definedName name="Excel_BuiltIn_Print_Titles_2_8_4_8_1" localSheetId="53">#REF!</definedName>
    <definedName name="Excel_BuiltIn_Print_Titles_2_8_4_8_1">#REF!</definedName>
    <definedName name="Excel_BuiltIn_Print_Titles_2_8_4_8_10" localSheetId="16">#REF!</definedName>
    <definedName name="Excel_BuiltIn_Print_Titles_2_8_4_8_10" localSheetId="53">#REF!</definedName>
    <definedName name="Excel_BuiltIn_Print_Titles_2_8_4_8_10">#REF!</definedName>
    <definedName name="Excel_BuiltIn_Print_Titles_2_8_4_8_10_1" localSheetId="16">#REF!</definedName>
    <definedName name="Excel_BuiltIn_Print_Titles_2_8_4_8_10_1" localSheetId="53">#REF!</definedName>
    <definedName name="Excel_BuiltIn_Print_Titles_2_8_4_8_10_1">#REF!</definedName>
    <definedName name="Excel_BuiltIn_Print_Titles_2_8_4_8_10_2" localSheetId="16">#REF!</definedName>
    <definedName name="Excel_BuiltIn_Print_Titles_2_8_4_8_10_2" localSheetId="53">#REF!</definedName>
    <definedName name="Excel_BuiltIn_Print_Titles_2_8_4_8_10_2">#REF!</definedName>
    <definedName name="Excel_BuiltIn_Print_Titles_2_8_4_8_10_3" localSheetId="16">#REF!</definedName>
    <definedName name="Excel_BuiltIn_Print_Titles_2_8_4_8_10_3" localSheetId="53">#REF!</definedName>
    <definedName name="Excel_BuiltIn_Print_Titles_2_8_4_8_10_3">#REF!</definedName>
    <definedName name="Excel_BuiltIn_Print_Titles_2_8_4_8_2" localSheetId="16">#REF!</definedName>
    <definedName name="Excel_BuiltIn_Print_Titles_2_8_4_8_2" localSheetId="53">#REF!</definedName>
    <definedName name="Excel_BuiltIn_Print_Titles_2_8_4_8_2">#REF!</definedName>
    <definedName name="Excel_BuiltIn_Print_Titles_2_8_4_8_3" localSheetId="16">#REF!</definedName>
    <definedName name="Excel_BuiltIn_Print_Titles_2_8_4_8_3" localSheetId="53">#REF!</definedName>
    <definedName name="Excel_BuiltIn_Print_Titles_2_8_4_8_3">#REF!</definedName>
    <definedName name="Excel_BuiltIn_Print_Titles_2_8_4_8_9" localSheetId="16">#REF!</definedName>
    <definedName name="Excel_BuiltIn_Print_Titles_2_8_4_8_9" localSheetId="53">#REF!</definedName>
    <definedName name="Excel_BuiltIn_Print_Titles_2_8_4_8_9">#REF!</definedName>
    <definedName name="Excel_BuiltIn_Print_Titles_2_8_4_8_9_1" localSheetId="16">#REF!</definedName>
    <definedName name="Excel_BuiltIn_Print_Titles_2_8_4_8_9_1" localSheetId="53">#REF!</definedName>
    <definedName name="Excel_BuiltIn_Print_Titles_2_8_4_8_9_1">#REF!</definedName>
    <definedName name="Excel_BuiltIn_Print_Titles_2_8_4_8_9_2" localSheetId="16">#REF!</definedName>
    <definedName name="Excel_BuiltIn_Print_Titles_2_8_4_8_9_2" localSheetId="53">#REF!</definedName>
    <definedName name="Excel_BuiltIn_Print_Titles_2_8_4_8_9_2">#REF!</definedName>
    <definedName name="Excel_BuiltIn_Print_Titles_2_8_4_8_9_3" localSheetId="16">#REF!</definedName>
    <definedName name="Excel_BuiltIn_Print_Titles_2_8_4_8_9_3" localSheetId="53">#REF!</definedName>
    <definedName name="Excel_BuiltIn_Print_Titles_2_8_4_8_9_3">#REF!</definedName>
    <definedName name="Excel_BuiltIn_Print_Titles_2_8_4_9" localSheetId="16">#REF!</definedName>
    <definedName name="Excel_BuiltIn_Print_Titles_2_8_4_9" localSheetId="53">#REF!</definedName>
    <definedName name="Excel_BuiltIn_Print_Titles_2_8_4_9">#REF!</definedName>
    <definedName name="Excel_BuiltIn_Print_Titles_2_8_4_9_1" localSheetId="16">#REF!</definedName>
    <definedName name="Excel_BuiltIn_Print_Titles_2_8_4_9_1" localSheetId="53">#REF!</definedName>
    <definedName name="Excel_BuiltIn_Print_Titles_2_8_4_9_1">#REF!</definedName>
    <definedName name="Excel_BuiltIn_Print_Titles_2_8_4_9_2" localSheetId="16">#REF!</definedName>
    <definedName name="Excel_BuiltIn_Print_Titles_2_8_4_9_2" localSheetId="53">#REF!</definedName>
    <definedName name="Excel_BuiltIn_Print_Titles_2_8_4_9_2">#REF!</definedName>
    <definedName name="Excel_BuiltIn_Print_Titles_2_8_4_9_3" localSheetId="16">#REF!</definedName>
    <definedName name="Excel_BuiltIn_Print_Titles_2_8_4_9_3" localSheetId="53">#REF!</definedName>
    <definedName name="Excel_BuiltIn_Print_Titles_2_8_4_9_3">#REF!</definedName>
    <definedName name="Excel_BuiltIn_Print_Titles_2_8_5" localSheetId="16">#REF!</definedName>
    <definedName name="Excel_BuiltIn_Print_Titles_2_8_5" localSheetId="53">#REF!</definedName>
    <definedName name="Excel_BuiltIn_Print_Titles_2_8_5">#REF!</definedName>
    <definedName name="Excel_BuiltIn_Print_Titles_2_8_5_1" localSheetId="16">#REF!</definedName>
    <definedName name="Excel_BuiltIn_Print_Titles_2_8_5_1" localSheetId="53">#REF!</definedName>
    <definedName name="Excel_BuiltIn_Print_Titles_2_8_5_1">#REF!</definedName>
    <definedName name="Excel_BuiltIn_Print_Titles_2_8_5_10" localSheetId="16">#REF!</definedName>
    <definedName name="Excel_BuiltIn_Print_Titles_2_8_5_10" localSheetId="53">#REF!</definedName>
    <definedName name="Excel_BuiltIn_Print_Titles_2_8_5_10">#REF!</definedName>
    <definedName name="Excel_BuiltIn_Print_Titles_2_8_5_10_1" localSheetId="16">#REF!</definedName>
    <definedName name="Excel_BuiltIn_Print_Titles_2_8_5_10_1" localSheetId="53">#REF!</definedName>
    <definedName name="Excel_BuiltIn_Print_Titles_2_8_5_10_1">#REF!</definedName>
    <definedName name="Excel_BuiltIn_Print_Titles_2_8_5_10_2" localSheetId="16">#REF!</definedName>
    <definedName name="Excel_BuiltIn_Print_Titles_2_8_5_10_2" localSheetId="53">#REF!</definedName>
    <definedName name="Excel_BuiltIn_Print_Titles_2_8_5_10_2">#REF!</definedName>
    <definedName name="Excel_BuiltIn_Print_Titles_2_8_5_10_3" localSheetId="16">#REF!</definedName>
    <definedName name="Excel_BuiltIn_Print_Titles_2_8_5_10_3" localSheetId="53">#REF!</definedName>
    <definedName name="Excel_BuiltIn_Print_Titles_2_8_5_10_3">#REF!</definedName>
    <definedName name="Excel_BuiltIn_Print_Titles_2_8_5_2" localSheetId="16">#REF!</definedName>
    <definedName name="Excel_BuiltIn_Print_Titles_2_8_5_2" localSheetId="53">#REF!</definedName>
    <definedName name="Excel_BuiltIn_Print_Titles_2_8_5_2">#REF!</definedName>
    <definedName name="Excel_BuiltIn_Print_Titles_2_8_5_3" localSheetId="16">#REF!</definedName>
    <definedName name="Excel_BuiltIn_Print_Titles_2_8_5_3" localSheetId="53">#REF!</definedName>
    <definedName name="Excel_BuiltIn_Print_Titles_2_8_5_3">#REF!</definedName>
    <definedName name="Excel_BuiltIn_Print_Titles_2_8_5_9" localSheetId="16">#REF!</definedName>
    <definedName name="Excel_BuiltIn_Print_Titles_2_8_5_9" localSheetId="53">#REF!</definedName>
    <definedName name="Excel_BuiltIn_Print_Titles_2_8_5_9">#REF!</definedName>
    <definedName name="Excel_BuiltIn_Print_Titles_2_8_5_9_1" localSheetId="16">#REF!</definedName>
    <definedName name="Excel_BuiltIn_Print_Titles_2_8_5_9_1" localSheetId="53">#REF!</definedName>
    <definedName name="Excel_BuiltIn_Print_Titles_2_8_5_9_1">#REF!</definedName>
    <definedName name="Excel_BuiltIn_Print_Titles_2_8_5_9_2" localSheetId="16">#REF!</definedName>
    <definedName name="Excel_BuiltIn_Print_Titles_2_8_5_9_2" localSheetId="53">#REF!</definedName>
    <definedName name="Excel_BuiltIn_Print_Titles_2_8_5_9_2">#REF!</definedName>
    <definedName name="Excel_BuiltIn_Print_Titles_2_8_5_9_3" localSheetId="16">#REF!</definedName>
    <definedName name="Excel_BuiltIn_Print_Titles_2_8_5_9_3" localSheetId="53">#REF!</definedName>
    <definedName name="Excel_BuiltIn_Print_Titles_2_8_5_9_3">#REF!</definedName>
    <definedName name="Excel_BuiltIn_Print_Titles_2_8_6" localSheetId="16">#REF!</definedName>
    <definedName name="Excel_BuiltIn_Print_Titles_2_8_6" localSheetId="53">#REF!</definedName>
    <definedName name="Excel_BuiltIn_Print_Titles_2_8_6">#REF!</definedName>
    <definedName name="Excel_BuiltIn_Print_Titles_2_8_6_1" localSheetId="16">#REF!</definedName>
    <definedName name="Excel_BuiltIn_Print_Titles_2_8_6_1" localSheetId="53">#REF!</definedName>
    <definedName name="Excel_BuiltIn_Print_Titles_2_8_6_1">#REF!</definedName>
    <definedName name="Excel_BuiltIn_Print_Titles_2_8_6_10" localSheetId="16">#REF!</definedName>
    <definedName name="Excel_BuiltIn_Print_Titles_2_8_6_10" localSheetId="53">#REF!</definedName>
    <definedName name="Excel_BuiltIn_Print_Titles_2_8_6_10">#REF!</definedName>
    <definedName name="Excel_BuiltIn_Print_Titles_2_8_6_10_1" localSheetId="16">#REF!</definedName>
    <definedName name="Excel_BuiltIn_Print_Titles_2_8_6_10_1" localSheetId="53">#REF!</definedName>
    <definedName name="Excel_BuiltIn_Print_Titles_2_8_6_10_1">#REF!</definedName>
    <definedName name="Excel_BuiltIn_Print_Titles_2_8_6_10_2" localSheetId="16">#REF!</definedName>
    <definedName name="Excel_BuiltIn_Print_Titles_2_8_6_10_2" localSheetId="53">#REF!</definedName>
    <definedName name="Excel_BuiltIn_Print_Titles_2_8_6_10_2">#REF!</definedName>
    <definedName name="Excel_BuiltIn_Print_Titles_2_8_6_10_3" localSheetId="16">#REF!</definedName>
    <definedName name="Excel_BuiltIn_Print_Titles_2_8_6_10_3" localSheetId="53">#REF!</definedName>
    <definedName name="Excel_BuiltIn_Print_Titles_2_8_6_10_3">#REF!</definedName>
    <definedName name="Excel_BuiltIn_Print_Titles_2_8_6_2" localSheetId="16">#REF!</definedName>
    <definedName name="Excel_BuiltIn_Print_Titles_2_8_6_2" localSheetId="53">#REF!</definedName>
    <definedName name="Excel_BuiltIn_Print_Titles_2_8_6_2">#REF!</definedName>
    <definedName name="Excel_BuiltIn_Print_Titles_2_8_6_3" localSheetId="16">#REF!</definedName>
    <definedName name="Excel_BuiltIn_Print_Titles_2_8_6_3" localSheetId="53">#REF!</definedName>
    <definedName name="Excel_BuiltIn_Print_Titles_2_8_6_3">#REF!</definedName>
    <definedName name="Excel_BuiltIn_Print_Titles_2_8_6_9" localSheetId="16">#REF!</definedName>
    <definedName name="Excel_BuiltIn_Print_Titles_2_8_6_9" localSheetId="53">#REF!</definedName>
    <definedName name="Excel_BuiltIn_Print_Titles_2_8_6_9">#REF!</definedName>
    <definedName name="Excel_BuiltIn_Print_Titles_2_8_6_9_1" localSheetId="16">#REF!</definedName>
    <definedName name="Excel_BuiltIn_Print_Titles_2_8_6_9_1" localSheetId="53">#REF!</definedName>
    <definedName name="Excel_BuiltIn_Print_Titles_2_8_6_9_1">#REF!</definedName>
    <definedName name="Excel_BuiltIn_Print_Titles_2_8_6_9_2" localSheetId="16">#REF!</definedName>
    <definedName name="Excel_BuiltIn_Print_Titles_2_8_6_9_2" localSheetId="53">#REF!</definedName>
    <definedName name="Excel_BuiltIn_Print_Titles_2_8_6_9_2">#REF!</definedName>
    <definedName name="Excel_BuiltIn_Print_Titles_2_8_6_9_3" localSheetId="16">#REF!</definedName>
    <definedName name="Excel_BuiltIn_Print_Titles_2_8_6_9_3" localSheetId="53">#REF!</definedName>
    <definedName name="Excel_BuiltIn_Print_Titles_2_8_6_9_3">#REF!</definedName>
    <definedName name="Excel_BuiltIn_Print_Titles_2_8_8" localSheetId="16">#REF!</definedName>
    <definedName name="Excel_BuiltIn_Print_Titles_2_8_8" localSheetId="53">#REF!</definedName>
    <definedName name="Excel_BuiltIn_Print_Titles_2_8_8">#REF!</definedName>
    <definedName name="Excel_BuiltIn_Print_Titles_2_8_8_1" localSheetId="16">#REF!</definedName>
    <definedName name="Excel_BuiltIn_Print_Titles_2_8_8_1" localSheetId="53">#REF!</definedName>
    <definedName name="Excel_BuiltIn_Print_Titles_2_8_8_1">#REF!</definedName>
    <definedName name="Excel_BuiltIn_Print_Titles_2_8_8_10" localSheetId="16">#REF!</definedName>
    <definedName name="Excel_BuiltIn_Print_Titles_2_8_8_10" localSheetId="53">#REF!</definedName>
    <definedName name="Excel_BuiltIn_Print_Titles_2_8_8_10">#REF!</definedName>
    <definedName name="Excel_BuiltIn_Print_Titles_2_8_8_10_1" localSheetId="16">#REF!</definedName>
    <definedName name="Excel_BuiltIn_Print_Titles_2_8_8_10_1" localSheetId="53">#REF!</definedName>
    <definedName name="Excel_BuiltIn_Print_Titles_2_8_8_10_1">#REF!</definedName>
    <definedName name="Excel_BuiltIn_Print_Titles_2_8_8_10_2" localSheetId="16">#REF!</definedName>
    <definedName name="Excel_BuiltIn_Print_Titles_2_8_8_10_2" localSheetId="53">#REF!</definedName>
    <definedName name="Excel_BuiltIn_Print_Titles_2_8_8_10_2">#REF!</definedName>
    <definedName name="Excel_BuiltIn_Print_Titles_2_8_8_10_3" localSheetId="16">#REF!</definedName>
    <definedName name="Excel_BuiltIn_Print_Titles_2_8_8_10_3" localSheetId="53">#REF!</definedName>
    <definedName name="Excel_BuiltIn_Print_Titles_2_8_8_10_3">#REF!</definedName>
    <definedName name="Excel_BuiltIn_Print_Titles_2_8_8_2" localSheetId="16">#REF!</definedName>
    <definedName name="Excel_BuiltIn_Print_Titles_2_8_8_2" localSheetId="53">#REF!</definedName>
    <definedName name="Excel_BuiltIn_Print_Titles_2_8_8_2">#REF!</definedName>
    <definedName name="Excel_BuiltIn_Print_Titles_2_8_8_3" localSheetId="16">#REF!</definedName>
    <definedName name="Excel_BuiltIn_Print_Titles_2_8_8_3" localSheetId="53">#REF!</definedName>
    <definedName name="Excel_BuiltIn_Print_Titles_2_8_8_3">#REF!</definedName>
    <definedName name="Excel_BuiltIn_Print_Titles_2_8_8_9" localSheetId="16">#REF!</definedName>
    <definedName name="Excel_BuiltIn_Print_Titles_2_8_8_9" localSheetId="53">#REF!</definedName>
    <definedName name="Excel_BuiltIn_Print_Titles_2_8_8_9">#REF!</definedName>
    <definedName name="Excel_BuiltIn_Print_Titles_2_8_8_9_1" localSheetId="16">#REF!</definedName>
    <definedName name="Excel_BuiltIn_Print_Titles_2_8_8_9_1" localSheetId="53">#REF!</definedName>
    <definedName name="Excel_BuiltIn_Print_Titles_2_8_8_9_1">#REF!</definedName>
    <definedName name="Excel_BuiltIn_Print_Titles_2_8_8_9_2" localSheetId="16">#REF!</definedName>
    <definedName name="Excel_BuiltIn_Print_Titles_2_8_8_9_2" localSheetId="53">#REF!</definedName>
    <definedName name="Excel_BuiltIn_Print_Titles_2_8_8_9_2">#REF!</definedName>
    <definedName name="Excel_BuiltIn_Print_Titles_2_8_8_9_3" localSheetId="16">#REF!</definedName>
    <definedName name="Excel_BuiltIn_Print_Titles_2_8_8_9_3" localSheetId="53">#REF!</definedName>
    <definedName name="Excel_BuiltIn_Print_Titles_2_8_8_9_3">#REF!</definedName>
    <definedName name="Excel_BuiltIn_Print_Titles_2_8_9" localSheetId="16">#REF!</definedName>
    <definedName name="Excel_BuiltIn_Print_Titles_2_8_9" localSheetId="53">#REF!</definedName>
    <definedName name="Excel_BuiltIn_Print_Titles_2_8_9">#REF!</definedName>
    <definedName name="Excel_BuiltIn_Print_Titles_2_8_9_1" localSheetId="16">#REF!</definedName>
    <definedName name="Excel_BuiltIn_Print_Titles_2_8_9_1" localSheetId="53">#REF!</definedName>
    <definedName name="Excel_BuiltIn_Print_Titles_2_8_9_1">#REF!</definedName>
    <definedName name="Excel_BuiltIn_Print_Titles_2_8_9_2" localSheetId="16">#REF!</definedName>
    <definedName name="Excel_BuiltIn_Print_Titles_2_8_9_2" localSheetId="53">#REF!</definedName>
    <definedName name="Excel_BuiltIn_Print_Titles_2_8_9_2">#REF!</definedName>
    <definedName name="Excel_BuiltIn_Print_Titles_2_8_9_3" localSheetId="16">#REF!</definedName>
    <definedName name="Excel_BuiltIn_Print_Titles_2_8_9_3" localSheetId="53">#REF!</definedName>
    <definedName name="Excel_BuiltIn_Print_Titles_2_8_9_3">#REF!</definedName>
    <definedName name="Excel_BuiltIn_Print_Titles_2_9" localSheetId="16">#REF!</definedName>
    <definedName name="Excel_BuiltIn_Print_Titles_2_9" localSheetId="53">#REF!</definedName>
    <definedName name="Excel_BuiltIn_Print_Titles_2_9">#REF!</definedName>
    <definedName name="Excel_BuiltIn_Print_Titles_2_9_1" localSheetId="16">#REF!</definedName>
    <definedName name="Excel_BuiltIn_Print_Titles_2_9_1" localSheetId="53">#REF!</definedName>
    <definedName name="Excel_BuiltIn_Print_Titles_2_9_1">#REF!</definedName>
    <definedName name="Excel_BuiltIn_Print_Titles_2_9_1_1" localSheetId="16">#REF!</definedName>
    <definedName name="Excel_BuiltIn_Print_Titles_2_9_1_1" localSheetId="53">#REF!</definedName>
    <definedName name="Excel_BuiltIn_Print_Titles_2_9_1_1">#REF!</definedName>
    <definedName name="Excel_BuiltIn_Print_Titles_2_9_1_1_1">#REF!</definedName>
    <definedName name="Excel_BuiltIn_Print_Titles_2_9_1_2" localSheetId="16">#REF!</definedName>
    <definedName name="Excel_BuiltIn_Print_Titles_2_9_1_2" localSheetId="53">#REF!</definedName>
    <definedName name="Excel_BuiltIn_Print_Titles_2_9_1_2">#REF!</definedName>
    <definedName name="Excel_BuiltIn_Print_Titles_2_9_1_3" localSheetId="16">#REF!</definedName>
    <definedName name="Excel_BuiltIn_Print_Titles_2_9_1_3" localSheetId="53">#REF!</definedName>
    <definedName name="Excel_BuiltIn_Print_Titles_2_9_1_3">#REF!</definedName>
    <definedName name="Excel_BuiltIn_Print_Titles_2_9_10" localSheetId="16">#REF!</definedName>
    <definedName name="Excel_BuiltIn_Print_Titles_2_9_10" localSheetId="53">#REF!</definedName>
    <definedName name="Excel_BuiltIn_Print_Titles_2_9_10">#REF!</definedName>
    <definedName name="Excel_BuiltIn_Print_Titles_2_9_10_1" localSheetId="16">#REF!</definedName>
    <definedName name="Excel_BuiltIn_Print_Titles_2_9_10_1" localSheetId="53">#REF!</definedName>
    <definedName name="Excel_BuiltIn_Print_Titles_2_9_10_1">#REF!</definedName>
    <definedName name="Excel_BuiltIn_Print_Titles_2_9_10_2" localSheetId="16">#REF!</definedName>
    <definedName name="Excel_BuiltIn_Print_Titles_2_9_10_2" localSheetId="53">#REF!</definedName>
    <definedName name="Excel_BuiltIn_Print_Titles_2_9_10_2">#REF!</definedName>
    <definedName name="Excel_BuiltIn_Print_Titles_2_9_10_3" localSheetId="16">#REF!</definedName>
    <definedName name="Excel_BuiltIn_Print_Titles_2_9_10_3" localSheetId="53">#REF!</definedName>
    <definedName name="Excel_BuiltIn_Print_Titles_2_9_10_3">#REF!</definedName>
    <definedName name="Excel_BuiltIn_Print_Titles_2_9_2" localSheetId="16">#REF!</definedName>
    <definedName name="Excel_BuiltIn_Print_Titles_2_9_2" localSheetId="53">#REF!</definedName>
    <definedName name="Excel_BuiltIn_Print_Titles_2_9_2">#REF!</definedName>
    <definedName name="Excel_BuiltIn_Print_Titles_2_9_3" localSheetId="16">#REF!</definedName>
    <definedName name="Excel_BuiltIn_Print_Titles_2_9_3" localSheetId="53">#REF!</definedName>
    <definedName name="Excel_BuiltIn_Print_Titles_2_9_3">#REF!</definedName>
    <definedName name="Excel_BuiltIn_Print_Titles_2_9_4" localSheetId="16">#REF!</definedName>
    <definedName name="Excel_BuiltIn_Print_Titles_2_9_4" localSheetId="53">#REF!</definedName>
    <definedName name="Excel_BuiltIn_Print_Titles_2_9_4">#REF!</definedName>
    <definedName name="Excel_BuiltIn_Print_Titles_2_9_4_1" localSheetId="16">#REF!</definedName>
    <definedName name="Excel_BuiltIn_Print_Titles_2_9_4_1" localSheetId="53">#REF!</definedName>
    <definedName name="Excel_BuiltIn_Print_Titles_2_9_4_1">#REF!</definedName>
    <definedName name="Excel_BuiltIn_Print_Titles_2_9_4_1_1" localSheetId="16">#REF!</definedName>
    <definedName name="Excel_BuiltIn_Print_Titles_2_9_4_1_1" localSheetId="53">#REF!</definedName>
    <definedName name="Excel_BuiltIn_Print_Titles_2_9_4_1_1">#REF!</definedName>
    <definedName name="Excel_BuiltIn_Print_Titles_2_9_4_1_1_1">#REF!</definedName>
    <definedName name="Excel_BuiltIn_Print_Titles_2_9_4_1_10" localSheetId="16">#REF!</definedName>
    <definedName name="Excel_BuiltIn_Print_Titles_2_9_4_1_10" localSheetId="53">#REF!</definedName>
    <definedName name="Excel_BuiltIn_Print_Titles_2_9_4_1_10">#REF!</definedName>
    <definedName name="Excel_BuiltIn_Print_Titles_2_9_4_1_10_1" localSheetId="16">#REF!</definedName>
    <definedName name="Excel_BuiltIn_Print_Titles_2_9_4_1_10_1" localSheetId="53">#REF!</definedName>
    <definedName name="Excel_BuiltIn_Print_Titles_2_9_4_1_10_1">#REF!</definedName>
    <definedName name="Excel_BuiltIn_Print_Titles_2_9_4_1_10_2" localSheetId="16">#REF!</definedName>
    <definedName name="Excel_BuiltIn_Print_Titles_2_9_4_1_10_2" localSheetId="53">#REF!</definedName>
    <definedName name="Excel_BuiltIn_Print_Titles_2_9_4_1_10_2">#REF!</definedName>
    <definedName name="Excel_BuiltIn_Print_Titles_2_9_4_1_10_3" localSheetId="16">#REF!</definedName>
    <definedName name="Excel_BuiltIn_Print_Titles_2_9_4_1_10_3" localSheetId="53">#REF!</definedName>
    <definedName name="Excel_BuiltIn_Print_Titles_2_9_4_1_10_3">#REF!</definedName>
    <definedName name="Excel_BuiltIn_Print_Titles_2_9_4_1_2" localSheetId="16">#REF!</definedName>
    <definedName name="Excel_BuiltIn_Print_Titles_2_9_4_1_2" localSheetId="53">#REF!</definedName>
    <definedName name="Excel_BuiltIn_Print_Titles_2_9_4_1_2">#REF!</definedName>
    <definedName name="Excel_BuiltIn_Print_Titles_2_9_4_1_3" localSheetId="16">#REF!</definedName>
    <definedName name="Excel_BuiltIn_Print_Titles_2_9_4_1_3" localSheetId="53">#REF!</definedName>
    <definedName name="Excel_BuiltIn_Print_Titles_2_9_4_1_3">#REF!</definedName>
    <definedName name="Excel_BuiltIn_Print_Titles_2_9_4_1_9" localSheetId="16">#REF!</definedName>
    <definedName name="Excel_BuiltIn_Print_Titles_2_9_4_1_9" localSheetId="53">#REF!</definedName>
    <definedName name="Excel_BuiltIn_Print_Titles_2_9_4_1_9">#REF!</definedName>
    <definedName name="Excel_BuiltIn_Print_Titles_2_9_4_1_9_1" localSheetId="16">#REF!</definedName>
    <definedName name="Excel_BuiltIn_Print_Titles_2_9_4_1_9_1" localSheetId="53">#REF!</definedName>
    <definedName name="Excel_BuiltIn_Print_Titles_2_9_4_1_9_1">#REF!</definedName>
    <definedName name="Excel_BuiltIn_Print_Titles_2_9_4_1_9_2" localSheetId="16">#REF!</definedName>
    <definedName name="Excel_BuiltIn_Print_Titles_2_9_4_1_9_2" localSheetId="53">#REF!</definedName>
    <definedName name="Excel_BuiltIn_Print_Titles_2_9_4_1_9_2">#REF!</definedName>
    <definedName name="Excel_BuiltIn_Print_Titles_2_9_4_1_9_3" localSheetId="16">#REF!</definedName>
    <definedName name="Excel_BuiltIn_Print_Titles_2_9_4_1_9_3" localSheetId="53">#REF!</definedName>
    <definedName name="Excel_BuiltIn_Print_Titles_2_9_4_1_9_3">#REF!</definedName>
    <definedName name="Excel_BuiltIn_Print_Titles_2_9_4_10" localSheetId="16">#REF!</definedName>
    <definedName name="Excel_BuiltIn_Print_Titles_2_9_4_10" localSheetId="53">#REF!</definedName>
    <definedName name="Excel_BuiltIn_Print_Titles_2_9_4_10">#REF!</definedName>
    <definedName name="Excel_BuiltIn_Print_Titles_2_9_4_10_1" localSheetId="16">#REF!</definedName>
    <definedName name="Excel_BuiltIn_Print_Titles_2_9_4_10_1" localSheetId="53">#REF!</definedName>
    <definedName name="Excel_BuiltIn_Print_Titles_2_9_4_10_1">#REF!</definedName>
    <definedName name="Excel_BuiltIn_Print_Titles_2_9_4_10_2" localSheetId="16">#REF!</definedName>
    <definedName name="Excel_BuiltIn_Print_Titles_2_9_4_10_2" localSheetId="53">#REF!</definedName>
    <definedName name="Excel_BuiltIn_Print_Titles_2_9_4_10_2">#REF!</definedName>
    <definedName name="Excel_BuiltIn_Print_Titles_2_9_4_10_3" localSheetId="16">#REF!</definedName>
    <definedName name="Excel_BuiltIn_Print_Titles_2_9_4_10_3" localSheetId="53">#REF!</definedName>
    <definedName name="Excel_BuiltIn_Print_Titles_2_9_4_10_3">#REF!</definedName>
    <definedName name="Excel_BuiltIn_Print_Titles_2_9_4_2" localSheetId="16">#REF!</definedName>
    <definedName name="Excel_BuiltIn_Print_Titles_2_9_4_2" localSheetId="53">#REF!</definedName>
    <definedName name="Excel_BuiltIn_Print_Titles_2_9_4_2">#REF!</definedName>
    <definedName name="Excel_BuiltIn_Print_Titles_2_9_4_3" localSheetId="16">#REF!</definedName>
    <definedName name="Excel_BuiltIn_Print_Titles_2_9_4_3" localSheetId="53">#REF!</definedName>
    <definedName name="Excel_BuiltIn_Print_Titles_2_9_4_3">#REF!</definedName>
    <definedName name="Excel_BuiltIn_Print_Titles_2_9_4_4" localSheetId="16">#REF!</definedName>
    <definedName name="Excel_BuiltIn_Print_Titles_2_9_4_4" localSheetId="53">#REF!</definedName>
    <definedName name="Excel_BuiltIn_Print_Titles_2_9_4_4">#REF!</definedName>
    <definedName name="Excel_BuiltIn_Print_Titles_2_9_4_4_1" localSheetId="16">#REF!</definedName>
    <definedName name="Excel_BuiltIn_Print_Titles_2_9_4_4_1" localSheetId="53">#REF!</definedName>
    <definedName name="Excel_BuiltIn_Print_Titles_2_9_4_4_1">#REF!</definedName>
    <definedName name="Excel_BuiltIn_Print_Titles_2_9_4_4_10" localSheetId="16">#REF!</definedName>
    <definedName name="Excel_BuiltIn_Print_Titles_2_9_4_4_10" localSheetId="53">#REF!</definedName>
    <definedName name="Excel_BuiltIn_Print_Titles_2_9_4_4_10">#REF!</definedName>
    <definedName name="Excel_BuiltIn_Print_Titles_2_9_4_4_10_1" localSheetId="16">#REF!</definedName>
    <definedName name="Excel_BuiltIn_Print_Titles_2_9_4_4_10_1" localSheetId="53">#REF!</definedName>
    <definedName name="Excel_BuiltIn_Print_Titles_2_9_4_4_10_1">#REF!</definedName>
    <definedName name="Excel_BuiltIn_Print_Titles_2_9_4_4_10_2" localSheetId="16">#REF!</definedName>
    <definedName name="Excel_BuiltIn_Print_Titles_2_9_4_4_10_2" localSheetId="53">#REF!</definedName>
    <definedName name="Excel_BuiltIn_Print_Titles_2_9_4_4_10_2">#REF!</definedName>
    <definedName name="Excel_BuiltIn_Print_Titles_2_9_4_4_10_3" localSheetId="16">#REF!</definedName>
    <definedName name="Excel_BuiltIn_Print_Titles_2_9_4_4_10_3" localSheetId="53">#REF!</definedName>
    <definedName name="Excel_BuiltIn_Print_Titles_2_9_4_4_10_3">#REF!</definedName>
    <definedName name="Excel_BuiltIn_Print_Titles_2_9_4_4_2" localSheetId="16">#REF!</definedName>
    <definedName name="Excel_BuiltIn_Print_Titles_2_9_4_4_2" localSheetId="53">#REF!</definedName>
    <definedName name="Excel_BuiltIn_Print_Titles_2_9_4_4_2">#REF!</definedName>
    <definedName name="Excel_BuiltIn_Print_Titles_2_9_4_4_3" localSheetId="16">#REF!</definedName>
    <definedName name="Excel_BuiltIn_Print_Titles_2_9_4_4_3" localSheetId="53">#REF!</definedName>
    <definedName name="Excel_BuiltIn_Print_Titles_2_9_4_4_3">#REF!</definedName>
    <definedName name="Excel_BuiltIn_Print_Titles_2_9_4_4_9" localSheetId="16">#REF!</definedName>
    <definedName name="Excel_BuiltIn_Print_Titles_2_9_4_4_9" localSheetId="53">#REF!</definedName>
    <definedName name="Excel_BuiltIn_Print_Titles_2_9_4_4_9">#REF!</definedName>
    <definedName name="Excel_BuiltIn_Print_Titles_2_9_4_4_9_1" localSheetId="16">#REF!</definedName>
    <definedName name="Excel_BuiltIn_Print_Titles_2_9_4_4_9_1" localSheetId="53">#REF!</definedName>
    <definedName name="Excel_BuiltIn_Print_Titles_2_9_4_4_9_1">#REF!</definedName>
    <definedName name="Excel_BuiltIn_Print_Titles_2_9_4_4_9_2" localSheetId="16">#REF!</definedName>
    <definedName name="Excel_BuiltIn_Print_Titles_2_9_4_4_9_2" localSheetId="53">#REF!</definedName>
    <definedName name="Excel_BuiltIn_Print_Titles_2_9_4_4_9_2">#REF!</definedName>
    <definedName name="Excel_BuiltIn_Print_Titles_2_9_4_4_9_3" localSheetId="16">#REF!</definedName>
    <definedName name="Excel_BuiltIn_Print_Titles_2_9_4_4_9_3" localSheetId="53">#REF!</definedName>
    <definedName name="Excel_BuiltIn_Print_Titles_2_9_4_4_9_3">#REF!</definedName>
    <definedName name="Excel_BuiltIn_Print_Titles_2_9_4_5" localSheetId="16">#REF!</definedName>
    <definedName name="Excel_BuiltIn_Print_Titles_2_9_4_5" localSheetId="53">#REF!</definedName>
    <definedName name="Excel_BuiltIn_Print_Titles_2_9_4_5">#REF!</definedName>
    <definedName name="Excel_BuiltIn_Print_Titles_2_9_4_5_1" localSheetId="16">#REF!</definedName>
    <definedName name="Excel_BuiltIn_Print_Titles_2_9_4_5_1" localSheetId="53">#REF!</definedName>
    <definedName name="Excel_BuiltIn_Print_Titles_2_9_4_5_1">#REF!</definedName>
    <definedName name="Excel_BuiltIn_Print_Titles_2_9_4_5_10" localSheetId="16">#REF!</definedName>
    <definedName name="Excel_BuiltIn_Print_Titles_2_9_4_5_10" localSheetId="53">#REF!</definedName>
    <definedName name="Excel_BuiltIn_Print_Titles_2_9_4_5_10">#REF!</definedName>
    <definedName name="Excel_BuiltIn_Print_Titles_2_9_4_5_10_1" localSheetId="16">#REF!</definedName>
    <definedName name="Excel_BuiltIn_Print_Titles_2_9_4_5_10_1" localSheetId="53">#REF!</definedName>
    <definedName name="Excel_BuiltIn_Print_Titles_2_9_4_5_10_1">#REF!</definedName>
    <definedName name="Excel_BuiltIn_Print_Titles_2_9_4_5_10_2" localSheetId="16">#REF!</definedName>
    <definedName name="Excel_BuiltIn_Print_Titles_2_9_4_5_10_2" localSheetId="53">#REF!</definedName>
    <definedName name="Excel_BuiltIn_Print_Titles_2_9_4_5_10_2">#REF!</definedName>
    <definedName name="Excel_BuiltIn_Print_Titles_2_9_4_5_10_3" localSheetId="16">#REF!</definedName>
    <definedName name="Excel_BuiltIn_Print_Titles_2_9_4_5_10_3" localSheetId="53">#REF!</definedName>
    <definedName name="Excel_BuiltIn_Print_Titles_2_9_4_5_10_3">#REF!</definedName>
    <definedName name="Excel_BuiltIn_Print_Titles_2_9_4_5_2" localSheetId="16">#REF!</definedName>
    <definedName name="Excel_BuiltIn_Print_Titles_2_9_4_5_2" localSheetId="53">#REF!</definedName>
    <definedName name="Excel_BuiltIn_Print_Titles_2_9_4_5_2">#REF!</definedName>
    <definedName name="Excel_BuiltIn_Print_Titles_2_9_4_5_3" localSheetId="16">#REF!</definedName>
    <definedName name="Excel_BuiltIn_Print_Titles_2_9_4_5_3" localSheetId="53">#REF!</definedName>
    <definedName name="Excel_BuiltIn_Print_Titles_2_9_4_5_3">#REF!</definedName>
    <definedName name="Excel_BuiltIn_Print_Titles_2_9_4_5_9" localSheetId="16">#REF!</definedName>
    <definedName name="Excel_BuiltIn_Print_Titles_2_9_4_5_9" localSheetId="53">#REF!</definedName>
    <definedName name="Excel_BuiltIn_Print_Titles_2_9_4_5_9">#REF!</definedName>
    <definedName name="Excel_BuiltIn_Print_Titles_2_9_4_5_9_1" localSheetId="16">#REF!</definedName>
    <definedName name="Excel_BuiltIn_Print_Titles_2_9_4_5_9_1" localSheetId="53">#REF!</definedName>
    <definedName name="Excel_BuiltIn_Print_Titles_2_9_4_5_9_1">#REF!</definedName>
    <definedName name="Excel_BuiltIn_Print_Titles_2_9_4_5_9_2" localSheetId="16">#REF!</definedName>
    <definedName name="Excel_BuiltIn_Print_Titles_2_9_4_5_9_2" localSheetId="53">#REF!</definedName>
    <definedName name="Excel_BuiltIn_Print_Titles_2_9_4_5_9_2">#REF!</definedName>
    <definedName name="Excel_BuiltIn_Print_Titles_2_9_4_5_9_3" localSheetId="16">#REF!</definedName>
    <definedName name="Excel_BuiltIn_Print_Titles_2_9_4_5_9_3" localSheetId="53">#REF!</definedName>
    <definedName name="Excel_BuiltIn_Print_Titles_2_9_4_5_9_3">#REF!</definedName>
    <definedName name="Excel_BuiltIn_Print_Titles_2_9_4_6" localSheetId="16">#REF!</definedName>
    <definedName name="Excel_BuiltIn_Print_Titles_2_9_4_6" localSheetId="53">#REF!</definedName>
    <definedName name="Excel_BuiltIn_Print_Titles_2_9_4_6">#REF!</definedName>
    <definedName name="Excel_BuiltIn_Print_Titles_2_9_4_6_1" localSheetId="16">#REF!</definedName>
    <definedName name="Excel_BuiltIn_Print_Titles_2_9_4_6_1" localSheetId="53">#REF!</definedName>
    <definedName name="Excel_BuiltIn_Print_Titles_2_9_4_6_1">#REF!</definedName>
    <definedName name="Excel_BuiltIn_Print_Titles_2_9_4_6_10" localSheetId="16">#REF!</definedName>
    <definedName name="Excel_BuiltIn_Print_Titles_2_9_4_6_10" localSheetId="53">#REF!</definedName>
    <definedName name="Excel_BuiltIn_Print_Titles_2_9_4_6_10">#REF!</definedName>
    <definedName name="Excel_BuiltIn_Print_Titles_2_9_4_6_10_1" localSheetId="16">#REF!</definedName>
    <definedName name="Excel_BuiltIn_Print_Titles_2_9_4_6_10_1" localSheetId="53">#REF!</definedName>
    <definedName name="Excel_BuiltIn_Print_Titles_2_9_4_6_10_1">#REF!</definedName>
    <definedName name="Excel_BuiltIn_Print_Titles_2_9_4_6_10_2" localSheetId="16">#REF!</definedName>
    <definedName name="Excel_BuiltIn_Print_Titles_2_9_4_6_10_2" localSheetId="53">#REF!</definedName>
    <definedName name="Excel_BuiltIn_Print_Titles_2_9_4_6_10_2">#REF!</definedName>
    <definedName name="Excel_BuiltIn_Print_Titles_2_9_4_6_10_3" localSheetId="16">#REF!</definedName>
    <definedName name="Excel_BuiltIn_Print_Titles_2_9_4_6_10_3" localSheetId="53">#REF!</definedName>
    <definedName name="Excel_BuiltIn_Print_Titles_2_9_4_6_10_3">#REF!</definedName>
    <definedName name="Excel_BuiltIn_Print_Titles_2_9_4_6_2" localSheetId="16">#REF!</definedName>
    <definedName name="Excel_BuiltIn_Print_Titles_2_9_4_6_2" localSheetId="53">#REF!</definedName>
    <definedName name="Excel_BuiltIn_Print_Titles_2_9_4_6_2">#REF!</definedName>
    <definedName name="Excel_BuiltIn_Print_Titles_2_9_4_6_3" localSheetId="16">#REF!</definedName>
    <definedName name="Excel_BuiltIn_Print_Titles_2_9_4_6_3" localSheetId="53">#REF!</definedName>
    <definedName name="Excel_BuiltIn_Print_Titles_2_9_4_6_3">#REF!</definedName>
    <definedName name="Excel_BuiltIn_Print_Titles_2_9_4_6_9" localSheetId="16">#REF!</definedName>
    <definedName name="Excel_BuiltIn_Print_Titles_2_9_4_6_9" localSheetId="53">#REF!</definedName>
    <definedName name="Excel_BuiltIn_Print_Titles_2_9_4_6_9">#REF!</definedName>
    <definedName name="Excel_BuiltIn_Print_Titles_2_9_4_6_9_1" localSheetId="16">#REF!</definedName>
    <definedName name="Excel_BuiltIn_Print_Titles_2_9_4_6_9_1" localSheetId="53">#REF!</definedName>
    <definedName name="Excel_BuiltIn_Print_Titles_2_9_4_6_9_1">#REF!</definedName>
    <definedName name="Excel_BuiltIn_Print_Titles_2_9_4_6_9_2" localSheetId="16">#REF!</definedName>
    <definedName name="Excel_BuiltIn_Print_Titles_2_9_4_6_9_2" localSheetId="53">#REF!</definedName>
    <definedName name="Excel_BuiltIn_Print_Titles_2_9_4_6_9_2">#REF!</definedName>
    <definedName name="Excel_BuiltIn_Print_Titles_2_9_4_6_9_3" localSheetId="16">#REF!</definedName>
    <definedName name="Excel_BuiltIn_Print_Titles_2_9_4_6_9_3" localSheetId="53">#REF!</definedName>
    <definedName name="Excel_BuiltIn_Print_Titles_2_9_4_6_9_3">#REF!</definedName>
    <definedName name="Excel_BuiltIn_Print_Titles_2_9_4_8" localSheetId="16">#REF!</definedName>
    <definedName name="Excel_BuiltIn_Print_Titles_2_9_4_8" localSheetId="53">#REF!</definedName>
    <definedName name="Excel_BuiltIn_Print_Titles_2_9_4_8">#REF!</definedName>
    <definedName name="Excel_BuiltIn_Print_Titles_2_9_4_8_1" localSheetId="16">#REF!</definedName>
    <definedName name="Excel_BuiltIn_Print_Titles_2_9_4_8_1" localSheetId="53">#REF!</definedName>
    <definedName name="Excel_BuiltIn_Print_Titles_2_9_4_8_1">#REF!</definedName>
    <definedName name="Excel_BuiltIn_Print_Titles_2_9_4_8_10" localSheetId="16">#REF!</definedName>
    <definedName name="Excel_BuiltIn_Print_Titles_2_9_4_8_10" localSheetId="53">#REF!</definedName>
    <definedName name="Excel_BuiltIn_Print_Titles_2_9_4_8_10">#REF!</definedName>
    <definedName name="Excel_BuiltIn_Print_Titles_2_9_4_8_10_1" localSheetId="16">#REF!</definedName>
    <definedName name="Excel_BuiltIn_Print_Titles_2_9_4_8_10_1" localSheetId="53">#REF!</definedName>
    <definedName name="Excel_BuiltIn_Print_Titles_2_9_4_8_10_1">#REF!</definedName>
    <definedName name="Excel_BuiltIn_Print_Titles_2_9_4_8_10_2" localSheetId="16">#REF!</definedName>
    <definedName name="Excel_BuiltIn_Print_Titles_2_9_4_8_10_2" localSheetId="53">#REF!</definedName>
    <definedName name="Excel_BuiltIn_Print_Titles_2_9_4_8_10_2">#REF!</definedName>
    <definedName name="Excel_BuiltIn_Print_Titles_2_9_4_8_10_3" localSheetId="16">#REF!</definedName>
    <definedName name="Excel_BuiltIn_Print_Titles_2_9_4_8_10_3" localSheetId="53">#REF!</definedName>
    <definedName name="Excel_BuiltIn_Print_Titles_2_9_4_8_10_3">#REF!</definedName>
    <definedName name="Excel_BuiltIn_Print_Titles_2_9_4_8_2" localSheetId="16">#REF!</definedName>
    <definedName name="Excel_BuiltIn_Print_Titles_2_9_4_8_2" localSheetId="53">#REF!</definedName>
    <definedName name="Excel_BuiltIn_Print_Titles_2_9_4_8_2">#REF!</definedName>
    <definedName name="Excel_BuiltIn_Print_Titles_2_9_4_8_3" localSheetId="16">#REF!</definedName>
    <definedName name="Excel_BuiltIn_Print_Titles_2_9_4_8_3" localSheetId="53">#REF!</definedName>
    <definedName name="Excel_BuiltIn_Print_Titles_2_9_4_8_3">#REF!</definedName>
    <definedName name="Excel_BuiltIn_Print_Titles_2_9_4_8_9" localSheetId="16">#REF!</definedName>
    <definedName name="Excel_BuiltIn_Print_Titles_2_9_4_8_9" localSheetId="53">#REF!</definedName>
    <definedName name="Excel_BuiltIn_Print_Titles_2_9_4_8_9">#REF!</definedName>
    <definedName name="Excel_BuiltIn_Print_Titles_2_9_4_8_9_1" localSheetId="16">#REF!</definedName>
    <definedName name="Excel_BuiltIn_Print_Titles_2_9_4_8_9_1" localSheetId="53">#REF!</definedName>
    <definedName name="Excel_BuiltIn_Print_Titles_2_9_4_8_9_1">#REF!</definedName>
    <definedName name="Excel_BuiltIn_Print_Titles_2_9_4_8_9_2" localSheetId="16">#REF!</definedName>
    <definedName name="Excel_BuiltIn_Print_Titles_2_9_4_8_9_2" localSheetId="53">#REF!</definedName>
    <definedName name="Excel_BuiltIn_Print_Titles_2_9_4_8_9_2">#REF!</definedName>
    <definedName name="Excel_BuiltIn_Print_Titles_2_9_4_8_9_3" localSheetId="16">#REF!</definedName>
    <definedName name="Excel_BuiltIn_Print_Titles_2_9_4_8_9_3" localSheetId="53">#REF!</definedName>
    <definedName name="Excel_BuiltIn_Print_Titles_2_9_4_8_9_3">#REF!</definedName>
    <definedName name="Excel_BuiltIn_Print_Titles_2_9_4_9" localSheetId="16">#REF!</definedName>
    <definedName name="Excel_BuiltIn_Print_Titles_2_9_4_9" localSheetId="53">#REF!</definedName>
    <definedName name="Excel_BuiltIn_Print_Titles_2_9_4_9">#REF!</definedName>
    <definedName name="Excel_BuiltIn_Print_Titles_2_9_4_9_1" localSheetId="16">#REF!</definedName>
    <definedName name="Excel_BuiltIn_Print_Titles_2_9_4_9_1" localSheetId="53">#REF!</definedName>
    <definedName name="Excel_BuiltIn_Print_Titles_2_9_4_9_1">#REF!</definedName>
    <definedName name="Excel_BuiltIn_Print_Titles_2_9_4_9_2" localSheetId="16">#REF!</definedName>
    <definedName name="Excel_BuiltIn_Print_Titles_2_9_4_9_2" localSheetId="53">#REF!</definedName>
    <definedName name="Excel_BuiltIn_Print_Titles_2_9_4_9_2">#REF!</definedName>
    <definedName name="Excel_BuiltIn_Print_Titles_2_9_4_9_3" localSheetId="16">#REF!</definedName>
    <definedName name="Excel_BuiltIn_Print_Titles_2_9_4_9_3" localSheetId="53">#REF!</definedName>
    <definedName name="Excel_BuiltIn_Print_Titles_2_9_4_9_3">#REF!</definedName>
    <definedName name="Excel_BuiltIn_Print_Titles_2_9_5" localSheetId="16">#REF!</definedName>
    <definedName name="Excel_BuiltIn_Print_Titles_2_9_5" localSheetId="53">#REF!</definedName>
    <definedName name="Excel_BuiltIn_Print_Titles_2_9_5">#REF!</definedName>
    <definedName name="Excel_BuiltIn_Print_Titles_2_9_5_1" localSheetId="16">#REF!</definedName>
    <definedName name="Excel_BuiltIn_Print_Titles_2_9_5_1" localSheetId="53">#REF!</definedName>
    <definedName name="Excel_BuiltIn_Print_Titles_2_9_5_1">#REF!</definedName>
    <definedName name="Excel_BuiltIn_Print_Titles_2_9_5_10" localSheetId="16">#REF!</definedName>
    <definedName name="Excel_BuiltIn_Print_Titles_2_9_5_10" localSheetId="53">#REF!</definedName>
    <definedName name="Excel_BuiltIn_Print_Titles_2_9_5_10">#REF!</definedName>
    <definedName name="Excel_BuiltIn_Print_Titles_2_9_5_10_1" localSheetId="16">#REF!</definedName>
    <definedName name="Excel_BuiltIn_Print_Titles_2_9_5_10_1" localSheetId="53">#REF!</definedName>
    <definedName name="Excel_BuiltIn_Print_Titles_2_9_5_10_1">#REF!</definedName>
    <definedName name="Excel_BuiltIn_Print_Titles_2_9_5_10_2" localSheetId="16">#REF!</definedName>
    <definedName name="Excel_BuiltIn_Print_Titles_2_9_5_10_2" localSheetId="53">#REF!</definedName>
    <definedName name="Excel_BuiltIn_Print_Titles_2_9_5_10_2">#REF!</definedName>
    <definedName name="Excel_BuiltIn_Print_Titles_2_9_5_10_3" localSheetId="16">#REF!</definedName>
    <definedName name="Excel_BuiltIn_Print_Titles_2_9_5_10_3" localSheetId="53">#REF!</definedName>
    <definedName name="Excel_BuiltIn_Print_Titles_2_9_5_10_3">#REF!</definedName>
    <definedName name="Excel_BuiltIn_Print_Titles_2_9_5_2" localSheetId="16">#REF!</definedName>
    <definedName name="Excel_BuiltIn_Print_Titles_2_9_5_2" localSheetId="53">#REF!</definedName>
    <definedName name="Excel_BuiltIn_Print_Titles_2_9_5_2">#REF!</definedName>
    <definedName name="Excel_BuiltIn_Print_Titles_2_9_5_3" localSheetId="16">#REF!</definedName>
    <definedName name="Excel_BuiltIn_Print_Titles_2_9_5_3" localSheetId="53">#REF!</definedName>
    <definedName name="Excel_BuiltIn_Print_Titles_2_9_5_3">#REF!</definedName>
    <definedName name="Excel_BuiltIn_Print_Titles_2_9_5_9" localSheetId="16">#REF!</definedName>
    <definedName name="Excel_BuiltIn_Print_Titles_2_9_5_9" localSheetId="53">#REF!</definedName>
    <definedName name="Excel_BuiltIn_Print_Titles_2_9_5_9">#REF!</definedName>
    <definedName name="Excel_BuiltIn_Print_Titles_2_9_5_9_1" localSheetId="16">#REF!</definedName>
    <definedName name="Excel_BuiltIn_Print_Titles_2_9_5_9_1" localSheetId="53">#REF!</definedName>
    <definedName name="Excel_BuiltIn_Print_Titles_2_9_5_9_1">#REF!</definedName>
    <definedName name="Excel_BuiltIn_Print_Titles_2_9_5_9_2" localSheetId="16">#REF!</definedName>
    <definedName name="Excel_BuiltIn_Print_Titles_2_9_5_9_2" localSheetId="53">#REF!</definedName>
    <definedName name="Excel_BuiltIn_Print_Titles_2_9_5_9_2">#REF!</definedName>
    <definedName name="Excel_BuiltIn_Print_Titles_2_9_5_9_3" localSheetId="16">#REF!</definedName>
    <definedName name="Excel_BuiltIn_Print_Titles_2_9_5_9_3" localSheetId="53">#REF!</definedName>
    <definedName name="Excel_BuiltIn_Print_Titles_2_9_5_9_3">#REF!</definedName>
    <definedName name="Excel_BuiltIn_Print_Titles_2_9_6" localSheetId="16">#REF!</definedName>
    <definedName name="Excel_BuiltIn_Print_Titles_2_9_6" localSheetId="53">#REF!</definedName>
    <definedName name="Excel_BuiltIn_Print_Titles_2_9_6">#REF!</definedName>
    <definedName name="Excel_BuiltIn_Print_Titles_2_9_6_1" localSheetId="16">#REF!</definedName>
    <definedName name="Excel_BuiltIn_Print_Titles_2_9_6_1" localSheetId="53">#REF!</definedName>
    <definedName name="Excel_BuiltIn_Print_Titles_2_9_6_1">#REF!</definedName>
    <definedName name="Excel_BuiltIn_Print_Titles_2_9_6_10" localSheetId="16">#REF!</definedName>
    <definedName name="Excel_BuiltIn_Print_Titles_2_9_6_10" localSheetId="53">#REF!</definedName>
    <definedName name="Excel_BuiltIn_Print_Titles_2_9_6_10">#REF!</definedName>
    <definedName name="Excel_BuiltIn_Print_Titles_2_9_6_10_1" localSheetId="16">#REF!</definedName>
    <definedName name="Excel_BuiltIn_Print_Titles_2_9_6_10_1" localSheetId="53">#REF!</definedName>
    <definedName name="Excel_BuiltIn_Print_Titles_2_9_6_10_1">#REF!</definedName>
    <definedName name="Excel_BuiltIn_Print_Titles_2_9_6_10_2" localSheetId="16">#REF!</definedName>
    <definedName name="Excel_BuiltIn_Print_Titles_2_9_6_10_2" localSheetId="53">#REF!</definedName>
    <definedName name="Excel_BuiltIn_Print_Titles_2_9_6_10_2">#REF!</definedName>
    <definedName name="Excel_BuiltIn_Print_Titles_2_9_6_10_3" localSheetId="16">#REF!</definedName>
    <definedName name="Excel_BuiltIn_Print_Titles_2_9_6_10_3" localSheetId="53">#REF!</definedName>
    <definedName name="Excel_BuiltIn_Print_Titles_2_9_6_10_3">#REF!</definedName>
    <definedName name="Excel_BuiltIn_Print_Titles_2_9_6_2" localSheetId="16">#REF!</definedName>
    <definedName name="Excel_BuiltIn_Print_Titles_2_9_6_2" localSheetId="53">#REF!</definedName>
    <definedName name="Excel_BuiltIn_Print_Titles_2_9_6_2">#REF!</definedName>
    <definedName name="Excel_BuiltIn_Print_Titles_2_9_6_3" localSheetId="16">#REF!</definedName>
    <definedName name="Excel_BuiltIn_Print_Titles_2_9_6_3" localSheetId="53">#REF!</definedName>
    <definedName name="Excel_BuiltIn_Print_Titles_2_9_6_3">#REF!</definedName>
    <definedName name="Excel_BuiltIn_Print_Titles_2_9_6_9" localSheetId="16">#REF!</definedName>
    <definedName name="Excel_BuiltIn_Print_Titles_2_9_6_9" localSheetId="53">#REF!</definedName>
    <definedName name="Excel_BuiltIn_Print_Titles_2_9_6_9">#REF!</definedName>
    <definedName name="Excel_BuiltIn_Print_Titles_2_9_6_9_1" localSheetId="16">#REF!</definedName>
    <definedName name="Excel_BuiltIn_Print_Titles_2_9_6_9_1" localSheetId="53">#REF!</definedName>
    <definedName name="Excel_BuiltIn_Print_Titles_2_9_6_9_1">#REF!</definedName>
    <definedName name="Excel_BuiltIn_Print_Titles_2_9_6_9_2" localSheetId="16">#REF!</definedName>
    <definedName name="Excel_BuiltIn_Print_Titles_2_9_6_9_2" localSheetId="53">#REF!</definedName>
    <definedName name="Excel_BuiltIn_Print_Titles_2_9_6_9_2">#REF!</definedName>
    <definedName name="Excel_BuiltIn_Print_Titles_2_9_6_9_3" localSheetId="16">#REF!</definedName>
    <definedName name="Excel_BuiltIn_Print_Titles_2_9_6_9_3" localSheetId="53">#REF!</definedName>
    <definedName name="Excel_BuiltIn_Print_Titles_2_9_6_9_3">#REF!</definedName>
    <definedName name="Excel_BuiltIn_Print_Titles_2_9_8" localSheetId="16">#REF!</definedName>
    <definedName name="Excel_BuiltIn_Print_Titles_2_9_8" localSheetId="53">#REF!</definedName>
    <definedName name="Excel_BuiltIn_Print_Titles_2_9_8">#REF!</definedName>
    <definedName name="Excel_BuiltIn_Print_Titles_2_9_8_1" localSheetId="16">#REF!</definedName>
    <definedName name="Excel_BuiltIn_Print_Titles_2_9_8_1" localSheetId="53">#REF!</definedName>
    <definedName name="Excel_BuiltIn_Print_Titles_2_9_8_1">#REF!</definedName>
    <definedName name="Excel_BuiltIn_Print_Titles_2_9_8_10" localSheetId="16">#REF!</definedName>
    <definedName name="Excel_BuiltIn_Print_Titles_2_9_8_10" localSheetId="53">#REF!</definedName>
    <definedName name="Excel_BuiltIn_Print_Titles_2_9_8_10">#REF!</definedName>
    <definedName name="Excel_BuiltIn_Print_Titles_2_9_8_10_1" localSheetId="16">#REF!</definedName>
    <definedName name="Excel_BuiltIn_Print_Titles_2_9_8_10_1" localSheetId="53">#REF!</definedName>
    <definedName name="Excel_BuiltIn_Print_Titles_2_9_8_10_1">#REF!</definedName>
    <definedName name="Excel_BuiltIn_Print_Titles_2_9_8_10_2" localSheetId="16">#REF!</definedName>
    <definedName name="Excel_BuiltIn_Print_Titles_2_9_8_10_2" localSheetId="53">#REF!</definedName>
    <definedName name="Excel_BuiltIn_Print_Titles_2_9_8_10_2">#REF!</definedName>
    <definedName name="Excel_BuiltIn_Print_Titles_2_9_8_10_3" localSheetId="16">#REF!</definedName>
    <definedName name="Excel_BuiltIn_Print_Titles_2_9_8_10_3" localSheetId="53">#REF!</definedName>
    <definedName name="Excel_BuiltIn_Print_Titles_2_9_8_10_3">#REF!</definedName>
    <definedName name="Excel_BuiltIn_Print_Titles_2_9_8_2" localSheetId="16">#REF!</definedName>
    <definedName name="Excel_BuiltIn_Print_Titles_2_9_8_2" localSheetId="53">#REF!</definedName>
    <definedName name="Excel_BuiltIn_Print_Titles_2_9_8_2">#REF!</definedName>
    <definedName name="Excel_BuiltIn_Print_Titles_2_9_8_3" localSheetId="16">#REF!</definedName>
    <definedName name="Excel_BuiltIn_Print_Titles_2_9_8_3" localSheetId="53">#REF!</definedName>
    <definedName name="Excel_BuiltIn_Print_Titles_2_9_8_3">#REF!</definedName>
    <definedName name="Excel_BuiltIn_Print_Titles_2_9_8_9" localSheetId="16">#REF!</definedName>
    <definedName name="Excel_BuiltIn_Print_Titles_2_9_8_9" localSheetId="53">#REF!</definedName>
    <definedName name="Excel_BuiltIn_Print_Titles_2_9_8_9">#REF!</definedName>
    <definedName name="Excel_BuiltIn_Print_Titles_2_9_8_9_1" localSheetId="16">#REF!</definedName>
    <definedName name="Excel_BuiltIn_Print_Titles_2_9_8_9_1" localSheetId="53">#REF!</definedName>
    <definedName name="Excel_BuiltIn_Print_Titles_2_9_8_9_1">#REF!</definedName>
    <definedName name="Excel_BuiltIn_Print_Titles_2_9_8_9_2" localSheetId="16">#REF!</definedName>
    <definedName name="Excel_BuiltIn_Print_Titles_2_9_8_9_2" localSheetId="53">#REF!</definedName>
    <definedName name="Excel_BuiltIn_Print_Titles_2_9_8_9_2">#REF!</definedName>
    <definedName name="Excel_BuiltIn_Print_Titles_2_9_8_9_3" localSheetId="16">#REF!</definedName>
    <definedName name="Excel_BuiltIn_Print_Titles_2_9_8_9_3" localSheetId="53">#REF!</definedName>
    <definedName name="Excel_BuiltIn_Print_Titles_2_9_8_9_3">#REF!</definedName>
    <definedName name="Excel_BuiltIn_Print_Titles_2_9_9" localSheetId="16">#REF!</definedName>
    <definedName name="Excel_BuiltIn_Print_Titles_2_9_9" localSheetId="53">#REF!</definedName>
    <definedName name="Excel_BuiltIn_Print_Titles_2_9_9">#REF!</definedName>
    <definedName name="Excel_BuiltIn_Print_Titles_2_9_9_1" localSheetId="16">#REF!</definedName>
    <definedName name="Excel_BuiltIn_Print_Titles_2_9_9_1" localSheetId="53">#REF!</definedName>
    <definedName name="Excel_BuiltIn_Print_Titles_2_9_9_1">#REF!</definedName>
    <definedName name="Excel_BuiltIn_Print_Titles_2_9_9_2" localSheetId="16">#REF!</definedName>
    <definedName name="Excel_BuiltIn_Print_Titles_2_9_9_2" localSheetId="53">#REF!</definedName>
    <definedName name="Excel_BuiltIn_Print_Titles_2_9_9_2">#REF!</definedName>
    <definedName name="Excel_BuiltIn_Print_Titles_2_9_9_3" localSheetId="16">#REF!</definedName>
    <definedName name="Excel_BuiltIn_Print_Titles_2_9_9_3" localSheetId="53">#REF!</definedName>
    <definedName name="Excel_BuiltIn_Print_Titles_2_9_9_3">#REF!</definedName>
    <definedName name="Excel_BuiltIn_Print_Titles_5" localSheetId="16">#REF!</definedName>
    <definedName name="Excel_BuiltIn_Print_Titles_5" localSheetId="53">#REF!</definedName>
    <definedName name="Excel_BuiltIn_Print_Titles_5">#REF!</definedName>
    <definedName name="Excel_BuiltIn_Print_Titles_5_1" localSheetId="16">#REF!</definedName>
    <definedName name="Excel_BuiltIn_Print_Titles_5_1" localSheetId="53">#REF!</definedName>
    <definedName name="Excel_BuiltIn_Print_Titles_5_1">#REF!</definedName>
    <definedName name="Excel_BuiltIn_Print_Titles_5_10" localSheetId="16">#REF!</definedName>
    <definedName name="Excel_BuiltIn_Print_Titles_5_10" localSheetId="53">#REF!</definedName>
    <definedName name="Excel_BuiltIn_Print_Titles_5_10">#REF!</definedName>
    <definedName name="Excel_BuiltIn_Print_Titles_5_10_1" localSheetId="16">#REF!</definedName>
    <definedName name="Excel_BuiltIn_Print_Titles_5_10_1" localSheetId="53">#REF!</definedName>
    <definedName name="Excel_BuiltIn_Print_Titles_5_10_1">#REF!</definedName>
    <definedName name="Excel_BuiltIn_Print_Titles_5_10_2" localSheetId="16">#REF!</definedName>
    <definedName name="Excel_BuiltIn_Print_Titles_5_10_2" localSheetId="53">#REF!</definedName>
    <definedName name="Excel_BuiltIn_Print_Titles_5_10_2">#REF!</definedName>
    <definedName name="Excel_BuiltIn_Print_Titles_5_10_3" localSheetId="16">#REF!</definedName>
    <definedName name="Excel_BuiltIn_Print_Titles_5_10_3" localSheetId="53">#REF!</definedName>
    <definedName name="Excel_BuiltIn_Print_Titles_5_10_3">#REF!</definedName>
    <definedName name="Excel_BuiltIn_Print_Titles_5_2" localSheetId="16">#REF!</definedName>
    <definedName name="Excel_BuiltIn_Print_Titles_5_2" localSheetId="53">#REF!</definedName>
    <definedName name="Excel_BuiltIn_Print_Titles_5_2">#REF!</definedName>
    <definedName name="Excel_BuiltIn_Print_Titles_5_3" localSheetId="16">#REF!</definedName>
    <definedName name="Excel_BuiltIn_Print_Titles_5_3" localSheetId="53">#REF!</definedName>
    <definedName name="Excel_BuiltIn_Print_Titles_5_3">#REF!</definedName>
    <definedName name="Excel_BuiltIn_Print_Titles_5_4" localSheetId="16">#REF!</definedName>
    <definedName name="Excel_BuiltIn_Print_Titles_5_4" localSheetId="53">#REF!</definedName>
    <definedName name="Excel_BuiltIn_Print_Titles_5_4">#REF!</definedName>
    <definedName name="Excel_BuiltIn_Print_Titles_5_4_1" localSheetId="16">#REF!</definedName>
    <definedName name="Excel_BuiltIn_Print_Titles_5_4_1" localSheetId="53">#REF!</definedName>
    <definedName name="Excel_BuiltIn_Print_Titles_5_4_1">#REF!</definedName>
    <definedName name="Excel_BuiltIn_Print_Titles_5_4_1_1" localSheetId="16">#REF!</definedName>
    <definedName name="Excel_BuiltIn_Print_Titles_5_4_1_1" localSheetId="53">#REF!</definedName>
    <definedName name="Excel_BuiltIn_Print_Titles_5_4_1_1">#REF!</definedName>
    <definedName name="Excel_BuiltIn_Print_Titles_5_4_1_1_1">#REF!</definedName>
    <definedName name="Excel_BuiltIn_Print_Titles_5_4_1_10" localSheetId="16">#REF!</definedName>
    <definedName name="Excel_BuiltIn_Print_Titles_5_4_1_10" localSheetId="53">#REF!</definedName>
    <definedName name="Excel_BuiltIn_Print_Titles_5_4_1_10">#REF!</definedName>
    <definedName name="Excel_BuiltIn_Print_Titles_5_4_1_10_1" localSheetId="16">#REF!</definedName>
    <definedName name="Excel_BuiltIn_Print_Titles_5_4_1_10_1" localSheetId="53">#REF!</definedName>
    <definedName name="Excel_BuiltIn_Print_Titles_5_4_1_10_1">#REF!</definedName>
    <definedName name="Excel_BuiltIn_Print_Titles_5_4_1_10_2" localSheetId="16">#REF!</definedName>
    <definedName name="Excel_BuiltIn_Print_Titles_5_4_1_10_2" localSheetId="53">#REF!</definedName>
    <definedName name="Excel_BuiltIn_Print_Titles_5_4_1_10_2">#REF!</definedName>
    <definedName name="Excel_BuiltIn_Print_Titles_5_4_1_10_3" localSheetId="16">#REF!</definedName>
    <definedName name="Excel_BuiltIn_Print_Titles_5_4_1_10_3" localSheetId="53">#REF!</definedName>
    <definedName name="Excel_BuiltIn_Print_Titles_5_4_1_10_3">#REF!</definedName>
    <definedName name="Excel_BuiltIn_Print_Titles_5_4_1_2" localSheetId="16">#REF!</definedName>
    <definedName name="Excel_BuiltIn_Print_Titles_5_4_1_2" localSheetId="53">#REF!</definedName>
    <definedName name="Excel_BuiltIn_Print_Titles_5_4_1_2">#REF!</definedName>
    <definedName name="Excel_BuiltIn_Print_Titles_5_4_1_3" localSheetId="16">#REF!</definedName>
    <definedName name="Excel_BuiltIn_Print_Titles_5_4_1_3" localSheetId="53">#REF!</definedName>
    <definedName name="Excel_BuiltIn_Print_Titles_5_4_1_3">#REF!</definedName>
    <definedName name="Excel_BuiltIn_Print_Titles_5_4_1_9" localSheetId="16">#REF!</definedName>
    <definedName name="Excel_BuiltIn_Print_Titles_5_4_1_9" localSheetId="53">#REF!</definedName>
    <definedName name="Excel_BuiltIn_Print_Titles_5_4_1_9">#REF!</definedName>
    <definedName name="Excel_BuiltIn_Print_Titles_5_4_1_9_1" localSheetId="16">#REF!</definedName>
    <definedName name="Excel_BuiltIn_Print_Titles_5_4_1_9_1" localSheetId="53">#REF!</definedName>
    <definedName name="Excel_BuiltIn_Print_Titles_5_4_1_9_1">#REF!</definedName>
    <definedName name="Excel_BuiltIn_Print_Titles_5_4_1_9_2" localSheetId="16">#REF!</definedName>
    <definedName name="Excel_BuiltIn_Print_Titles_5_4_1_9_2" localSheetId="53">#REF!</definedName>
    <definedName name="Excel_BuiltIn_Print_Titles_5_4_1_9_2">#REF!</definedName>
    <definedName name="Excel_BuiltIn_Print_Titles_5_4_1_9_3" localSheetId="16">#REF!</definedName>
    <definedName name="Excel_BuiltIn_Print_Titles_5_4_1_9_3" localSheetId="53">#REF!</definedName>
    <definedName name="Excel_BuiltIn_Print_Titles_5_4_1_9_3">#REF!</definedName>
    <definedName name="Excel_BuiltIn_Print_Titles_5_4_10" localSheetId="16">#REF!</definedName>
    <definedName name="Excel_BuiltIn_Print_Titles_5_4_10" localSheetId="53">#REF!</definedName>
    <definedName name="Excel_BuiltIn_Print_Titles_5_4_10">#REF!</definedName>
    <definedName name="Excel_BuiltIn_Print_Titles_5_4_10_1" localSheetId="16">#REF!</definedName>
    <definedName name="Excel_BuiltIn_Print_Titles_5_4_10_1" localSheetId="53">#REF!</definedName>
    <definedName name="Excel_BuiltIn_Print_Titles_5_4_10_1">#REF!</definedName>
    <definedName name="Excel_BuiltIn_Print_Titles_5_4_10_2" localSheetId="16">#REF!</definedName>
    <definedName name="Excel_BuiltIn_Print_Titles_5_4_10_2" localSheetId="53">#REF!</definedName>
    <definedName name="Excel_BuiltIn_Print_Titles_5_4_10_2">#REF!</definedName>
    <definedName name="Excel_BuiltIn_Print_Titles_5_4_10_3" localSheetId="16">#REF!</definedName>
    <definedName name="Excel_BuiltIn_Print_Titles_5_4_10_3" localSheetId="53">#REF!</definedName>
    <definedName name="Excel_BuiltIn_Print_Titles_5_4_10_3">#REF!</definedName>
    <definedName name="Excel_BuiltIn_Print_Titles_5_4_2" localSheetId="16">#REF!</definedName>
    <definedName name="Excel_BuiltIn_Print_Titles_5_4_2" localSheetId="53">#REF!</definedName>
    <definedName name="Excel_BuiltIn_Print_Titles_5_4_2">#REF!</definedName>
    <definedName name="Excel_BuiltIn_Print_Titles_5_4_3" localSheetId="16">#REF!</definedName>
    <definedName name="Excel_BuiltIn_Print_Titles_5_4_3" localSheetId="53">#REF!</definedName>
    <definedName name="Excel_BuiltIn_Print_Titles_5_4_3">#REF!</definedName>
    <definedName name="Excel_BuiltIn_Print_Titles_5_4_4" localSheetId="16">#REF!</definedName>
    <definedName name="Excel_BuiltIn_Print_Titles_5_4_4" localSheetId="53">#REF!</definedName>
    <definedName name="Excel_BuiltIn_Print_Titles_5_4_4">#REF!</definedName>
    <definedName name="Excel_BuiltIn_Print_Titles_5_4_4_1" localSheetId="16">#REF!</definedName>
    <definedName name="Excel_BuiltIn_Print_Titles_5_4_4_1" localSheetId="53">#REF!</definedName>
    <definedName name="Excel_BuiltIn_Print_Titles_5_4_4_1">#REF!</definedName>
    <definedName name="Excel_BuiltIn_Print_Titles_5_4_4_10" localSheetId="16">#REF!</definedName>
    <definedName name="Excel_BuiltIn_Print_Titles_5_4_4_10" localSheetId="53">#REF!</definedName>
    <definedName name="Excel_BuiltIn_Print_Titles_5_4_4_10">#REF!</definedName>
    <definedName name="Excel_BuiltIn_Print_Titles_5_4_4_10_1" localSheetId="16">#REF!</definedName>
    <definedName name="Excel_BuiltIn_Print_Titles_5_4_4_10_1" localSheetId="53">#REF!</definedName>
    <definedName name="Excel_BuiltIn_Print_Titles_5_4_4_10_1">#REF!</definedName>
    <definedName name="Excel_BuiltIn_Print_Titles_5_4_4_10_2" localSheetId="16">#REF!</definedName>
    <definedName name="Excel_BuiltIn_Print_Titles_5_4_4_10_2" localSheetId="53">#REF!</definedName>
    <definedName name="Excel_BuiltIn_Print_Titles_5_4_4_10_2">#REF!</definedName>
    <definedName name="Excel_BuiltIn_Print_Titles_5_4_4_10_3" localSheetId="16">#REF!</definedName>
    <definedName name="Excel_BuiltIn_Print_Titles_5_4_4_10_3" localSheetId="53">#REF!</definedName>
    <definedName name="Excel_BuiltIn_Print_Titles_5_4_4_10_3">#REF!</definedName>
    <definedName name="Excel_BuiltIn_Print_Titles_5_4_4_2" localSheetId="16">#REF!</definedName>
    <definedName name="Excel_BuiltIn_Print_Titles_5_4_4_2" localSheetId="53">#REF!</definedName>
    <definedName name="Excel_BuiltIn_Print_Titles_5_4_4_2">#REF!</definedName>
    <definedName name="Excel_BuiltIn_Print_Titles_5_4_4_3" localSheetId="16">#REF!</definedName>
    <definedName name="Excel_BuiltIn_Print_Titles_5_4_4_3" localSheetId="53">#REF!</definedName>
    <definedName name="Excel_BuiltIn_Print_Titles_5_4_4_3">#REF!</definedName>
    <definedName name="Excel_BuiltIn_Print_Titles_5_4_4_9" localSheetId="16">#REF!</definedName>
    <definedName name="Excel_BuiltIn_Print_Titles_5_4_4_9" localSheetId="53">#REF!</definedName>
    <definedName name="Excel_BuiltIn_Print_Titles_5_4_4_9">#REF!</definedName>
    <definedName name="Excel_BuiltIn_Print_Titles_5_4_4_9_1" localSheetId="16">#REF!</definedName>
    <definedName name="Excel_BuiltIn_Print_Titles_5_4_4_9_1" localSheetId="53">#REF!</definedName>
    <definedName name="Excel_BuiltIn_Print_Titles_5_4_4_9_1">#REF!</definedName>
    <definedName name="Excel_BuiltIn_Print_Titles_5_4_4_9_2" localSheetId="16">#REF!</definedName>
    <definedName name="Excel_BuiltIn_Print_Titles_5_4_4_9_2" localSheetId="53">#REF!</definedName>
    <definedName name="Excel_BuiltIn_Print_Titles_5_4_4_9_2">#REF!</definedName>
    <definedName name="Excel_BuiltIn_Print_Titles_5_4_4_9_3" localSheetId="16">#REF!</definedName>
    <definedName name="Excel_BuiltIn_Print_Titles_5_4_4_9_3" localSheetId="53">#REF!</definedName>
    <definedName name="Excel_BuiltIn_Print_Titles_5_4_4_9_3">#REF!</definedName>
    <definedName name="Excel_BuiltIn_Print_Titles_5_4_5" localSheetId="16">#REF!</definedName>
    <definedName name="Excel_BuiltIn_Print_Titles_5_4_5" localSheetId="53">#REF!</definedName>
    <definedName name="Excel_BuiltIn_Print_Titles_5_4_5">#REF!</definedName>
    <definedName name="Excel_BuiltIn_Print_Titles_5_4_5_1" localSheetId="16">#REF!</definedName>
    <definedName name="Excel_BuiltIn_Print_Titles_5_4_5_1" localSheetId="53">#REF!</definedName>
    <definedName name="Excel_BuiltIn_Print_Titles_5_4_5_1">#REF!</definedName>
    <definedName name="Excel_BuiltIn_Print_Titles_5_4_5_10" localSheetId="16">#REF!</definedName>
    <definedName name="Excel_BuiltIn_Print_Titles_5_4_5_10" localSheetId="53">#REF!</definedName>
    <definedName name="Excel_BuiltIn_Print_Titles_5_4_5_10">#REF!</definedName>
    <definedName name="Excel_BuiltIn_Print_Titles_5_4_5_10_1" localSheetId="16">#REF!</definedName>
    <definedName name="Excel_BuiltIn_Print_Titles_5_4_5_10_1" localSheetId="53">#REF!</definedName>
    <definedName name="Excel_BuiltIn_Print_Titles_5_4_5_10_1">#REF!</definedName>
    <definedName name="Excel_BuiltIn_Print_Titles_5_4_5_10_2" localSheetId="16">#REF!</definedName>
    <definedName name="Excel_BuiltIn_Print_Titles_5_4_5_10_2" localSheetId="53">#REF!</definedName>
    <definedName name="Excel_BuiltIn_Print_Titles_5_4_5_10_2">#REF!</definedName>
    <definedName name="Excel_BuiltIn_Print_Titles_5_4_5_10_3" localSheetId="16">#REF!</definedName>
    <definedName name="Excel_BuiltIn_Print_Titles_5_4_5_10_3" localSheetId="53">#REF!</definedName>
    <definedName name="Excel_BuiltIn_Print_Titles_5_4_5_10_3">#REF!</definedName>
    <definedName name="Excel_BuiltIn_Print_Titles_5_4_5_2" localSheetId="16">#REF!</definedName>
    <definedName name="Excel_BuiltIn_Print_Titles_5_4_5_2" localSheetId="53">#REF!</definedName>
    <definedName name="Excel_BuiltIn_Print_Titles_5_4_5_2">#REF!</definedName>
    <definedName name="Excel_BuiltIn_Print_Titles_5_4_5_3" localSheetId="16">#REF!</definedName>
    <definedName name="Excel_BuiltIn_Print_Titles_5_4_5_3" localSheetId="53">#REF!</definedName>
    <definedName name="Excel_BuiltIn_Print_Titles_5_4_5_3">#REF!</definedName>
    <definedName name="Excel_BuiltIn_Print_Titles_5_4_5_9" localSheetId="16">#REF!</definedName>
    <definedName name="Excel_BuiltIn_Print_Titles_5_4_5_9" localSheetId="53">#REF!</definedName>
    <definedName name="Excel_BuiltIn_Print_Titles_5_4_5_9">#REF!</definedName>
    <definedName name="Excel_BuiltIn_Print_Titles_5_4_5_9_1" localSheetId="16">#REF!</definedName>
    <definedName name="Excel_BuiltIn_Print_Titles_5_4_5_9_1" localSheetId="53">#REF!</definedName>
    <definedName name="Excel_BuiltIn_Print_Titles_5_4_5_9_1">#REF!</definedName>
    <definedName name="Excel_BuiltIn_Print_Titles_5_4_5_9_2" localSheetId="16">#REF!</definedName>
    <definedName name="Excel_BuiltIn_Print_Titles_5_4_5_9_2" localSheetId="53">#REF!</definedName>
    <definedName name="Excel_BuiltIn_Print_Titles_5_4_5_9_2">#REF!</definedName>
    <definedName name="Excel_BuiltIn_Print_Titles_5_4_5_9_3" localSheetId="16">#REF!</definedName>
    <definedName name="Excel_BuiltIn_Print_Titles_5_4_5_9_3" localSheetId="53">#REF!</definedName>
    <definedName name="Excel_BuiltIn_Print_Titles_5_4_5_9_3">#REF!</definedName>
    <definedName name="Excel_BuiltIn_Print_Titles_5_4_6" localSheetId="16">#REF!</definedName>
    <definedName name="Excel_BuiltIn_Print_Titles_5_4_6" localSheetId="53">#REF!</definedName>
    <definedName name="Excel_BuiltIn_Print_Titles_5_4_6">#REF!</definedName>
    <definedName name="Excel_BuiltIn_Print_Titles_5_4_6_1" localSheetId="16">#REF!</definedName>
    <definedName name="Excel_BuiltIn_Print_Titles_5_4_6_1" localSheetId="53">#REF!</definedName>
    <definedName name="Excel_BuiltIn_Print_Titles_5_4_6_1">#REF!</definedName>
    <definedName name="Excel_BuiltIn_Print_Titles_5_4_6_10" localSheetId="16">#REF!</definedName>
    <definedName name="Excel_BuiltIn_Print_Titles_5_4_6_10" localSheetId="53">#REF!</definedName>
    <definedName name="Excel_BuiltIn_Print_Titles_5_4_6_10">#REF!</definedName>
    <definedName name="Excel_BuiltIn_Print_Titles_5_4_6_10_1" localSheetId="16">#REF!</definedName>
    <definedName name="Excel_BuiltIn_Print_Titles_5_4_6_10_1" localSheetId="53">#REF!</definedName>
    <definedName name="Excel_BuiltIn_Print_Titles_5_4_6_10_1">#REF!</definedName>
    <definedName name="Excel_BuiltIn_Print_Titles_5_4_6_10_2" localSheetId="16">#REF!</definedName>
    <definedName name="Excel_BuiltIn_Print_Titles_5_4_6_10_2" localSheetId="53">#REF!</definedName>
    <definedName name="Excel_BuiltIn_Print_Titles_5_4_6_10_2">#REF!</definedName>
    <definedName name="Excel_BuiltIn_Print_Titles_5_4_6_10_3" localSheetId="16">#REF!</definedName>
    <definedName name="Excel_BuiltIn_Print_Titles_5_4_6_10_3" localSheetId="53">#REF!</definedName>
    <definedName name="Excel_BuiltIn_Print_Titles_5_4_6_10_3">#REF!</definedName>
    <definedName name="Excel_BuiltIn_Print_Titles_5_4_6_2" localSheetId="16">#REF!</definedName>
    <definedName name="Excel_BuiltIn_Print_Titles_5_4_6_2" localSheetId="53">#REF!</definedName>
    <definedName name="Excel_BuiltIn_Print_Titles_5_4_6_2">#REF!</definedName>
    <definedName name="Excel_BuiltIn_Print_Titles_5_4_6_3" localSheetId="16">#REF!</definedName>
    <definedName name="Excel_BuiltIn_Print_Titles_5_4_6_3" localSheetId="53">#REF!</definedName>
    <definedName name="Excel_BuiltIn_Print_Titles_5_4_6_3">#REF!</definedName>
    <definedName name="Excel_BuiltIn_Print_Titles_5_4_6_9" localSheetId="16">#REF!</definedName>
    <definedName name="Excel_BuiltIn_Print_Titles_5_4_6_9" localSheetId="53">#REF!</definedName>
    <definedName name="Excel_BuiltIn_Print_Titles_5_4_6_9">#REF!</definedName>
    <definedName name="Excel_BuiltIn_Print_Titles_5_4_6_9_1" localSheetId="16">#REF!</definedName>
    <definedName name="Excel_BuiltIn_Print_Titles_5_4_6_9_1" localSheetId="53">#REF!</definedName>
    <definedName name="Excel_BuiltIn_Print_Titles_5_4_6_9_1">#REF!</definedName>
    <definedName name="Excel_BuiltIn_Print_Titles_5_4_6_9_2" localSheetId="16">#REF!</definedName>
    <definedName name="Excel_BuiltIn_Print_Titles_5_4_6_9_2" localSheetId="53">#REF!</definedName>
    <definedName name="Excel_BuiltIn_Print_Titles_5_4_6_9_2">#REF!</definedName>
    <definedName name="Excel_BuiltIn_Print_Titles_5_4_6_9_3" localSheetId="16">#REF!</definedName>
    <definedName name="Excel_BuiltIn_Print_Titles_5_4_6_9_3" localSheetId="53">#REF!</definedName>
    <definedName name="Excel_BuiltIn_Print_Titles_5_4_6_9_3">#REF!</definedName>
    <definedName name="Excel_BuiltIn_Print_Titles_5_4_8" localSheetId="16">#REF!</definedName>
    <definedName name="Excel_BuiltIn_Print_Titles_5_4_8" localSheetId="53">#REF!</definedName>
    <definedName name="Excel_BuiltIn_Print_Titles_5_4_8">#REF!</definedName>
    <definedName name="Excel_BuiltIn_Print_Titles_5_4_8_1" localSheetId="16">#REF!</definedName>
    <definedName name="Excel_BuiltIn_Print_Titles_5_4_8_1" localSheetId="53">#REF!</definedName>
    <definedName name="Excel_BuiltIn_Print_Titles_5_4_8_1">#REF!</definedName>
    <definedName name="Excel_BuiltIn_Print_Titles_5_4_8_10" localSheetId="16">#REF!</definedName>
    <definedName name="Excel_BuiltIn_Print_Titles_5_4_8_10" localSheetId="53">#REF!</definedName>
    <definedName name="Excel_BuiltIn_Print_Titles_5_4_8_10">#REF!</definedName>
    <definedName name="Excel_BuiltIn_Print_Titles_5_4_8_10_1" localSheetId="16">#REF!</definedName>
    <definedName name="Excel_BuiltIn_Print_Titles_5_4_8_10_1" localSheetId="53">#REF!</definedName>
    <definedName name="Excel_BuiltIn_Print_Titles_5_4_8_10_1">#REF!</definedName>
    <definedName name="Excel_BuiltIn_Print_Titles_5_4_8_10_2" localSheetId="16">#REF!</definedName>
    <definedName name="Excel_BuiltIn_Print_Titles_5_4_8_10_2" localSheetId="53">#REF!</definedName>
    <definedName name="Excel_BuiltIn_Print_Titles_5_4_8_10_2">#REF!</definedName>
    <definedName name="Excel_BuiltIn_Print_Titles_5_4_8_10_3" localSheetId="16">#REF!</definedName>
    <definedName name="Excel_BuiltIn_Print_Titles_5_4_8_10_3" localSheetId="53">#REF!</definedName>
    <definedName name="Excel_BuiltIn_Print_Titles_5_4_8_10_3">#REF!</definedName>
    <definedName name="Excel_BuiltIn_Print_Titles_5_4_8_2" localSheetId="16">#REF!</definedName>
    <definedName name="Excel_BuiltIn_Print_Titles_5_4_8_2" localSheetId="53">#REF!</definedName>
    <definedName name="Excel_BuiltIn_Print_Titles_5_4_8_2">#REF!</definedName>
    <definedName name="Excel_BuiltIn_Print_Titles_5_4_8_3" localSheetId="16">#REF!</definedName>
    <definedName name="Excel_BuiltIn_Print_Titles_5_4_8_3" localSheetId="53">#REF!</definedName>
    <definedName name="Excel_BuiltIn_Print_Titles_5_4_8_3">#REF!</definedName>
    <definedName name="Excel_BuiltIn_Print_Titles_5_4_8_9" localSheetId="16">#REF!</definedName>
    <definedName name="Excel_BuiltIn_Print_Titles_5_4_8_9" localSheetId="53">#REF!</definedName>
    <definedName name="Excel_BuiltIn_Print_Titles_5_4_8_9">#REF!</definedName>
    <definedName name="Excel_BuiltIn_Print_Titles_5_4_8_9_1" localSheetId="16">#REF!</definedName>
    <definedName name="Excel_BuiltIn_Print_Titles_5_4_8_9_1" localSheetId="53">#REF!</definedName>
    <definedName name="Excel_BuiltIn_Print_Titles_5_4_8_9_1">#REF!</definedName>
    <definedName name="Excel_BuiltIn_Print_Titles_5_4_8_9_2" localSheetId="16">#REF!</definedName>
    <definedName name="Excel_BuiltIn_Print_Titles_5_4_8_9_2" localSheetId="53">#REF!</definedName>
    <definedName name="Excel_BuiltIn_Print_Titles_5_4_8_9_2">#REF!</definedName>
    <definedName name="Excel_BuiltIn_Print_Titles_5_4_8_9_3" localSheetId="16">#REF!</definedName>
    <definedName name="Excel_BuiltIn_Print_Titles_5_4_8_9_3" localSheetId="53">#REF!</definedName>
    <definedName name="Excel_BuiltIn_Print_Titles_5_4_8_9_3">#REF!</definedName>
    <definedName name="Excel_BuiltIn_Print_Titles_5_4_9" localSheetId="16">#REF!</definedName>
    <definedName name="Excel_BuiltIn_Print_Titles_5_4_9" localSheetId="53">#REF!</definedName>
    <definedName name="Excel_BuiltIn_Print_Titles_5_4_9">#REF!</definedName>
    <definedName name="Excel_BuiltIn_Print_Titles_5_4_9_1" localSheetId="16">#REF!</definedName>
    <definedName name="Excel_BuiltIn_Print_Titles_5_4_9_1" localSheetId="53">#REF!</definedName>
    <definedName name="Excel_BuiltIn_Print_Titles_5_4_9_1">#REF!</definedName>
    <definedName name="Excel_BuiltIn_Print_Titles_5_4_9_2" localSheetId="16">#REF!</definedName>
    <definedName name="Excel_BuiltIn_Print_Titles_5_4_9_2" localSheetId="53">#REF!</definedName>
    <definedName name="Excel_BuiltIn_Print_Titles_5_4_9_2">#REF!</definedName>
    <definedName name="Excel_BuiltIn_Print_Titles_5_4_9_3" localSheetId="16">#REF!</definedName>
    <definedName name="Excel_BuiltIn_Print_Titles_5_4_9_3" localSheetId="53">#REF!</definedName>
    <definedName name="Excel_BuiltIn_Print_Titles_5_4_9_3">#REF!</definedName>
    <definedName name="Excel_BuiltIn_Print_Titles_5_5" localSheetId="16">#REF!</definedName>
    <definedName name="Excel_BuiltIn_Print_Titles_5_5" localSheetId="53">#REF!</definedName>
    <definedName name="Excel_BuiltIn_Print_Titles_5_5">#REF!</definedName>
    <definedName name="Excel_BuiltIn_Print_Titles_5_5_1" localSheetId="16">#REF!</definedName>
    <definedName name="Excel_BuiltIn_Print_Titles_5_5_1" localSheetId="53">#REF!</definedName>
    <definedName name="Excel_BuiltIn_Print_Titles_5_5_1">#REF!</definedName>
    <definedName name="Excel_BuiltIn_Print_Titles_5_5_10" localSheetId="16">#REF!</definedName>
    <definedName name="Excel_BuiltIn_Print_Titles_5_5_10" localSheetId="53">#REF!</definedName>
    <definedName name="Excel_BuiltIn_Print_Titles_5_5_10">#REF!</definedName>
    <definedName name="Excel_BuiltIn_Print_Titles_5_5_10_1" localSheetId="16">#REF!</definedName>
    <definedName name="Excel_BuiltIn_Print_Titles_5_5_10_1" localSheetId="53">#REF!</definedName>
    <definedName name="Excel_BuiltIn_Print_Titles_5_5_10_1">#REF!</definedName>
    <definedName name="Excel_BuiltIn_Print_Titles_5_5_10_2" localSheetId="16">#REF!</definedName>
    <definedName name="Excel_BuiltIn_Print_Titles_5_5_10_2" localSheetId="53">#REF!</definedName>
    <definedName name="Excel_BuiltIn_Print_Titles_5_5_10_2">#REF!</definedName>
    <definedName name="Excel_BuiltIn_Print_Titles_5_5_10_3" localSheetId="16">#REF!</definedName>
    <definedName name="Excel_BuiltIn_Print_Titles_5_5_10_3" localSheetId="53">#REF!</definedName>
    <definedName name="Excel_BuiltIn_Print_Titles_5_5_10_3">#REF!</definedName>
    <definedName name="Excel_BuiltIn_Print_Titles_5_5_2" localSheetId="16">#REF!</definedName>
    <definedName name="Excel_BuiltIn_Print_Titles_5_5_2" localSheetId="53">#REF!</definedName>
    <definedName name="Excel_BuiltIn_Print_Titles_5_5_2">#REF!</definedName>
    <definedName name="Excel_BuiltIn_Print_Titles_5_5_3" localSheetId="16">#REF!</definedName>
    <definedName name="Excel_BuiltIn_Print_Titles_5_5_3" localSheetId="53">#REF!</definedName>
    <definedName name="Excel_BuiltIn_Print_Titles_5_5_3">#REF!</definedName>
    <definedName name="Excel_BuiltIn_Print_Titles_5_5_9" localSheetId="16">#REF!</definedName>
    <definedName name="Excel_BuiltIn_Print_Titles_5_5_9" localSheetId="53">#REF!</definedName>
    <definedName name="Excel_BuiltIn_Print_Titles_5_5_9">#REF!</definedName>
    <definedName name="Excel_BuiltIn_Print_Titles_5_5_9_1" localSheetId="16">#REF!</definedName>
    <definedName name="Excel_BuiltIn_Print_Titles_5_5_9_1" localSheetId="53">#REF!</definedName>
    <definedName name="Excel_BuiltIn_Print_Titles_5_5_9_1">#REF!</definedName>
    <definedName name="Excel_BuiltIn_Print_Titles_5_5_9_2" localSheetId="16">#REF!</definedName>
    <definedName name="Excel_BuiltIn_Print_Titles_5_5_9_2" localSheetId="53">#REF!</definedName>
    <definedName name="Excel_BuiltIn_Print_Titles_5_5_9_2">#REF!</definedName>
    <definedName name="Excel_BuiltIn_Print_Titles_5_5_9_3" localSheetId="16">#REF!</definedName>
    <definedName name="Excel_BuiltIn_Print_Titles_5_5_9_3" localSheetId="53">#REF!</definedName>
    <definedName name="Excel_BuiltIn_Print_Titles_5_5_9_3">#REF!</definedName>
    <definedName name="Excel_BuiltIn_Print_Titles_5_6" localSheetId="16">#REF!</definedName>
    <definedName name="Excel_BuiltIn_Print_Titles_5_6" localSheetId="53">#REF!</definedName>
    <definedName name="Excel_BuiltIn_Print_Titles_5_6">#REF!</definedName>
    <definedName name="Excel_BuiltIn_Print_Titles_5_6_1" localSheetId="16">#REF!</definedName>
    <definedName name="Excel_BuiltIn_Print_Titles_5_6_1" localSheetId="53">#REF!</definedName>
    <definedName name="Excel_BuiltIn_Print_Titles_5_6_1">#REF!</definedName>
    <definedName name="Excel_BuiltIn_Print_Titles_5_6_10" localSheetId="16">#REF!</definedName>
    <definedName name="Excel_BuiltIn_Print_Titles_5_6_10" localSheetId="53">#REF!</definedName>
    <definedName name="Excel_BuiltIn_Print_Titles_5_6_10">#REF!</definedName>
    <definedName name="Excel_BuiltIn_Print_Titles_5_6_10_1" localSheetId="16">#REF!</definedName>
    <definedName name="Excel_BuiltIn_Print_Titles_5_6_10_1" localSheetId="53">#REF!</definedName>
    <definedName name="Excel_BuiltIn_Print_Titles_5_6_10_1">#REF!</definedName>
    <definedName name="Excel_BuiltIn_Print_Titles_5_6_10_2" localSheetId="16">#REF!</definedName>
    <definedName name="Excel_BuiltIn_Print_Titles_5_6_10_2" localSheetId="53">#REF!</definedName>
    <definedName name="Excel_BuiltIn_Print_Titles_5_6_10_2">#REF!</definedName>
    <definedName name="Excel_BuiltIn_Print_Titles_5_6_10_3" localSheetId="16">#REF!</definedName>
    <definedName name="Excel_BuiltIn_Print_Titles_5_6_10_3" localSheetId="53">#REF!</definedName>
    <definedName name="Excel_BuiltIn_Print_Titles_5_6_10_3">#REF!</definedName>
    <definedName name="Excel_BuiltIn_Print_Titles_5_6_2" localSheetId="16">#REF!</definedName>
    <definedName name="Excel_BuiltIn_Print_Titles_5_6_2" localSheetId="53">#REF!</definedName>
    <definedName name="Excel_BuiltIn_Print_Titles_5_6_2">#REF!</definedName>
    <definedName name="Excel_BuiltIn_Print_Titles_5_6_3" localSheetId="16">#REF!</definedName>
    <definedName name="Excel_BuiltIn_Print_Titles_5_6_3" localSheetId="53">#REF!</definedName>
    <definedName name="Excel_BuiltIn_Print_Titles_5_6_3">#REF!</definedName>
    <definedName name="Excel_BuiltIn_Print_Titles_5_6_9" localSheetId="16">#REF!</definedName>
    <definedName name="Excel_BuiltIn_Print_Titles_5_6_9" localSheetId="53">#REF!</definedName>
    <definedName name="Excel_BuiltIn_Print_Titles_5_6_9">#REF!</definedName>
    <definedName name="Excel_BuiltIn_Print_Titles_5_6_9_1" localSheetId="16">#REF!</definedName>
    <definedName name="Excel_BuiltIn_Print_Titles_5_6_9_1" localSheetId="53">#REF!</definedName>
    <definedName name="Excel_BuiltIn_Print_Titles_5_6_9_1">#REF!</definedName>
    <definedName name="Excel_BuiltIn_Print_Titles_5_6_9_2" localSheetId="16">#REF!</definedName>
    <definedName name="Excel_BuiltIn_Print_Titles_5_6_9_2" localSheetId="53">#REF!</definedName>
    <definedName name="Excel_BuiltIn_Print_Titles_5_6_9_2">#REF!</definedName>
    <definedName name="Excel_BuiltIn_Print_Titles_5_6_9_3" localSheetId="16">#REF!</definedName>
    <definedName name="Excel_BuiltIn_Print_Titles_5_6_9_3" localSheetId="53">#REF!</definedName>
    <definedName name="Excel_BuiltIn_Print_Titles_5_6_9_3">#REF!</definedName>
    <definedName name="Excel_BuiltIn_Print_Titles_5_7" localSheetId="16">#REF!</definedName>
    <definedName name="Excel_BuiltIn_Print_Titles_5_7" localSheetId="53">#REF!</definedName>
    <definedName name="Excel_BuiltIn_Print_Titles_5_7">#REF!</definedName>
    <definedName name="Excel_BuiltIn_Print_Titles_5_7_1" localSheetId="16">#REF!</definedName>
    <definedName name="Excel_BuiltIn_Print_Titles_5_7_1" localSheetId="53">#REF!</definedName>
    <definedName name="Excel_BuiltIn_Print_Titles_5_7_1">#REF!</definedName>
    <definedName name="Excel_BuiltIn_Print_Titles_5_7_10" localSheetId="16">#REF!</definedName>
    <definedName name="Excel_BuiltIn_Print_Titles_5_7_10" localSheetId="53">#REF!</definedName>
    <definedName name="Excel_BuiltIn_Print_Titles_5_7_10">#REF!</definedName>
    <definedName name="Excel_BuiltIn_Print_Titles_5_7_10_1" localSheetId="16">#REF!</definedName>
    <definedName name="Excel_BuiltIn_Print_Titles_5_7_10_1" localSheetId="53">#REF!</definedName>
    <definedName name="Excel_BuiltIn_Print_Titles_5_7_10_1">#REF!</definedName>
    <definedName name="Excel_BuiltIn_Print_Titles_5_7_10_2" localSheetId="16">#REF!</definedName>
    <definedName name="Excel_BuiltIn_Print_Titles_5_7_10_2" localSheetId="53">#REF!</definedName>
    <definedName name="Excel_BuiltIn_Print_Titles_5_7_10_2">#REF!</definedName>
    <definedName name="Excel_BuiltIn_Print_Titles_5_7_10_3" localSheetId="16">#REF!</definedName>
    <definedName name="Excel_BuiltIn_Print_Titles_5_7_10_3" localSheetId="53">#REF!</definedName>
    <definedName name="Excel_BuiltIn_Print_Titles_5_7_10_3">#REF!</definedName>
    <definedName name="Excel_BuiltIn_Print_Titles_5_7_2" localSheetId="16">#REF!</definedName>
    <definedName name="Excel_BuiltIn_Print_Titles_5_7_2" localSheetId="53">#REF!</definedName>
    <definedName name="Excel_BuiltIn_Print_Titles_5_7_2">#REF!</definedName>
    <definedName name="Excel_BuiltIn_Print_Titles_5_7_3" localSheetId="16">#REF!</definedName>
    <definedName name="Excel_BuiltIn_Print_Titles_5_7_3" localSheetId="53">#REF!</definedName>
    <definedName name="Excel_BuiltIn_Print_Titles_5_7_3">#REF!</definedName>
    <definedName name="Excel_BuiltIn_Print_Titles_5_7_4" localSheetId="16">#REF!</definedName>
    <definedName name="Excel_BuiltIn_Print_Titles_5_7_4" localSheetId="53">#REF!</definedName>
    <definedName name="Excel_BuiltIn_Print_Titles_5_7_4">#REF!</definedName>
    <definedName name="Excel_BuiltIn_Print_Titles_5_7_4_1" localSheetId="16">#REF!</definedName>
    <definedName name="Excel_BuiltIn_Print_Titles_5_7_4_1" localSheetId="53">#REF!</definedName>
    <definedName name="Excel_BuiltIn_Print_Titles_5_7_4_1">#REF!</definedName>
    <definedName name="Excel_BuiltIn_Print_Titles_5_7_4_1_1" localSheetId="16">#REF!</definedName>
    <definedName name="Excel_BuiltIn_Print_Titles_5_7_4_1_1" localSheetId="53">#REF!</definedName>
    <definedName name="Excel_BuiltIn_Print_Titles_5_7_4_1_1">#REF!</definedName>
    <definedName name="Excel_BuiltIn_Print_Titles_5_7_4_1_1_1">#REF!</definedName>
    <definedName name="Excel_BuiltIn_Print_Titles_5_7_4_1_10" localSheetId="16">#REF!</definedName>
    <definedName name="Excel_BuiltIn_Print_Titles_5_7_4_1_10" localSheetId="53">#REF!</definedName>
    <definedName name="Excel_BuiltIn_Print_Titles_5_7_4_1_10">#REF!</definedName>
    <definedName name="Excel_BuiltIn_Print_Titles_5_7_4_1_10_1" localSheetId="16">#REF!</definedName>
    <definedName name="Excel_BuiltIn_Print_Titles_5_7_4_1_10_1" localSheetId="53">#REF!</definedName>
    <definedName name="Excel_BuiltIn_Print_Titles_5_7_4_1_10_1">#REF!</definedName>
    <definedName name="Excel_BuiltIn_Print_Titles_5_7_4_1_10_2" localSheetId="16">#REF!</definedName>
    <definedName name="Excel_BuiltIn_Print_Titles_5_7_4_1_10_2" localSheetId="53">#REF!</definedName>
    <definedName name="Excel_BuiltIn_Print_Titles_5_7_4_1_10_2">#REF!</definedName>
    <definedName name="Excel_BuiltIn_Print_Titles_5_7_4_1_10_3" localSheetId="16">#REF!</definedName>
    <definedName name="Excel_BuiltIn_Print_Titles_5_7_4_1_10_3" localSheetId="53">#REF!</definedName>
    <definedName name="Excel_BuiltIn_Print_Titles_5_7_4_1_10_3">#REF!</definedName>
    <definedName name="Excel_BuiltIn_Print_Titles_5_7_4_1_2" localSheetId="16">#REF!</definedName>
    <definedName name="Excel_BuiltIn_Print_Titles_5_7_4_1_2" localSheetId="53">#REF!</definedName>
    <definedName name="Excel_BuiltIn_Print_Titles_5_7_4_1_2">#REF!</definedName>
    <definedName name="Excel_BuiltIn_Print_Titles_5_7_4_1_3" localSheetId="16">#REF!</definedName>
    <definedName name="Excel_BuiltIn_Print_Titles_5_7_4_1_3" localSheetId="53">#REF!</definedName>
    <definedName name="Excel_BuiltIn_Print_Titles_5_7_4_1_3">#REF!</definedName>
    <definedName name="Excel_BuiltIn_Print_Titles_5_7_4_1_9" localSheetId="16">#REF!</definedName>
    <definedName name="Excel_BuiltIn_Print_Titles_5_7_4_1_9" localSheetId="53">#REF!</definedName>
    <definedName name="Excel_BuiltIn_Print_Titles_5_7_4_1_9">#REF!</definedName>
    <definedName name="Excel_BuiltIn_Print_Titles_5_7_4_1_9_1" localSheetId="16">#REF!</definedName>
    <definedName name="Excel_BuiltIn_Print_Titles_5_7_4_1_9_1" localSheetId="53">#REF!</definedName>
    <definedName name="Excel_BuiltIn_Print_Titles_5_7_4_1_9_1">#REF!</definedName>
    <definedName name="Excel_BuiltIn_Print_Titles_5_7_4_1_9_2" localSheetId="16">#REF!</definedName>
    <definedName name="Excel_BuiltIn_Print_Titles_5_7_4_1_9_2" localSheetId="53">#REF!</definedName>
    <definedName name="Excel_BuiltIn_Print_Titles_5_7_4_1_9_2">#REF!</definedName>
    <definedName name="Excel_BuiltIn_Print_Titles_5_7_4_1_9_3" localSheetId="16">#REF!</definedName>
    <definedName name="Excel_BuiltIn_Print_Titles_5_7_4_1_9_3" localSheetId="53">#REF!</definedName>
    <definedName name="Excel_BuiltIn_Print_Titles_5_7_4_1_9_3">#REF!</definedName>
    <definedName name="Excel_BuiltIn_Print_Titles_5_7_4_10" localSheetId="16">#REF!</definedName>
    <definedName name="Excel_BuiltIn_Print_Titles_5_7_4_10" localSheetId="53">#REF!</definedName>
    <definedName name="Excel_BuiltIn_Print_Titles_5_7_4_10">#REF!</definedName>
    <definedName name="Excel_BuiltIn_Print_Titles_5_7_4_10_1" localSheetId="16">#REF!</definedName>
    <definedName name="Excel_BuiltIn_Print_Titles_5_7_4_10_1" localSheetId="53">#REF!</definedName>
    <definedName name="Excel_BuiltIn_Print_Titles_5_7_4_10_1">#REF!</definedName>
    <definedName name="Excel_BuiltIn_Print_Titles_5_7_4_10_2" localSheetId="16">#REF!</definedName>
    <definedName name="Excel_BuiltIn_Print_Titles_5_7_4_10_2" localSheetId="53">#REF!</definedName>
    <definedName name="Excel_BuiltIn_Print_Titles_5_7_4_10_2">#REF!</definedName>
    <definedName name="Excel_BuiltIn_Print_Titles_5_7_4_10_3" localSheetId="16">#REF!</definedName>
    <definedName name="Excel_BuiltIn_Print_Titles_5_7_4_10_3" localSheetId="53">#REF!</definedName>
    <definedName name="Excel_BuiltIn_Print_Titles_5_7_4_10_3">#REF!</definedName>
    <definedName name="Excel_BuiltIn_Print_Titles_5_7_4_2" localSheetId="16">#REF!</definedName>
    <definedName name="Excel_BuiltIn_Print_Titles_5_7_4_2" localSheetId="53">#REF!</definedName>
    <definedName name="Excel_BuiltIn_Print_Titles_5_7_4_2">#REF!</definedName>
    <definedName name="Excel_BuiltIn_Print_Titles_5_7_4_3" localSheetId="16">#REF!</definedName>
    <definedName name="Excel_BuiltIn_Print_Titles_5_7_4_3" localSheetId="53">#REF!</definedName>
    <definedName name="Excel_BuiltIn_Print_Titles_5_7_4_3">#REF!</definedName>
    <definedName name="Excel_BuiltIn_Print_Titles_5_7_4_4" localSheetId="16">#REF!</definedName>
    <definedName name="Excel_BuiltIn_Print_Titles_5_7_4_4" localSheetId="53">#REF!</definedName>
    <definedName name="Excel_BuiltIn_Print_Titles_5_7_4_4">#REF!</definedName>
    <definedName name="Excel_BuiltIn_Print_Titles_5_7_4_4_1" localSheetId="16">#REF!</definedName>
    <definedName name="Excel_BuiltIn_Print_Titles_5_7_4_4_1" localSheetId="53">#REF!</definedName>
    <definedName name="Excel_BuiltIn_Print_Titles_5_7_4_4_1">#REF!</definedName>
    <definedName name="Excel_BuiltIn_Print_Titles_5_7_4_4_10" localSheetId="16">#REF!</definedName>
    <definedName name="Excel_BuiltIn_Print_Titles_5_7_4_4_10" localSheetId="53">#REF!</definedName>
    <definedName name="Excel_BuiltIn_Print_Titles_5_7_4_4_10">#REF!</definedName>
    <definedName name="Excel_BuiltIn_Print_Titles_5_7_4_4_10_1" localSheetId="16">#REF!</definedName>
    <definedName name="Excel_BuiltIn_Print_Titles_5_7_4_4_10_1" localSheetId="53">#REF!</definedName>
    <definedName name="Excel_BuiltIn_Print_Titles_5_7_4_4_10_1">#REF!</definedName>
    <definedName name="Excel_BuiltIn_Print_Titles_5_7_4_4_10_2" localSheetId="16">#REF!</definedName>
    <definedName name="Excel_BuiltIn_Print_Titles_5_7_4_4_10_2" localSheetId="53">#REF!</definedName>
    <definedName name="Excel_BuiltIn_Print_Titles_5_7_4_4_10_2">#REF!</definedName>
    <definedName name="Excel_BuiltIn_Print_Titles_5_7_4_4_10_3" localSheetId="16">#REF!</definedName>
    <definedName name="Excel_BuiltIn_Print_Titles_5_7_4_4_10_3" localSheetId="53">#REF!</definedName>
    <definedName name="Excel_BuiltIn_Print_Titles_5_7_4_4_10_3">#REF!</definedName>
    <definedName name="Excel_BuiltIn_Print_Titles_5_7_4_4_2" localSheetId="16">#REF!</definedName>
    <definedName name="Excel_BuiltIn_Print_Titles_5_7_4_4_2" localSheetId="53">#REF!</definedName>
    <definedName name="Excel_BuiltIn_Print_Titles_5_7_4_4_2">#REF!</definedName>
    <definedName name="Excel_BuiltIn_Print_Titles_5_7_4_4_3" localSheetId="16">#REF!</definedName>
    <definedName name="Excel_BuiltIn_Print_Titles_5_7_4_4_3" localSheetId="53">#REF!</definedName>
    <definedName name="Excel_BuiltIn_Print_Titles_5_7_4_4_3">#REF!</definedName>
    <definedName name="Excel_BuiltIn_Print_Titles_5_7_4_4_9" localSheetId="16">#REF!</definedName>
    <definedName name="Excel_BuiltIn_Print_Titles_5_7_4_4_9" localSheetId="53">#REF!</definedName>
    <definedName name="Excel_BuiltIn_Print_Titles_5_7_4_4_9">#REF!</definedName>
    <definedName name="Excel_BuiltIn_Print_Titles_5_7_4_4_9_1" localSheetId="16">#REF!</definedName>
    <definedName name="Excel_BuiltIn_Print_Titles_5_7_4_4_9_1" localSheetId="53">#REF!</definedName>
    <definedName name="Excel_BuiltIn_Print_Titles_5_7_4_4_9_1">#REF!</definedName>
    <definedName name="Excel_BuiltIn_Print_Titles_5_7_4_4_9_2" localSheetId="16">#REF!</definedName>
    <definedName name="Excel_BuiltIn_Print_Titles_5_7_4_4_9_2" localSheetId="53">#REF!</definedName>
    <definedName name="Excel_BuiltIn_Print_Titles_5_7_4_4_9_2">#REF!</definedName>
    <definedName name="Excel_BuiltIn_Print_Titles_5_7_4_4_9_3" localSheetId="16">#REF!</definedName>
    <definedName name="Excel_BuiltIn_Print_Titles_5_7_4_4_9_3" localSheetId="53">#REF!</definedName>
    <definedName name="Excel_BuiltIn_Print_Titles_5_7_4_4_9_3">#REF!</definedName>
    <definedName name="Excel_BuiltIn_Print_Titles_5_7_4_5" localSheetId="16">#REF!</definedName>
    <definedName name="Excel_BuiltIn_Print_Titles_5_7_4_5" localSheetId="53">#REF!</definedName>
    <definedName name="Excel_BuiltIn_Print_Titles_5_7_4_5">#REF!</definedName>
    <definedName name="Excel_BuiltIn_Print_Titles_5_7_4_5_1" localSheetId="16">#REF!</definedName>
    <definedName name="Excel_BuiltIn_Print_Titles_5_7_4_5_1" localSheetId="53">#REF!</definedName>
    <definedName name="Excel_BuiltIn_Print_Titles_5_7_4_5_1">#REF!</definedName>
    <definedName name="Excel_BuiltIn_Print_Titles_5_7_4_5_10" localSheetId="16">#REF!</definedName>
    <definedName name="Excel_BuiltIn_Print_Titles_5_7_4_5_10" localSheetId="53">#REF!</definedName>
    <definedName name="Excel_BuiltIn_Print_Titles_5_7_4_5_10">#REF!</definedName>
    <definedName name="Excel_BuiltIn_Print_Titles_5_7_4_5_10_1" localSheetId="16">#REF!</definedName>
    <definedName name="Excel_BuiltIn_Print_Titles_5_7_4_5_10_1" localSheetId="53">#REF!</definedName>
    <definedName name="Excel_BuiltIn_Print_Titles_5_7_4_5_10_1">#REF!</definedName>
    <definedName name="Excel_BuiltIn_Print_Titles_5_7_4_5_10_2" localSheetId="16">#REF!</definedName>
    <definedName name="Excel_BuiltIn_Print_Titles_5_7_4_5_10_2" localSheetId="53">#REF!</definedName>
    <definedName name="Excel_BuiltIn_Print_Titles_5_7_4_5_10_2">#REF!</definedName>
    <definedName name="Excel_BuiltIn_Print_Titles_5_7_4_5_10_3" localSheetId="16">#REF!</definedName>
    <definedName name="Excel_BuiltIn_Print_Titles_5_7_4_5_10_3" localSheetId="53">#REF!</definedName>
    <definedName name="Excel_BuiltIn_Print_Titles_5_7_4_5_10_3">#REF!</definedName>
    <definedName name="Excel_BuiltIn_Print_Titles_5_7_4_5_2" localSheetId="16">#REF!</definedName>
    <definedName name="Excel_BuiltIn_Print_Titles_5_7_4_5_2" localSheetId="53">#REF!</definedName>
    <definedName name="Excel_BuiltIn_Print_Titles_5_7_4_5_2">#REF!</definedName>
    <definedName name="Excel_BuiltIn_Print_Titles_5_7_4_5_3" localSheetId="16">#REF!</definedName>
    <definedName name="Excel_BuiltIn_Print_Titles_5_7_4_5_3" localSheetId="53">#REF!</definedName>
    <definedName name="Excel_BuiltIn_Print_Titles_5_7_4_5_3">#REF!</definedName>
    <definedName name="Excel_BuiltIn_Print_Titles_5_7_4_5_9" localSheetId="16">#REF!</definedName>
    <definedName name="Excel_BuiltIn_Print_Titles_5_7_4_5_9" localSheetId="53">#REF!</definedName>
    <definedName name="Excel_BuiltIn_Print_Titles_5_7_4_5_9">#REF!</definedName>
    <definedName name="Excel_BuiltIn_Print_Titles_5_7_4_5_9_1" localSheetId="16">#REF!</definedName>
    <definedName name="Excel_BuiltIn_Print_Titles_5_7_4_5_9_1" localSheetId="53">#REF!</definedName>
    <definedName name="Excel_BuiltIn_Print_Titles_5_7_4_5_9_1">#REF!</definedName>
    <definedName name="Excel_BuiltIn_Print_Titles_5_7_4_5_9_2" localSheetId="16">#REF!</definedName>
    <definedName name="Excel_BuiltIn_Print_Titles_5_7_4_5_9_2" localSheetId="53">#REF!</definedName>
    <definedName name="Excel_BuiltIn_Print_Titles_5_7_4_5_9_2">#REF!</definedName>
    <definedName name="Excel_BuiltIn_Print_Titles_5_7_4_5_9_3" localSheetId="16">#REF!</definedName>
    <definedName name="Excel_BuiltIn_Print_Titles_5_7_4_5_9_3" localSheetId="53">#REF!</definedName>
    <definedName name="Excel_BuiltIn_Print_Titles_5_7_4_5_9_3">#REF!</definedName>
    <definedName name="Excel_BuiltIn_Print_Titles_5_7_4_6" localSheetId="16">#REF!</definedName>
    <definedName name="Excel_BuiltIn_Print_Titles_5_7_4_6" localSheetId="53">#REF!</definedName>
    <definedName name="Excel_BuiltIn_Print_Titles_5_7_4_6">#REF!</definedName>
    <definedName name="Excel_BuiltIn_Print_Titles_5_7_4_6_1" localSheetId="16">#REF!</definedName>
    <definedName name="Excel_BuiltIn_Print_Titles_5_7_4_6_1" localSheetId="53">#REF!</definedName>
    <definedName name="Excel_BuiltIn_Print_Titles_5_7_4_6_1">#REF!</definedName>
    <definedName name="Excel_BuiltIn_Print_Titles_5_7_4_6_10" localSheetId="16">#REF!</definedName>
    <definedName name="Excel_BuiltIn_Print_Titles_5_7_4_6_10" localSheetId="53">#REF!</definedName>
    <definedName name="Excel_BuiltIn_Print_Titles_5_7_4_6_10">#REF!</definedName>
    <definedName name="Excel_BuiltIn_Print_Titles_5_7_4_6_10_1" localSheetId="16">#REF!</definedName>
    <definedName name="Excel_BuiltIn_Print_Titles_5_7_4_6_10_1" localSheetId="53">#REF!</definedName>
    <definedName name="Excel_BuiltIn_Print_Titles_5_7_4_6_10_1">#REF!</definedName>
    <definedName name="Excel_BuiltIn_Print_Titles_5_7_4_6_10_2" localSheetId="16">#REF!</definedName>
    <definedName name="Excel_BuiltIn_Print_Titles_5_7_4_6_10_2" localSheetId="53">#REF!</definedName>
    <definedName name="Excel_BuiltIn_Print_Titles_5_7_4_6_10_2">#REF!</definedName>
    <definedName name="Excel_BuiltIn_Print_Titles_5_7_4_6_10_3" localSheetId="16">#REF!</definedName>
    <definedName name="Excel_BuiltIn_Print_Titles_5_7_4_6_10_3" localSheetId="53">#REF!</definedName>
    <definedName name="Excel_BuiltIn_Print_Titles_5_7_4_6_10_3">#REF!</definedName>
    <definedName name="Excel_BuiltIn_Print_Titles_5_7_4_6_2" localSheetId="16">#REF!</definedName>
    <definedName name="Excel_BuiltIn_Print_Titles_5_7_4_6_2" localSheetId="53">#REF!</definedName>
    <definedName name="Excel_BuiltIn_Print_Titles_5_7_4_6_2">#REF!</definedName>
    <definedName name="Excel_BuiltIn_Print_Titles_5_7_4_6_3" localSheetId="16">#REF!</definedName>
    <definedName name="Excel_BuiltIn_Print_Titles_5_7_4_6_3" localSheetId="53">#REF!</definedName>
    <definedName name="Excel_BuiltIn_Print_Titles_5_7_4_6_3">#REF!</definedName>
    <definedName name="Excel_BuiltIn_Print_Titles_5_7_4_6_9" localSheetId="16">#REF!</definedName>
    <definedName name="Excel_BuiltIn_Print_Titles_5_7_4_6_9" localSheetId="53">#REF!</definedName>
    <definedName name="Excel_BuiltIn_Print_Titles_5_7_4_6_9">#REF!</definedName>
    <definedName name="Excel_BuiltIn_Print_Titles_5_7_4_6_9_1" localSheetId="16">#REF!</definedName>
    <definedName name="Excel_BuiltIn_Print_Titles_5_7_4_6_9_1" localSheetId="53">#REF!</definedName>
    <definedName name="Excel_BuiltIn_Print_Titles_5_7_4_6_9_1">#REF!</definedName>
    <definedName name="Excel_BuiltIn_Print_Titles_5_7_4_6_9_2" localSheetId="16">#REF!</definedName>
    <definedName name="Excel_BuiltIn_Print_Titles_5_7_4_6_9_2" localSheetId="53">#REF!</definedName>
    <definedName name="Excel_BuiltIn_Print_Titles_5_7_4_6_9_2">#REF!</definedName>
    <definedName name="Excel_BuiltIn_Print_Titles_5_7_4_6_9_3" localSheetId="16">#REF!</definedName>
    <definedName name="Excel_BuiltIn_Print_Titles_5_7_4_6_9_3" localSheetId="53">#REF!</definedName>
    <definedName name="Excel_BuiltIn_Print_Titles_5_7_4_6_9_3">#REF!</definedName>
    <definedName name="Excel_BuiltIn_Print_Titles_5_7_4_8" localSheetId="16">#REF!</definedName>
    <definedName name="Excel_BuiltIn_Print_Titles_5_7_4_8" localSheetId="53">#REF!</definedName>
    <definedName name="Excel_BuiltIn_Print_Titles_5_7_4_8">#REF!</definedName>
    <definedName name="Excel_BuiltIn_Print_Titles_5_7_4_8_1" localSheetId="16">#REF!</definedName>
    <definedName name="Excel_BuiltIn_Print_Titles_5_7_4_8_1" localSheetId="53">#REF!</definedName>
    <definedName name="Excel_BuiltIn_Print_Titles_5_7_4_8_1">#REF!</definedName>
    <definedName name="Excel_BuiltIn_Print_Titles_5_7_4_8_10" localSheetId="16">#REF!</definedName>
    <definedName name="Excel_BuiltIn_Print_Titles_5_7_4_8_10" localSheetId="53">#REF!</definedName>
    <definedName name="Excel_BuiltIn_Print_Titles_5_7_4_8_10">#REF!</definedName>
    <definedName name="Excel_BuiltIn_Print_Titles_5_7_4_8_10_1" localSheetId="16">#REF!</definedName>
    <definedName name="Excel_BuiltIn_Print_Titles_5_7_4_8_10_1" localSheetId="53">#REF!</definedName>
    <definedName name="Excel_BuiltIn_Print_Titles_5_7_4_8_10_1">#REF!</definedName>
    <definedName name="Excel_BuiltIn_Print_Titles_5_7_4_8_10_2" localSheetId="16">#REF!</definedName>
    <definedName name="Excel_BuiltIn_Print_Titles_5_7_4_8_10_2" localSheetId="53">#REF!</definedName>
    <definedName name="Excel_BuiltIn_Print_Titles_5_7_4_8_10_2">#REF!</definedName>
    <definedName name="Excel_BuiltIn_Print_Titles_5_7_4_8_10_3" localSheetId="16">#REF!</definedName>
    <definedName name="Excel_BuiltIn_Print_Titles_5_7_4_8_10_3" localSheetId="53">#REF!</definedName>
    <definedName name="Excel_BuiltIn_Print_Titles_5_7_4_8_10_3">#REF!</definedName>
    <definedName name="Excel_BuiltIn_Print_Titles_5_7_4_8_2" localSheetId="16">#REF!</definedName>
    <definedName name="Excel_BuiltIn_Print_Titles_5_7_4_8_2" localSheetId="53">#REF!</definedName>
    <definedName name="Excel_BuiltIn_Print_Titles_5_7_4_8_2">#REF!</definedName>
    <definedName name="Excel_BuiltIn_Print_Titles_5_7_4_8_3" localSheetId="16">#REF!</definedName>
    <definedName name="Excel_BuiltIn_Print_Titles_5_7_4_8_3" localSheetId="53">#REF!</definedName>
    <definedName name="Excel_BuiltIn_Print_Titles_5_7_4_8_3">#REF!</definedName>
    <definedName name="Excel_BuiltIn_Print_Titles_5_7_4_8_9" localSheetId="16">#REF!</definedName>
    <definedName name="Excel_BuiltIn_Print_Titles_5_7_4_8_9" localSheetId="53">#REF!</definedName>
    <definedName name="Excel_BuiltIn_Print_Titles_5_7_4_8_9">#REF!</definedName>
    <definedName name="Excel_BuiltIn_Print_Titles_5_7_4_8_9_1" localSheetId="16">#REF!</definedName>
    <definedName name="Excel_BuiltIn_Print_Titles_5_7_4_8_9_1" localSheetId="53">#REF!</definedName>
    <definedName name="Excel_BuiltIn_Print_Titles_5_7_4_8_9_1">#REF!</definedName>
    <definedName name="Excel_BuiltIn_Print_Titles_5_7_4_8_9_2" localSheetId="16">#REF!</definedName>
    <definedName name="Excel_BuiltIn_Print_Titles_5_7_4_8_9_2" localSheetId="53">#REF!</definedName>
    <definedName name="Excel_BuiltIn_Print_Titles_5_7_4_8_9_2">#REF!</definedName>
    <definedName name="Excel_BuiltIn_Print_Titles_5_7_4_8_9_3" localSheetId="16">#REF!</definedName>
    <definedName name="Excel_BuiltIn_Print_Titles_5_7_4_8_9_3" localSheetId="53">#REF!</definedName>
    <definedName name="Excel_BuiltIn_Print_Titles_5_7_4_8_9_3">#REF!</definedName>
    <definedName name="Excel_BuiltIn_Print_Titles_5_7_4_9" localSheetId="16">#REF!</definedName>
    <definedName name="Excel_BuiltIn_Print_Titles_5_7_4_9" localSheetId="53">#REF!</definedName>
    <definedName name="Excel_BuiltIn_Print_Titles_5_7_4_9">#REF!</definedName>
    <definedName name="Excel_BuiltIn_Print_Titles_5_7_4_9_1" localSheetId="16">#REF!</definedName>
    <definedName name="Excel_BuiltIn_Print_Titles_5_7_4_9_1" localSheetId="53">#REF!</definedName>
    <definedName name="Excel_BuiltIn_Print_Titles_5_7_4_9_1">#REF!</definedName>
    <definedName name="Excel_BuiltIn_Print_Titles_5_7_4_9_2" localSheetId="16">#REF!</definedName>
    <definedName name="Excel_BuiltIn_Print_Titles_5_7_4_9_2" localSheetId="53">#REF!</definedName>
    <definedName name="Excel_BuiltIn_Print_Titles_5_7_4_9_2">#REF!</definedName>
    <definedName name="Excel_BuiltIn_Print_Titles_5_7_4_9_3" localSheetId="16">#REF!</definedName>
    <definedName name="Excel_BuiltIn_Print_Titles_5_7_4_9_3" localSheetId="53">#REF!</definedName>
    <definedName name="Excel_BuiltIn_Print_Titles_5_7_4_9_3">#REF!</definedName>
    <definedName name="Excel_BuiltIn_Print_Titles_5_7_5" localSheetId="16">#REF!</definedName>
    <definedName name="Excel_BuiltIn_Print_Titles_5_7_5" localSheetId="53">#REF!</definedName>
    <definedName name="Excel_BuiltIn_Print_Titles_5_7_5">#REF!</definedName>
    <definedName name="Excel_BuiltIn_Print_Titles_5_7_5_1" localSheetId="16">#REF!</definedName>
    <definedName name="Excel_BuiltIn_Print_Titles_5_7_5_1" localSheetId="53">#REF!</definedName>
    <definedName name="Excel_BuiltIn_Print_Titles_5_7_5_1">#REF!</definedName>
    <definedName name="Excel_BuiltIn_Print_Titles_5_7_5_10" localSheetId="16">#REF!</definedName>
    <definedName name="Excel_BuiltIn_Print_Titles_5_7_5_10" localSheetId="53">#REF!</definedName>
    <definedName name="Excel_BuiltIn_Print_Titles_5_7_5_10">#REF!</definedName>
    <definedName name="Excel_BuiltIn_Print_Titles_5_7_5_10_1" localSheetId="16">#REF!</definedName>
    <definedName name="Excel_BuiltIn_Print_Titles_5_7_5_10_1" localSheetId="53">#REF!</definedName>
    <definedName name="Excel_BuiltIn_Print_Titles_5_7_5_10_1">#REF!</definedName>
    <definedName name="Excel_BuiltIn_Print_Titles_5_7_5_10_2" localSheetId="16">#REF!</definedName>
    <definedName name="Excel_BuiltIn_Print_Titles_5_7_5_10_2" localSheetId="53">#REF!</definedName>
    <definedName name="Excel_BuiltIn_Print_Titles_5_7_5_10_2">#REF!</definedName>
    <definedName name="Excel_BuiltIn_Print_Titles_5_7_5_10_3" localSheetId="16">#REF!</definedName>
    <definedName name="Excel_BuiltIn_Print_Titles_5_7_5_10_3" localSheetId="53">#REF!</definedName>
    <definedName name="Excel_BuiltIn_Print_Titles_5_7_5_10_3">#REF!</definedName>
    <definedName name="Excel_BuiltIn_Print_Titles_5_7_5_2" localSheetId="16">#REF!</definedName>
    <definedName name="Excel_BuiltIn_Print_Titles_5_7_5_2" localSheetId="53">#REF!</definedName>
    <definedName name="Excel_BuiltIn_Print_Titles_5_7_5_2">#REF!</definedName>
    <definedName name="Excel_BuiltIn_Print_Titles_5_7_5_3" localSheetId="16">#REF!</definedName>
    <definedName name="Excel_BuiltIn_Print_Titles_5_7_5_3" localSheetId="53">#REF!</definedName>
    <definedName name="Excel_BuiltIn_Print_Titles_5_7_5_3">#REF!</definedName>
    <definedName name="Excel_BuiltIn_Print_Titles_5_7_5_9" localSheetId="16">#REF!</definedName>
    <definedName name="Excel_BuiltIn_Print_Titles_5_7_5_9" localSheetId="53">#REF!</definedName>
    <definedName name="Excel_BuiltIn_Print_Titles_5_7_5_9">#REF!</definedName>
    <definedName name="Excel_BuiltIn_Print_Titles_5_7_5_9_1" localSheetId="16">#REF!</definedName>
    <definedName name="Excel_BuiltIn_Print_Titles_5_7_5_9_1" localSheetId="53">#REF!</definedName>
    <definedName name="Excel_BuiltIn_Print_Titles_5_7_5_9_1">#REF!</definedName>
    <definedName name="Excel_BuiltIn_Print_Titles_5_7_5_9_2" localSheetId="16">#REF!</definedName>
    <definedName name="Excel_BuiltIn_Print_Titles_5_7_5_9_2" localSheetId="53">#REF!</definedName>
    <definedName name="Excel_BuiltIn_Print_Titles_5_7_5_9_2">#REF!</definedName>
    <definedName name="Excel_BuiltIn_Print_Titles_5_7_5_9_3" localSheetId="16">#REF!</definedName>
    <definedName name="Excel_BuiltIn_Print_Titles_5_7_5_9_3" localSheetId="53">#REF!</definedName>
    <definedName name="Excel_BuiltIn_Print_Titles_5_7_5_9_3">#REF!</definedName>
    <definedName name="Excel_BuiltIn_Print_Titles_5_7_6" localSheetId="16">#REF!</definedName>
    <definedName name="Excel_BuiltIn_Print_Titles_5_7_6" localSheetId="53">#REF!</definedName>
    <definedName name="Excel_BuiltIn_Print_Titles_5_7_6">#REF!</definedName>
    <definedName name="Excel_BuiltIn_Print_Titles_5_7_6_1" localSheetId="16">#REF!</definedName>
    <definedName name="Excel_BuiltIn_Print_Titles_5_7_6_1" localSheetId="53">#REF!</definedName>
    <definedName name="Excel_BuiltIn_Print_Titles_5_7_6_1">#REF!</definedName>
    <definedName name="Excel_BuiltIn_Print_Titles_5_7_6_10" localSheetId="16">#REF!</definedName>
    <definedName name="Excel_BuiltIn_Print_Titles_5_7_6_10" localSheetId="53">#REF!</definedName>
    <definedName name="Excel_BuiltIn_Print_Titles_5_7_6_10">#REF!</definedName>
    <definedName name="Excel_BuiltIn_Print_Titles_5_7_6_10_1" localSheetId="16">#REF!</definedName>
    <definedName name="Excel_BuiltIn_Print_Titles_5_7_6_10_1" localSheetId="53">#REF!</definedName>
    <definedName name="Excel_BuiltIn_Print_Titles_5_7_6_10_1">#REF!</definedName>
    <definedName name="Excel_BuiltIn_Print_Titles_5_7_6_10_2" localSheetId="16">#REF!</definedName>
    <definedName name="Excel_BuiltIn_Print_Titles_5_7_6_10_2" localSheetId="53">#REF!</definedName>
    <definedName name="Excel_BuiltIn_Print_Titles_5_7_6_10_2">#REF!</definedName>
    <definedName name="Excel_BuiltIn_Print_Titles_5_7_6_10_3" localSheetId="16">#REF!</definedName>
    <definedName name="Excel_BuiltIn_Print_Titles_5_7_6_10_3" localSheetId="53">#REF!</definedName>
    <definedName name="Excel_BuiltIn_Print_Titles_5_7_6_10_3">#REF!</definedName>
    <definedName name="Excel_BuiltIn_Print_Titles_5_7_6_2" localSheetId="16">#REF!</definedName>
    <definedName name="Excel_BuiltIn_Print_Titles_5_7_6_2" localSheetId="53">#REF!</definedName>
    <definedName name="Excel_BuiltIn_Print_Titles_5_7_6_2">#REF!</definedName>
    <definedName name="Excel_BuiltIn_Print_Titles_5_7_6_3" localSheetId="16">#REF!</definedName>
    <definedName name="Excel_BuiltIn_Print_Titles_5_7_6_3" localSheetId="53">#REF!</definedName>
    <definedName name="Excel_BuiltIn_Print_Titles_5_7_6_3">#REF!</definedName>
    <definedName name="Excel_BuiltIn_Print_Titles_5_7_6_9" localSheetId="16">#REF!</definedName>
    <definedName name="Excel_BuiltIn_Print_Titles_5_7_6_9" localSheetId="53">#REF!</definedName>
    <definedName name="Excel_BuiltIn_Print_Titles_5_7_6_9">#REF!</definedName>
    <definedName name="Excel_BuiltIn_Print_Titles_5_7_6_9_1" localSheetId="16">#REF!</definedName>
    <definedName name="Excel_BuiltIn_Print_Titles_5_7_6_9_1" localSheetId="53">#REF!</definedName>
    <definedName name="Excel_BuiltIn_Print_Titles_5_7_6_9_1">#REF!</definedName>
    <definedName name="Excel_BuiltIn_Print_Titles_5_7_6_9_2" localSheetId="16">#REF!</definedName>
    <definedName name="Excel_BuiltIn_Print_Titles_5_7_6_9_2" localSheetId="53">#REF!</definedName>
    <definedName name="Excel_BuiltIn_Print_Titles_5_7_6_9_2">#REF!</definedName>
    <definedName name="Excel_BuiltIn_Print_Titles_5_7_6_9_3" localSheetId="16">#REF!</definedName>
    <definedName name="Excel_BuiltIn_Print_Titles_5_7_6_9_3" localSheetId="53">#REF!</definedName>
    <definedName name="Excel_BuiltIn_Print_Titles_5_7_6_9_3">#REF!</definedName>
    <definedName name="Excel_BuiltIn_Print_Titles_5_7_8" localSheetId="16">#REF!</definedName>
    <definedName name="Excel_BuiltIn_Print_Titles_5_7_8" localSheetId="53">#REF!</definedName>
    <definedName name="Excel_BuiltIn_Print_Titles_5_7_8">#REF!</definedName>
    <definedName name="Excel_BuiltIn_Print_Titles_5_7_8_1" localSheetId="16">#REF!</definedName>
    <definedName name="Excel_BuiltIn_Print_Titles_5_7_8_1" localSheetId="53">#REF!</definedName>
    <definedName name="Excel_BuiltIn_Print_Titles_5_7_8_1">#REF!</definedName>
    <definedName name="Excel_BuiltIn_Print_Titles_5_7_8_10" localSheetId="16">#REF!</definedName>
    <definedName name="Excel_BuiltIn_Print_Titles_5_7_8_10" localSheetId="53">#REF!</definedName>
    <definedName name="Excel_BuiltIn_Print_Titles_5_7_8_10">#REF!</definedName>
    <definedName name="Excel_BuiltIn_Print_Titles_5_7_8_10_1" localSheetId="16">#REF!</definedName>
    <definedName name="Excel_BuiltIn_Print_Titles_5_7_8_10_1" localSheetId="53">#REF!</definedName>
    <definedName name="Excel_BuiltIn_Print_Titles_5_7_8_10_1">#REF!</definedName>
    <definedName name="Excel_BuiltIn_Print_Titles_5_7_8_10_2" localSheetId="16">#REF!</definedName>
    <definedName name="Excel_BuiltIn_Print_Titles_5_7_8_10_2" localSheetId="53">#REF!</definedName>
    <definedName name="Excel_BuiltIn_Print_Titles_5_7_8_10_2">#REF!</definedName>
    <definedName name="Excel_BuiltIn_Print_Titles_5_7_8_10_3" localSheetId="16">#REF!</definedName>
    <definedName name="Excel_BuiltIn_Print_Titles_5_7_8_10_3" localSheetId="53">#REF!</definedName>
    <definedName name="Excel_BuiltIn_Print_Titles_5_7_8_10_3">#REF!</definedName>
    <definedName name="Excel_BuiltIn_Print_Titles_5_7_8_2" localSheetId="16">#REF!</definedName>
    <definedName name="Excel_BuiltIn_Print_Titles_5_7_8_2" localSheetId="53">#REF!</definedName>
    <definedName name="Excel_BuiltIn_Print_Titles_5_7_8_2">#REF!</definedName>
    <definedName name="Excel_BuiltIn_Print_Titles_5_7_8_3" localSheetId="16">#REF!</definedName>
    <definedName name="Excel_BuiltIn_Print_Titles_5_7_8_3" localSheetId="53">#REF!</definedName>
    <definedName name="Excel_BuiltIn_Print_Titles_5_7_8_3">#REF!</definedName>
    <definedName name="Excel_BuiltIn_Print_Titles_5_7_8_9" localSheetId="16">#REF!</definedName>
    <definedName name="Excel_BuiltIn_Print_Titles_5_7_8_9" localSheetId="53">#REF!</definedName>
    <definedName name="Excel_BuiltIn_Print_Titles_5_7_8_9">#REF!</definedName>
    <definedName name="Excel_BuiltIn_Print_Titles_5_7_8_9_1" localSheetId="16">#REF!</definedName>
    <definedName name="Excel_BuiltIn_Print_Titles_5_7_8_9_1" localSheetId="53">#REF!</definedName>
    <definedName name="Excel_BuiltIn_Print_Titles_5_7_8_9_1">#REF!</definedName>
    <definedName name="Excel_BuiltIn_Print_Titles_5_7_8_9_2" localSheetId="16">#REF!</definedName>
    <definedName name="Excel_BuiltIn_Print_Titles_5_7_8_9_2" localSheetId="53">#REF!</definedName>
    <definedName name="Excel_BuiltIn_Print_Titles_5_7_8_9_2">#REF!</definedName>
    <definedName name="Excel_BuiltIn_Print_Titles_5_7_8_9_3" localSheetId="16">#REF!</definedName>
    <definedName name="Excel_BuiltIn_Print_Titles_5_7_8_9_3" localSheetId="53">#REF!</definedName>
    <definedName name="Excel_BuiltIn_Print_Titles_5_7_8_9_3">#REF!</definedName>
    <definedName name="Excel_BuiltIn_Print_Titles_5_7_9" localSheetId="16">#REF!</definedName>
    <definedName name="Excel_BuiltIn_Print_Titles_5_7_9" localSheetId="53">#REF!</definedName>
    <definedName name="Excel_BuiltIn_Print_Titles_5_7_9">#REF!</definedName>
    <definedName name="Excel_BuiltIn_Print_Titles_5_7_9_1" localSheetId="16">#REF!</definedName>
    <definedName name="Excel_BuiltIn_Print_Titles_5_7_9_1" localSheetId="53">#REF!</definedName>
    <definedName name="Excel_BuiltIn_Print_Titles_5_7_9_1">#REF!</definedName>
    <definedName name="Excel_BuiltIn_Print_Titles_5_7_9_2" localSheetId="16">#REF!</definedName>
    <definedName name="Excel_BuiltIn_Print_Titles_5_7_9_2" localSheetId="53">#REF!</definedName>
    <definedName name="Excel_BuiltIn_Print_Titles_5_7_9_2">#REF!</definedName>
    <definedName name="Excel_BuiltIn_Print_Titles_5_7_9_3" localSheetId="16">#REF!</definedName>
    <definedName name="Excel_BuiltIn_Print_Titles_5_7_9_3" localSheetId="53">#REF!</definedName>
    <definedName name="Excel_BuiltIn_Print_Titles_5_7_9_3">#REF!</definedName>
    <definedName name="Excel_BuiltIn_Print_Titles_5_8" localSheetId="16">#REF!</definedName>
    <definedName name="Excel_BuiltIn_Print_Titles_5_8" localSheetId="53">#REF!</definedName>
    <definedName name="Excel_BuiltIn_Print_Titles_5_8">#REF!</definedName>
    <definedName name="Excel_BuiltIn_Print_Titles_5_8_1" localSheetId="16">#REF!</definedName>
    <definedName name="Excel_BuiltIn_Print_Titles_5_8_1" localSheetId="53">#REF!</definedName>
    <definedName name="Excel_BuiltIn_Print_Titles_5_8_1">#REF!</definedName>
    <definedName name="Excel_BuiltIn_Print_Titles_5_8_1_1" localSheetId="93">'[1]9a.sz.mell.II.név(7.1)'!#REF!</definedName>
    <definedName name="Excel_BuiltIn_Print_Titles_5_8_1_1" localSheetId="94">'[1]9a.sz.mell.II.név(7.1)'!#REF!</definedName>
    <definedName name="Excel_BuiltIn_Print_Titles_5_8_1_1" localSheetId="95">'[1]9a.sz.mell.II.név(7.1)'!#REF!</definedName>
    <definedName name="Excel_BuiltIn_Print_Titles_5_8_1_1" localSheetId="96">'[1]9a.sz.mell.II.név(7.1)'!#REF!</definedName>
    <definedName name="Excel_BuiltIn_Print_Titles_5_8_1_1" localSheetId="16">'[2]9a.sz.mell.II.név(7.1)'!#REF!</definedName>
    <definedName name="Excel_BuiltIn_Print_Titles_5_8_1_1" localSheetId="53">'[2]9a.sz.mell.II.név(7.1)'!#REF!</definedName>
    <definedName name="Excel_BuiltIn_Print_Titles_5_8_1_1">'[2]9a.sz.mell.II.név(7.1)'!#REF!</definedName>
    <definedName name="Excel_BuiltIn_Print_Titles_5_8_1_1_1">'[1]9a.sz.mell.II.név(7.1)'!#REF!</definedName>
    <definedName name="Excel_BuiltIn_Print_Titles_5_8_1_10" localSheetId="93">'[1]9a.sz.mell.II.név(7.1)'!#REF!</definedName>
    <definedName name="Excel_BuiltIn_Print_Titles_5_8_1_10" localSheetId="94">'[1]9a.sz.mell.II.név(7.1)'!#REF!</definedName>
    <definedName name="Excel_BuiltIn_Print_Titles_5_8_1_10" localSheetId="95">'[1]9a.sz.mell.II.név(7.1)'!#REF!</definedName>
    <definedName name="Excel_BuiltIn_Print_Titles_5_8_1_10" localSheetId="96">'[1]9a.sz.mell.II.név(7.1)'!#REF!</definedName>
    <definedName name="Excel_BuiltIn_Print_Titles_5_8_1_10" localSheetId="16">'[2]9a.sz.mell.II.név(7.1)'!#REF!</definedName>
    <definedName name="Excel_BuiltIn_Print_Titles_5_8_1_10" localSheetId="53">'[2]9a.sz.mell.II.név(7.1)'!#REF!</definedName>
    <definedName name="Excel_BuiltIn_Print_Titles_5_8_1_10">'[2]9a.sz.mell.II.név(7.1)'!#REF!</definedName>
    <definedName name="Excel_BuiltIn_Print_Titles_5_8_1_10_1" localSheetId="93">'[1]9a.sz.mell.II.név(7.1)'!#REF!</definedName>
    <definedName name="Excel_BuiltIn_Print_Titles_5_8_1_10_1" localSheetId="94">'[1]9a.sz.mell.II.név(7.1)'!#REF!</definedName>
    <definedName name="Excel_BuiltIn_Print_Titles_5_8_1_10_1" localSheetId="95">'[1]9a.sz.mell.II.név(7.1)'!#REF!</definedName>
    <definedName name="Excel_BuiltIn_Print_Titles_5_8_1_10_1" localSheetId="96">'[1]9a.sz.mell.II.név(7.1)'!#REF!</definedName>
    <definedName name="Excel_BuiltIn_Print_Titles_5_8_1_10_1" localSheetId="16">'[2]9a.sz.mell.II.név(7.1)'!#REF!</definedName>
    <definedName name="Excel_BuiltIn_Print_Titles_5_8_1_10_1" localSheetId="53">'[2]9a.sz.mell.II.név(7.1)'!#REF!</definedName>
    <definedName name="Excel_BuiltIn_Print_Titles_5_8_1_10_1">'[2]9a.sz.mell.II.név(7.1)'!#REF!</definedName>
    <definedName name="Excel_BuiltIn_Print_Titles_5_8_1_10_2" localSheetId="93">'[1]9a.sz.mell.II.név(7.1)'!#REF!</definedName>
    <definedName name="Excel_BuiltIn_Print_Titles_5_8_1_10_2" localSheetId="94">'[1]9a.sz.mell.II.név(7.1)'!#REF!</definedName>
    <definedName name="Excel_BuiltIn_Print_Titles_5_8_1_10_2" localSheetId="95">'[1]9a.sz.mell.II.név(7.1)'!#REF!</definedName>
    <definedName name="Excel_BuiltIn_Print_Titles_5_8_1_10_2" localSheetId="96">'[1]9a.sz.mell.II.név(7.1)'!#REF!</definedName>
    <definedName name="Excel_BuiltIn_Print_Titles_5_8_1_10_2" localSheetId="16">'[2]9a.sz.mell.II.név(7.1)'!#REF!</definedName>
    <definedName name="Excel_BuiltIn_Print_Titles_5_8_1_10_2" localSheetId="53">'[2]9a.sz.mell.II.név(7.1)'!#REF!</definedName>
    <definedName name="Excel_BuiltIn_Print_Titles_5_8_1_10_2">'[2]9a.sz.mell.II.név(7.1)'!#REF!</definedName>
    <definedName name="Excel_BuiltIn_Print_Titles_5_8_1_10_3" localSheetId="93">'[1]9a.sz.mell.II.név(7.1)'!#REF!</definedName>
    <definedName name="Excel_BuiltIn_Print_Titles_5_8_1_10_3" localSheetId="94">'[1]9a.sz.mell.II.név(7.1)'!#REF!</definedName>
    <definedName name="Excel_BuiltIn_Print_Titles_5_8_1_10_3" localSheetId="95">'[1]9a.sz.mell.II.név(7.1)'!#REF!</definedName>
    <definedName name="Excel_BuiltIn_Print_Titles_5_8_1_10_3" localSheetId="96">'[1]9a.sz.mell.II.név(7.1)'!#REF!</definedName>
    <definedName name="Excel_BuiltIn_Print_Titles_5_8_1_10_3" localSheetId="16">'[2]9a.sz.mell.II.név(7.1)'!#REF!</definedName>
    <definedName name="Excel_BuiltIn_Print_Titles_5_8_1_10_3" localSheetId="53">'[2]9a.sz.mell.II.név(7.1)'!#REF!</definedName>
    <definedName name="Excel_BuiltIn_Print_Titles_5_8_1_10_3">'[2]9a.sz.mell.II.név(7.1)'!#REF!</definedName>
    <definedName name="Excel_BuiltIn_Print_Titles_5_8_1_2" localSheetId="93">'[1]9a.sz.mell.II.név(7.1)'!#REF!</definedName>
    <definedName name="Excel_BuiltIn_Print_Titles_5_8_1_2" localSheetId="94">'[1]9a.sz.mell.II.név(7.1)'!#REF!</definedName>
    <definedName name="Excel_BuiltIn_Print_Titles_5_8_1_2" localSheetId="95">'[1]9a.sz.mell.II.név(7.1)'!#REF!</definedName>
    <definedName name="Excel_BuiltIn_Print_Titles_5_8_1_2" localSheetId="96">'[1]9a.sz.mell.II.név(7.1)'!#REF!</definedName>
    <definedName name="Excel_BuiltIn_Print_Titles_5_8_1_2" localSheetId="16">'[2]9a.sz.mell.II.név(7.1)'!#REF!</definedName>
    <definedName name="Excel_BuiltIn_Print_Titles_5_8_1_2" localSheetId="53">'[2]9a.sz.mell.II.név(7.1)'!#REF!</definedName>
    <definedName name="Excel_BuiltIn_Print_Titles_5_8_1_2">'[2]9a.sz.mell.II.név(7.1)'!#REF!</definedName>
    <definedName name="Excel_BuiltIn_Print_Titles_5_8_1_3" localSheetId="93">'[1]9a.sz.mell.II.név(7.1)'!#REF!</definedName>
    <definedName name="Excel_BuiltIn_Print_Titles_5_8_1_3" localSheetId="94">'[1]9a.sz.mell.II.név(7.1)'!#REF!</definedName>
    <definedName name="Excel_BuiltIn_Print_Titles_5_8_1_3" localSheetId="95">'[1]9a.sz.mell.II.név(7.1)'!#REF!</definedName>
    <definedName name="Excel_BuiltIn_Print_Titles_5_8_1_3" localSheetId="96">'[1]9a.sz.mell.II.név(7.1)'!#REF!</definedName>
    <definedName name="Excel_BuiltIn_Print_Titles_5_8_1_3" localSheetId="16">'[2]9a.sz.mell.II.név(7.1)'!#REF!</definedName>
    <definedName name="Excel_BuiltIn_Print_Titles_5_8_1_3" localSheetId="53">'[2]9a.sz.mell.II.név(7.1)'!#REF!</definedName>
    <definedName name="Excel_BuiltIn_Print_Titles_5_8_1_3">'[2]9a.sz.mell.II.név(7.1)'!#REF!</definedName>
    <definedName name="Excel_BuiltIn_Print_Titles_5_8_1_9" localSheetId="93">'[1]9a.sz.mell.II.név(7.1)'!#REF!</definedName>
    <definedName name="Excel_BuiltIn_Print_Titles_5_8_1_9" localSheetId="94">'[1]9a.sz.mell.II.név(7.1)'!#REF!</definedName>
    <definedName name="Excel_BuiltIn_Print_Titles_5_8_1_9" localSheetId="95">'[1]9a.sz.mell.II.név(7.1)'!#REF!</definedName>
    <definedName name="Excel_BuiltIn_Print_Titles_5_8_1_9" localSheetId="96">'[1]9a.sz.mell.II.név(7.1)'!#REF!</definedName>
    <definedName name="Excel_BuiltIn_Print_Titles_5_8_1_9" localSheetId="16">'[2]9a.sz.mell.II.név(7.1)'!#REF!</definedName>
    <definedName name="Excel_BuiltIn_Print_Titles_5_8_1_9" localSheetId="53">'[2]9a.sz.mell.II.név(7.1)'!#REF!</definedName>
    <definedName name="Excel_BuiltIn_Print_Titles_5_8_1_9">'[2]9a.sz.mell.II.név(7.1)'!#REF!</definedName>
    <definedName name="Excel_BuiltIn_Print_Titles_5_8_1_9_1" localSheetId="93">'[1]9a.sz.mell.II.név(7.1)'!#REF!</definedName>
    <definedName name="Excel_BuiltIn_Print_Titles_5_8_1_9_1" localSheetId="94">'[1]9a.sz.mell.II.név(7.1)'!#REF!</definedName>
    <definedName name="Excel_BuiltIn_Print_Titles_5_8_1_9_1" localSheetId="95">'[1]9a.sz.mell.II.név(7.1)'!#REF!</definedName>
    <definedName name="Excel_BuiltIn_Print_Titles_5_8_1_9_1" localSheetId="96">'[1]9a.sz.mell.II.név(7.1)'!#REF!</definedName>
    <definedName name="Excel_BuiltIn_Print_Titles_5_8_1_9_1" localSheetId="16">'[2]9a.sz.mell.II.név(7.1)'!#REF!</definedName>
    <definedName name="Excel_BuiltIn_Print_Titles_5_8_1_9_1" localSheetId="53">'[2]9a.sz.mell.II.név(7.1)'!#REF!</definedName>
    <definedName name="Excel_BuiltIn_Print_Titles_5_8_1_9_1">'[2]9a.sz.mell.II.név(7.1)'!#REF!</definedName>
    <definedName name="Excel_BuiltIn_Print_Titles_5_8_1_9_2" localSheetId="93">'[1]9a.sz.mell.II.név(7.1)'!#REF!</definedName>
    <definedName name="Excel_BuiltIn_Print_Titles_5_8_1_9_2" localSheetId="94">'[1]9a.sz.mell.II.név(7.1)'!#REF!</definedName>
    <definedName name="Excel_BuiltIn_Print_Titles_5_8_1_9_2" localSheetId="95">'[1]9a.sz.mell.II.név(7.1)'!#REF!</definedName>
    <definedName name="Excel_BuiltIn_Print_Titles_5_8_1_9_2" localSheetId="96">'[1]9a.sz.mell.II.név(7.1)'!#REF!</definedName>
    <definedName name="Excel_BuiltIn_Print_Titles_5_8_1_9_2" localSheetId="16">'[2]9a.sz.mell.II.név(7.1)'!#REF!</definedName>
    <definedName name="Excel_BuiltIn_Print_Titles_5_8_1_9_2" localSheetId="53">'[2]9a.sz.mell.II.név(7.1)'!#REF!</definedName>
    <definedName name="Excel_BuiltIn_Print_Titles_5_8_1_9_2">'[2]9a.sz.mell.II.név(7.1)'!#REF!</definedName>
    <definedName name="Excel_BuiltIn_Print_Titles_5_8_1_9_3" localSheetId="93">'[1]9a.sz.mell.II.név(7.1)'!#REF!</definedName>
    <definedName name="Excel_BuiltIn_Print_Titles_5_8_1_9_3" localSheetId="94">'[1]9a.sz.mell.II.név(7.1)'!#REF!</definedName>
    <definedName name="Excel_BuiltIn_Print_Titles_5_8_1_9_3" localSheetId="95">'[1]9a.sz.mell.II.név(7.1)'!#REF!</definedName>
    <definedName name="Excel_BuiltIn_Print_Titles_5_8_1_9_3" localSheetId="96">'[1]9a.sz.mell.II.név(7.1)'!#REF!</definedName>
    <definedName name="Excel_BuiltIn_Print_Titles_5_8_1_9_3" localSheetId="16">'[2]9a.sz.mell.II.név(7.1)'!#REF!</definedName>
    <definedName name="Excel_BuiltIn_Print_Titles_5_8_1_9_3" localSheetId="53">'[2]9a.sz.mell.II.név(7.1)'!#REF!</definedName>
    <definedName name="Excel_BuiltIn_Print_Titles_5_8_1_9_3">'[2]9a.sz.mell.II.név(7.1)'!#REF!</definedName>
    <definedName name="Excel_BuiltIn_Print_Titles_5_8_10" localSheetId="93">#REF!</definedName>
    <definedName name="Excel_BuiltIn_Print_Titles_5_8_10" localSheetId="94">#REF!</definedName>
    <definedName name="Excel_BuiltIn_Print_Titles_5_8_10" localSheetId="95">#REF!</definedName>
    <definedName name="Excel_BuiltIn_Print_Titles_5_8_10" localSheetId="96">#REF!</definedName>
    <definedName name="Excel_BuiltIn_Print_Titles_5_8_10" localSheetId="16">#REF!</definedName>
    <definedName name="Excel_BuiltIn_Print_Titles_5_8_10" localSheetId="53">#REF!</definedName>
    <definedName name="Excel_BuiltIn_Print_Titles_5_8_10">#REF!</definedName>
    <definedName name="Excel_BuiltIn_Print_Titles_5_8_10_1" localSheetId="93">#REF!</definedName>
    <definedName name="Excel_BuiltIn_Print_Titles_5_8_10_1" localSheetId="94">#REF!</definedName>
    <definedName name="Excel_BuiltIn_Print_Titles_5_8_10_1" localSheetId="95">#REF!</definedName>
    <definedName name="Excel_BuiltIn_Print_Titles_5_8_10_1" localSheetId="96">#REF!</definedName>
    <definedName name="Excel_BuiltIn_Print_Titles_5_8_10_1" localSheetId="16">#REF!</definedName>
    <definedName name="Excel_BuiltIn_Print_Titles_5_8_10_1" localSheetId="53">#REF!</definedName>
    <definedName name="Excel_BuiltIn_Print_Titles_5_8_10_1">#REF!</definedName>
    <definedName name="Excel_BuiltIn_Print_Titles_5_8_10_2" localSheetId="93">#REF!</definedName>
    <definedName name="Excel_BuiltIn_Print_Titles_5_8_10_2" localSheetId="94">#REF!</definedName>
    <definedName name="Excel_BuiltIn_Print_Titles_5_8_10_2" localSheetId="95">#REF!</definedName>
    <definedName name="Excel_BuiltIn_Print_Titles_5_8_10_2" localSheetId="96">#REF!</definedName>
    <definedName name="Excel_BuiltIn_Print_Titles_5_8_10_2" localSheetId="16">#REF!</definedName>
    <definedName name="Excel_BuiltIn_Print_Titles_5_8_10_2" localSheetId="53">#REF!</definedName>
    <definedName name="Excel_BuiltIn_Print_Titles_5_8_10_2">#REF!</definedName>
    <definedName name="Excel_BuiltIn_Print_Titles_5_8_10_3" localSheetId="16">#REF!</definedName>
    <definedName name="Excel_BuiltIn_Print_Titles_5_8_10_3" localSheetId="53">#REF!</definedName>
    <definedName name="Excel_BuiltIn_Print_Titles_5_8_10_3">#REF!</definedName>
    <definedName name="Excel_BuiltIn_Print_Titles_5_8_2" localSheetId="16">#REF!</definedName>
    <definedName name="Excel_BuiltIn_Print_Titles_5_8_2" localSheetId="53">#REF!</definedName>
    <definedName name="Excel_BuiltIn_Print_Titles_5_8_2">#REF!</definedName>
    <definedName name="Excel_BuiltIn_Print_Titles_5_8_3" localSheetId="16">#REF!</definedName>
    <definedName name="Excel_BuiltIn_Print_Titles_5_8_3" localSheetId="53">#REF!</definedName>
    <definedName name="Excel_BuiltIn_Print_Titles_5_8_3">#REF!</definedName>
    <definedName name="Excel_BuiltIn_Print_Titles_5_8_4" localSheetId="93">'[1]9a.sz.mell.II.név(7.1)'!#REF!</definedName>
    <definedName name="Excel_BuiltIn_Print_Titles_5_8_4" localSheetId="94">'[1]9a.sz.mell.II.név(7.1)'!#REF!</definedName>
    <definedName name="Excel_BuiltIn_Print_Titles_5_8_4" localSheetId="95">'[1]9a.sz.mell.II.név(7.1)'!#REF!</definedName>
    <definedName name="Excel_BuiltIn_Print_Titles_5_8_4" localSheetId="96">'[1]9a.sz.mell.II.név(7.1)'!#REF!</definedName>
    <definedName name="Excel_BuiltIn_Print_Titles_5_8_4" localSheetId="16">'[2]9a.sz.mell.II.név(7.1)'!#REF!</definedName>
    <definedName name="Excel_BuiltIn_Print_Titles_5_8_4" localSheetId="53">'[2]9a.sz.mell.II.név(7.1)'!#REF!</definedName>
    <definedName name="Excel_BuiltIn_Print_Titles_5_8_4">'[2]9a.sz.mell.II.név(7.1)'!#REF!</definedName>
    <definedName name="Excel_BuiltIn_Print_Titles_5_8_4_1" localSheetId="93">'[1]9a.sz.mell.II.név(7.1)'!#REF!</definedName>
    <definedName name="Excel_BuiltIn_Print_Titles_5_8_4_1" localSheetId="94">'[1]9a.sz.mell.II.név(7.1)'!#REF!</definedName>
    <definedName name="Excel_BuiltIn_Print_Titles_5_8_4_1" localSheetId="95">'[1]9a.sz.mell.II.név(7.1)'!#REF!</definedName>
    <definedName name="Excel_BuiltIn_Print_Titles_5_8_4_1" localSheetId="96">'[1]9a.sz.mell.II.név(7.1)'!#REF!</definedName>
    <definedName name="Excel_BuiltIn_Print_Titles_5_8_4_1" localSheetId="16">'[2]9a.sz.mell.II.név(7.1)'!#REF!</definedName>
    <definedName name="Excel_BuiltIn_Print_Titles_5_8_4_1" localSheetId="53">'[2]9a.sz.mell.II.név(7.1)'!#REF!</definedName>
    <definedName name="Excel_BuiltIn_Print_Titles_5_8_4_1">'[2]9a.sz.mell.II.név(7.1)'!#REF!</definedName>
    <definedName name="Excel_BuiltIn_Print_Titles_5_8_4_1_1" localSheetId="93">'[1]9a.sz.mell.II.név(7.1)'!#REF!</definedName>
    <definedName name="Excel_BuiltIn_Print_Titles_5_8_4_1_1" localSheetId="94">'[1]9a.sz.mell.II.név(7.1)'!#REF!</definedName>
    <definedName name="Excel_BuiltIn_Print_Titles_5_8_4_1_1" localSheetId="95">'[1]9a.sz.mell.II.név(7.1)'!#REF!</definedName>
    <definedName name="Excel_BuiltIn_Print_Titles_5_8_4_1_1" localSheetId="96">'[1]9a.sz.mell.II.név(7.1)'!#REF!</definedName>
    <definedName name="Excel_BuiltIn_Print_Titles_5_8_4_1_1" localSheetId="16">'[2]9a.sz.mell.II.név(7.1)'!#REF!</definedName>
    <definedName name="Excel_BuiltIn_Print_Titles_5_8_4_1_1" localSheetId="53">'[2]9a.sz.mell.II.név(7.1)'!#REF!</definedName>
    <definedName name="Excel_BuiltIn_Print_Titles_5_8_4_1_1">'[2]9a.sz.mell.II.név(7.1)'!#REF!</definedName>
    <definedName name="Excel_BuiltIn_Print_Titles_5_8_4_1_1_1">'[1]9a.sz.mell.II.név(7.1)'!#REF!</definedName>
    <definedName name="Excel_BuiltIn_Print_Titles_5_8_4_1_10" localSheetId="93">'[1]9a.sz.mell.II.név(7.1)'!#REF!</definedName>
    <definedName name="Excel_BuiltIn_Print_Titles_5_8_4_1_10" localSheetId="94">'[1]9a.sz.mell.II.név(7.1)'!#REF!</definedName>
    <definedName name="Excel_BuiltIn_Print_Titles_5_8_4_1_10" localSheetId="95">'[1]9a.sz.mell.II.név(7.1)'!#REF!</definedName>
    <definedName name="Excel_BuiltIn_Print_Titles_5_8_4_1_10" localSheetId="96">'[1]9a.sz.mell.II.név(7.1)'!#REF!</definedName>
    <definedName name="Excel_BuiltIn_Print_Titles_5_8_4_1_10" localSheetId="16">'[2]9a.sz.mell.II.név(7.1)'!#REF!</definedName>
    <definedName name="Excel_BuiltIn_Print_Titles_5_8_4_1_10" localSheetId="53">'[2]9a.sz.mell.II.név(7.1)'!#REF!</definedName>
    <definedName name="Excel_BuiltIn_Print_Titles_5_8_4_1_10">'[2]9a.sz.mell.II.név(7.1)'!#REF!</definedName>
    <definedName name="Excel_BuiltIn_Print_Titles_5_8_4_1_10_1" localSheetId="93">'[1]9a.sz.mell.II.név(7.1)'!#REF!</definedName>
    <definedName name="Excel_BuiltIn_Print_Titles_5_8_4_1_10_1" localSheetId="94">'[1]9a.sz.mell.II.név(7.1)'!#REF!</definedName>
    <definedName name="Excel_BuiltIn_Print_Titles_5_8_4_1_10_1" localSheetId="95">'[1]9a.sz.mell.II.név(7.1)'!#REF!</definedName>
    <definedName name="Excel_BuiltIn_Print_Titles_5_8_4_1_10_1" localSheetId="96">'[1]9a.sz.mell.II.név(7.1)'!#REF!</definedName>
    <definedName name="Excel_BuiltIn_Print_Titles_5_8_4_1_10_1" localSheetId="16">'[2]9a.sz.mell.II.név(7.1)'!#REF!</definedName>
    <definedName name="Excel_BuiltIn_Print_Titles_5_8_4_1_10_1" localSheetId="53">'[2]9a.sz.mell.II.név(7.1)'!#REF!</definedName>
    <definedName name="Excel_BuiltIn_Print_Titles_5_8_4_1_10_1">'[2]9a.sz.mell.II.név(7.1)'!#REF!</definedName>
    <definedName name="Excel_BuiltIn_Print_Titles_5_8_4_1_10_2" localSheetId="93">'[1]9a.sz.mell.II.név(7.1)'!#REF!</definedName>
    <definedName name="Excel_BuiltIn_Print_Titles_5_8_4_1_10_2" localSheetId="94">'[1]9a.sz.mell.II.név(7.1)'!#REF!</definedName>
    <definedName name="Excel_BuiltIn_Print_Titles_5_8_4_1_10_2" localSheetId="95">'[1]9a.sz.mell.II.név(7.1)'!#REF!</definedName>
    <definedName name="Excel_BuiltIn_Print_Titles_5_8_4_1_10_2" localSheetId="96">'[1]9a.sz.mell.II.név(7.1)'!#REF!</definedName>
    <definedName name="Excel_BuiltIn_Print_Titles_5_8_4_1_10_2" localSheetId="16">'[2]9a.sz.mell.II.név(7.1)'!#REF!</definedName>
    <definedName name="Excel_BuiltIn_Print_Titles_5_8_4_1_10_2" localSheetId="53">'[2]9a.sz.mell.II.név(7.1)'!#REF!</definedName>
    <definedName name="Excel_BuiltIn_Print_Titles_5_8_4_1_10_2">'[2]9a.sz.mell.II.név(7.1)'!#REF!</definedName>
    <definedName name="Excel_BuiltIn_Print_Titles_5_8_4_1_10_3" localSheetId="93">'[1]9a.sz.mell.II.név(7.1)'!#REF!</definedName>
    <definedName name="Excel_BuiltIn_Print_Titles_5_8_4_1_10_3" localSheetId="94">'[1]9a.sz.mell.II.név(7.1)'!#REF!</definedName>
    <definedName name="Excel_BuiltIn_Print_Titles_5_8_4_1_10_3" localSheetId="95">'[1]9a.sz.mell.II.név(7.1)'!#REF!</definedName>
    <definedName name="Excel_BuiltIn_Print_Titles_5_8_4_1_10_3" localSheetId="96">'[1]9a.sz.mell.II.név(7.1)'!#REF!</definedName>
    <definedName name="Excel_BuiltIn_Print_Titles_5_8_4_1_10_3" localSheetId="16">'[2]9a.sz.mell.II.név(7.1)'!#REF!</definedName>
    <definedName name="Excel_BuiltIn_Print_Titles_5_8_4_1_10_3" localSheetId="53">'[2]9a.sz.mell.II.név(7.1)'!#REF!</definedName>
    <definedName name="Excel_BuiltIn_Print_Titles_5_8_4_1_10_3">'[2]9a.sz.mell.II.név(7.1)'!#REF!</definedName>
    <definedName name="Excel_BuiltIn_Print_Titles_5_8_4_1_2" localSheetId="93">'[1]9a.sz.mell.II.név(7.1)'!#REF!</definedName>
    <definedName name="Excel_BuiltIn_Print_Titles_5_8_4_1_2" localSheetId="94">'[1]9a.sz.mell.II.név(7.1)'!#REF!</definedName>
    <definedName name="Excel_BuiltIn_Print_Titles_5_8_4_1_2" localSheetId="95">'[1]9a.sz.mell.II.név(7.1)'!#REF!</definedName>
    <definedName name="Excel_BuiltIn_Print_Titles_5_8_4_1_2" localSheetId="96">'[1]9a.sz.mell.II.név(7.1)'!#REF!</definedName>
    <definedName name="Excel_BuiltIn_Print_Titles_5_8_4_1_2" localSheetId="16">'[2]9a.sz.mell.II.név(7.1)'!#REF!</definedName>
    <definedName name="Excel_BuiltIn_Print_Titles_5_8_4_1_2" localSheetId="53">'[2]9a.sz.mell.II.név(7.1)'!#REF!</definedName>
    <definedName name="Excel_BuiltIn_Print_Titles_5_8_4_1_2">'[2]9a.sz.mell.II.név(7.1)'!#REF!</definedName>
    <definedName name="Excel_BuiltIn_Print_Titles_5_8_4_1_3" localSheetId="93">'[1]9a.sz.mell.II.név(7.1)'!#REF!</definedName>
    <definedName name="Excel_BuiltIn_Print_Titles_5_8_4_1_3" localSheetId="94">'[1]9a.sz.mell.II.név(7.1)'!#REF!</definedName>
    <definedName name="Excel_BuiltIn_Print_Titles_5_8_4_1_3" localSheetId="95">'[1]9a.sz.mell.II.név(7.1)'!#REF!</definedName>
    <definedName name="Excel_BuiltIn_Print_Titles_5_8_4_1_3" localSheetId="96">'[1]9a.sz.mell.II.név(7.1)'!#REF!</definedName>
    <definedName name="Excel_BuiltIn_Print_Titles_5_8_4_1_3" localSheetId="16">'[2]9a.sz.mell.II.név(7.1)'!#REF!</definedName>
    <definedName name="Excel_BuiltIn_Print_Titles_5_8_4_1_3" localSheetId="53">'[2]9a.sz.mell.II.név(7.1)'!#REF!</definedName>
    <definedName name="Excel_BuiltIn_Print_Titles_5_8_4_1_3">'[2]9a.sz.mell.II.név(7.1)'!#REF!</definedName>
    <definedName name="Excel_BuiltIn_Print_Titles_5_8_4_1_9" localSheetId="93">'[1]9a.sz.mell.II.név(7.1)'!#REF!</definedName>
    <definedName name="Excel_BuiltIn_Print_Titles_5_8_4_1_9" localSheetId="94">'[1]9a.sz.mell.II.név(7.1)'!#REF!</definedName>
    <definedName name="Excel_BuiltIn_Print_Titles_5_8_4_1_9" localSheetId="95">'[1]9a.sz.mell.II.név(7.1)'!#REF!</definedName>
    <definedName name="Excel_BuiltIn_Print_Titles_5_8_4_1_9" localSheetId="96">'[1]9a.sz.mell.II.név(7.1)'!#REF!</definedName>
    <definedName name="Excel_BuiltIn_Print_Titles_5_8_4_1_9" localSheetId="16">'[2]9a.sz.mell.II.név(7.1)'!#REF!</definedName>
    <definedName name="Excel_BuiltIn_Print_Titles_5_8_4_1_9" localSheetId="53">'[2]9a.sz.mell.II.név(7.1)'!#REF!</definedName>
    <definedName name="Excel_BuiltIn_Print_Titles_5_8_4_1_9">'[2]9a.sz.mell.II.név(7.1)'!#REF!</definedName>
    <definedName name="Excel_BuiltIn_Print_Titles_5_8_4_1_9_1" localSheetId="93">'[1]9a.sz.mell.II.név(7.1)'!#REF!</definedName>
    <definedName name="Excel_BuiltIn_Print_Titles_5_8_4_1_9_1" localSheetId="94">'[1]9a.sz.mell.II.név(7.1)'!#REF!</definedName>
    <definedName name="Excel_BuiltIn_Print_Titles_5_8_4_1_9_1" localSheetId="95">'[1]9a.sz.mell.II.név(7.1)'!#REF!</definedName>
    <definedName name="Excel_BuiltIn_Print_Titles_5_8_4_1_9_1" localSheetId="96">'[1]9a.sz.mell.II.név(7.1)'!#REF!</definedName>
    <definedName name="Excel_BuiltIn_Print_Titles_5_8_4_1_9_1" localSheetId="16">'[2]9a.sz.mell.II.név(7.1)'!#REF!</definedName>
    <definedName name="Excel_BuiltIn_Print_Titles_5_8_4_1_9_1" localSheetId="53">'[2]9a.sz.mell.II.név(7.1)'!#REF!</definedName>
    <definedName name="Excel_BuiltIn_Print_Titles_5_8_4_1_9_1">'[2]9a.sz.mell.II.név(7.1)'!#REF!</definedName>
    <definedName name="Excel_BuiltIn_Print_Titles_5_8_4_1_9_2" localSheetId="93">'[1]9a.sz.mell.II.név(7.1)'!#REF!</definedName>
    <definedName name="Excel_BuiltIn_Print_Titles_5_8_4_1_9_2" localSheetId="94">'[1]9a.sz.mell.II.név(7.1)'!#REF!</definedName>
    <definedName name="Excel_BuiltIn_Print_Titles_5_8_4_1_9_2" localSheetId="95">'[1]9a.sz.mell.II.név(7.1)'!#REF!</definedName>
    <definedName name="Excel_BuiltIn_Print_Titles_5_8_4_1_9_2" localSheetId="96">'[1]9a.sz.mell.II.név(7.1)'!#REF!</definedName>
    <definedName name="Excel_BuiltIn_Print_Titles_5_8_4_1_9_2" localSheetId="16">'[2]9a.sz.mell.II.név(7.1)'!#REF!</definedName>
    <definedName name="Excel_BuiltIn_Print_Titles_5_8_4_1_9_2" localSheetId="53">'[2]9a.sz.mell.II.név(7.1)'!#REF!</definedName>
    <definedName name="Excel_BuiltIn_Print_Titles_5_8_4_1_9_2">'[2]9a.sz.mell.II.név(7.1)'!#REF!</definedName>
    <definedName name="Excel_BuiltIn_Print_Titles_5_8_4_1_9_3" localSheetId="93">'[1]9a.sz.mell.II.név(7.1)'!#REF!</definedName>
    <definedName name="Excel_BuiltIn_Print_Titles_5_8_4_1_9_3" localSheetId="94">'[1]9a.sz.mell.II.név(7.1)'!#REF!</definedName>
    <definedName name="Excel_BuiltIn_Print_Titles_5_8_4_1_9_3" localSheetId="95">'[1]9a.sz.mell.II.név(7.1)'!#REF!</definedName>
    <definedName name="Excel_BuiltIn_Print_Titles_5_8_4_1_9_3" localSheetId="96">'[1]9a.sz.mell.II.név(7.1)'!#REF!</definedName>
    <definedName name="Excel_BuiltIn_Print_Titles_5_8_4_1_9_3" localSheetId="16">'[2]9a.sz.mell.II.név(7.1)'!#REF!</definedName>
    <definedName name="Excel_BuiltIn_Print_Titles_5_8_4_1_9_3" localSheetId="53">'[2]9a.sz.mell.II.név(7.1)'!#REF!</definedName>
    <definedName name="Excel_BuiltIn_Print_Titles_5_8_4_1_9_3">'[2]9a.sz.mell.II.név(7.1)'!#REF!</definedName>
    <definedName name="Excel_BuiltIn_Print_Titles_5_8_4_10" localSheetId="93">'[1]9a.sz.mell.II.név(7.1)'!#REF!</definedName>
    <definedName name="Excel_BuiltIn_Print_Titles_5_8_4_10" localSheetId="94">'[1]9a.sz.mell.II.név(7.1)'!#REF!</definedName>
    <definedName name="Excel_BuiltIn_Print_Titles_5_8_4_10" localSheetId="95">'[1]9a.sz.mell.II.név(7.1)'!#REF!</definedName>
    <definedName name="Excel_BuiltIn_Print_Titles_5_8_4_10" localSheetId="96">'[1]9a.sz.mell.II.név(7.1)'!#REF!</definedName>
    <definedName name="Excel_BuiltIn_Print_Titles_5_8_4_10" localSheetId="16">'[2]9a.sz.mell.II.név(7.1)'!#REF!</definedName>
    <definedName name="Excel_BuiltIn_Print_Titles_5_8_4_10" localSheetId="53">'[2]9a.sz.mell.II.név(7.1)'!#REF!</definedName>
    <definedName name="Excel_BuiltIn_Print_Titles_5_8_4_10">'[2]9a.sz.mell.II.név(7.1)'!#REF!</definedName>
    <definedName name="Excel_BuiltIn_Print_Titles_5_8_4_10_1" localSheetId="93">'[1]9a.sz.mell.II.név(7.1)'!#REF!</definedName>
    <definedName name="Excel_BuiltIn_Print_Titles_5_8_4_10_1" localSheetId="94">'[1]9a.sz.mell.II.név(7.1)'!#REF!</definedName>
    <definedName name="Excel_BuiltIn_Print_Titles_5_8_4_10_1" localSheetId="95">'[1]9a.sz.mell.II.név(7.1)'!#REF!</definedName>
    <definedName name="Excel_BuiltIn_Print_Titles_5_8_4_10_1" localSheetId="96">'[1]9a.sz.mell.II.név(7.1)'!#REF!</definedName>
    <definedName name="Excel_BuiltIn_Print_Titles_5_8_4_10_1" localSheetId="16">'[2]9a.sz.mell.II.név(7.1)'!#REF!</definedName>
    <definedName name="Excel_BuiltIn_Print_Titles_5_8_4_10_1" localSheetId="53">'[2]9a.sz.mell.II.név(7.1)'!#REF!</definedName>
    <definedName name="Excel_BuiltIn_Print_Titles_5_8_4_10_1">'[2]9a.sz.mell.II.név(7.1)'!#REF!</definedName>
    <definedName name="Excel_BuiltIn_Print_Titles_5_8_4_10_2" localSheetId="93">'[1]9a.sz.mell.II.név(7.1)'!#REF!</definedName>
    <definedName name="Excel_BuiltIn_Print_Titles_5_8_4_10_2" localSheetId="94">'[1]9a.sz.mell.II.név(7.1)'!#REF!</definedName>
    <definedName name="Excel_BuiltIn_Print_Titles_5_8_4_10_2" localSheetId="95">'[1]9a.sz.mell.II.név(7.1)'!#REF!</definedName>
    <definedName name="Excel_BuiltIn_Print_Titles_5_8_4_10_2" localSheetId="96">'[1]9a.sz.mell.II.név(7.1)'!#REF!</definedName>
    <definedName name="Excel_BuiltIn_Print_Titles_5_8_4_10_2" localSheetId="16">'[2]9a.sz.mell.II.név(7.1)'!#REF!</definedName>
    <definedName name="Excel_BuiltIn_Print_Titles_5_8_4_10_2" localSheetId="53">'[2]9a.sz.mell.II.név(7.1)'!#REF!</definedName>
    <definedName name="Excel_BuiltIn_Print_Titles_5_8_4_10_2">'[2]9a.sz.mell.II.név(7.1)'!#REF!</definedName>
    <definedName name="Excel_BuiltIn_Print_Titles_5_8_4_10_3" localSheetId="93">'[1]9a.sz.mell.II.név(7.1)'!#REF!</definedName>
    <definedName name="Excel_BuiltIn_Print_Titles_5_8_4_10_3" localSheetId="94">'[1]9a.sz.mell.II.név(7.1)'!#REF!</definedName>
    <definedName name="Excel_BuiltIn_Print_Titles_5_8_4_10_3" localSheetId="95">'[1]9a.sz.mell.II.név(7.1)'!#REF!</definedName>
    <definedName name="Excel_BuiltIn_Print_Titles_5_8_4_10_3" localSheetId="96">'[1]9a.sz.mell.II.név(7.1)'!#REF!</definedName>
    <definedName name="Excel_BuiltIn_Print_Titles_5_8_4_10_3" localSheetId="16">'[2]9a.sz.mell.II.név(7.1)'!#REF!</definedName>
    <definedName name="Excel_BuiltIn_Print_Titles_5_8_4_10_3" localSheetId="53">'[2]9a.sz.mell.II.név(7.1)'!#REF!</definedName>
    <definedName name="Excel_BuiltIn_Print_Titles_5_8_4_10_3">'[2]9a.sz.mell.II.név(7.1)'!#REF!</definedName>
    <definedName name="Excel_BuiltIn_Print_Titles_5_8_4_2" localSheetId="93">'[1]9a.sz.mell.II.név(7.1)'!#REF!</definedName>
    <definedName name="Excel_BuiltIn_Print_Titles_5_8_4_2" localSheetId="94">'[1]9a.sz.mell.II.név(7.1)'!#REF!</definedName>
    <definedName name="Excel_BuiltIn_Print_Titles_5_8_4_2" localSheetId="95">'[1]9a.sz.mell.II.név(7.1)'!#REF!</definedName>
    <definedName name="Excel_BuiltIn_Print_Titles_5_8_4_2" localSheetId="96">'[1]9a.sz.mell.II.név(7.1)'!#REF!</definedName>
    <definedName name="Excel_BuiltIn_Print_Titles_5_8_4_2" localSheetId="16">'[2]9a.sz.mell.II.név(7.1)'!#REF!</definedName>
    <definedName name="Excel_BuiltIn_Print_Titles_5_8_4_2" localSheetId="53">'[2]9a.sz.mell.II.név(7.1)'!#REF!</definedName>
    <definedName name="Excel_BuiltIn_Print_Titles_5_8_4_2">'[2]9a.sz.mell.II.név(7.1)'!#REF!</definedName>
    <definedName name="Excel_BuiltIn_Print_Titles_5_8_4_3" localSheetId="93">'[1]9a.sz.mell.II.név(7.1)'!#REF!</definedName>
    <definedName name="Excel_BuiltIn_Print_Titles_5_8_4_3" localSheetId="94">'[1]9a.sz.mell.II.név(7.1)'!#REF!</definedName>
    <definedName name="Excel_BuiltIn_Print_Titles_5_8_4_3" localSheetId="95">'[1]9a.sz.mell.II.név(7.1)'!#REF!</definedName>
    <definedName name="Excel_BuiltIn_Print_Titles_5_8_4_3" localSheetId="96">'[1]9a.sz.mell.II.név(7.1)'!#REF!</definedName>
    <definedName name="Excel_BuiltIn_Print_Titles_5_8_4_3" localSheetId="16">'[2]9a.sz.mell.II.név(7.1)'!#REF!</definedName>
    <definedName name="Excel_BuiltIn_Print_Titles_5_8_4_3" localSheetId="53">'[2]9a.sz.mell.II.név(7.1)'!#REF!</definedName>
    <definedName name="Excel_BuiltIn_Print_Titles_5_8_4_3">'[2]9a.sz.mell.II.név(7.1)'!#REF!</definedName>
    <definedName name="Excel_BuiltIn_Print_Titles_5_8_4_4" localSheetId="93">'[1]9a.sz.mell.II.név(7.1)'!#REF!</definedName>
    <definedName name="Excel_BuiltIn_Print_Titles_5_8_4_4" localSheetId="94">'[1]9a.sz.mell.II.név(7.1)'!#REF!</definedName>
    <definedName name="Excel_BuiltIn_Print_Titles_5_8_4_4" localSheetId="95">'[1]9a.sz.mell.II.név(7.1)'!#REF!</definedName>
    <definedName name="Excel_BuiltIn_Print_Titles_5_8_4_4" localSheetId="96">'[1]9a.sz.mell.II.név(7.1)'!#REF!</definedName>
    <definedName name="Excel_BuiltIn_Print_Titles_5_8_4_4" localSheetId="16">'[2]9a.sz.mell.II.név(7.1)'!#REF!</definedName>
    <definedName name="Excel_BuiltIn_Print_Titles_5_8_4_4" localSheetId="53">'[2]9a.sz.mell.II.név(7.1)'!#REF!</definedName>
    <definedName name="Excel_BuiltIn_Print_Titles_5_8_4_4">'[2]9a.sz.mell.II.név(7.1)'!#REF!</definedName>
    <definedName name="Excel_BuiltIn_Print_Titles_5_8_4_4_1" localSheetId="93">'[1]9a.sz.mell.II.név(7.1)'!#REF!</definedName>
    <definedName name="Excel_BuiltIn_Print_Titles_5_8_4_4_1" localSheetId="94">'[1]9a.sz.mell.II.név(7.1)'!#REF!</definedName>
    <definedName name="Excel_BuiltIn_Print_Titles_5_8_4_4_1" localSheetId="95">'[1]9a.sz.mell.II.név(7.1)'!#REF!</definedName>
    <definedName name="Excel_BuiltIn_Print_Titles_5_8_4_4_1" localSheetId="96">'[1]9a.sz.mell.II.név(7.1)'!#REF!</definedName>
    <definedName name="Excel_BuiltIn_Print_Titles_5_8_4_4_1" localSheetId="16">'[2]9a.sz.mell.II.név(7.1)'!#REF!</definedName>
    <definedName name="Excel_BuiltIn_Print_Titles_5_8_4_4_1" localSheetId="53">'[2]9a.sz.mell.II.név(7.1)'!#REF!</definedName>
    <definedName name="Excel_BuiltIn_Print_Titles_5_8_4_4_1">'[2]9a.sz.mell.II.név(7.1)'!#REF!</definedName>
    <definedName name="Excel_BuiltIn_Print_Titles_5_8_4_4_10" localSheetId="93">'[1]9a.sz.mell.II.név(7.1)'!#REF!</definedName>
    <definedName name="Excel_BuiltIn_Print_Titles_5_8_4_4_10" localSheetId="94">'[1]9a.sz.mell.II.név(7.1)'!#REF!</definedName>
    <definedName name="Excel_BuiltIn_Print_Titles_5_8_4_4_10" localSheetId="95">'[1]9a.sz.mell.II.név(7.1)'!#REF!</definedName>
    <definedName name="Excel_BuiltIn_Print_Titles_5_8_4_4_10" localSheetId="96">'[1]9a.sz.mell.II.név(7.1)'!#REF!</definedName>
    <definedName name="Excel_BuiltIn_Print_Titles_5_8_4_4_10" localSheetId="16">'[2]9a.sz.mell.II.név(7.1)'!#REF!</definedName>
    <definedName name="Excel_BuiltIn_Print_Titles_5_8_4_4_10" localSheetId="53">'[2]9a.sz.mell.II.név(7.1)'!#REF!</definedName>
    <definedName name="Excel_BuiltIn_Print_Titles_5_8_4_4_10">'[2]9a.sz.mell.II.név(7.1)'!#REF!</definedName>
    <definedName name="Excel_BuiltIn_Print_Titles_5_8_4_4_10_1" localSheetId="93">'[1]9a.sz.mell.II.név(7.1)'!#REF!</definedName>
    <definedName name="Excel_BuiltIn_Print_Titles_5_8_4_4_10_1" localSheetId="94">'[1]9a.sz.mell.II.név(7.1)'!#REF!</definedName>
    <definedName name="Excel_BuiltIn_Print_Titles_5_8_4_4_10_1" localSheetId="95">'[1]9a.sz.mell.II.név(7.1)'!#REF!</definedName>
    <definedName name="Excel_BuiltIn_Print_Titles_5_8_4_4_10_1" localSheetId="96">'[1]9a.sz.mell.II.név(7.1)'!#REF!</definedName>
    <definedName name="Excel_BuiltIn_Print_Titles_5_8_4_4_10_1" localSheetId="16">'[2]9a.sz.mell.II.név(7.1)'!#REF!</definedName>
    <definedName name="Excel_BuiltIn_Print_Titles_5_8_4_4_10_1" localSheetId="53">'[2]9a.sz.mell.II.név(7.1)'!#REF!</definedName>
    <definedName name="Excel_BuiltIn_Print_Titles_5_8_4_4_10_1">'[2]9a.sz.mell.II.név(7.1)'!#REF!</definedName>
    <definedName name="Excel_BuiltIn_Print_Titles_5_8_4_4_10_2" localSheetId="93">'[1]9a.sz.mell.II.név(7.1)'!#REF!</definedName>
    <definedName name="Excel_BuiltIn_Print_Titles_5_8_4_4_10_2" localSheetId="94">'[1]9a.sz.mell.II.név(7.1)'!#REF!</definedName>
    <definedName name="Excel_BuiltIn_Print_Titles_5_8_4_4_10_2" localSheetId="95">'[1]9a.sz.mell.II.név(7.1)'!#REF!</definedName>
    <definedName name="Excel_BuiltIn_Print_Titles_5_8_4_4_10_2" localSheetId="96">'[1]9a.sz.mell.II.név(7.1)'!#REF!</definedName>
    <definedName name="Excel_BuiltIn_Print_Titles_5_8_4_4_10_2" localSheetId="16">'[2]9a.sz.mell.II.név(7.1)'!#REF!</definedName>
    <definedName name="Excel_BuiltIn_Print_Titles_5_8_4_4_10_2" localSheetId="53">'[2]9a.sz.mell.II.név(7.1)'!#REF!</definedName>
    <definedName name="Excel_BuiltIn_Print_Titles_5_8_4_4_10_2">'[2]9a.sz.mell.II.név(7.1)'!#REF!</definedName>
    <definedName name="Excel_BuiltIn_Print_Titles_5_8_4_4_10_3" localSheetId="93">'[1]9a.sz.mell.II.név(7.1)'!#REF!</definedName>
    <definedName name="Excel_BuiltIn_Print_Titles_5_8_4_4_10_3" localSheetId="94">'[1]9a.sz.mell.II.név(7.1)'!#REF!</definedName>
    <definedName name="Excel_BuiltIn_Print_Titles_5_8_4_4_10_3" localSheetId="95">'[1]9a.sz.mell.II.név(7.1)'!#REF!</definedName>
    <definedName name="Excel_BuiltIn_Print_Titles_5_8_4_4_10_3" localSheetId="96">'[1]9a.sz.mell.II.név(7.1)'!#REF!</definedName>
    <definedName name="Excel_BuiltIn_Print_Titles_5_8_4_4_10_3" localSheetId="16">'[2]9a.sz.mell.II.név(7.1)'!#REF!</definedName>
    <definedName name="Excel_BuiltIn_Print_Titles_5_8_4_4_10_3" localSheetId="53">'[2]9a.sz.mell.II.név(7.1)'!#REF!</definedName>
    <definedName name="Excel_BuiltIn_Print_Titles_5_8_4_4_10_3">'[2]9a.sz.mell.II.név(7.1)'!#REF!</definedName>
    <definedName name="Excel_BuiltIn_Print_Titles_5_8_4_4_2" localSheetId="93">'[1]9a.sz.mell.II.név(7.1)'!#REF!</definedName>
    <definedName name="Excel_BuiltIn_Print_Titles_5_8_4_4_2" localSheetId="94">'[1]9a.sz.mell.II.név(7.1)'!#REF!</definedName>
    <definedName name="Excel_BuiltIn_Print_Titles_5_8_4_4_2" localSheetId="95">'[1]9a.sz.mell.II.név(7.1)'!#REF!</definedName>
    <definedName name="Excel_BuiltIn_Print_Titles_5_8_4_4_2" localSheetId="96">'[1]9a.sz.mell.II.név(7.1)'!#REF!</definedName>
    <definedName name="Excel_BuiltIn_Print_Titles_5_8_4_4_2" localSheetId="16">'[2]9a.sz.mell.II.név(7.1)'!#REF!</definedName>
    <definedName name="Excel_BuiltIn_Print_Titles_5_8_4_4_2" localSheetId="53">'[2]9a.sz.mell.II.név(7.1)'!#REF!</definedName>
    <definedName name="Excel_BuiltIn_Print_Titles_5_8_4_4_2">'[2]9a.sz.mell.II.név(7.1)'!#REF!</definedName>
    <definedName name="Excel_BuiltIn_Print_Titles_5_8_4_4_3" localSheetId="93">'[1]9a.sz.mell.II.név(7.1)'!#REF!</definedName>
    <definedName name="Excel_BuiltIn_Print_Titles_5_8_4_4_3" localSheetId="94">'[1]9a.sz.mell.II.név(7.1)'!#REF!</definedName>
    <definedName name="Excel_BuiltIn_Print_Titles_5_8_4_4_3" localSheetId="95">'[1]9a.sz.mell.II.név(7.1)'!#REF!</definedName>
    <definedName name="Excel_BuiltIn_Print_Titles_5_8_4_4_3" localSheetId="96">'[1]9a.sz.mell.II.név(7.1)'!#REF!</definedName>
    <definedName name="Excel_BuiltIn_Print_Titles_5_8_4_4_3" localSheetId="16">'[2]9a.sz.mell.II.név(7.1)'!#REF!</definedName>
    <definedName name="Excel_BuiltIn_Print_Titles_5_8_4_4_3" localSheetId="53">'[2]9a.sz.mell.II.név(7.1)'!#REF!</definedName>
    <definedName name="Excel_BuiltIn_Print_Titles_5_8_4_4_3">'[2]9a.sz.mell.II.név(7.1)'!#REF!</definedName>
    <definedName name="Excel_BuiltIn_Print_Titles_5_8_4_4_9" localSheetId="93">'[1]9a.sz.mell.II.név(7.1)'!#REF!</definedName>
    <definedName name="Excel_BuiltIn_Print_Titles_5_8_4_4_9" localSheetId="94">'[1]9a.sz.mell.II.név(7.1)'!#REF!</definedName>
    <definedName name="Excel_BuiltIn_Print_Titles_5_8_4_4_9" localSheetId="95">'[1]9a.sz.mell.II.név(7.1)'!#REF!</definedName>
    <definedName name="Excel_BuiltIn_Print_Titles_5_8_4_4_9" localSheetId="96">'[1]9a.sz.mell.II.név(7.1)'!#REF!</definedName>
    <definedName name="Excel_BuiltIn_Print_Titles_5_8_4_4_9" localSheetId="16">'[2]9a.sz.mell.II.név(7.1)'!#REF!</definedName>
    <definedName name="Excel_BuiltIn_Print_Titles_5_8_4_4_9" localSheetId="53">'[2]9a.sz.mell.II.név(7.1)'!#REF!</definedName>
    <definedName name="Excel_BuiltIn_Print_Titles_5_8_4_4_9">'[2]9a.sz.mell.II.név(7.1)'!#REF!</definedName>
    <definedName name="Excel_BuiltIn_Print_Titles_5_8_4_4_9_1" localSheetId="93">'[1]9a.sz.mell.II.név(7.1)'!#REF!</definedName>
    <definedName name="Excel_BuiltIn_Print_Titles_5_8_4_4_9_1" localSheetId="94">'[1]9a.sz.mell.II.név(7.1)'!#REF!</definedName>
    <definedName name="Excel_BuiltIn_Print_Titles_5_8_4_4_9_1" localSheetId="95">'[1]9a.sz.mell.II.név(7.1)'!#REF!</definedName>
    <definedName name="Excel_BuiltIn_Print_Titles_5_8_4_4_9_1" localSheetId="96">'[1]9a.sz.mell.II.név(7.1)'!#REF!</definedName>
    <definedName name="Excel_BuiltIn_Print_Titles_5_8_4_4_9_1" localSheetId="16">'[2]9a.sz.mell.II.név(7.1)'!#REF!</definedName>
    <definedName name="Excel_BuiltIn_Print_Titles_5_8_4_4_9_1" localSheetId="53">'[2]9a.sz.mell.II.név(7.1)'!#REF!</definedName>
    <definedName name="Excel_BuiltIn_Print_Titles_5_8_4_4_9_1">'[2]9a.sz.mell.II.név(7.1)'!#REF!</definedName>
    <definedName name="Excel_BuiltIn_Print_Titles_5_8_4_4_9_2" localSheetId="93">'[1]9a.sz.mell.II.név(7.1)'!#REF!</definedName>
    <definedName name="Excel_BuiltIn_Print_Titles_5_8_4_4_9_2" localSheetId="94">'[1]9a.sz.mell.II.név(7.1)'!#REF!</definedName>
    <definedName name="Excel_BuiltIn_Print_Titles_5_8_4_4_9_2" localSheetId="95">'[1]9a.sz.mell.II.név(7.1)'!#REF!</definedName>
    <definedName name="Excel_BuiltIn_Print_Titles_5_8_4_4_9_2" localSheetId="96">'[1]9a.sz.mell.II.név(7.1)'!#REF!</definedName>
    <definedName name="Excel_BuiltIn_Print_Titles_5_8_4_4_9_2" localSheetId="16">'[2]9a.sz.mell.II.név(7.1)'!#REF!</definedName>
    <definedName name="Excel_BuiltIn_Print_Titles_5_8_4_4_9_2" localSheetId="53">'[2]9a.sz.mell.II.név(7.1)'!#REF!</definedName>
    <definedName name="Excel_BuiltIn_Print_Titles_5_8_4_4_9_2">'[2]9a.sz.mell.II.név(7.1)'!#REF!</definedName>
    <definedName name="Excel_BuiltIn_Print_Titles_5_8_4_4_9_3" localSheetId="93">'[1]9a.sz.mell.II.név(7.1)'!#REF!</definedName>
    <definedName name="Excel_BuiltIn_Print_Titles_5_8_4_4_9_3" localSheetId="94">'[1]9a.sz.mell.II.név(7.1)'!#REF!</definedName>
    <definedName name="Excel_BuiltIn_Print_Titles_5_8_4_4_9_3" localSheetId="95">'[1]9a.sz.mell.II.név(7.1)'!#REF!</definedName>
    <definedName name="Excel_BuiltIn_Print_Titles_5_8_4_4_9_3" localSheetId="96">'[1]9a.sz.mell.II.név(7.1)'!#REF!</definedName>
    <definedName name="Excel_BuiltIn_Print_Titles_5_8_4_4_9_3" localSheetId="16">'[2]9a.sz.mell.II.név(7.1)'!#REF!</definedName>
    <definedName name="Excel_BuiltIn_Print_Titles_5_8_4_4_9_3" localSheetId="53">'[2]9a.sz.mell.II.név(7.1)'!#REF!</definedName>
    <definedName name="Excel_BuiltIn_Print_Titles_5_8_4_4_9_3">'[2]9a.sz.mell.II.név(7.1)'!#REF!</definedName>
    <definedName name="Excel_BuiltIn_Print_Titles_5_8_4_5" localSheetId="93">'[1]9a.sz.mell.III.-IV.név(7.1)'!#REF!</definedName>
    <definedName name="Excel_BuiltIn_Print_Titles_5_8_4_5" localSheetId="94">'[1]9a.sz.mell.III.-IV.név(7.1)'!#REF!</definedName>
    <definedName name="Excel_BuiltIn_Print_Titles_5_8_4_5" localSheetId="95">'[1]9a.sz.mell.III.-IV.név(7.1)'!#REF!</definedName>
    <definedName name="Excel_BuiltIn_Print_Titles_5_8_4_5" localSheetId="96">'[1]9a.sz.mell.III.-IV.név(7.1)'!#REF!</definedName>
    <definedName name="Excel_BuiltIn_Print_Titles_5_8_4_5" localSheetId="16">'[2]9a.sz.mell.III.-IV.név(7.1)'!#REF!</definedName>
    <definedName name="Excel_BuiltIn_Print_Titles_5_8_4_5" localSheetId="53">'[2]9a.sz.mell.III.-IV.név(7.1)'!#REF!</definedName>
    <definedName name="Excel_BuiltIn_Print_Titles_5_8_4_5">'[2]9a.sz.mell.III.-IV.név(7.1)'!#REF!</definedName>
    <definedName name="Excel_BuiltIn_Print_Titles_5_8_4_5_1" localSheetId="93">'[1]9a.sz.mell.III.-IV.név(7.1)'!#REF!</definedName>
    <definedName name="Excel_BuiltIn_Print_Titles_5_8_4_5_1" localSheetId="94">'[1]9a.sz.mell.III.-IV.név(7.1)'!#REF!</definedName>
    <definedName name="Excel_BuiltIn_Print_Titles_5_8_4_5_1" localSheetId="95">'[1]9a.sz.mell.III.-IV.név(7.1)'!#REF!</definedName>
    <definedName name="Excel_BuiltIn_Print_Titles_5_8_4_5_1" localSheetId="96">'[1]9a.sz.mell.III.-IV.név(7.1)'!#REF!</definedName>
    <definedName name="Excel_BuiltIn_Print_Titles_5_8_4_5_1" localSheetId="16">'[2]9a.sz.mell.III.-IV.név(7.1)'!#REF!</definedName>
    <definedName name="Excel_BuiltIn_Print_Titles_5_8_4_5_1" localSheetId="53">'[2]9a.sz.mell.III.-IV.név(7.1)'!#REF!</definedName>
    <definedName name="Excel_BuiltIn_Print_Titles_5_8_4_5_1">'[2]9a.sz.mell.III.-IV.név(7.1)'!#REF!</definedName>
    <definedName name="Excel_BuiltIn_Print_Titles_5_8_4_5_10" localSheetId="93">'[1]9a.sz.mell.III.-IV.név(7.1)'!#REF!</definedName>
    <definedName name="Excel_BuiltIn_Print_Titles_5_8_4_5_10" localSheetId="94">'[1]9a.sz.mell.III.-IV.név(7.1)'!#REF!</definedName>
    <definedName name="Excel_BuiltIn_Print_Titles_5_8_4_5_10" localSheetId="95">'[1]9a.sz.mell.III.-IV.név(7.1)'!#REF!</definedName>
    <definedName name="Excel_BuiltIn_Print_Titles_5_8_4_5_10" localSheetId="96">'[1]9a.sz.mell.III.-IV.név(7.1)'!#REF!</definedName>
    <definedName name="Excel_BuiltIn_Print_Titles_5_8_4_5_10" localSheetId="16">'[2]9a.sz.mell.III.-IV.név(7.1)'!#REF!</definedName>
    <definedName name="Excel_BuiltIn_Print_Titles_5_8_4_5_10" localSheetId="53">'[2]9a.sz.mell.III.-IV.név(7.1)'!#REF!</definedName>
    <definedName name="Excel_BuiltIn_Print_Titles_5_8_4_5_10">'[2]9a.sz.mell.III.-IV.név(7.1)'!#REF!</definedName>
    <definedName name="Excel_BuiltIn_Print_Titles_5_8_4_5_10_1" localSheetId="93">'[1]9a.sz.mell.III.-IV.név(7.1)'!#REF!</definedName>
    <definedName name="Excel_BuiltIn_Print_Titles_5_8_4_5_10_1" localSheetId="94">'[1]9a.sz.mell.III.-IV.név(7.1)'!#REF!</definedName>
    <definedName name="Excel_BuiltIn_Print_Titles_5_8_4_5_10_1" localSheetId="95">'[1]9a.sz.mell.III.-IV.név(7.1)'!#REF!</definedName>
    <definedName name="Excel_BuiltIn_Print_Titles_5_8_4_5_10_1" localSheetId="96">'[1]9a.sz.mell.III.-IV.név(7.1)'!#REF!</definedName>
    <definedName name="Excel_BuiltIn_Print_Titles_5_8_4_5_10_1" localSheetId="16">'[2]9a.sz.mell.III.-IV.név(7.1)'!#REF!</definedName>
    <definedName name="Excel_BuiltIn_Print_Titles_5_8_4_5_10_1" localSheetId="53">'[2]9a.sz.mell.III.-IV.név(7.1)'!#REF!</definedName>
    <definedName name="Excel_BuiltIn_Print_Titles_5_8_4_5_10_1">'[2]9a.sz.mell.III.-IV.név(7.1)'!#REF!</definedName>
    <definedName name="Excel_BuiltIn_Print_Titles_5_8_4_5_10_2" localSheetId="93">'[1]9a.sz.mell.Egész év'!#REF!</definedName>
    <definedName name="Excel_BuiltIn_Print_Titles_5_8_4_5_10_2" localSheetId="94">'[1]9a.sz.mell.Egész év'!#REF!</definedName>
    <definedName name="Excel_BuiltIn_Print_Titles_5_8_4_5_10_2" localSheetId="95">'[1]9a.sz.mell.Egész év'!#REF!</definedName>
    <definedName name="Excel_BuiltIn_Print_Titles_5_8_4_5_10_2" localSheetId="96">'[1]9a.sz.mell.Egész év'!#REF!</definedName>
    <definedName name="Excel_BuiltIn_Print_Titles_5_8_4_5_10_2" localSheetId="16">'[2]9a.sz.mell.Egész év'!#REF!</definedName>
    <definedName name="Excel_BuiltIn_Print_Titles_5_8_4_5_10_2" localSheetId="53">'[2]9a.sz.mell.Egész év'!#REF!</definedName>
    <definedName name="Excel_BuiltIn_Print_Titles_5_8_4_5_10_2">'[2]9a.sz.mell.Egész év'!#REF!</definedName>
    <definedName name="Excel_BuiltIn_Print_Titles_5_8_4_5_10_3" localSheetId="93">'[1]9a.sz.mell.III.-IV.név(7.1)'!#REF!</definedName>
    <definedName name="Excel_BuiltIn_Print_Titles_5_8_4_5_10_3" localSheetId="94">'[1]9a.sz.mell.III.-IV.név(7.1)'!#REF!</definedName>
    <definedName name="Excel_BuiltIn_Print_Titles_5_8_4_5_10_3" localSheetId="95">'[1]9a.sz.mell.III.-IV.név(7.1)'!#REF!</definedName>
    <definedName name="Excel_BuiltIn_Print_Titles_5_8_4_5_10_3" localSheetId="96">'[1]9a.sz.mell.III.-IV.név(7.1)'!#REF!</definedName>
    <definedName name="Excel_BuiltIn_Print_Titles_5_8_4_5_10_3" localSheetId="16">'[2]9a.sz.mell.III.-IV.név(7.1)'!#REF!</definedName>
    <definedName name="Excel_BuiltIn_Print_Titles_5_8_4_5_10_3" localSheetId="53">'[2]9a.sz.mell.III.-IV.név(7.1)'!#REF!</definedName>
    <definedName name="Excel_BuiltIn_Print_Titles_5_8_4_5_10_3">'[2]9a.sz.mell.III.-IV.név(7.1)'!#REF!</definedName>
    <definedName name="Excel_BuiltIn_Print_Titles_5_8_4_5_2" localSheetId="93">'[1]9a.sz.mell.Egész év'!#REF!</definedName>
    <definedName name="Excel_BuiltIn_Print_Titles_5_8_4_5_2" localSheetId="94">'[1]9a.sz.mell.Egész év'!#REF!</definedName>
    <definedName name="Excel_BuiltIn_Print_Titles_5_8_4_5_2" localSheetId="95">'[1]9a.sz.mell.Egész év'!#REF!</definedName>
    <definedName name="Excel_BuiltIn_Print_Titles_5_8_4_5_2" localSheetId="96">'[1]9a.sz.mell.Egész év'!#REF!</definedName>
    <definedName name="Excel_BuiltIn_Print_Titles_5_8_4_5_2" localSheetId="16">'[2]9a.sz.mell.Egész év'!#REF!</definedName>
    <definedName name="Excel_BuiltIn_Print_Titles_5_8_4_5_2" localSheetId="53">'[2]9a.sz.mell.Egész év'!#REF!</definedName>
    <definedName name="Excel_BuiltIn_Print_Titles_5_8_4_5_2">'[2]9a.sz.mell.Egész év'!#REF!</definedName>
    <definedName name="Excel_BuiltIn_Print_Titles_5_8_4_5_3" localSheetId="93">'[1]9a.sz.mell.III.-IV.név(7.1)'!#REF!</definedName>
    <definedName name="Excel_BuiltIn_Print_Titles_5_8_4_5_3" localSheetId="94">'[1]9a.sz.mell.III.-IV.név(7.1)'!#REF!</definedName>
    <definedName name="Excel_BuiltIn_Print_Titles_5_8_4_5_3" localSheetId="95">'[1]9a.sz.mell.III.-IV.név(7.1)'!#REF!</definedName>
    <definedName name="Excel_BuiltIn_Print_Titles_5_8_4_5_3" localSheetId="96">'[1]9a.sz.mell.III.-IV.név(7.1)'!#REF!</definedName>
    <definedName name="Excel_BuiltIn_Print_Titles_5_8_4_5_3" localSheetId="16">'[2]9a.sz.mell.III.-IV.név(7.1)'!#REF!</definedName>
    <definedName name="Excel_BuiltIn_Print_Titles_5_8_4_5_3" localSheetId="53">'[2]9a.sz.mell.III.-IV.név(7.1)'!#REF!</definedName>
    <definedName name="Excel_BuiltIn_Print_Titles_5_8_4_5_3">'[2]9a.sz.mell.III.-IV.név(7.1)'!#REF!</definedName>
    <definedName name="Excel_BuiltIn_Print_Titles_5_8_4_5_9" localSheetId="93">'[1]9a.sz.mell.III.-IV.név(7.1)'!#REF!</definedName>
    <definedName name="Excel_BuiltIn_Print_Titles_5_8_4_5_9" localSheetId="94">'[1]9a.sz.mell.III.-IV.név(7.1)'!#REF!</definedName>
    <definedName name="Excel_BuiltIn_Print_Titles_5_8_4_5_9" localSheetId="95">'[1]9a.sz.mell.III.-IV.név(7.1)'!#REF!</definedName>
    <definedName name="Excel_BuiltIn_Print_Titles_5_8_4_5_9" localSheetId="96">'[1]9a.sz.mell.III.-IV.név(7.1)'!#REF!</definedName>
    <definedName name="Excel_BuiltIn_Print_Titles_5_8_4_5_9" localSheetId="16">'[2]9a.sz.mell.III.-IV.név(7.1)'!#REF!</definedName>
    <definedName name="Excel_BuiltIn_Print_Titles_5_8_4_5_9" localSheetId="53">'[2]9a.sz.mell.III.-IV.név(7.1)'!#REF!</definedName>
    <definedName name="Excel_BuiltIn_Print_Titles_5_8_4_5_9">'[2]9a.sz.mell.III.-IV.név(7.1)'!#REF!</definedName>
    <definedName name="Excel_BuiltIn_Print_Titles_5_8_4_5_9_1" localSheetId="93">'[1]9a.sz.mell.III.-IV.név(7.1)'!#REF!</definedName>
    <definedName name="Excel_BuiltIn_Print_Titles_5_8_4_5_9_1" localSheetId="94">'[1]9a.sz.mell.III.-IV.név(7.1)'!#REF!</definedName>
    <definedName name="Excel_BuiltIn_Print_Titles_5_8_4_5_9_1" localSheetId="95">'[1]9a.sz.mell.III.-IV.név(7.1)'!#REF!</definedName>
    <definedName name="Excel_BuiltIn_Print_Titles_5_8_4_5_9_1" localSheetId="96">'[1]9a.sz.mell.III.-IV.név(7.1)'!#REF!</definedName>
    <definedName name="Excel_BuiltIn_Print_Titles_5_8_4_5_9_1" localSheetId="16">'[2]9a.sz.mell.III.-IV.név(7.1)'!#REF!</definedName>
    <definedName name="Excel_BuiltIn_Print_Titles_5_8_4_5_9_1" localSheetId="53">'[2]9a.sz.mell.III.-IV.név(7.1)'!#REF!</definedName>
    <definedName name="Excel_BuiltIn_Print_Titles_5_8_4_5_9_1">'[2]9a.sz.mell.III.-IV.név(7.1)'!#REF!</definedName>
    <definedName name="Excel_BuiltIn_Print_Titles_5_8_4_5_9_2" localSheetId="93">'[1]9a.sz.mell.Egész év'!#REF!</definedName>
    <definedName name="Excel_BuiltIn_Print_Titles_5_8_4_5_9_2" localSheetId="94">'[1]9a.sz.mell.Egész év'!#REF!</definedName>
    <definedName name="Excel_BuiltIn_Print_Titles_5_8_4_5_9_2" localSheetId="95">'[1]9a.sz.mell.Egész év'!#REF!</definedName>
    <definedName name="Excel_BuiltIn_Print_Titles_5_8_4_5_9_2" localSheetId="96">'[1]9a.sz.mell.Egész év'!#REF!</definedName>
    <definedName name="Excel_BuiltIn_Print_Titles_5_8_4_5_9_2" localSheetId="16">'[2]9a.sz.mell.Egész év'!#REF!</definedName>
    <definedName name="Excel_BuiltIn_Print_Titles_5_8_4_5_9_2" localSheetId="53">'[2]9a.sz.mell.Egész év'!#REF!</definedName>
    <definedName name="Excel_BuiltIn_Print_Titles_5_8_4_5_9_2">'[2]9a.sz.mell.Egész év'!#REF!</definedName>
    <definedName name="Excel_BuiltIn_Print_Titles_5_8_4_5_9_3" localSheetId="93">'[1]9a.sz.mell.III.-IV.név(7.1)'!#REF!</definedName>
    <definedName name="Excel_BuiltIn_Print_Titles_5_8_4_5_9_3" localSheetId="94">'[1]9a.sz.mell.III.-IV.név(7.1)'!#REF!</definedName>
    <definedName name="Excel_BuiltIn_Print_Titles_5_8_4_5_9_3" localSheetId="95">'[1]9a.sz.mell.III.-IV.név(7.1)'!#REF!</definedName>
    <definedName name="Excel_BuiltIn_Print_Titles_5_8_4_5_9_3" localSheetId="96">'[1]9a.sz.mell.III.-IV.név(7.1)'!#REF!</definedName>
    <definedName name="Excel_BuiltIn_Print_Titles_5_8_4_5_9_3" localSheetId="16">'[2]9a.sz.mell.III.-IV.név(7.1)'!#REF!</definedName>
    <definedName name="Excel_BuiltIn_Print_Titles_5_8_4_5_9_3" localSheetId="53">'[2]9a.sz.mell.III.-IV.név(7.1)'!#REF!</definedName>
    <definedName name="Excel_BuiltIn_Print_Titles_5_8_4_5_9_3">'[2]9a.sz.mell.III.-IV.név(7.1)'!#REF!</definedName>
    <definedName name="Excel_BuiltIn_Print_Titles_5_8_4_6" localSheetId="93">'[1]9a.sz.mell.II.név(7.1)'!#REF!</definedName>
    <definedName name="Excel_BuiltIn_Print_Titles_5_8_4_6" localSheetId="94">'[1]9a.sz.mell.II.név(7.1)'!#REF!</definedName>
    <definedName name="Excel_BuiltIn_Print_Titles_5_8_4_6" localSheetId="95">'[1]9a.sz.mell.II.név(7.1)'!#REF!</definedName>
    <definedName name="Excel_BuiltIn_Print_Titles_5_8_4_6" localSheetId="96">'[1]9a.sz.mell.II.név(7.1)'!#REF!</definedName>
    <definedName name="Excel_BuiltIn_Print_Titles_5_8_4_6" localSheetId="16">'[2]9a.sz.mell.II.név(7.1)'!#REF!</definedName>
    <definedName name="Excel_BuiltIn_Print_Titles_5_8_4_6" localSheetId="53">'[2]9a.sz.mell.II.név(7.1)'!#REF!</definedName>
    <definedName name="Excel_BuiltIn_Print_Titles_5_8_4_6">'[2]9a.sz.mell.II.név(7.1)'!#REF!</definedName>
    <definedName name="Excel_BuiltIn_Print_Titles_5_8_4_6_1" localSheetId="93">'[1]9a.sz.mell.II.név(7.1)'!#REF!</definedName>
    <definedName name="Excel_BuiltIn_Print_Titles_5_8_4_6_1" localSheetId="94">'[1]9a.sz.mell.II.név(7.1)'!#REF!</definedName>
    <definedName name="Excel_BuiltIn_Print_Titles_5_8_4_6_1" localSheetId="95">'[1]9a.sz.mell.II.név(7.1)'!#REF!</definedName>
    <definedName name="Excel_BuiltIn_Print_Titles_5_8_4_6_1" localSheetId="96">'[1]9a.sz.mell.II.név(7.1)'!#REF!</definedName>
    <definedName name="Excel_BuiltIn_Print_Titles_5_8_4_6_1" localSheetId="16">'[2]9a.sz.mell.II.név(7.1)'!#REF!</definedName>
    <definedName name="Excel_BuiltIn_Print_Titles_5_8_4_6_1" localSheetId="53">'[2]9a.sz.mell.II.név(7.1)'!#REF!</definedName>
    <definedName name="Excel_BuiltIn_Print_Titles_5_8_4_6_1">'[2]9a.sz.mell.II.név(7.1)'!#REF!</definedName>
    <definedName name="Excel_BuiltIn_Print_Titles_5_8_4_6_10" localSheetId="93">'[1]9a.sz.mell.II.név(7.1)'!#REF!</definedName>
    <definedName name="Excel_BuiltIn_Print_Titles_5_8_4_6_10" localSheetId="94">'[1]9a.sz.mell.II.név(7.1)'!#REF!</definedName>
    <definedName name="Excel_BuiltIn_Print_Titles_5_8_4_6_10" localSheetId="95">'[1]9a.sz.mell.II.név(7.1)'!#REF!</definedName>
    <definedName name="Excel_BuiltIn_Print_Titles_5_8_4_6_10" localSheetId="96">'[1]9a.sz.mell.II.név(7.1)'!#REF!</definedName>
    <definedName name="Excel_BuiltIn_Print_Titles_5_8_4_6_10" localSheetId="16">'[2]9a.sz.mell.II.név(7.1)'!#REF!</definedName>
    <definedName name="Excel_BuiltIn_Print_Titles_5_8_4_6_10" localSheetId="53">'[2]9a.sz.mell.II.név(7.1)'!#REF!</definedName>
    <definedName name="Excel_BuiltIn_Print_Titles_5_8_4_6_10">'[2]9a.sz.mell.II.név(7.1)'!#REF!</definedName>
    <definedName name="Excel_BuiltIn_Print_Titles_5_8_4_6_10_1" localSheetId="93">'[1]9a.sz.mell.II.név(7.1)'!#REF!</definedName>
    <definedName name="Excel_BuiltIn_Print_Titles_5_8_4_6_10_1" localSheetId="94">'[1]9a.sz.mell.II.név(7.1)'!#REF!</definedName>
    <definedName name="Excel_BuiltIn_Print_Titles_5_8_4_6_10_1" localSheetId="95">'[1]9a.sz.mell.II.név(7.1)'!#REF!</definedName>
    <definedName name="Excel_BuiltIn_Print_Titles_5_8_4_6_10_1" localSheetId="96">'[1]9a.sz.mell.II.név(7.1)'!#REF!</definedName>
    <definedName name="Excel_BuiltIn_Print_Titles_5_8_4_6_10_1" localSheetId="16">'[2]9a.sz.mell.II.név(7.1)'!#REF!</definedName>
    <definedName name="Excel_BuiltIn_Print_Titles_5_8_4_6_10_1" localSheetId="53">'[2]9a.sz.mell.II.név(7.1)'!#REF!</definedName>
    <definedName name="Excel_BuiltIn_Print_Titles_5_8_4_6_10_1">'[2]9a.sz.mell.II.név(7.1)'!#REF!</definedName>
    <definedName name="Excel_BuiltIn_Print_Titles_5_8_4_6_10_2" localSheetId="93">'[1]9a.sz.mell.II.név(7.1)'!#REF!</definedName>
    <definedName name="Excel_BuiltIn_Print_Titles_5_8_4_6_10_2" localSheetId="94">'[1]9a.sz.mell.II.név(7.1)'!#REF!</definedName>
    <definedName name="Excel_BuiltIn_Print_Titles_5_8_4_6_10_2" localSheetId="95">'[1]9a.sz.mell.II.név(7.1)'!#REF!</definedName>
    <definedName name="Excel_BuiltIn_Print_Titles_5_8_4_6_10_2" localSheetId="96">'[1]9a.sz.mell.II.név(7.1)'!#REF!</definedName>
    <definedName name="Excel_BuiltIn_Print_Titles_5_8_4_6_10_2" localSheetId="16">'[2]9a.sz.mell.II.név(7.1)'!#REF!</definedName>
    <definedName name="Excel_BuiltIn_Print_Titles_5_8_4_6_10_2" localSheetId="53">'[2]9a.sz.mell.II.név(7.1)'!#REF!</definedName>
    <definedName name="Excel_BuiltIn_Print_Titles_5_8_4_6_10_2">'[2]9a.sz.mell.II.név(7.1)'!#REF!</definedName>
    <definedName name="Excel_BuiltIn_Print_Titles_5_8_4_6_10_3" localSheetId="93">'[1]9a.sz.mell.II.név(7.1)'!#REF!</definedName>
    <definedName name="Excel_BuiltIn_Print_Titles_5_8_4_6_10_3" localSheetId="94">'[1]9a.sz.mell.II.név(7.1)'!#REF!</definedName>
    <definedName name="Excel_BuiltIn_Print_Titles_5_8_4_6_10_3" localSheetId="95">'[1]9a.sz.mell.II.név(7.1)'!#REF!</definedName>
    <definedName name="Excel_BuiltIn_Print_Titles_5_8_4_6_10_3" localSheetId="96">'[1]9a.sz.mell.II.név(7.1)'!#REF!</definedName>
    <definedName name="Excel_BuiltIn_Print_Titles_5_8_4_6_10_3" localSheetId="16">'[2]9a.sz.mell.II.név(7.1)'!#REF!</definedName>
    <definedName name="Excel_BuiltIn_Print_Titles_5_8_4_6_10_3" localSheetId="53">'[2]9a.sz.mell.II.név(7.1)'!#REF!</definedName>
    <definedName name="Excel_BuiltIn_Print_Titles_5_8_4_6_10_3">'[2]9a.sz.mell.II.név(7.1)'!#REF!</definedName>
    <definedName name="Excel_BuiltIn_Print_Titles_5_8_4_6_2" localSheetId="93">'[1]9a.sz.mell.II.név(7.1)'!#REF!</definedName>
    <definedName name="Excel_BuiltIn_Print_Titles_5_8_4_6_2" localSheetId="94">'[1]9a.sz.mell.II.név(7.1)'!#REF!</definedName>
    <definedName name="Excel_BuiltIn_Print_Titles_5_8_4_6_2" localSheetId="95">'[1]9a.sz.mell.II.név(7.1)'!#REF!</definedName>
    <definedName name="Excel_BuiltIn_Print_Titles_5_8_4_6_2" localSheetId="96">'[1]9a.sz.mell.II.név(7.1)'!#REF!</definedName>
    <definedName name="Excel_BuiltIn_Print_Titles_5_8_4_6_2" localSheetId="16">'[2]9a.sz.mell.II.név(7.1)'!#REF!</definedName>
    <definedName name="Excel_BuiltIn_Print_Titles_5_8_4_6_2" localSheetId="53">'[2]9a.sz.mell.II.név(7.1)'!#REF!</definedName>
    <definedName name="Excel_BuiltIn_Print_Titles_5_8_4_6_2">'[2]9a.sz.mell.II.név(7.1)'!#REF!</definedName>
    <definedName name="Excel_BuiltIn_Print_Titles_5_8_4_6_3" localSheetId="93">'[1]9a.sz.mell.II.név(7.1)'!#REF!</definedName>
    <definedName name="Excel_BuiltIn_Print_Titles_5_8_4_6_3" localSheetId="94">'[1]9a.sz.mell.II.név(7.1)'!#REF!</definedName>
    <definedName name="Excel_BuiltIn_Print_Titles_5_8_4_6_3" localSheetId="95">'[1]9a.sz.mell.II.név(7.1)'!#REF!</definedName>
    <definedName name="Excel_BuiltIn_Print_Titles_5_8_4_6_3" localSheetId="96">'[1]9a.sz.mell.II.név(7.1)'!#REF!</definedName>
    <definedName name="Excel_BuiltIn_Print_Titles_5_8_4_6_3" localSheetId="16">'[2]9a.sz.mell.II.név(7.1)'!#REF!</definedName>
    <definedName name="Excel_BuiltIn_Print_Titles_5_8_4_6_3" localSheetId="53">'[2]9a.sz.mell.II.név(7.1)'!#REF!</definedName>
    <definedName name="Excel_BuiltIn_Print_Titles_5_8_4_6_3">'[2]9a.sz.mell.II.név(7.1)'!#REF!</definedName>
    <definedName name="Excel_BuiltIn_Print_Titles_5_8_4_6_9" localSheetId="93">'[1]9a.sz.mell.II.név(7.1)'!#REF!</definedName>
    <definedName name="Excel_BuiltIn_Print_Titles_5_8_4_6_9" localSheetId="94">'[1]9a.sz.mell.II.név(7.1)'!#REF!</definedName>
    <definedName name="Excel_BuiltIn_Print_Titles_5_8_4_6_9" localSheetId="95">'[1]9a.sz.mell.II.név(7.1)'!#REF!</definedName>
    <definedName name="Excel_BuiltIn_Print_Titles_5_8_4_6_9" localSheetId="96">'[1]9a.sz.mell.II.név(7.1)'!#REF!</definedName>
    <definedName name="Excel_BuiltIn_Print_Titles_5_8_4_6_9" localSheetId="16">'[2]9a.sz.mell.II.név(7.1)'!#REF!</definedName>
    <definedName name="Excel_BuiltIn_Print_Titles_5_8_4_6_9" localSheetId="53">'[2]9a.sz.mell.II.név(7.1)'!#REF!</definedName>
    <definedName name="Excel_BuiltIn_Print_Titles_5_8_4_6_9">'[2]9a.sz.mell.II.név(7.1)'!#REF!</definedName>
    <definedName name="Excel_BuiltIn_Print_Titles_5_8_4_6_9_1" localSheetId="93">'[1]9a.sz.mell.II.név(7.1)'!#REF!</definedName>
    <definedName name="Excel_BuiltIn_Print_Titles_5_8_4_6_9_1" localSheetId="94">'[1]9a.sz.mell.II.név(7.1)'!#REF!</definedName>
    <definedName name="Excel_BuiltIn_Print_Titles_5_8_4_6_9_1" localSheetId="95">'[1]9a.sz.mell.II.név(7.1)'!#REF!</definedName>
    <definedName name="Excel_BuiltIn_Print_Titles_5_8_4_6_9_1" localSheetId="96">'[1]9a.sz.mell.II.név(7.1)'!#REF!</definedName>
    <definedName name="Excel_BuiltIn_Print_Titles_5_8_4_6_9_1" localSheetId="16">'[2]9a.sz.mell.II.név(7.1)'!#REF!</definedName>
    <definedName name="Excel_BuiltIn_Print_Titles_5_8_4_6_9_1" localSheetId="53">'[2]9a.sz.mell.II.név(7.1)'!#REF!</definedName>
    <definedName name="Excel_BuiltIn_Print_Titles_5_8_4_6_9_1">'[2]9a.sz.mell.II.név(7.1)'!#REF!</definedName>
    <definedName name="Excel_BuiltIn_Print_Titles_5_8_4_6_9_2" localSheetId="93">'[1]9a.sz.mell.II.név(7.1)'!#REF!</definedName>
    <definedName name="Excel_BuiltIn_Print_Titles_5_8_4_6_9_2" localSheetId="94">'[1]9a.sz.mell.II.név(7.1)'!#REF!</definedName>
    <definedName name="Excel_BuiltIn_Print_Titles_5_8_4_6_9_2" localSheetId="95">'[1]9a.sz.mell.II.név(7.1)'!#REF!</definedName>
    <definedName name="Excel_BuiltIn_Print_Titles_5_8_4_6_9_2" localSheetId="96">'[1]9a.sz.mell.II.név(7.1)'!#REF!</definedName>
    <definedName name="Excel_BuiltIn_Print_Titles_5_8_4_6_9_2" localSheetId="16">'[2]9a.sz.mell.II.név(7.1)'!#REF!</definedName>
    <definedName name="Excel_BuiltIn_Print_Titles_5_8_4_6_9_2" localSheetId="53">'[2]9a.sz.mell.II.név(7.1)'!#REF!</definedName>
    <definedName name="Excel_BuiltIn_Print_Titles_5_8_4_6_9_2">'[2]9a.sz.mell.II.név(7.1)'!#REF!</definedName>
    <definedName name="Excel_BuiltIn_Print_Titles_5_8_4_6_9_3" localSheetId="93">'[1]9a.sz.mell.II.név(7.1)'!#REF!</definedName>
    <definedName name="Excel_BuiltIn_Print_Titles_5_8_4_6_9_3" localSheetId="94">'[1]9a.sz.mell.II.név(7.1)'!#REF!</definedName>
    <definedName name="Excel_BuiltIn_Print_Titles_5_8_4_6_9_3" localSheetId="95">'[1]9a.sz.mell.II.név(7.1)'!#REF!</definedName>
    <definedName name="Excel_BuiltIn_Print_Titles_5_8_4_6_9_3" localSheetId="96">'[1]9a.sz.mell.II.név(7.1)'!#REF!</definedName>
    <definedName name="Excel_BuiltIn_Print_Titles_5_8_4_6_9_3" localSheetId="16">'[2]9a.sz.mell.II.név(7.1)'!#REF!</definedName>
    <definedName name="Excel_BuiltIn_Print_Titles_5_8_4_6_9_3" localSheetId="53">'[2]9a.sz.mell.II.név(7.1)'!#REF!</definedName>
    <definedName name="Excel_BuiltIn_Print_Titles_5_8_4_6_9_3">'[2]9a.sz.mell.II.név(7.1)'!#REF!</definedName>
    <definedName name="Excel_BuiltIn_Print_Titles_5_8_4_8" localSheetId="93">'[1]9a.sz.mell.II.név végleges'!#REF!</definedName>
    <definedName name="Excel_BuiltIn_Print_Titles_5_8_4_8" localSheetId="94">'[1]9a.sz.mell.II.név végleges'!#REF!</definedName>
    <definedName name="Excel_BuiltIn_Print_Titles_5_8_4_8" localSheetId="95">'[1]9a.sz.mell.II.név végleges'!#REF!</definedName>
    <definedName name="Excel_BuiltIn_Print_Titles_5_8_4_8" localSheetId="96">'[1]9a.sz.mell.II.név végleges'!#REF!</definedName>
    <definedName name="Excel_BuiltIn_Print_Titles_5_8_4_8" localSheetId="16">'[2]9a.sz.mell.II.név végleges'!#REF!</definedName>
    <definedName name="Excel_BuiltIn_Print_Titles_5_8_4_8" localSheetId="53">'[2]9a.sz.mell.II.név végleges'!#REF!</definedName>
    <definedName name="Excel_BuiltIn_Print_Titles_5_8_4_8">'[2]9a.sz.mell.II.név végleges'!#REF!</definedName>
    <definedName name="Excel_BuiltIn_Print_Titles_5_8_4_8_1" localSheetId="93">'[1]9a.sz.mell.II.név végleges'!#REF!</definedName>
    <definedName name="Excel_BuiltIn_Print_Titles_5_8_4_8_1" localSheetId="94">'[1]9a.sz.mell.II.név végleges'!#REF!</definedName>
    <definedName name="Excel_BuiltIn_Print_Titles_5_8_4_8_1" localSheetId="95">'[1]9a.sz.mell.II.név végleges'!#REF!</definedName>
    <definedName name="Excel_BuiltIn_Print_Titles_5_8_4_8_1" localSheetId="96">'[1]9a.sz.mell.II.név végleges'!#REF!</definedName>
    <definedName name="Excel_BuiltIn_Print_Titles_5_8_4_8_1" localSheetId="16">'[2]9a.sz.mell.II.név végleges'!#REF!</definedName>
    <definedName name="Excel_BuiltIn_Print_Titles_5_8_4_8_1" localSheetId="53">'[2]9a.sz.mell.II.név végleges'!#REF!</definedName>
    <definedName name="Excel_BuiltIn_Print_Titles_5_8_4_8_1">'[2]9a.sz.mell.II.név végleges'!#REF!</definedName>
    <definedName name="Excel_BuiltIn_Print_Titles_5_8_4_8_10" localSheetId="93">'[1]9a.sz.mell.II.név végleges'!#REF!</definedName>
    <definedName name="Excel_BuiltIn_Print_Titles_5_8_4_8_10" localSheetId="94">'[1]9a.sz.mell.II.név végleges'!#REF!</definedName>
    <definedName name="Excel_BuiltIn_Print_Titles_5_8_4_8_10" localSheetId="95">'[1]9a.sz.mell.II.név végleges'!#REF!</definedName>
    <definedName name="Excel_BuiltIn_Print_Titles_5_8_4_8_10" localSheetId="96">'[1]9a.sz.mell.II.név végleges'!#REF!</definedName>
    <definedName name="Excel_BuiltIn_Print_Titles_5_8_4_8_10" localSheetId="16">'[2]9a.sz.mell.II.név végleges'!#REF!</definedName>
    <definedName name="Excel_BuiltIn_Print_Titles_5_8_4_8_10" localSheetId="53">'[2]9a.sz.mell.II.név végleges'!#REF!</definedName>
    <definedName name="Excel_BuiltIn_Print_Titles_5_8_4_8_10">'[2]9a.sz.mell.II.név végleges'!#REF!</definedName>
    <definedName name="Excel_BuiltIn_Print_Titles_5_8_4_8_10_1" localSheetId="93">'[1]9a.sz.mell.II.név végleges'!#REF!</definedName>
    <definedName name="Excel_BuiltIn_Print_Titles_5_8_4_8_10_1" localSheetId="94">'[1]9a.sz.mell.II.név végleges'!#REF!</definedName>
    <definedName name="Excel_BuiltIn_Print_Titles_5_8_4_8_10_1" localSheetId="95">'[1]9a.sz.mell.II.név végleges'!#REF!</definedName>
    <definedName name="Excel_BuiltIn_Print_Titles_5_8_4_8_10_1" localSheetId="96">'[1]9a.sz.mell.II.név végleges'!#REF!</definedName>
    <definedName name="Excel_BuiltIn_Print_Titles_5_8_4_8_10_1" localSheetId="16">'[2]9a.sz.mell.II.név végleges'!#REF!</definedName>
    <definedName name="Excel_BuiltIn_Print_Titles_5_8_4_8_10_1" localSheetId="53">'[2]9a.sz.mell.II.név végleges'!#REF!</definedName>
    <definedName name="Excel_BuiltIn_Print_Titles_5_8_4_8_10_1">'[2]9a.sz.mell.II.név végleges'!#REF!</definedName>
    <definedName name="Excel_BuiltIn_Print_Titles_5_8_4_8_10_2" localSheetId="93">'[1]9a.sz.mell.II.név végleges'!#REF!</definedName>
    <definedName name="Excel_BuiltIn_Print_Titles_5_8_4_8_10_2" localSheetId="94">'[1]9a.sz.mell.II.név végleges'!#REF!</definedName>
    <definedName name="Excel_BuiltIn_Print_Titles_5_8_4_8_10_2" localSheetId="95">'[1]9a.sz.mell.II.név végleges'!#REF!</definedName>
    <definedName name="Excel_BuiltIn_Print_Titles_5_8_4_8_10_2" localSheetId="96">'[1]9a.sz.mell.II.név végleges'!#REF!</definedName>
    <definedName name="Excel_BuiltIn_Print_Titles_5_8_4_8_10_2" localSheetId="16">'[2]9a.sz.mell.II.név végleges'!#REF!</definedName>
    <definedName name="Excel_BuiltIn_Print_Titles_5_8_4_8_10_2" localSheetId="53">'[2]9a.sz.mell.II.név végleges'!#REF!</definedName>
    <definedName name="Excel_BuiltIn_Print_Titles_5_8_4_8_10_2">'[2]9a.sz.mell.II.név végleges'!#REF!</definedName>
    <definedName name="Excel_BuiltIn_Print_Titles_5_8_4_8_10_3" localSheetId="93">'[1]9a.sz.mell.II.név végleges'!#REF!</definedName>
    <definedName name="Excel_BuiltIn_Print_Titles_5_8_4_8_10_3" localSheetId="94">'[1]9a.sz.mell.II.név végleges'!#REF!</definedName>
    <definedName name="Excel_BuiltIn_Print_Titles_5_8_4_8_10_3" localSheetId="95">'[1]9a.sz.mell.II.név végleges'!#REF!</definedName>
    <definedName name="Excel_BuiltIn_Print_Titles_5_8_4_8_10_3" localSheetId="96">'[1]9a.sz.mell.II.név végleges'!#REF!</definedName>
    <definedName name="Excel_BuiltIn_Print_Titles_5_8_4_8_10_3" localSheetId="16">'[2]9a.sz.mell.II.név végleges'!#REF!</definedName>
    <definedName name="Excel_BuiltIn_Print_Titles_5_8_4_8_10_3" localSheetId="53">'[2]9a.sz.mell.II.név végleges'!#REF!</definedName>
    <definedName name="Excel_BuiltIn_Print_Titles_5_8_4_8_10_3">'[2]9a.sz.mell.II.név végleges'!#REF!</definedName>
    <definedName name="Excel_BuiltIn_Print_Titles_5_8_4_8_2" localSheetId="93">'[1]9a.sz.mell.II.név végleges'!#REF!</definedName>
    <definedName name="Excel_BuiltIn_Print_Titles_5_8_4_8_2" localSheetId="94">'[1]9a.sz.mell.II.név végleges'!#REF!</definedName>
    <definedName name="Excel_BuiltIn_Print_Titles_5_8_4_8_2" localSheetId="95">'[1]9a.sz.mell.II.név végleges'!#REF!</definedName>
    <definedName name="Excel_BuiltIn_Print_Titles_5_8_4_8_2" localSheetId="96">'[1]9a.sz.mell.II.név végleges'!#REF!</definedName>
    <definedName name="Excel_BuiltIn_Print_Titles_5_8_4_8_2" localSheetId="16">'[2]9a.sz.mell.II.név végleges'!#REF!</definedName>
    <definedName name="Excel_BuiltIn_Print_Titles_5_8_4_8_2" localSheetId="53">'[2]9a.sz.mell.II.név végleges'!#REF!</definedName>
    <definedName name="Excel_BuiltIn_Print_Titles_5_8_4_8_2">'[2]9a.sz.mell.II.név végleges'!#REF!</definedName>
    <definedName name="Excel_BuiltIn_Print_Titles_5_8_4_8_3" localSheetId="93">'[1]9a.sz.mell.II.név végleges'!#REF!</definedName>
    <definedName name="Excel_BuiltIn_Print_Titles_5_8_4_8_3" localSheetId="94">'[1]9a.sz.mell.II.név végleges'!#REF!</definedName>
    <definedName name="Excel_BuiltIn_Print_Titles_5_8_4_8_3" localSheetId="95">'[1]9a.sz.mell.II.név végleges'!#REF!</definedName>
    <definedName name="Excel_BuiltIn_Print_Titles_5_8_4_8_3" localSheetId="96">'[1]9a.sz.mell.II.név végleges'!#REF!</definedName>
    <definedName name="Excel_BuiltIn_Print_Titles_5_8_4_8_3" localSheetId="16">'[2]9a.sz.mell.II.név végleges'!#REF!</definedName>
    <definedName name="Excel_BuiltIn_Print_Titles_5_8_4_8_3" localSheetId="53">'[2]9a.sz.mell.II.név végleges'!#REF!</definedName>
    <definedName name="Excel_BuiltIn_Print_Titles_5_8_4_8_3">'[2]9a.sz.mell.II.név végleges'!#REF!</definedName>
    <definedName name="Excel_BuiltIn_Print_Titles_5_8_4_8_9" localSheetId="93">'[1]9a.sz.mell.II.név végleges'!#REF!</definedName>
    <definedName name="Excel_BuiltIn_Print_Titles_5_8_4_8_9" localSheetId="94">'[1]9a.sz.mell.II.név végleges'!#REF!</definedName>
    <definedName name="Excel_BuiltIn_Print_Titles_5_8_4_8_9" localSheetId="95">'[1]9a.sz.mell.II.név végleges'!#REF!</definedName>
    <definedName name="Excel_BuiltIn_Print_Titles_5_8_4_8_9" localSheetId="96">'[1]9a.sz.mell.II.név végleges'!#REF!</definedName>
    <definedName name="Excel_BuiltIn_Print_Titles_5_8_4_8_9" localSheetId="16">'[2]9a.sz.mell.II.név végleges'!#REF!</definedName>
    <definedName name="Excel_BuiltIn_Print_Titles_5_8_4_8_9" localSheetId="53">'[2]9a.sz.mell.II.név végleges'!#REF!</definedName>
    <definedName name="Excel_BuiltIn_Print_Titles_5_8_4_8_9">'[2]9a.sz.mell.II.név végleges'!#REF!</definedName>
    <definedName name="Excel_BuiltIn_Print_Titles_5_8_4_8_9_1" localSheetId="93">'[1]9a.sz.mell.II.név végleges'!#REF!</definedName>
    <definedName name="Excel_BuiltIn_Print_Titles_5_8_4_8_9_1" localSheetId="94">'[1]9a.sz.mell.II.név végleges'!#REF!</definedName>
    <definedName name="Excel_BuiltIn_Print_Titles_5_8_4_8_9_1" localSheetId="95">'[1]9a.sz.mell.II.név végleges'!#REF!</definedName>
    <definedName name="Excel_BuiltIn_Print_Titles_5_8_4_8_9_1" localSheetId="96">'[1]9a.sz.mell.II.név végleges'!#REF!</definedName>
    <definedName name="Excel_BuiltIn_Print_Titles_5_8_4_8_9_1" localSheetId="16">'[2]9a.sz.mell.II.név végleges'!#REF!</definedName>
    <definedName name="Excel_BuiltIn_Print_Titles_5_8_4_8_9_1" localSheetId="53">'[2]9a.sz.mell.II.név végleges'!#REF!</definedName>
    <definedName name="Excel_BuiltIn_Print_Titles_5_8_4_8_9_1">'[2]9a.sz.mell.II.név végleges'!#REF!</definedName>
    <definedName name="Excel_BuiltIn_Print_Titles_5_8_4_8_9_2" localSheetId="93">'[1]9a.sz.mell.II.név végleges'!#REF!</definedName>
    <definedName name="Excel_BuiltIn_Print_Titles_5_8_4_8_9_2" localSheetId="94">'[1]9a.sz.mell.II.név végleges'!#REF!</definedName>
    <definedName name="Excel_BuiltIn_Print_Titles_5_8_4_8_9_2" localSheetId="95">'[1]9a.sz.mell.II.név végleges'!#REF!</definedName>
    <definedName name="Excel_BuiltIn_Print_Titles_5_8_4_8_9_2" localSheetId="96">'[1]9a.sz.mell.II.név végleges'!#REF!</definedName>
    <definedName name="Excel_BuiltIn_Print_Titles_5_8_4_8_9_2" localSheetId="16">'[2]9a.sz.mell.II.név végleges'!#REF!</definedName>
    <definedName name="Excel_BuiltIn_Print_Titles_5_8_4_8_9_2" localSheetId="53">'[2]9a.sz.mell.II.név végleges'!#REF!</definedName>
    <definedName name="Excel_BuiltIn_Print_Titles_5_8_4_8_9_2">'[2]9a.sz.mell.II.név végleges'!#REF!</definedName>
    <definedName name="Excel_BuiltIn_Print_Titles_5_8_4_8_9_3" localSheetId="93">'[1]9a.sz.mell.II.név végleges'!#REF!</definedName>
    <definedName name="Excel_BuiltIn_Print_Titles_5_8_4_8_9_3" localSheetId="94">'[1]9a.sz.mell.II.név végleges'!#REF!</definedName>
    <definedName name="Excel_BuiltIn_Print_Titles_5_8_4_8_9_3" localSheetId="95">'[1]9a.sz.mell.II.név végleges'!#REF!</definedName>
    <definedName name="Excel_BuiltIn_Print_Titles_5_8_4_8_9_3" localSheetId="96">'[1]9a.sz.mell.II.név végleges'!#REF!</definedName>
    <definedName name="Excel_BuiltIn_Print_Titles_5_8_4_8_9_3" localSheetId="16">'[2]9a.sz.mell.II.név végleges'!#REF!</definedName>
    <definedName name="Excel_BuiltIn_Print_Titles_5_8_4_8_9_3" localSheetId="53">'[2]9a.sz.mell.II.név végleges'!#REF!</definedName>
    <definedName name="Excel_BuiltIn_Print_Titles_5_8_4_8_9_3">'[2]9a.sz.mell.II.név végleges'!#REF!</definedName>
    <definedName name="Excel_BuiltIn_Print_Titles_5_8_4_9" localSheetId="93">'[1]9a.sz.mell.II.név(7.1)'!#REF!</definedName>
    <definedName name="Excel_BuiltIn_Print_Titles_5_8_4_9" localSheetId="94">'[1]9a.sz.mell.II.név(7.1)'!#REF!</definedName>
    <definedName name="Excel_BuiltIn_Print_Titles_5_8_4_9" localSheetId="95">'[1]9a.sz.mell.II.név(7.1)'!#REF!</definedName>
    <definedName name="Excel_BuiltIn_Print_Titles_5_8_4_9" localSheetId="96">'[1]9a.sz.mell.II.név(7.1)'!#REF!</definedName>
    <definedName name="Excel_BuiltIn_Print_Titles_5_8_4_9" localSheetId="16">'[2]9a.sz.mell.II.név(7.1)'!#REF!</definedName>
    <definedName name="Excel_BuiltIn_Print_Titles_5_8_4_9" localSheetId="53">'[2]9a.sz.mell.II.név(7.1)'!#REF!</definedName>
    <definedName name="Excel_BuiltIn_Print_Titles_5_8_4_9">'[2]9a.sz.mell.II.név(7.1)'!#REF!</definedName>
    <definedName name="Excel_BuiltIn_Print_Titles_5_8_4_9_1" localSheetId="93">'[1]9a.sz.mell.II.név(7.1)'!#REF!</definedName>
    <definedName name="Excel_BuiltIn_Print_Titles_5_8_4_9_1" localSheetId="94">'[1]9a.sz.mell.II.név(7.1)'!#REF!</definedName>
    <definedName name="Excel_BuiltIn_Print_Titles_5_8_4_9_1" localSheetId="95">'[1]9a.sz.mell.II.név(7.1)'!#REF!</definedName>
    <definedName name="Excel_BuiltIn_Print_Titles_5_8_4_9_1" localSheetId="96">'[1]9a.sz.mell.II.név(7.1)'!#REF!</definedName>
    <definedName name="Excel_BuiltIn_Print_Titles_5_8_4_9_1" localSheetId="16">'[2]9a.sz.mell.II.név(7.1)'!#REF!</definedName>
    <definedName name="Excel_BuiltIn_Print_Titles_5_8_4_9_1" localSheetId="53">'[2]9a.sz.mell.II.név(7.1)'!#REF!</definedName>
    <definedName name="Excel_BuiltIn_Print_Titles_5_8_4_9_1">'[2]9a.sz.mell.II.név(7.1)'!#REF!</definedName>
    <definedName name="Excel_BuiltIn_Print_Titles_5_8_4_9_2" localSheetId="93">'[1]9a.sz.mell.II.név(7.1)'!#REF!</definedName>
    <definedName name="Excel_BuiltIn_Print_Titles_5_8_4_9_2" localSheetId="94">'[1]9a.sz.mell.II.név(7.1)'!#REF!</definedName>
    <definedName name="Excel_BuiltIn_Print_Titles_5_8_4_9_2" localSheetId="95">'[1]9a.sz.mell.II.név(7.1)'!#REF!</definedName>
    <definedName name="Excel_BuiltIn_Print_Titles_5_8_4_9_2" localSheetId="96">'[1]9a.sz.mell.II.név(7.1)'!#REF!</definedName>
    <definedName name="Excel_BuiltIn_Print_Titles_5_8_4_9_2" localSheetId="16">'[2]9a.sz.mell.II.név(7.1)'!#REF!</definedName>
    <definedName name="Excel_BuiltIn_Print_Titles_5_8_4_9_2" localSheetId="53">'[2]9a.sz.mell.II.név(7.1)'!#REF!</definedName>
    <definedName name="Excel_BuiltIn_Print_Titles_5_8_4_9_2">'[2]9a.sz.mell.II.név(7.1)'!#REF!</definedName>
    <definedName name="Excel_BuiltIn_Print_Titles_5_8_4_9_3" localSheetId="93">'[1]9a.sz.mell.II.név(7.1)'!#REF!</definedName>
    <definedName name="Excel_BuiltIn_Print_Titles_5_8_4_9_3" localSheetId="94">'[1]9a.sz.mell.II.név(7.1)'!#REF!</definedName>
    <definedName name="Excel_BuiltIn_Print_Titles_5_8_4_9_3" localSheetId="95">'[1]9a.sz.mell.II.név(7.1)'!#REF!</definedName>
    <definedName name="Excel_BuiltIn_Print_Titles_5_8_4_9_3" localSheetId="96">'[1]9a.sz.mell.II.név(7.1)'!#REF!</definedName>
    <definedName name="Excel_BuiltIn_Print_Titles_5_8_4_9_3" localSheetId="16">'[2]9a.sz.mell.II.név(7.1)'!#REF!</definedName>
    <definedName name="Excel_BuiltIn_Print_Titles_5_8_4_9_3" localSheetId="53">'[2]9a.sz.mell.II.név(7.1)'!#REF!</definedName>
    <definedName name="Excel_BuiltIn_Print_Titles_5_8_4_9_3">'[2]9a.sz.mell.II.név(7.1)'!#REF!</definedName>
    <definedName name="Excel_BuiltIn_Print_Titles_5_8_5" localSheetId="93">'[1]9a.sz.mell.III.-IV.név(7.1)'!#REF!</definedName>
    <definedName name="Excel_BuiltIn_Print_Titles_5_8_5" localSheetId="94">'[1]9a.sz.mell.III.-IV.név(7.1)'!#REF!</definedName>
    <definedName name="Excel_BuiltIn_Print_Titles_5_8_5" localSheetId="95">'[1]9a.sz.mell.III.-IV.név(7.1)'!#REF!</definedName>
    <definedName name="Excel_BuiltIn_Print_Titles_5_8_5" localSheetId="96">'[1]9a.sz.mell.III.-IV.név(7.1)'!#REF!</definedName>
    <definedName name="Excel_BuiltIn_Print_Titles_5_8_5" localSheetId="16">'[2]9a.sz.mell.III.-IV.név(7.1)'!#REF!</definedName>
    <definedName name="Excel_BuiltIn_Print_Titles_5_8_5" localSheetId="53">'[2]9a.sz.mell.III.-IV.név(7.1)'!#REF!</definedName>
    <definedName name="Excel_BuiltIn_Print_Titles_5_8_5">'[2]9a.sz.mell.III.-IV.név(7.1)'!#REF!</definedName>
    <definedName name="Excel_BuiltIn_Print_Titles_5_8_5_1" localSheetId="93">'[1]9a.sz.mell.III.-IV.név(7.1)'!#REF!</definedName>
    <definedName name="Excel_BuiltIn_Print_Titles_5_8_5_1" localSheetId="94">'[1]9a.sz.mell.III.-IV.név(7.1)'!#REF!</definedName>
    <definedName name="Excel_BuiltIn_Print_Titles_5_8_5_1" localSheetId="95">'[1]9a.sz.mell.III.-IV.név(7.1)'!#REF!</definedName>
    <definedName name="Excel_BuiltIn_Print_Titles_5_8_5_1" localSheetId="96">'[1]9a.sz.mell.III.-IV.név(7.1)'!#REF!</definedName>
    <definedName name="Excel_BuiltIn_Print_Titles_5_8_5_1" localSheetId="16">'[2]9a.sz.mell.III.-IV.név(7.1)'!#REF!</definedName>
    <definedName name="Excel_BuiltIn_Print_Titles_5_8_5_1" localSheetId="53">'[2]9a.sz.mell.III.-IV.név(7.1)'!#REF!</definedName>
    <definedName name="Excel_BuiltIn_Print_Titles_5_8_5_1">'[2]9a.sz.mell.III.-IV.név(7.1)'!#REF!</definedName>
    <definedName name="Excel_BuiltIn_Print_Titles_5_8_5_10" localSheetId="93">'[1]9a.sz.mell.III.-IV.név(7.1)'!#REF!</definedName>
    <definedName name="Excel_BuiltIn_Print_Titles_5_8_5_10" localSheetId="94">'[1]9a.sz.mell.III.-IV.név(7.1)'!#REF!</definedName>
    <definedName name="Excel_BuiltIn_Print_Titles_5_8_5_10" localSheetId="95">'[1]9a.sz.mell.III.-IV.név(7.1)'!#REF!</definedName>
    <definedName name="Excel_BuiltIn_Print_Titles_5_8_5_10" localSheetId="96">'[1]9a.sz.mell.III.-IV.név(7.1)'!#REF!</definedName>
    <definedName name="Excel_BuiltIn_Print_Titles_5_8_5_10" localSheetId="16">'[2]9a.sz.mell.III.-IV.név(7.1)'!#REF!</definedName>
    <definedName name="Excel_BuiltIn_Print_Titles_5_8_5_10" localSheetId="53">'[2]9a.sz.mell.III.-IV.név(7.1)'!#REF!</definedName>
    <definedName name="Excel_BuiltIn_Print_Titles_5_8_5_10">'[2]9a.sz.mell.III.-IV.név(7.1)'!#REF!</definedName>
    <definedName name="Excel_BuiltIn_Print_Titles_5_8_5_10_1" localSheetId="93">'[1]9a.sz.mell.III.-IV.név(7.1)'!#REF!</definedName>
    <definedName name="Excel_BuiltIn_Print_Titles_5_8_5_10_1" localSheetId="94">'[1]9a.sz.mell.III.-IV.név(7.1)'!#REF!</definedName>
    <definedName name="Excel_BuiltIn_Print_Titles_5_8_5_10_1" localSheetId="95">'[1]9a.sz.mell.III.-IV.név(7.1)'!#REF!</definedName>
    <definedName name="Excel_BuiltIn_Print_Titles_5_8_5_10_1" localSheetId="96">'[1]9a.sz.mell.III.-IV.név(7.1)'!#REF!</definedName>
    <definedName name="Excel_BuiltIn_Print_Titles_5_8_5_10_1" localSheetId="16">'[2]9a.sz.mell.III.-IV.név(7.1)'!#REF!</definedName>
    <definedName name="Excel_BuiltIn_Print_Titles_5_8_5_10_1" localSheetId="53">'[2]9a.sz.mell.III.-IV.név(7.1)'!#REF!</definedName>
    <definedName name="Excel_BuiltIn_Print_Titles_5_8_5_10_1">'[2]9a.sz.mell.III.-IV.név(7.1)'!#REF!</definedName>
    <definedName name="Excel_BuiltIn_Print_Titles_5_8_5_10_2" localSheetId="93">'[1]9a.sz.mell.Egész év'!#REF!</definedName>
    <definedName name="Excel_BuiltIn_Print_Titles_5_8_5_10_2" localSheetId="94">'[1]9a.sz.mell.Egész év'!#REF!</definedName>
    <definedName name="Excel_BuiltIn_Print_Titles_5_8_5_10_2" localSheetId="95">'[1]9a.sz.mell.Egész év'!#REF!</definedName>
    <definedName name="Excel_BuiltIn_Print_Titles_5_8_5_10_2" localSheetId="96">'[1]9a.sz.mell.Egész év'!#REF!</definedName>
    <definedName name="Excel_BuiltIn_Print_Titles_5_8_5_10_2" localSheetId="16">'[2]9a.sz.mell.Egész év'!#REF!</definedName>
    <definedName name="Excel_BuiltIn_Print_Titles_5_8_5_10_2" localSheetId="53">'[2]9a.sz.mell.Egész év'!#REF!</definedName>
    <definedName name="Excel_BuiltIn_Print_Titles_5_8_5_10_2">'[2]9a.sz.mell.Egész év'!#REF!</definedName>
    <definedName name="Excel_BuiltIn_Print_Titles_5_8_5_10_3" localSheetId="93">'[1]9a.sz.mell.III.-IV.név(7.1)'!#REF!</definedName>
    <definedName name="Excel_BuiltIn_Print_Titles_5_8_5_10_3" localSheetId="94">'[1]9a.sz.mell.III.-IV.név(7.1)'!#REF!</definedName>
    <definedName name="Excel_BuiltIn_Print_Titles_5_8_5_10_3" localSheetId="95">'[1]9a.sz.mell.III.-IV.név(7.1)'!#REF!</definedName>
    <definedName name="Excel_BuiltIn_Print_Titles_5_8_5_10_3" localSheetId="96">'[1]9a.sz.mell.III.-IV.név(7.1)'!#REF!</definedName>
    <definedName name="Excel_BuiltIn_Print_Titles_5_8_5_10_3" localSheetId="16">'[2]9a.sz.mell.III.-IV.név(7.1)'!#REF!</definedName>
    <definedName name="Excel_BuiltIn_Print_Titles_5_8_5_10_3" localSheetId="53">'[2]9a.sz.mell.III.-IV.név(7.1)'!#REF!</definedName>
    <definedName name="Excel_BuiltIn_Print_Titles_5_8_5_10_3">'[2]9a.sz.mell.III.-IV.név(7.1)'!#REF!</definedName>
    <definedName name="Excel_BuiltIn_Print_Titles_5_8_5_2" localSheetId="93">'[1]9a.sz.mell.Egész év'!#REF!</definedName>
    <definedName name="Excel_BuiltIn_Print_Titles_5_8_5_2" localSheetId="94">'[1]9a.sz.mell.Egész év'!#REF!</definedName>
    <definedName name="Excel_BuiltIn_Print_Titles_5_8_5_2" localSheetId="95">'[1]9a.sz.mell.Egész év'!#REF!</definedName>
    <definedName name="Excel_BuiltIn_Print_Titles_5_8_5_2" localSheetId="96">'[1]9a.sz.mell.Egész év'!#REF!</definedName>
    <definedName name="Excel_BuiltIn_Print_Titles_5_8_5_2" localSheetId="16">'[2]9a.sz.mell.Egész év'!#REF!</definedName>
    <definedName name="Excel_BuiltIn_Print_Titles_5_8_5_2" localSheetId="53">'[2]9a.sz.mell.Egész év'!#REF!</definedName>
    <definedName name="Excel_BuiltIn_Print_Titles_5_8_5_2">'[2]9a.sz.mell.Egész év'!#REF!</definedName>
    <definedName name="Excel_BuiltIn_Print_Titles_5_8_5_3" localSheetId="93">'[1]9a.sz.mell.III.-IV.név(7.1)'!#REF!</definedName>
    <definedName name="Excel_BuiltIn_Print_Titles_5_8_5_3" localSheetId="94">'[1]9a.sz.mell.III.-IV.név(7.1)'!#REF!</definedName>
    <definedName name="Excel_BuiltIn_Print_Titles_5_8_5_3" localSheetId="95">'[1]9a.sz.mell.III.-IV.név(7.1)'!#REF!</definedName>
    <definedName name="Excel_BuiltIn_Print_Titles_5_8_5_3" localSheetId="96">'[1]9a.sz.mell.III.-IV.név(7.1)'!#REF!</definedName>
    <definedName name="Excel_BuiltIn_Print_Titles_5_8_5_3" localSheetId="16">'[2]9a.sz.mell.III.-IV.név(7.1)'!#REF!</definedName>
    <definedName name="Excel_BuiltIn_Print_Titles_5_8_5_3" localSheetId="53">'[2]9a.sz.mell.III.-IV.név(7.1)'!#REF!</definedName>
    <definedName name="Excel_BuiltIn_Print_Titles_5_8_5_3">'[2]9a.sz.mell.III.-IV.név(7.1)'!#REF!</definedName>
    <definedName name="Excel_BuiltIn_Print_Titles_5_8_5_9" localSheetId="93">'[1]9a.sz.mell.III.-IV.név(7.1)'!#REF!</definedName>
    <definedName name="Excel_BuiltIn_Print_Titles_5_8_5_9" localSheetId="94">'[1]9a.sz.mell.III.-IV.név(7.1)'!#REF!</definedName>
    <definedName name="Excel_BuiltIn_Print_Titles_5_8_5_9" localSheetId="95">'[1]9a.sz.mell.III.-IV.név(7.1)'!#REF!</definedName>
    <definedName name="Excel_BuiltIn_Print_Titles_5_8_5_9" localSheetId="96">'[1]9a.sz.mell.III.-IV.név(7.1)'!#REF!</definedName>
    <definedName name="Excel_BuiltIn_Print_Titles_5_8_5_9" localSheetId="16">'[2]9a.sz.mell.III.-IV.név(7.1)'!#REF!</definedName>
    <definedName name="Excel_BuiltIn_Print_Titles_5_8_5_9" localSheetId="53">'[2]9a.sz.mell.III.-IV.név(7.1)'!#REF!</definedName>
    <definedName name="Excel_BuiltIn_Print_Titles_5_8_5_9">'[2]9a.sz.mell.III.-IV.név(7.1)'!#REF!</definedName>
    <definedName name="Excel_BuiltIn_Print_Titles_5_8_5_9_1" localSheetId="93">'[1]9a.sz.mell.III.-IV.név(7.1)'!#REF!</definedName>
    <definedName name="Excel_BuiltIn_Print_Titles_5_8_5_9_1" localSheetId="94">'[1]9a.sz.mell.III.-IV.név(7.1)'!#REF!</definedName>
    <definedName name="Excel_BuiltIn_Print_Titles_5_8_5_9_1" localSheetId="95">'[1]9a.sz.mell.III.-IV.név(7.1)'!#REF!</definedName>
    <definedName name="Excel_BuiltIn_Print_Titles_5_8_5_9_1" localSheetId="96">'[1]9a.sz.mell.III.-IV.név(7.1)'!#REF!</definedName>
    <definedName name="Excel_BuiltIn_Print_Titles_5_8_5_9_1" localSheetId="16">'[2]9a.sz.mell.III.-IV.név(7.1)'!#REF!</definedName>
    <definedName name="Excel_BuiltIn_Print_Titles_5_8_5_9_1" localSheetId="53">'[2]9a.sz.mell.III.-IV.név(7.1)'!#REF!</definedName>
    <definedName name="Excel_BuiltIn_Print_Titles_5_8_5_9_1">'[2]9a.sz.mell.III.-IV.név(7.1)'!#REF!</definedName>
    <definedName name="Excel_BuiltIn_Print_Titles_5_8_5_9_2" localSheetId="93">'[1]9a.sz.mell.Egész év'!#REF!</definedName>
    <definedName name="Excel_BuiltIn_Print_Titles_5_8_5_9_2" localSheetId="94">'[1]9a.sz.mell.Egész év'!#REF!</definedName>
    <definedName name="Excel_BuiltIn_Print_Titles_5_8_5_9_2" localSheetId="95">'[1]9a.sz.mell.Egész év'!#REF!</definedName>
    <definedName name="Excel_BuiltIn_Print_Titles_5_8_5_9_2" localSheetId="96">'[1]9a.sz.mell.Egész év'!#REF!</definedName>
    <definedName name="Excel_BuiltIn_Print_Titles_5_8_5_9_2" localSheetId="16">'[2]9a.sz.mell.Egész év'!#REF!</definedName>
    <definedName name="Excel_BuiltIn_Print_Titles_5_8_5_9_2" localSheetId="53">'[2]9a.sz.mell.Egész év'!#REF!</definedName>
    <definedName name="Excel_BuiltIn_Print_Titles_5_8_5_9_2">'[2]9a.sz.mell.Egész év'!#REF!</definedName>
    <definedName name="Excel_BuiltIn_Print_Titles_5_8_5_9_3" localSheetId="93">'[1]9a.sz.mell.III.-IV.név(7.1)'!#REF!</definedName>
    <definedName name="Excel_BuiltIn_Print_Titles_5_8_5_9_3" localSheetId="94">'[1]9a.sz.mell.III.-IV.név(7.1)'!#REF!</definedName>
    <definedName name="Excel_BuiltIn_Print_Titles_5_8_5_9_3" localSheetId="95">'[1]9a.sz.mell.III.-IV.név(7.1)'!#REF!</definedName>
    <definedName name="Excel_BuiltIn_Print_Titles_5_8_5_9_3" localSheetId="96">'[1]9a.sz.mell.III.-IV.név(7.1)'!#REF!</definedName>
    <definedName name="Excel_BuiltIn_Print_Titles_5_8_5_9_3" localSheetId="16">'[2]9a.sz.mell.III.-IV.név(7.1)'!#REF!</definedName>
    <definedName name="Excel_BuiltIn_Print_Titles_5_8_5_9_3" localSheetId="53">'[2]9a.sz.mell.III.-IV.név(7.1)'!#REF!</definedName>
    <definedName name="Excel_BuiltIn_Print_Titles_5_8_5_9_3">'[2]9a.sz.mell.III.-IV.név(7.1)'!#REF!</definedName>
    <definedName name="Excel_BuiltIn_Print_Titles_5_8_6" localSheetId="93">'[1]9a.sz.mell.II.név(7.1)'!#REF!</definedName>
    <definedName name="Excel_BuiltIn_Print_Titles_5_8_6" localSheetId="94">'[1]9a.sz.mell.II.név(7.1)'!#REF!</definedName>
    <definedName name="Excel_BuiltIn_Print_Titles_5_8_6" localSheetId="95">'[1]9a.sz.mell.II.név(7.1)'!#REF!</definedName>
    <definedName name="Excel_BuiltIn_Print_Titles_5_8_6" localSheetId="96">'[1]9a.sz.mell.II.név(7.1)'!#REF!</definedName>
    <definedName name="Excel_BuiltIn_Print_Titles_5_8_6" localSheetId="16">'[2]9a.sz.mell.II.név(7.1)'!#REF!</definedName>
    <definedName name="Excel_BuiltIn_Print_Titles_5_8_6" localSheetId="53">'[2]9a.sz.mell.II.név(7.1)'!#REF!</definedName>
    <definedName name="Excel_BuiltIn_Print_Titles_5_8_6">'[2]9a.sz.mell.II.név(7.1)'!#REF!</definedName>
    <definedName name="Excel_BuiltIn_Print_Titles_5_8_6_1" localSheetId="93">'[1]9a.sz.mell.II.név(7.1)'!#REF!</definedName>
    <definedName name="Excel_BuiltIn_Print_Titles_5_8_6_1" localSheetId="94">'[1]9a.sz.mell.II.név(7.1)'!#REF!</definedName>
    <definedName name="Excel_BuiltIn_Print_Titles_5_8_6_1" localSheetId="95">'[1]9a.sz.mell.II.név(7.1)'!#REF!</definedName>
    <definedName name="Excel_BuiltIn_Print_Titles_5_8_6_1" localSheetId="96">'[1]9a.sz.mell.II.név(7.1)'!#REF!</definedName>
    <definedName name="Excel_BuiltIn_Print_Titles_5_8_6_1" localSheetId="16">'[2]9a.sz.mell.II.név(7.1)'!#REF!</definedName>
    <definedName name="Excel_BuiltIn_Print_Titles_5_8_6_1" localSheetId="53">'[2]9a.sz.mell.II.név(7.1)'!#REF!</definedName>
    <definedName name="Excel_BuiltIn_Print_Titles_5_8_6_1">'[2]9a.sz.mell.II.név(7.1)'!#REF!</definedName>
    <definedName name="Excel_BuiltIn_Print_Titles_5_8_6_10" localSheetId="93">'[1]9a.sz.mell.II.név(7.1)'!#REF!</definedName>
    <definedName name="Excel_BuiltIn_Print_Titles_5_8_6_10" localSheetId="94">'[1]9a.sz.mell.II.név(7.1)'!#REF!</definedName>
    <definedName name="Excel_BuiltIn_Print_Titles_5_8_6_10" localSheetId="95">'[1]9a.sz.mell.II.név(7.1)'!#REF!</definedName>
    <definedName name="Excel_BuiltIn_Print_Titles_5_8_6_10" localSheetId="96">'[1]9a.sz.mell.II.név(7.1)'!#REF!</definedName>
    <definedName name="Excel_BuiltIn_Print_Titles_5_8_6_10" localSheetId="16">'[2]9a.sz.mell.II.név(7.1)'!#REF!</definedName>
    <definedName name="Excel_BuiltIn_Print_Titles_5_8_6_10" localSheetId="53">'[2]9a.sz.mell.II.név(7.1)'!#REF!</definedName>
    <definedName name="Excel_BuiltIn_Print_Titles_5_8_6_10">'[2]9a.sz.mell.II.név(7.1)'!#REF!</definedName>
    <definedName name="Excel_BuiltIn_Print_Titles_5_8_6_10_1" localSheetId="93">'[1]9a.sz.mell.II.név(7.1)'!#REF!</definedName>
    <definedName name="Excel_BuiltIn_Print_Titles_5_8_6_10_1" localSheetId="94">'[1]9a.sz.mell.II.név(7.1)'!#REF!</definedName>
    <definedName name="Excel_BuiltIn_Print_Titles_5_8_6_10_1" localSheetId="95">'[1]9a.sz.mell.II.név(7.1)'!#REF!</definedName>
    <definedName name="Excel_BuiltIn_Print_Titles_5_8_6_10_1" localSheetId="96">'[1]9a.sz.mell.II.név(7.1)'!#REF!</definedName>
    <definedName name="Excel_BuiltIn_Print_Titles_5_8_6_10_1" localSheetId="16">'[2]9a.sz.mell.II.név(7.1)'!#REF!</definedName>
    <definedName name="Excel_BuiltIn_Print_Titles_5_8_6_10_1" localSheetId="53">'[2]9a.sz.mell.II.név(7.1)'!#REF!</definedName>
    <definedName name="Excel_BuiltIn_Print_Titles_5_8_6_10_1">'[2]9a.sz.mell.II.név(7.1)'!#REF!</definedName>
    <definedName name="Excel_BuiltIn_Print_Titles_5_8_6_10_2" localSheetId="93">'[1]9a.sz.mell.II.név(7.1)'!#REF!</definedName>
    <definedName name="Excel_BuiltIn_Print_Titles_5_8_6_10_2" localSheetId="94">'[1]9a.sz.mell.II.név(7.1)'!#REF!</definedName>
    <definedName name="Excel_BuiltIn_Print_Titles_5_8_6_10_2" localSheetId="95">'[1]9a.sz.mell.II.név(7.1)'!#REF!</definedName>
    <definedName name="Excel_BuiltIn_Print_Titles_5_8_6_10_2" localSheetId="96">'[1]9a.sz.mell.II.név(7.1)'!#REF!</definedName>
    <definedName name="Excel_BuiltIn_Print_Titles_5_8_6_10_2" localSheetId="16">'[2]9a.sz.mell.II.név(7.1)'!#REF!</definedName>
    <definedName name="Excel_BuiltIn_Print_Titles_5_8_6_10_2" localSheetId="53">'[2]9a.sz.mell.II.név(7.1)'!#REF!</definedName>
    <definedName name="Excel_BuiltIn_Print_Titles_5_8_6_10_2">'[2]9a.sz.mell.II.név(7.1)'!#REF!</definedName>
    <definedName name="Excel_BuiltIn_Print_Titles_5_8_6_10_3" localSheetId="93">'[1]9a.sz.mell.II.név(7.1)'!#REF!</definedName>
    <definedName name="Excel_BuiltIn_Print_Titles_5_8_6_10_3" localSheetId="94">'[1]9a.sz.mell.II.név(7.1)'!#REF!</definedName>
    <definedName name="Excel_BuiltIn_Print_Titles_5_8_6_10_3" localSheetId="95">'[1]9a.sz.mell.II.név(7.1)'!#REF!</definedName>
    <definedName name="Excel_BuiltIn_Print_Titles_5_8_6_10_3" localSheetId="96">'[1]9a.sz.mell.II.név(7.1)'!#REF!</definedName>
    <definedName name="Excel_BuiltIn_Print_Titles_5_8_6_10_3" localSheetId="16">'[2]9a.sz.mell.II.név(7.1)'!#REF!</definedName>
    <definedName name="Excel_BuiltIn_Print_Titles_5_8_6_10_3" localSheetId="53">'[2]9a.sz.mell.II.név(7.1)'!#REF!</definedName>
    <definedName name="Excel_BuiltIn_Print_Titles_5_8_6_10_3">'[2]9a.sz.mell.II.név(7.1)'!#REF!</definedName>
    <definedName name="Excel_BuiltIn_Print_Titles_5_8_6_2" localSheetId="93">'[1]9a.sz.mell.II.név(7.1)'!#REF!</definedName>
    <definedName name="Excel_BuiltIn_Print_Titles_5_8_6_2" localSheetId="94">'[1]9a.sz.mell.II.név(7.1)'!#REF!</definedName>
    <definedName name="Excel_BuiltIn_Print_Titles_5_8_6_2" localSheetId="95">'[1]9a.sz.mell.II.név(7.1)'!#REF!</definedName>
    <definedName name="Excel_BuiltIn_Print_Titles_5_8_6_2" localSheetId="96">'[1]9a.sz.mell.II.név(7.1)'!#REF!</definedName>
    <definedName name="Excel_BuiltIn_Print_Titles_5_8_6_2" localSheetId="16">'[2]9a.sz.mell.II.név(7.1)'!#REF!</definedName>
    <definedName name="Excel_BuiltIn_Print_Titles_5_8_6_2" localSheetId="53">'[2]9a.sz.mell.II.név(7.1)'!#REF!</definedName>
    <definedName name="Excel_BuiltIn_Print_Titles_5_8_6_2">'[2]9a.sz.mell.II.név(7.1)'!#REF!</definedName>
    <definedName name="Excel_BuiltIn_Print_Titles_5_8_6_3" localSheetId="93">'[1]9a.sz.mell.II.név(7.1)'!#REF!</definedName>
    <definedName name="Excel_BuiltIn_Print_Titles_5_8_6_3" localSheetId="94">'[1]9a.sz.mell.II.név(7.1)'!#REF!</definedName>
    <definedName name="Excel_BuiltIn_Print_Titles_5_8_6_3" localSheetId="95">'[1]9a.sz.mell.II.név(7.1)'!#REF!</definedName>
    <definedName name="Excel_BuiltIn_Print_Titles_5_8_6_3" localSheetId="96">'[1]9a.sz.mell.II.név(7.1)'!#REF!</definedName>
    <definedName name="Excel_BuiltIn_Print_Titles_5_8_6_3" localSheetId="16">'[2]9a.sz.mell.II.név(7.1)'!#REF!</definedName>
    <definedName name="Excel_BuiltIn_Print_Titles_5_8_6_3" localSheetId="53">'[2]9a.sz.mell.II.név(7.1)'!#REF!</definedName>
    <definedName name="Excel_BuiltIn_Print_Titles_5_8_6_3">'[2]9a.sz.mell.II.név(7.1)'!#REF!</definedName>
    <definedName name="Excel_BuiltIn_Print_Titles_5_8_6_9" localSheetId="93">'[1]9a.sz.mell.II.név(7.1)'!#REF!</definedName>
    <definedName name="Excel_BuiltIn_Print_Titles_5_8_6_9" localSheetId="94">'[1]9a.sz.mell.II.név(7.1)'!#REF!</definedName>
    <definedName name="Excel_BuiltIn_Print_Titles_5_8_6_9" localSheetId="95">'[1]9a.sz.mell.II.név(7.1)'!#REF!</definedName>
    <definedName name="Excel_BuiltIn_Print_Titles_5_8_6_9" localSheetId="96">'[1]9a.sz.mell.II.név(7.1)'!#REF!</definedName>
    <definedName name="Excel_BuiltIn_Print_Titles_5_8_6_9" localSheetId="16">'[2]9a.sz.mell.II.név(7.1)'!#REF!</definedName>
    <definedName name="Excel_BuiltIn_Print_Titles_5_8_6_9" localSheetId="53">'[2]9a.sz.mell.II.név(7.1)'!#REF!</definedName>
    <definedName name="Excel_BuiltIn_Print_Titles_5_8_6_9">'[2]9a.sz.mell.II.név(7.1)'!#REF!</definedName>
    <definedName name="Excel_BuiltIn_Print_Titles_5_8_6_9_1" localSheetId="93">'[1]9a.sz.mell.II.név(7.1)'!#REF!</definedName>
    <definedName name="Excel_BuiltIn_Print_Titles_5_8_6_9_1" localSheetId="94">'[1]9a.sz.mell.II.név(7.1)'!#REF!</definedName>
    <definedName name="Excel_BuiltIn_Print_Titles_5_8_6_9_1" localSheetId="95">'[1]9a.sz.mell.II.név(7.1)'!#REF!</definedName>
    <definedName name="Excel_BuiltIn_Print_Titles_5_8_6_9_1" localSheetId="96">'[1]9a.sz.mell.II.név(7.1)'!#REF!</definedName>
    <definedName name="Excel_BuiltIn_Print_Titles_5_8_6_9_1" localSheetId="16">'[2]9a.sz.mell.II.név(7.1)'!#REF!</definedName>
    <definedName name="Excel_BuiltIn_Print_Titles_5_8_6_9_1" localSheetId="53">'[2]9a.sz.mell.II.név(7.1)'!#REF!</definedName>
    <definedName name="Excel_BuiltIn_Print_Titles_5_8_6_9_1">'[2]9a.sz.mell.II.név(7.1)'!#REF!</definedName>
    <definedName name="Excel_BuiltIn_Print_Titles_5_8_6_9_2" localSheetId="93">'[1]9a.sz.mell.II.név(7.1)'!#REF!</definedName>
    <definedName name="Excel_BuiltIn_Print_Titles_5_8_6_9_2" localSheetId="94">'[1]9a.sz.mell.II.név(7.1)'!#REF!</definedName>
    <definedName name="Excel_BuiltIn_Print_Titles_5_8_6_9_2" localSheetId="95">'[1]9a.sz.mell.II.név(7.1)'!#REF!</definedName>
    <definedName name="Excel_BuiltIn_Print_Titles_5_8_6_9_2" localSheetId="96">'[1]9a.sz.mell.II.név(7.1)'!#REF!</definedName>
    <definedName name="Excel_BuiltIn_Print_Titles_5_8_6_9_2" localSheetId="16">'[2]9a.sz.mell.II.név(7.1)'!#REF!</definedName>
    <definedName name="Excel_BuiltIn_Print_Titles_5_8_6_9_2" localSheetId="53">'[2]9a.sz.mell.II.név(7.1)'!#REF!</definedName>
    <definedName name="Excel_BuiltIn_Print_Titles_5_8_6_9_2">'[2]9a.sz.mell.II.név(7.1)'!#REF!</definedName>
    <definedName name="Excel_BuiltIn_Print_Titles_5_8_6_9_3" localSheetId="93">'[1]9a.sz.mell.II.név(7.1)'!#REF!</definedName>
    <definedName name="Excel_BuiltIn_Print_Titles_5_8_6_9_3" localSheetId="94">'[1]9a.sz.mell.II.név(7.1)'!#REF!</definedName>
    <definedName name="Excel_BuiltIn_Print_Titles_5_8_6_9_3" localSheetId="95">'[1]9a.sz.mell.II.név(7.1)'!#REF!</definedName>
    <definedName name="Excel_BuiltIn_Print_Titles_5_8_6_9_3" localSheetId="96">'[1]9a.sz.mell.II.név(7.1)'!#REF!</definedName>
    <definedName name="Excel_BuiltIn_Print_Titles_5_8_6_9_3" localSheetId="16">'[2]9a.sz.mell.II.név(7.1)'!#REF!</definedName>
    <definedName name="Excel_BuiltIn_Print_Titles_5_8_6_9_3" localSheetId="53">'[2]9a.sz.mell.II.név(7.1)'!#REF!</definedName>
    <definedName name="Excel_BuiltIn_Print_Titles_5_8_6_9_3">'[2]9a.sz.mell.II.név(7.1)'!#REF!</definedName>
    <definedName name="Excel_BuiltIn_Print_Titles_5_8_8" localSheetId="93">'[1]9a.sz.mell.II.név végleges'!#REF!</definedName>
    <definedName name="Excel_BuiltIn_Print_Titles_5_8_8" localSheetId="94">'[1]9a.sz.mell.II.név végleges'!#REF!</definedName>
    <definedName name="Excel_BuiltIn_Print_Titles_5_8_8" localSheetId="95">'[1]9a.sz.mell.II.név végleges'!#REF!</definedName>
    <definedName name="Excel_BuiltIn_Print_Titles_5_8_8" localSheetId="96">'[1]9a.sz.mell.II.név végleges'!#REF!</definedName>
    <definedName name="Excel_BuiltIn_Print_Titles_5_8_8" localSheetId="16">'[2]9a.sz.mell.II.név végleges'!#REF!</definedName>
    <definedName name="Excel_BuiltIn_Print_Titles_5_8_8" localSheetId="53">'[2]9a.sz.mell.II.név végleges'!#REF!</definedName>
    <definedName name="Excel_BuiltIn_Print_Titles_5_8_8">'[2]9a.sz.mell.II.név végleges'!#REF!</definedName>
    <definedName name="Excel_BuiltIn_Print_Titles_5_8_8_1" localSheetId="93">'[1]9a.sz.mell.II.név végleges'!#REF!</definedName>
    <definedName name="Excel_BuiltIn_Print_Titles_5_8_8_1" localSheetId="94">'[1]9a.sz.mell.II.név végleges'!#REF!</definedName>
    <definedName name="Excel_BuiltIn_Print_Titles_5_8_8_1" localSheetId="95">'[1]9a.sz.mell.II.név végleges'!#REF!</definedName>
    <definedName name="Excel_BuiltIn_Print_Titles_5_8_8_1" localSheetId="96">'[1]9a.sz.mell.II.név végleges'!#REF!</definedName>
    <definedName name="Excel_BuiltIn_Print_Titles_5_8_8_1" localSheetId="16">'[2]9a.sz.mell.II.név végleges'!#REF!</definedName>
    <definedName name="Excel_BuiltIn_Print_Titles_5_8_8_1" localSheetId="53">'[2]9a.sz.mell.II.név végleges'!#REF!</definedName>
    <definedName name="Excel_BuiltIn_Print_Titles_5_8_8_1">'[2]9a.sz.mell.II.név végleges'!#REF!</definedName>
    <definedName name="Excel_BuiltIn_Print_Titles_5_8_8_10" localSheetId="93">'[1]9a.sz.mell.II.név végleges'!#REF!</definedName>
    <definedName name="Excel_BuiltIn_Print_Titles_5_8_8_10" localSheetId="94">'[1]9a.sz.mell.II.név végleges'!#REF!</definedName>
    <definedName name="Excel_BuiltIn_Print_Titles_5_8_8_10" localSheetId="95">'[1]9a.sz.mell.II.név végleges'!#REF!</definedName>
    <definedName name="Excel_BuiltIn_Print_Titles_5_8_8_10" localSheetId="96">'[1]9a.sz.mell.II.név végleges'!#REF!</definedName>
    <definedName name="Excel_BuiltIn_Print_Titles_5_8_8_10" localSheetId="16">'[2]9a.sz.mell.II.név végleges'!#REF!</definedName>
    <definedName name="Excel_BuiltIn_Print_Titles_5_8_8_10" localSheetId="53">'[2]9a.sz.mell.II.név végleges'!#REF!</definedName>
    <definedName name="Excel_BuiltIn_Print_Titles_5_8_8_10">'[2]9a.sz.mell.II.név végleges'!#REF!</definedName>
    <definedName name="Excel_BuiltIn_Print_Titles_5_8_8_10_1" localSheetId="93">'[1]9a.sz.mell.II.név végleges'!#REF!</definedName>
    <definedName name="Excel_BuiltIn_Print_Titles_5_8_8_10_1" localSheetId="94">'[1]9a.sz.mell.II.név végleges'!#REF!</definedName>
    <definedName name="Excel_BuiltIn_Print_Titles_5_8_8_10_1" localSheetId="95">'[1]9a.sz.mell.II.név végleges'!#REF!</definedName>
    <definedName name="Excel_BuiltIn_Print_Titles_5_8_8_10_1" localSheetId="96">'[1]9a.sz.mell.II.név végleges'!#REF!</definedName>
    <definedName name="Excel_BuiltIn_Print_Titles_5_8_8_10_1" localSheetId="16">'[2]9a.sz.mell.II.név végleges'!#REF!</definedName>
    <definedName name="Excel_BuiltIn_Print_Titles_5_8_8_10_1" localSheetId="53">'[2]9a.sz.mell.II.név végleges'!#REF!</definedName>
    <definedName name="Excel_BuiltIn_Print_Titles_5_8_8_10_1">'[2]9a.sz.mell.II.név végleges'!#REF!</definedName>
    <definedName name="Excel_BuiltIn_Print_Titles_5_8_8_10_2" localSheetId="93">'[1]9a.sz.mell.II.név végleges'!#REF!</definedName>
    <definedName name="Excel_BuiltIn_Print_Titles_5_8_8_10_2" localSheetId="94">'[1]9a.sz.mell.II.név végleges'!#REF!</definedName>
    <definedName name="Excel_BuiltIn_Print_Titles_5_8_8_10_2" localSheetId="95">'[1]9a.sz.mell.II.név végleges'!#REF!</definedName>
    <definedName name="Excel_BuiltIn_Print_Titles_5_8_8_10_2" localSheetId="96">'[1]9a.sz.mell.II.név végleges'!#REF!</definedName>
    <definedName name="Excel_BuiltIn_Print_Titles_5_8_8_10_2" localSheetId="16">'[2]9a.sz.mell.II.név végleges'!#REF!</definedName>
    <definedName name="Excel_BuiltIn_Print_Titles_5_8_8_10_2" localSheetId="53">'[2]9a.sz.mell.II.név végleges'!#REF!</definedName>
    <definedName name="Excel_BuiltIn_Print_Titles_5_8_8_10_2">'[2]9a.sz.mell.II.név végleges'!#REF!</definedName>
    <definedName name="Excel_BuiltIn_Print_Titles_5_8_8_10_3" localSheetId="93">'[1]9a.sz.mell.II.név végleges'!#REF!</definedName>
    <definedName name="Excel_BuiltIn_Print_Titles_5_8_8_10_3" localSheetId="94">'[1]9a.sz.mell.II.név végleges'!#REF!</definedName>
    <definedName name="Excel_BuiltIn_Print_Titles_5_8_8_10_3" localSheetId="95">'[1]9a.sz.mell.II.név végleges'!#REF!</definedName>
    <definedName name="Excel_BuiltIn_Print_Titles_5_8_8_10_3" localSheetId="96">'[1]9a.sz.mell.II.név végleges'!#REF!</definedName>
    <definedName name="Excel_BuiltIn_Print_Titles_5_8_8_10_3" localSheetId="16">'[2]9a.sz.mell.II.név végleges'!#REF!</definedName>
    <definedName name="Excel_BuiltIn_Print_Titles_5_8_8_10_3" localSheetId="53">'[2]9a.sz.mell.II.név végleges'!#REF!</definedName>
    <definedName name="Excel_BuiltIn_Print_Titles_5_8_8_10_3">'[2]9a.sz.mell.II.név végleges'!#REF!</definedName>
    <definedName name="Excel_BuiltIn_Print_Titles_5_8_8_2" localSheetId="93">'[1]9a.sz.mell.II.név végleges'!#REF!</definedName>
    <definedName name="Excel_BuiltIn_Print_Titles_5_8_8_2" localSheetId="94">'[1]9a.sz.mell.II.név végleges'!#REF!</definedName>
    <definedName name="Excel_BuiltIn_Print_Titles_5_8_8_2" localSheetId="95">'[1]9a.sz.mell.II.név végleges'!#REF!</definedName>
    <definedName name="Excel_BuiltIn_Print_Titles_5_8_8_2" localSheetId="96">'[1]9a.sz.mell.II.név végleges'!#REF!</definedName>
    <definedName name="Excel_BuiltIn_Print_Titles_5_8_8_2" localSheetId="16">'[2]9a.sz.mell.II.név végleges'!#REF!</definedName>
    <definedName name="Excel_BuiltIn_Print_Titles_5_8_8_2" localSheetId="53">'[2]9a.sz.mell.II.név végleges'!#REF!</definedName>
    <definedName name="Excel_BuiltIn_Print_Titles_5_8_8_2">'[2]9a.sz.mell.II.név végleges'!#REF!</definedName>
    <definedName name="Excel_BuiltIn_Print_Titles_5_8_8_3" localSheetId="93">'[1]9a.sz.mell.II.név végleges'!#REF!</definedName>
    <definedName name="Excel_BuiltIn_Print_Titles_5_8_8_3" localSheetId="94">'[1]9a.sz.mell.II.név végleges'!#REF!</definedName>
    <definedName name="Excel_BuiltIn_Print_Titles_5_8_8_3" localSheetId="95">'[1]9a.sz.mell.II.név végleges'!#REF!</definedName>
    <definedName name="Excel_BuiltIn_Print_Titles_5_8_8_3" localSheetId="96">'[1]9a.sz.mell.II.név végleges'!#REF!</definedName>
    <definedName name="Excel_BuiltIn_Print_Titles_5_8_8_3" localSheetId="16">'[2]9a.sz.mell.II.név végleges'!#REF!</definedName>
    <definedName name="Excel_BuiltIn_Print_Titles_5_8_8_3" localSheetId="53">'[2]9a.sz.mell.II.név végleges'!#REF!</definedName>
    <definedName name="Excel_BuiltIn_Print_Titles_5_8_8_3">'[2]9a.sz.mell.II.név végleges'!#REF!</definedName>
    <definedName name="Excel_BuiltIn_Print_Titles_5_8_8_9" localSheetId="93">'[1]9a.sz.mell.II.név végleges'!#REF!</definedName>
    <definedName name="Excel_BuiltIn_Print_Titles_5_8_8_9" localSheetId="94">'[1]9a.sz.mell.II.név végleges'!#REF!</definedName>
    <definedName name="Excel_BuiltIn_Print_Titles_5_8_8_9" localSheetId="95">'[1]9a.sz.mell.II.név végleges'!#REF!</definedName>
    <definedName name="Excel_BuiltIn_Print_Titles_5_8_8_9" localSheetId="96">'[1]9a.sz.mell.II.név végleges'!#REF!</definedName>
    <definedName name="Excel_BuiltIn_Print_Titles_5_8_8_9" localSheetId="16">'[2]9a.sz.mell.II.név végleges'!#REF!</definedName>
    <definedName name="Excel_BuiltIn_Print_Titles_5_8_8_9" localSheetId="53">'[2]9a.sz.mell.II.név végleges'!#REF!</definedName>
    <definedName name="Excel_BuiltIn_Print_Titles_5_8_8_9">'[2]9a.sz.mell.II.név végleges'!#REF!</definedName>
    <definedName name="Excel_BuiltIn_Print_Titles_5_8_8_9_1" localSheetId="93">'[1]9a.sz.mell.II.név végleges'!#REF!</definedName>
    <definedName name="Excel_BuiltIn_Print_Titles_5_8_8_9_1" localSheetId="94">'[1]9a.sz.mell.II.név végleges'!#REF!</definedName>
    <definedName name="Excel_BuiltIn_Print_Titles_5_8_8_9_1" localSheetId="95">'[1]9a.sz.mell.II.név végleges'!#REF!</definedName>
    <definedName name="Excel_BuiltIn_Print_Titles_5_8_8_9_1" localSheetId="96">'[1]9a.sz.mell.II.név végleges'!#REF!</definedName>
    <definedName name="Excel_BuiltIn_Print_Titles_5_8_8_9_1" localSheetId="16">'[2]9a.sz.mell.II.név végleges'!#REF!</definedName>
    <definedName name="Excel_BuiltIn_Print_Titles_5_8_8_9_1" localSheetId="53">'[2]9a.sz.mell.II.név végleges'!#REF!</definedName>
    <definedName name="Excel_BuiltIn_Print_Titles_5_8_8_9_1">'[2]9a.sz.mell.II.név végleges'!#REF!</definedName>
    <definedName name="Excel_BuiltIn_Print_Titles_5_8_8_9_2" localSheetId="93">'[1]9a.sz.mell.II.név végleges'!#REF!</definedName>
    <definedName name="Excel_BuiltIn_Print_Titles_5_8_8_9_2" localSheetId="94">'[1]9a.sz.mell.II.név végleges'!#REF!</definedName>
    <definedName name="Excel_BuiltIn_Print_Titles_5_8_8_9_2" localSheetId="95">'[1]9a.sz.mell.II.név végleges'!#REF!</definedName>
    <definedName name="Excel_BuiltIn_Print_Titles_5_8_8_9_2" localSheetId="96">'[1]9a.sz.mell.II.név végleges'!#REF!</definedName>
    <definedName name="Excel_BuiltIn_Print_Titles_5_8_8_9_2" localSheetId="16">'[2]9a.sz.mell.II.név végleges'!#REF!</definedName>
    <definedName name="Excel_BuiltIn_Print_Titles_5_8_8_9_2" localSheetId="53">'[2]9a.sz.mell.II.név végleges'!#REF!</definedName>
    <definedName name="Excel_BuiltIn_Print_Titles_5_8_8_9_2">'[2]9a.sz.mell.II.név végleges'!#REF!</definedName>
    <definedName name="Excel_BuiltIn_Print_Titles_5_8_8_9_3" localSheetId="93">'[1]9a.sz.mell.II.név végleges'!#REF!</definedName>
    <definedName name="Excel_BuiltIn_Print_Titles_5_8_8_9_3" localSheetId="94">'[1]9a.sz.mell.II.név végleges'!#REF!</definedName>
    <definedName name="Excel_BuiltIn_Print_Titles_5_8_8_9_3" localSheetId="95">'[1]9a.sz.mell.II.név végleges'!#REF!</definedName>
    <definedName name="Excel_BuiltIn_Print_Titles_5_8_8_9_3" localSheetId="96">'[1]9a.sz.mell.II.név végleges'!#REF!</definedName>
    <definedName name="Excel_BuiltIn_Print_Titles_5_8_8_9_3" localSheetId="16">'[2]9a.sz.mell.II.név végleges'!#REF!</definedName>
    <definedName name="Excel_BuiltIn_Print_Titles_5_8_8_9_3" localSheetId="53">'[2]9a.sz.mell.II.név végleges'!#REF!</definedName>
    <definedName name="Excel_BuiltIn_Print_Titles_5_8_8_9_3">'[2]9a.sz.mell.II.név végleges'!#REF!</definedName>
    <definedName name="Excel_BuiltIn_Print_Titles_5_8_9" localSheetId="93">#REF!</definedName>
    <definedName name="Excel_BuiltIn_Print_Titles_5_8_9" localSheetId="94">#REF!</definedName>
    <definedName name="Excel_BuiltIn_Print_Titles_5_8_9" localSheetId="95">#REF!</definedName>
    <definedName name="Excel_BuiltIn_Print_Titles_5_8_9" localSheetId="96">#REF!</definedName>
    <definedName name="Excel_BuiltIn_Print_Titles_5_8_9" localSheetId="16">#REF!</definedName>
    <definedName name="Excel_BuiltIn_Print_Titles_5_8_9" localSheetId="53">#REF!</definedName>
    <definedName name="Excel_BuiltIn_Print_Titles_5_8_9">#REF!</definedName>
    <definedName name="Excel_BuiltIn_Print_Titles_5_8_9_1" localSheetId="93">#REF!</definedName>
    <definedName name="Excel_BuiltIn_Print_Titles_5_8_9_1" localSheetId="94">#REF!</definedName>
    <definedName name="Excel_BuiltIn_Print_Titles_5_8_9_1" localSheetId="95">#REF!</definedName>
    <definedName name="Excel_BuiltIn_Print_Titles_5_8_9_1" localSheetId="96">#REF!</definedName>
    <definedName name="Excel_BuiltIn_Print_Titles_5_8_9_1" localSheetId="16">#REF!</definedName>
    <definedName name="Excel_BuiltIn_Print_Titles_5_8_9_1" localSheetId="53">#REF!</definedName>
    <definedName name="Excel_BuiltIn_Print_Titles_5_8_9_1">#REF!</definedName>
    <definedName name="Excel_BuiltIn_Print_Titles_5_8_9_2" localSheetId="93">#REF!</definedName>
    <definedName name="Excel_BuiltIn_Print_Titles_5_8_9_2" localSheetId="94">#REF!</definedName>
    <definedName name="Excel_BuiltIn_Print_Titles_5_8_9_2" localSheetId="95">#REF!</definedName>
    <definedName name="Excel_BuiltIn_Print_Titles_5_8_9_2" localSheetId="96">#REF!</definedName>
    <definedName name="Excel_BuiltIn_Print_Titles_5_8_9_2" localSheetId="16">#REF!</definedName>
    <definedName name="Excel_BuiltIn_Print_Titles_5_8_9_2" localSheetId="53">#REF!</definedName>
    <definedName name="Excel_BuiltIn_Print_Titles_5_8_9_2">#REF!</definedName>
    <definedName name="Excel_BuiltIn_Print_Titles_5_8_9_3" localSheetId="16">#REF!</definedName>
    <definedName name="Excel_BuiltIn_Print_Titles_5_8_9_3" localSheetId="53">#REF!</definedName>
    <definedName name="Excel_BuiltIn_Print_Titles_5_8_9_3">#REF!</definedName>
    <definedName name="Excel_BuiltIn_Print_Titles_5_9" localSheetId="16">#REF!</definedName>
    <definedName name="Excel_BuiltIn_Print_Titles_5_9" localSheetId="53">#REF!</definedName>
    <definedName name="Excel_BuiltIn_Print_Titles_5_9">#REF!</definedName>
    <definedName name="Excel_BuiltIn_Print_Titles_5_9_1" localSheetId="16">#REF!</definedName>
    <definedName name="Excel_BuiltIn_Print_Titles_5_9_1" localSheetId="53">#REF!</definedName>
    <definedName name="Excel_BuiltIn_Print_Titles_5_9_1">#REF!</definedName>
    <definedName name="Excel_BuiltIn_Print_Titles_5_9_1_1" localSheetId="16">#REF!</definedName>
    <definedName name="Excel_BuiltIn_Print_Titles_5_9_1_1" localSheetId="53">#REF!</definedName>
    <definedName name="Excel_BuiltIn_Print_Titles_5_9_1_1">#REF!</definedName>
    <definedName name="Excel_BuiltIn_Print_Titles_5_9_1_1_1">#REF!</definedName>
    <definedName name="Excel_BuiltIn_Print_Titles_5_9_1_2" localSheetId="16">#REF!</definedName>
    <definedName name="Excel_BuiltIn_Print_Titles_5_9_1_2" localSheetId="53">#REF!</definedName>
    <definedName name="Excel_BuiltIn_Print_Titles_5_9_1_2">#REF!</definedName>
    <definedName name="Excel_BuiltIn_Print_Titles_5_9_1_3" localSheetId="16">#REF!</definedName>
    <definedName name="Excel_BuiltIn_Print_Titles_5_9_1_3" localSheetId="53">#REF!</definedName>
    <definedName name="Excel_BuiltIn_Print_Titles_5_9_1_3">#REF!</definedName>
    <definedName name="Excel_BuiltIn_Print_Titles_5_9_10" localSheetId="16">#REF!</definedName>
    <definedName name="Excel_BuiltIn_Print_Titles_5_9_10" localSheetId="53">#REF!</definedName>
    <definedName name="Excel_BuiltIn_Print_Titles_5_9_10">#REF!</definedName>
    <definedName name="Excel_BuiltIn_Print_Titles_5_9_10_1" localSheetId="16">#REF!</definedName>
    <definedName name="Excel_BuiltIn_Print_Titles_5_9_10_1" localSheetId="53">#REF!</definedName>
    <definedName name="Excel_BuiltIn_Print_Titles_5_9_10_1">#REF!</definedName>
    <definedName name="Excel_BuiltIn_Print_Titles_5_9_10_2" localSheetId="16">#REF!</definedName>
    <definedName name="Excel_BuiltIn_Print_Titles_5_9_10_2" localSheetId="53">#REF!</definedName>
    <definedName name="Excel_BuiltIn_Print_Titles_5_9_10_2">#REF!</definedName>
    <definedName name="Excel_BuiltIn_Print_Titles_5_9_10_3" localSheetId="16">#REF!</definedName>
    <definedName name="Excel_BuiltIn_Print_Titles_5_9_10_3" localSheetId="53">#REF!</definedName>
    <definedName name="Excel_BuiltIn_Print_Titles_5_9_10_3">#REF!</definedName>
    <definedName name="Excel_BuiltIn_Print_Titles_5_9_2" localSheetId="16">#REF!</definedName>
    <definedName name="Excel_BuiltIn_Print_Titles_5_9_2" localSheetId="53">#REF!</definedName>
    <definedName name="Excel_BuiltIn_Print_Titles_5_9_2">#REF!</definedName>
    <definedName name="Excel_BuiltIn_Print_Titles_5_9_3" localSheetId="16">#REF!</definedName>
    <definedName name="Excel_BuiltIn_Print_Titles_5_9_3" localSheetId="53">#REF!</definedName>
    <definedName name="Excel_BuiltIn_Print_Titles_5_9_3">#REF!</definedName>
    <definedName name="Excel_BuiltIn_Print_Titles_5_9_4" localSheetId="16">#REF!</definedName>
    <definedName name="Excel_BuiltIn_Print_Titles_5_9_4" localSheetId="53">#REF!</definedName>
    <definedName name="Excel_BuiltIn_Print_Titles_5_9_4">#REF!</definedName>
    <definedName name="Excel_BuiltIn_Print_Titles_5_9_4_1" localSheetId="16">#REF!</definedName>
    <definedName name="Excel_BuiltIn_Print_Titles_5_9_4_1" localSheetId="53">#REF!</definedName>
    <definedName name="Excel_BuiltIn_Print_Titles_5_9_4_1">#REF!</definedName>
    <definedName name="Excel_BuiltIn_Print_Titles_5_9_4_1_1" localSheetId="16">#REF!</definedName>
    <definedName name="Excel_BuiltIn_Print_Titles_5_9_4_1_1" localSheetId="53">#REF!</definedName>
    <definedName name="Excel_BuiltIn_Print_Titles_5_9_4_1_1">#REF!</definedName>
    <definedName name="Excel_BuiltIn_Print_Titles_5_9_4_1_1_1">#REF!</definedName>
    <definedName name="Excel_BuiltIn_Print_Titles_5_9_4_1_10" localSheetId="16">#REF!</definedName>
    <definedName name="Excel_BuiltIn_Print_Titles_5_9_4_1_10" localSheetId="53">#REF!</definedName>
    <definedName name="Excel_BuiltIn_Print_Titles_5_9_4_1_10">#REF!</definedName>
    <definedName name="Excel_BuiltIn_Print_Titles_5_9_4_1_10_1" localSheetId="16">#REF!</definedName>
    <definedName name="Excel_BuiltIn_Print_Titles_5_9_4_1_10_1" localSheetId="53">#REF!</definedName>
    <definedName name="Excel_BuiltIn_Print_Titles_5_9_4_1_10_1">#REF!</definedName>
    <definedName name="Excel_BuiltIn_Print_Titles_5_9_4_1_10_2" localSheetId="16">#REF!</definedName>
    <definedName name="Excel_BuiltIn_Print_Titles_5_9_4_1_10_2" localSheetId="53">#REF!</definedName>
    <definedName name="Excel_BuiltIn_Print_Titles_5_9_4_1_10_2">#REF!</definedName>
    <definedName name="Excel_BuiltIn_Print_Titles_5_9_4_1_10_3" localSheetId="16">#REF!</definedName>
    <definedName name="Excel_BuiltIn_Print_Titles_5_9_4_1_10_3" localSheetId="53">#REF!</definedName>
    <definedName name="Excel_BuiltIn_Print_Titles_5_9_4_1_10_3">#REF!</definedName>
    <definedName name="Excel_BuiltIn_Print_Titles_5_9_4_1_2" localSheetId="16">#REF!</definedName>
    <definedName name="Excel_BuiltIn_Print_Titles_5_9_4_1_2" localSheetId="53">#REF!</definedName>
    <definedName name="Excel_BuiltIn_Print_Titles_5_9_4_1_2">#REF!</definedName>
    <definedName name="Excel_BuiltIn_Print_Titles_5_9_4_1_3" localSheetId="16">#REF!</definedName>
    <definedName name="Excel_BuiltIn_Print_Titles_5_9_4_1_3" localSheetId="53">#REF!</definedName>
    <definedName name="Excel_BuiltIn_Print_Titles_5_9_4_1_3">#REF!</definedName>
    <definedName name="Excel_BuiltIn_Print_Titles_5_9_4_1_9" localSheetId="16">#REF!</definedName>
    <definedName name="Excel_BuiltIn_Print_Titles_5_9_4_1_9" localSheetId="53">#REF!</definedName>
    <definedName name="Excel_BuiltIn_Print_Titles_5_9_4_1_9">#REF!</definedName>
    <definedName name="Excel_BuiltIn_Print_Titles_5_9_4_1_9_1" localSheetId="16">#REF!</definedName>
    <definedName name="Excel_BuiltIn_Print_Titles_5_9_4_1_9_1" localSheetId="53">#REF!</definedName>
    <definedName name="Excel_BuiltIn_Print_Titles_5_9_4_1_9_1">#REF!</definedName>
    <definedName name="Excel_BuiltIn_Print_Titles_5_9_4_1_9_2" localSheetId="16">#REF!</definedName>
    <definedName name="Excel_BuiltIn_Print_Titles_5_9_4_1_9_2" localSheetId="53">#REF!</definedName>
    <definedName name="Excel_BuiltIn_Print_Titles_5_9_4_1_9_2">#REF!</definedName>
    <definedName name="Excel_BuiltIn_Print_Titles_5_9_4_1_9_3" localSheetId="16">#REF!</definedName>
    <definedName name="Excel_BuiltIn_Print_Titles_5_9_4_1_9_3" localSheetId="53">#REF!</definedName>
    <definedName name="Excel_BuiltIn_Print_Titles_5_9_4_1_9_3">#REF!</definedName>
    <definedName name="Excel_BuiltIn_Print_Titles_5_9_4_10" localSheetId="16">#REF!</definedName>
    <definedName name="Excel_BuiltIn_Print_Titles_5_9_4_10" localSheetId="53">#REF!</definedName>
    <definedName name="Excel_BuiltIn_Print_Titles_5_9_4_10">#REF!</definedName>
    <definedName name="Excel_BuiltIn_Print_Titles_5_9_4_10_1" localSheetId="16">#REF!</definedName>
    <definedName name="Excel_BuiltIn_Print_Titles_5_9_4_10_1" localSheetId="53">#REF!</definedName>
    <definedName name="Excel_BuiltIn_Print_Titles_5_9_4_10_1">#REF!</definedName>
    <definedName name="Excel_BuiltIn_Print_Titles_5_9_4_10_2" localSheetId="16">#REF!</definedName>
    <definedName name="Excel_BuiltIn_Print_Titles_5_9_4_10_2" localSheetId="53">#REF!</definedName>
    <definedName name="Excel_BuiltIn_Print_Titles_5_9_4_10_2">#REF!</definedName>
    <definedName name="Excel_BuiltIn_Print_Titles_5_9_4_10_3" localSheetId="16">#REF!</definedName>
    <definedName name="Excel_BuiltIn_Print_Titles_5_9_4_10_3" localSheetId="53">#REF!</definedName>
    <definedName name="Excel_BuiltIn_Print_Titles_5_9_4_10_3">#REF!</definedName>
    <definedName name="Excel_BuiltIn_Print_Titles_5_9_4_2" localSheetId="16">#REF!</definedName>
    <definedName name="Excel_BuiltIn_Print_Titles_5_9_4_2" localSheetId="53">#REF!</definedName>
    <definedName name="Excel_BuiltIn_Print_Titles_5_9_4_2">#REF!</definedName>
    <definedName name="Excel_BuiltIn_Print_Titles_5_9_4_3" localSheetId="16">#REF!</definedName>
    <definedName name="Excel_BuiltIn_Print_Titles_5_9_4_3" localSheetId="53">#REF!</definedName>
    <definedName name="Excel_BuiltIn_Print_Titles_5_9_4_3">#REF!</definedName>
    <definedName name="Excel_BuiltIn_Print_Titles_5_9_4_4" localSheetId="16">#REF!</definedName>
    <definedName name="Excel_BuiltIn_Print_Titles_5_9_4_4" localSheetId="53">#REF!</definedName>
    <definedName name="Excel_BuiltIn_Print_Titles_5_9_4_4">#REF!</definedName>
    <definedName name="Excel_BuiltIn_Print_Titles_5_9_4_4_1" localSheetId="16">#REF!</definedName>
    <definedName name="Excel_BuiltIn_Print_Titles_5_9_4_4_1" localSheetId="53">#REF!</definedName>
    <definedName name="Excel_BuiltIn_Print_Titles_5_9_4_4_1">#REF!</definedName>
    <definedName name="Excel_BuiltIn_Print_Titles_5_9_4_4_10" localSheetId="16">#REF!</definedName>
    <definedName name="Excel_BuiltIn_Print_Titles_5_9_4_4_10" localSheetId="53">#REF!</definedName>
    <definedName name="Excel_BuiltIn_Print_Titles_5_9_4_4_10">#REF!</definedName>
    <definedName name="Excel_BuiltIn_Print_Titles_5_9_4_4_10_1" localSheetId="16">#REF!</definedName>
    <definedName name="Excel_BuiltIn_Print_Titles_5_9_4_4_10_1" localSheetId="53">#REF!</definedName>
    <definedName name="Excel_BuiltIn_Print_Titles_5_9_4_4_10_1">#REF!</definedName>
    <definedName name="Excel_BuiltIn_Print_Titles_5_9_4_4_10_2" localSheetId="16">#REF!</definedName>
    <definedName name="Excel_BuiltIn_Print_Titles_5_9_4_4_10_2" localSheetId="53">#REF!</definedName>
    <definedName name="Excel_BuiltIn_Print_Titles_5_9_4_4_10_2">#REF!</definedName>
    <definedName name="Excel_BuiltIn_Print_Titles_5_9_4_4_10_3" localSheetId="16">#REF!</definedName>
    <definedName name="Excel_BuiltIn_Print_Titles_5_9_4_4_10_3" localSheetId="53">#REF!</definedName>
    <definedName name="Excel_BuiltIn_Print_Titles_5_9_4_4_10_3">#REF!</definedName>
    <definedName name="Excel_BuiltIn_Print_Titles_5_9_4_4_2" localSheetId="16">#REF!</definedName>
    <definedName name="Excel_BuiltIn_Print_Titles_5_9_4_4_2" localSheetId="53">#REF!</definedName>
    <definedName name="Excel_BuiltIn_Print_Titles_5_9_4_4_2">#REF!</definedName>
    <definedName name="Excel_BuiltIn_Print_Titles_5_9_4_4_3" localSheetId="16">#REF!</definedName>
    <definedName name="Excel_BuiltIn_Print_Titles_5_9_4_4_3" localSheetId="53">#REF!</definedName>
    <definedName name="Excel_BuiltIn_Print_Titles_5_9_4_4_3">#REF!</definedName>
    <definedName name="Excel_BuiltIn_Print_Titles_5_9_4_4_9" localSheetId="16">#REF!</definedName>
    <definedName name="Excel_BuiltIn_Print_Titles_5_9_4_4_9" localSheetId="53">#REF!</definedName>
    <definedName name="Excel_BuiltIn_Print_Titles_5_9_4_4_9">#REF!</definedName>
    <definedName name="Excel_BuiltIn_Print_Titles_5_9_4_4_9_1" localSheetId="16">#REF!</definedName>
    <definedName name="Excel_BuiltIn_Print_Titles_5_9_4_4_9_1" localSheetId="53">#REF!</definedName>
    <definedName name="Excel_BuiltIn_Print_Titles_5_9_4_4_9_1">#REF!</definedName>
    <definedName name="Excel_BuiltIn_Print_Titles_5_9_4_4_9_2" localSheetId="16">#REF!</definedName>
    <definedName name="Excel_BuiltIn_Print_Titles_5_9_4_4_9_2" localSheetId="53">#REF!</definedName>
    <definedName name="Excel_BuiltIn_Print_Titles_5_9_4_4_9_2">#REF!</definedName>
    <definedName name="Excel_BuiltIn_Print_Titles_5_9_4_4_9_3" localSheetId="16">#REF!</definedName>
    <definedName name="Excel_BuiltIn_Print_Titles_5_9_4_4_9_3" localSheetId="53">#REF!</definedName>
    <definedName name="Excel_BuiltIn_Print_Titles_5_9_4_4_9_3">#REF!</definedName>
    <definedName name="Excel_BuiltIn_Print_Titles_5_9_4_5" localSheetId="16">#REF!</definedName>
    <definedName name="Excel_BuiltIn_Print_Titles_5_9_4_5" localSheetId="53">#REF!</definedName>
    <definedName name="Excel_BuiltIn_Print_Titles_5_9_4_5">#REF!</definedName>
    <definedName name="Excel_BuiltIn_Print_Titles_5_9_4_5_1" localSheetId="16">#REF!</definedName>
    <definedName name="Excel_BuiltIn_Print_Titles_5_9_4_5_1" localSheetId="53">#REF!</definedName>
    <definedName name="Excel_BuiltIn_Print_Titles_5_9_4_5_1">#REF!</definedName>
    <definedName name="Excel_BuiltIn_Print_Titles_5_9_4_5_10" localSheetId="16">#REF!</definedName>
    <definedName name="Excel_BuiltIn_Print_Titles_5_9_4_5_10" localSheetId="53">#REF!</definedName>
    <definedName name="Excel_BuiltIn_Print_Titles_5_9_4_5_10">#REF!</definedName>
    <definedName name="Excel_BuiltIn_Print_Titles_5_9_4_5_10_1" localSheetId="16">#REF!</definedName>
    <definedName name="Excel_BuiltIn_Print_Titles_5_9_4_5_10_1" localSheetId="53">#REF!</definedName>
    <definedName name="Excel_BuiltIn_Print_Titles_5_9_4_5_10_1">#REF!</definedName>
    <definedName name="Excel_BuiltIn_Print_Titles_5_9_4_5_10_2" localSheetId="16">#REF!</definedName>
    <definedName name="Excel_BuiltIn_Print_Titles_5_9_4_5_10_2" localSheetId="53">#REF!</definedName>
    <definedName name="Excel_BuiltIn_Print_Titles_5_9_4_5_10_2">#REF!</definedName>
    <definedName name="Excel_BuiltIn_Print_Titles_5_9_4_5_10_3" localSheetId="16">#REF!</definedName>
    <definedName name="Excel_BuiltIn_Print_Titles_5_9_4_5_10_3" localSheetId="53">#REF!</definedName>
    <definedName name="Excel_BuiltIn_Print_Titles_5_9_4_5_10_3">#REF!</definedName>
    <definedName name="Excel_BuiltIn_Print_Titles_5_9_4_5_2" localSheetId="16">#REF!</definedName>
    <definedName name="Excel_BuiltIn_Print_Titles_5_9_4_5_2" localSheetId="53">#REF!</definedName>
    <definedName name="Excel_BuiltIn_Print_Titles_5_9_4_5_2">#REF!</definedName>
    <definedName name="Excel_BuiltIn_Print_Titles_5_9_4_5_3" localSheetId="16">#REF!</definedName>
    <definedName name="Excel_BuiltIn_Print_Titles_5_9_4_5_3" localSheetId="53">#REF!</definedName>
    <definedName name="Excel_BuiltIn_Print_Titles_5_9_4_5_3">#REF!</definedName>
    <definedName name="Excel_BuiltIn_Print_Titles_5_9_4_5_9" localSheetId="16">#REF!</definedName>
    <definedName name="Excel_BuiltIn_Print_Titles_5_9_4_5_9" localSheetId="53">#REF!</definedName>
    <definedName name="Excel_BuiltIn_Print_Titles_5_9_4_5_9">#REF!</definedName>
    <definedName name="Excel_BuiltIn_Print_Titles_5_9_4_5_9_1" localSheetId="16">#REF!</definedName>
    <definedName name="Excel_BuiltIn_Print_Titles_5_9_4_5_9_1" localSheetId="53">#REF!</definedName>
    <definedName name="Excel_BuiltIn_Print_Titles_5_9_4_5_9_1">#REF!</definedName>
    <definedName name="Excel_BuiltIn_Print_Titles_5_9_4_5_9_2" localSheetId="16">#REF!</definedName>
    <definedName name="Excel_BuiltIn_Print_Titles_5_9_4_5_9_2" localSheetId="53">#REF!</definedName>
    <definedName name="Excel_BuiltIn_Print_Titles_5_9_4_5_9_2">#REF!</definedName>
    <definedName name="Excel_BuiltIn_Print_Titles_5_9_4_5_9_3" localSheetId="16">#REF!</definedName>
    <definedName name="Excel_BuiltIn_Print_Titles_5_9_4_5_9_3" localSheetId="53">#REF!</definedName>
    <definedName name="Excel_BuiltIn_Print_Titles_5_9_4_5_9_3">#REF!</definedName>
    <definedName name="Excel_BuiltIn_Print_Titles_5_9_4_6" localSheetId="16">#REF!</definedName>
    <definedName name="Excel_BuiltIn_Print_Titles_5_9_4_6" localSheetId="53">#REF!</definedName>
    <definedName name="Excel_BuiltIn_Print_Titles_5_9_4_6">#REF!</definedName>
    <definedName name="Excel_BuiltIn_Print_Titles_5_9_4_6_1" localSheetId="16">#REF!</definedName>
    <definedName name="Excel_BuiltIn_Print_Titles_5_9_4_6_1" localSheetId="53">#REF!</definedName>
    <definedName name="Excel_BuiltIn_Print_Titles_5_9_4_6_1">#REF!</definedName>
    <definedName name="Excel_BuiltIn_Print_Titles_5_9_4_6_10" localSheetId="16">#REF!</definedName>
    <definedName name="Excel_BuiltIn_Print_Titles_5_9_4_6_10" localSheetId="53">#REF!</definedName>
    <definedName name="Excel_BuiltIn_Print_Titles_5_9_4_6_10">#REF!</definedName>
    <definedName name="Excel_BuiltIn_Print_Titles_5_9_4_6_10_1" localSheetId="16">#REF!</definedName>
    <definedName name="Excel_BuiltIn_Print_Titles_5_9_4_6_10_1" localSheetId="53">#REF!</definedName>
    <definedName name="Excel_BuiltIn_Print_Titles_5_9_4_6_10_1">#REF!</definedName>
    <definedName name="Excel_BuiltIn_Print_Titles_5_9_4_6_10_2" localSheetId="16">#REF!</definedName>
    <definedName name="Excel_BuiltIn_Print_Titles_5_9_4_6_10_2" localSheetId="53">#REF!</definedName>
    <definedName name="Excel_BuiltIn_Print_Titles_5_9_4_6_10_2">#REF!</definedName>
    <definedName name="Excel_BuiltIn_Print_Titles_5_9_4_6_10_3" localSheetId="16">#REF!</definedName>
    <definedName name="Excel_BuiltIn_Print_Titles_5_9_4_6_10_3" localSheetId="53">#REF!</definedName>
    <definedName name="Excel_BuiltIn_Print_Titles_5_9_4_6_10_3">#REF!</definedName>
    <definedName name="Excel_BuiltIn_Print_Titles_5_9_4_6_2" localSheetId="16">#REF!</definedName>
    <definedName name="Excel_BuiltIn_Print_Titles_5_9_4_6_2" localSheetId="53">#REF!</definedName>
    <definedName name="Excel_BuiltIn_Print_Titles_5_9_4_6_2">#REF!</definedName>
    <definedName name="Excel_BuiltIn_Print_Titles_5_9_4_6_3" localSheetId="16">#REF!</definedName>
    <definedName name="Excel_BuiltIn_Print_Titles_5_9_4_6_3" localSheetId="53">#REF!</definedName>
    <definedName name="Excel_BuiltIn_Print_Titles_5_9_4_6_3">#REF!</definedName>
    <definedName name="Excel_BuiltIn_Print_Titles_5_9_4_6_9" localSheetId="16">#REF!</definedName>
    <definedName name="Excel_BuiltIn_Print_Titles_5_9_4_6_9" localSheetId="53">#REF!</definedName>
    <definedName name="Excel_BuiltIn_Print_Titles_5_9_4_6_9">#REF!</definedName>
    <definedName name="Excel_BuiltIn_Print_Titles_5_9_4_6_9_1" localSheetId="16">#REF!</definedName>
    <definedName name="Excel_BuiltIn_Print_Titles_5_9_4_6_9_1" localSheetId="53">#REF!</definedName>
    <definedName name="Excel_BuiltIn_Print_Titles_5_9_4_6_9_1">#REF!</definedName>
    <definedName name="Excel_BuiltIn_Print_Titles_5_9_4_6_9_2" localSheetId="16">#REF!</definedName>
    <definedName name="Excel_BuiltIn_Print_Titles_5_9_4_6_9_2" localSheetId="53">#REF!</definedName>
    <definedName name="Excel_BuiltIn_Print_Titles_5_9_4_6_9_2">#REF!</definedName>
    <definedName name="Excel_BuiltIn_Print_Titles_5_9_4_6_9_3" localSheetId="16">#REF!</definedName>
    <definedName name="Excel_BuiltIn_Print_Titles_5_9_4_6_9_3" localSheetId="53">#REF!</definedName>
    <definedName name="Excel_BuiltIn_Print_Titles_5_9_4_6_9_3">#REF!</definedName>
    <definedName name="Excel_BuiltIn_Print_Titles_5_9_4_8" localSheetId="16">#REF!</definedName>
    <definedName name="Excel_BuiltIn_Print_Titles_5_9_4_8" localSheetId="53">#REF!</definedName>
    <definedName name="Excel_BuiltIn_Print_Titles_5_9_4_8">#REF!</definedName>
    <definedName name="Excel_BuiltIn_Print_Titles_5_9_4_8_1" localSheetId="16">#REF!</definedName>
    <definedName name="Excel_BuiltIn_Print_Titles_5_9_4_8_1" localSheetId="53">#REF!</definedName>
    <definedName name="Excel_BuiltIn_Print_Titles_5_9_4_8_1">#REF!</definedName>
    <definedName name="Excel_BuiltIn_Print_Titles_5_9_4_8_10" localSheetId="16">#REF!</definedName>
    <definedName name="Excel_BuiltIn_Print_Titles_5_9_4_8_10" localSheetId="53">#REF!</definedName>
    <definedName name="Excel_BuiltIn_Print_Titles_5_9_4_8_10">#REF!</definedName>
    <definedName name="Excel_BuiltIn_Print_Titles_5_9_4_8_10_1" localSheetId="16">#REF!</definedName>
    <definedName name="Excel_BuiltIn_Print_Titles_5_9_4_8_10_1" localSheetId="53">#REF!</definedName>
    <definedName name="Excel_BuiltIn_Print_Titles_5_9_4_8_10_1">#REF!</definedName>
    <definedName name="Excel_BuiltIn_Print_Titles_5_9_4_8_10_2" localSheetId="16">#REF!</definedName>
    <definedName name="Excel_BuiltIn_Print_Titles_5_9_4_8_10_2" localSheetId="53">#REF!</definedName>
    <definedName name="Excel_BuiltIn_Print_Titles_5_9_4_8_10_2">#REF!</definedName>
    <definedName name="Excel_BuiltIn_Print_Titles_5_9_4_8_10_3" localSheetId="16">#REF!</definedName>
    <definedName name="Excel_BuiltIn_Print_Titles_5_9_4_8_10_3" localSheetId="53">#REF!</definedName>
    <definedName name="Excel_BuiltIn_Print_Titles_5_9_4_8_10_3">#REF!</definedName>
    <definedName name="Excel_BuiltIn_Print_Titles_5_9_4_8_2" localSheetId="16">#REF!</definedName>
    <definedName name="Excel_BuiltIn_Print_Titles_5_9_4_8_2" localSheetId="53">#REF!</definedName>
    <definedName name="Excel_BuiltIn_Print_Titles_5_9_4_8_2">#REF!</definedName>
    <definedName name="Excel_BuiltIn_Print_Titles_5_9_4_8_3" localSheetId="16">#REF!</definedName>
    <definedName name="Excel_BuiltIn_Print_Titles_5_9_4_8_3" localSheetId="53">#REF!</definedName>
    <definedName name="Excel_BuiltIn_Print_Titles_5_9_4_8_3">#REF!</definedName>
    <definedName name="Excel_BuiltIn_Print_Titles_5_9_4_8_9" localSheetId="16">#REF!</definedName>
    <definedName name="Excel_BuiltIn_Print_Titles_5_9_4_8_9" localSheetId="53">#REF!</definedName>
    <definedName name="Excel_BuiltIn_Print_Titles_5_9_4_8_9">#REF!</definedName>
    <definedName name="Excel_BuiltIn_Print_Titles_5_9_4_8_9_1" localSheetId="16">#REF!</definedName>
    <definedName name="Excel_BuiltIn_Print_Titles_5_9_4_8_9_1" localSheetId="53">#REF!</definedName>
    <definedName name="Excel_BuiltIn_Print_Titles_5_9_4_8_9_1">#REF!</definedName>
    <definedName name="Excel_BuiltIn_Print_Titles_5_9_4_8_9_2" localSheetId="16">#REF!</definedName>
    <definedName name="Excel_BuiltIn_Print_Titles_5_9_4_8_9_2" localSheetId="53">#REF!</definedName>
    <definedName name="Excel_BuiltIn_Print_Titles_5_9_4_8_9_2">#REF!</definedName>
    <definedName name="Excel_BuiltIn_Print_Titles_5_9_4_8_9_3" localSheetId="16">#REF!</definedName>
    <definedName name="Excel_BuiltIn_Print_Titles_5_9_4_8_9_3" localSheetId="53">#REF!</definedName>
    <definedName name="Excel_BuiltIn_Print_Titles_5_9_4_8_9_3">#REF!</definedName>
    <definedName name="Excel_BuiltIn_Print_Titles_5_9_4_9" localSheetId="16">#REF!</definedName>
    <definedName name="Excel_BuiltIn_Print_Titles_5_9_4_9" localSheetId="53">#REF!</definedName>
    <definedName name="Excel_BuiltIn_Print_Titles_5_9_4_9">#REF!</definedName>
    <definedName name="Excel_BuiltIn_Print_Titles_5_9_4_9_1" localSheetId="16">#REF!</definedName>
    <definedName name="Excel_BuiltIn_Print_Titles_5_9_4_9_1" localSheetId="53">#REF!</definedName>
    <definedName name="Excel_BuiltIn_Print_Titles_5_9_4_9_1">#REF!</definedName>
    <definedName name="Excel_BuiltIn_Print_Titles_5_9_4_9_2" localSheetId="16">#REF!</definedName>
    <definedName name="Excel_BuiltIn_Print_Titles_5_9_4_9_2" localSheetId="53">#REF!</definedName>
    <definedName name="Excel_BuiltIn_Print_Titles_5_9_4_9_2">#REF!</definedName>
    <definedName name="Excel_BuiltIn_Print_Titles_5_9_4_9_3" localSheetId="16">#REF!</definedName>
    <definedName name="Excel_BuiltIn_Print_Titles_5_9_4_9_3" localSheetId="53">#REF!</definedName>
    <definedName name="Excel_BuiltIn_Print_Titles_5_9_4_9_3">#REF!</definedName>
    <definedName name="Excel_BuiltIn_Print_Titles_5_9_5" localSheetId="16">#REF!</definedName>
    <definedName name="Excel_BuiltIn_Print_Titles_5_9_5" localSheetId="53">#REF!</definedName>
    <definedName name="Excel_BuiltIn_Print_Titles_5_9_5">#REF!</definedName>
    <definedName name="Excel_BuiltIn_Print_Titles_5_9_5_1" localSheetId="16">#REF!</definedName>
    <definedName name="Excel_BuiltIn_Print_Titles_5_9_5_1" localSheetId="53">#REF!</definedName>
    <definedName name="Excel_BuiltIn_Print_Titles_5_9_5_1">#REF!</definedName>
    <definedName name="Excel_BuiltIn_Print_Titles_5_9_5_10" localSheetId="16">#REF!</definedName>
    <definedName name="Excel_BuiltIn_Print_Titles_5_9_5_10" localSheetId="53">#REF!</definedName>
    <definedName name="Excel_BuiltIn_Print_Titles_5_9_5_10">#REF!</definedName>
    <definedName name="Excel_BuiltIn_Print_Titles_5_9_5_10_1" localSheetId="16">#REF!</definedName>
    <definedName name="Excel_BuiltIn_Print_Titles_5_9_5_10_1" localSheetId="53">#REF!</definedName>
    <definedName name="Excel_BuiltIn_Print_Titles_5_9_5_10_1">#REF!</definedName>
    <definedName name="Excel_BuiltIn_Print_Titles_5_9_5_10_2" localSheetId="16">#REF!</definedName>
    <definedName name="Excel_BuiltIn_Print_Titles_5_9_5_10_2" localSheetId="53">#REF!</definedName>
    <definedName name="Excel_BuiltIn_Print_Titles_5_9_5_10_2">#REF!</definedName>
    <definedName name="Excel_BuiltIn_Print_Titles_5_9_5_10_3" localSheetId="16">#REF!</definedName>
    <definedName name="Excel_BuiltIn_Print_Titles_5_9_5_10_3" localSheetId="53">#REF!</definedName>
    <definedName name="Excel_BuiltIn_Print_Titles_5_9_5_10_3">#REF!</definedName>
    <definedName name="Excel_BuiltIn_Print_Titles_5_9_5_2" localSheetId="16">#REF!</definedName>
    <definedName name="Excel_BuiltIn_Print_Titles_5_9_5_2" localSheetId="53">#REF!</definedName>
    <definedName name="Excel_BuiltIn_Print_Titles_5_9_5_2">#REF!</definedName>
    <definedName name="Excel_BuiltIn_Print_Titles_5_9_5_3" localSheetId="16">#REF!</definedName>
    <definedName name="Excel_BuiltIn_Print_Titles_5_9_5_3" localSheetId="53">#REF!</definedName>
    <definedName name="Excel_BuiltIn_Print_Titles_5_9_5_3">#REF!</definedName>
    <definedName name="Excel_BuiltIn_Print_Titles_5_9_5_9" localSheetId="16">#REF!</definedName>
    <definedName name="Excel_BuiltIn_Print_Titles_5_9_5_9" localSheetId="53">#REF!</definedName>
    <definedName name="Excel_BuiltIn_Print_Titles_5_9_5_9">#REF!</definedName>
    <definedName name="Excel_BuiltIn_Print_Titles_5_9_5_9_1" localSheetId="16">#REF!</definedName>
    <definedName name="Excel_BuiltIn_Print_Titles_5_9_5_9_1" localSheetId="53">#REF!</definedName>
    <definedName name="Excel_BuiltIn_Print_Titles_5_9_5_9_1">#REF!</definedName>
    <definedName name="Excel_BuiltIn_Print_Titles_5_9_5_9_2" localSheetId="16">#REF!</definedName>
    <definedName name="Excel_BuiltIn_Print_Titles_5_9_5_9_2" localSheetId="53">#REF!</definedName>
    <definedName name="Excel_BuiltIn_Print_Titles_5_9_5_9_2">#REF!</definedName>
    <definedName name="Excel_BuiltIn_Print_Titles_5_9_5_9_3" localSheetId="16">#REF!</definedName>
    <definedName name="Excel_BuiltIn_Print_Titles_5_9_5_9_3" localSheetId="53">#REF!</definedName>
    <definedName name="Excel_BuiltIn_Print_Titles_5_9_5_9_3">#REF!</definedName>
    <definedName name="Excel_BuiltIn_Print_Titles_5_9_6" localSheetId="16">#REF!</definedName>
    <definedName name="Excel_BuiltIn_Print_Titles_5_9_6" localSheetId="53">#REF!</definedName>
    <definedName name="Excel_BuiltIn_Print_Titles_5_9_6">#REF!</definedName>
    <definedName name="Excel_BuiltIn_Print_Titles_5_9_6_1" localSheetId="16">#REF!</definedName>
    <definedName name="Excel_BuiltIn_Print_Titles_5_9_6_1" localSheetId="53">#REF!</definedName>
    <definedName name="Excel_BuiltIn_Print_Titles_5_9_6_1">#REF!</definedName>
    <definedName name="Excel_BuiltIn_Print_Titles_5_9_6_10" localSheetId="16">#REF!</definedName>
    <definedName name="Excel_BuiltIn_Print_Titles_5_9_6_10" localSheetId="53">#REF!</definedName>
    <definedName name="Excel_BuiltIn_Print_Titles_5_9_6_10">#REF!</definedName>
    <definedName name="Excel_BuiltIn_Print_Titles_5_9_6_10_1" localSheetId="16">#REF!</definedName>
    <definedName name="Excel_BuiltIn_Print_Titles_5_9_6_10_1" localSheetId="53">#REF!</definedName>
    <definedName name="Excel_BuiltIn_Print_Titles_5_9_6_10_1">#REF!</definedName>
    <definedName name="Excel_BuiltIn_Print_Titles_5_9_6_10_2" localSheetId="16">#REF!</definedName>
    <definedName name="Excel_BuiltIn_Print_Titles_5_9_6_10_2" localSheetId="53">#REF!</definedName>
    <definedName name="Excel_BuiltIn_Print_Titles_5_9_6_10_2">#REF!</definedName>
    <definedName name="Excel_BuiltIn_Print_Titles_5_9_6_10_3" localSheetId="16">#REF!</definedName>
    <definedName name="Excel_BuiltIn_Print_Titles_5_9_6_10_3" localSheetId="53">#REF!</definedName>
    <definedName name="Excel_BuiltIn_Print_Titles_5_9_6_10_3">#REF!</definedName>
    <definedName name="Excel_BuiltIn_Print_Titles_5_9_6_2" localSheetId="16">#REF!</definedName>
    <definedName name="Excel_BuiltIn_Print_Titles_5_9_6_2" localSheetId="53">#REF!</definedName>
    <definedName name="Excel_BuiltIn_Print_Titles_5_9_6_2">#REF!</definedName>
    <definedName name="Excel_BuiltIn_Print_Titles_5_9_6_3" localSheetId="16">#REF!</definedName>
    <definedName name="Excel_BuiltIn_Print_Titles_5_9_6_3" localSheetId="53">#REF!</definedName>
    <definedName name="Excel_BuiltIn_Print_Titles_5_9_6_3">#REF!</definedName>
    <definedName name="Excel_BuiltIn_Print_Titles_5_9_6_9" localSheetId="16">#REF!</definedName>
    <definedName name="Excel_BuiltIn_Print_Titles_5_9_6_9" localSheetId="53">#REF!</definedName>
    <definedName name="Excel_BuiltIn_Print_Titles_5_9_6_9">#REF!</definedName>
    <definedName name="Excel_BuiltIn_Print_Titles_5_9_6_9_1" localSheetId="16">#REF!</definedName>
    <definedName name="Excel_BuiltIn_Print_Titles_5_9_6_9_1" localSheetId="53">#REF!</definedName>
    <definedName name="Excel_BuiltIn_Print_Titles_5_9_6_9_1">#REF!</definedName>
    <definedName name="Excel_BuiltIn_Print_Titles_5_9_6_9_2" localSheetId="16">#REF!</definedName>
    <definedName name="Excel_BuiltIn_Print_Titles_5_9_6_9_2" localSheetId="53">#REF!</definedName>
    <definedName name="Excel_BuiltIn_Print_Titles_5_9_6_9_2">#REF!</definedName>
    <definedName name="Excel_BuiltIn_Print_Titles_5_9_6_9_3" localSheetId="16">#REF!</definedName>
    <definedName name="Excel_BuiltIn_Print_Titles_5_9_6_9_3" localSheetId="53">#REF!</definedName>
    <definedName name="Excel_BuiltIn_Print_Titles_5_9_6_9_3">#REF!</definedName>
    <definedName name="Excel_BuiltIn_Print_Titles_5_9_8" localSheetId="16">#REF!</definedName>
    <definedName name="Excel_BuiltIn_Print_Titles_5_9_8" localSheetId="53">#REF!</definedName>
    <definedName name="Excel_BuiltIn_Print_Titles_5_9_8">#REF!</definedName>
    <definedName name="Excel_BuiltIn_Print_Titles_5_9_8_1" localSheetId="16">#REF!</definedName>
    <definedName name="Excel_BuiltIn_Print_Titles_5_9_8_1" localSheetId="53">#REF!</definedName>
    <definedName name="Excel_BuiltIn_Print_Titles_5_9_8_1">#REF!</definedName>
    <definedName name="Excel_BuiltIn_Print_Titles_5_9_8_10" localSheetId="16">#REF!</definedName>
    <definedName name="Excel_BuiltIn_Print_Titles_5_9_8_10" localSheetId="53">#REF!</definedName>
    <definedName name="Excel_BuiltIn_Print_Titles_5_9_8_10">#REF!</definedName>
    <definedName name="Excel_BuiltIn_Print_Titles_5_9_8_10_1" localSheetId="16">#REF!</definedName>
    <definedName name="Excel_BuiltIn_Print_Titles_5_9_8_10_1" localSheetId="53">#REF!</definedName>
    <definedName name="Excel_BuiltIn_Print_Titles_5_9_8_10_1">#REF!</definedName>
    <definedName name="Excel_BuiltIn_Print_Titles_5_9_8_10_2" localSheetId="16">#REF!</definedName>
    <definedName name="Excel_BuiltIn_Print_Titles_5_9_8_10_2" localSheetId="53">#REF!</definedName>
    <definedName name="Excel_BuiltIn_Print_Titles_5_9_8_10_2">#REF!</definedName>
    <definedName name="Excel_BuiltIn_Print_Titles_5_9_8_10_3" localSheetId="16">#REF!</definedName>
    <definedName name="Excel_BuiltIn_Print_Titles_5_9_8_10_3" localSheetId="53">#REF!</definedName>
    <definedName name="Excel_BuiltIn_Print_Titles_5_9_8_10_3">#REF!</definedName>
    <definedName name="Excel_BuiltIn_Print_Titles_5_9_8_2" localSheetId="16">#REF!</definedName>
    <definedName name="Excel_BuiltIn_Print_Titles_5_9_8_2" localSheetId="53">#REF!</definedName>
    <definedName name="Excel_BuiltIn_Print_Titles_5_9_8_2">#REF!</definedName>
    <definedName name="Excel_BuiltIn_Print_Titles_5_9_8_3" localSheetId="16">#REF!</definedName>
    <definedName name="Excel_BuiltIn_Print_Titles_5_9_8_3" localSheetId="53">#REF!</definedName>
    <definedName name="Excel_BuiltIn_Print_Titles_5_9_8_3">#REF!</definedName>
    <definedName name="Excel_BuiltIn_Print_Titles_5_9_8_9" localSheetId="16">#REF!</definedName>
    <definedName name="Excel_BuiltIn_Print_Titles_5_9_8_9" localSheetId="53">#REF!</definedName>
    <definedName name="Excel_BuiltIn_Print_Titles_5_9_8_9">#REF!</definedName>
    <definedName name="Excel_BuiltIn_Print_Titles_5_9_8_9_1" localSheetId="16">#REF!</definedName>
    <definedName name="Excel_BuiltIn_Print_Titles_5_9_8_9_1" localSheetId="53">#REF!</definedName>
    <definedName name="Excel_BuiltIn_Print_Titles_5_9_8_9_1">#REF!</definedName>
    <definedName name="Excel_BuiltIn_Print_Titles_5_9_8_9_2" localSheetId="16">#REF!</definedName>
    <definedName name="Excel_BuiltIn_Print_Titles_5_9_8_9_2" localSheetId="53">#REF!</definedName>
    <definedName name="Excel_BuiltIn_Print_Titles_5_9_8_9_2">#REF!</definedName>
    <definedName name="Excel_BuiltIn_Print_Titles_5_9_8_9_3" localSheetId="16">#REF!</definedName>
    <definedName name="Excel_BuiltIn_Print_Titles_5_9_8_9_3" localSheetId="53">#REF!</definedName>
    <definedName name="Excel_BuiltIn_Print_Titles_5_9_8_9_3">#REF!</definedName>
    <definedName name="Excel_BuiltIn_Print_Titles_5_9_9" localSheetId="16">#REF!</definedName>
    <definedName name="Excel_BuiltIn_Print_Titles_5_9_9" localSheetId="53">#REF!</definedName>
    <definedName name="Excel_BuiltIn_Print_Titles_5_9_9">#REF!</definedName>
    <definedName name="Excel_BuiltIn_Print_Titles_5_9_9_1" localSheetId="16">#REF!</definedName>
    <definedName name="Excel_BuiltIn_Print_Titles_5_9_9_1" localSheetId="53">#REF!</definedName>
    <definedName name="Excel_BuiltIn_Print_Titles_5_9_9_1">#REF!</definedName>
    <definedName name="Excel_BuiltIn_Print_Titles_5_9_9_2" localSheetId="16">#REF!</definedName>
    <definedName name="Excel_BuiltIn_Print_Titles_5_9_9_2" localSheetId="53">#REF!</definedName>
    <definedName name="Excel_BuiltIn_Print_Titles_5_9_9_2">#REF!</definedName>
    <definedName name="Excel_BuiltIn_Print_Titles_5_9_9_3" localSheetId="16">#REF!</definedName>
    <definedName name="Excel_BuiltIn_Print_Titles_5_9_9_3" localSheetId="53">#REF!</definedName>
    <definedName name="Excel_BuiltIn_Print_Titles_5_9_9_3">#REF!</definedName>
    <definedName name="Excel_BuiltIn_Print_Titles_6" localSheetId="16">#REF!</definedName>
    <definedName name="Excel_BuiltIn_Print_Titles_6" localSheetId="53">#REF!</definedName>
    <definedName name="Excel_BuiltIn_Print_Titles_6">#REF!</definedName>
    <definedName name="Excel_BuiltIn_Print_Titles_6_1" localSheetId="16">#REF!</definedName>
    <definedName name="Excel_BuiltIn_Print_Titles_6_1" localSheetId="53">#REF!</definedName>
    <definedName name="Excel_BuiltIn_Print_Titles_6_1">#REF!</definedName>
    <definedName name="Excel_BuiltIn_Print_Titles_6_10" localSheetId="16">#REF!</definedName>
    <definedName name="Excel_BuiltIn_Print_Titles_6_10" localSheetId="53">#REF!</definedName>
    <definedName name="Excel_BuiltIn_Print_Titles_6_10">#REF!</definedName>
    <definedName name="Excel_BuiltIn_Print_Titles_6_10_1" localSheetId="16">#REF!</definedName>
    <definedName name="Excel_BuiltIn_Print_Titles_6_10_1" localSheetId="53">#REF!</definedName>
    <definedName name="Excel_BuiltIn_Print_Titles_6_10_1">#REF!</definedName>
    <definedName name="Excel_BuiltIn_Print_Titles_6_10_2" localSheetId="16">#REF!</definedName>
    <definedName name="Excel_BuiltIn_Print_Titles_6_10_2" localSheetId="53">#REF!</definedName>
    <definedName name="Excel_BuiltIn_Print_Titles_6_10_2">#REF!</definedName>
    <definedName name="Excel_BuiltIn_Print_Titles_6_10_3" localSheetId="16">#REF!</definedName>
    <definedName name="Excel_BuiltIn_Print_Titles_6_10_3" localSheetId="53">#REF!</definedName>
    <definedName name="Excel_BuiltIn_Print_Titles_6_10_3">#REF!</definedName>
    <definedName name="Excel_BuiltIn_Print_Titles_6_2" localSheetId="16">#REF!</definedName>
    <definedName name="Excel_BuiltIn_Print_Titles_6_2" localSheetId="53">#REF!</definedName>
    <definedName name="Excel_BuiltIn_Print_Titles_6_2">#REF!</definedName>
    <definedName name="Excel_BuiltIn_Print_Titles_6_3" localSheetId="16">#REF!</definedName>
    <definedName name="Excel_BuiltIn_Print_Titles_6_3" localSheetId="53">#REF!</definedName>
    <definedName name="Excel_BuiltIn_Print_Titles_6_3">#REF!</definedName>
    <definedName name="Excel_BuiltIn_Print_Titles_6_4" localSheetId="16">#REF!</definedName>
    <definedName name="Excel_BuiltIn_Print_Titles_6_4" localSheetId="53">#REF!</definedName>
    <definedName name="Excel_BuiltIn_Print_Titles_6_4">#REF!</definedName>
    <definedName name="Excel_BuiltIn_Print_Titles_6_4_1" localSheetId="16">#REF!</definedName>
    <definedName name="Excel_BuiltIn_Print_Titles_6_4_1" localSheetId="53">#REF!</definedName>
    <definedName name="Excel_BuiltIn_Print_Titles_6_4_1">#REF!</definedName>
    <definedName name="Excel_BuiltIn_Print_Titles_6_4_1_1" localSheetId="16">#REF!</definedName>
    <definedName name="Excel_BuiltIn_Print_Titles_6_4_1_1" localSheetId="53">#REF!</definedName>
    <definedName name="Excel_BuiltIn_Print_Titles_6_4_1_1">#REF!</definedName>
    <definedName name="Excel_BuiltIn_Print_Titles_6_4_1_1_1">#REF!</definedName>
    <definedName name="Excel_BuiltIn_Print_Titles_6_4_1_10" localSheetId="16">#REF!</definedName>
    <definedName name="Excel_BuiltIn_Print_Titles_6_4_1_10" localSheetId="53">#REF!</definedName>
    <definedName name="Excel_BuiltIn_Print_Titles_6_4_1_10">#REF!</definedName>
    <definedName name="Excel_BuiltIn_Print_Titles_6_4_1_10_1" localSheetId="16">#REF!</definedName>
    <definedName name="Excel_BuiltIn_Print_Titles_6_4_1_10_1" localSheetId="53">#REF!</definedName>
    <definedName name="Excel_BuiltIn_Print_Titles_6_4_1_10_1">#REF!</definedName>
    <definedName name="Excel_BuiltIn_Print_Titles_6_4_1_10_2" localSheetId="16">#REF!</definedName>
    <definedName name="Excel_BuiltIn_Print_Titles_6_4_1_10_2" localSheetId="53">#REF!</definedName>
    <definedName name="Excel_BuiltIn_Print_Titles_6_4_1_10_2">#REF!</definedName>
    <definedName name="Excel_BuiltIn_Print_Titles_6_4_1_10_3" localSheetId="16">#REF!</definedName>
    <definedName name="Excel_BuiltIn_Print_Titles_6_4_1_10_3" localSheetId="53">#REF!</definedName>
    <definedName name="Excel_BuiltIn_Print_Titles_6_4_1_10_3">#REF!</definedName>
    <definedName name="Excel_BuiltIn_Print_Titles_6_4_1_2" localSheetId="16">#REF!</definedName>
    <definedName name="Excel_BuiltIn_Print_Titles_6_4_1_2" localSheetId="53">#REF!</definedName>
    <definedName name="Excel_BuiltIn_Print_Titles_6_4_1_2">#REF!</definedName>
    <definedName name="Excel_BuiltIn_Print_Titles_6_4_1_3" localSheetId="16">#REF!</definedName>
    <definedName name="Excel_BuiltIn_Print_Titles_6_4_1_3" localSheetId="53">#REF!</definedName>
    <definedName name="Excel_BuiltIn_Print_Titles_6_4_1_3">#REF!</definedName>
    <definedName name="Excel_BuiltIn_Print_Titles_6_4_1_9" localSheetId="16">#REF!</definedName>
    <definedName name="Excel_BuiltIn_Print_Titles_6_4_1_9" localSheetId="53">#REF!</definedName>
    <definedName name="Excel_BuiltIn_Print_Titles_6_4_1_9">#REF!</definedName>
    <definedName name="Excel_BuiltIn_Print_Titles_6_4_1_9_1" localSheetId="16">#REF!</definedName>
    <definedName name="Excel_BuiltIn_Print_Titles_6_4_1_9_1" localSheetId="53">#REF!</definedName>
    <definedName name="Excel_BuiltIn_Print_Titles_6_4_1_9_1">#REF!</definedName>
    <definedName name="Excel_BuiltIn_Print_Titles_6_4_1_9_2" localSheetId="16">#REF!</definedName>
    <definedName name="Excel_BuiltIn_Print_Titles_6_4_1_9_2" localSheetId="53">#REF!</definedName>
    <definedName name="Excel_BuiltIn_Print_Titles_6_4_1_9_2">#REF!</definedName>
    <definedName name="Excel_BuiltIn_Print_Titles_6_4_1_9_3" localSheetId="16">#REF!</definedName>
    <definedName name="Excel_BuiltIn_Print_Titles_6_4_1_9_3" localSheetId="53">#REF!</definedName>
    <definedName name="Excel_BuiltIn_Print_Titles_6_4_1_9_3">#REF!</definedName>
    <definedName name="Excel_BuiltIn_Print_Titles_6_4_10" localSheetId="16">#REF!</definedName>
    <definedName name="Excel_BuiltIn_Print_Titles_6_4_10" localSheetId="53">#REF!</definedName>
    <definedName name="Excel_BuiltIn_Print_Titles_6_4_10">#REF!</definedName>
    <definedName name="Excel_BuiltIn_Print_Titles_6_4_10_1" localSheetId="16">#REF!</definedName>
    <definedName name="Excel_BuiltIn_Print_Titles_6_4_10_1" localSheetId="53">#REF!</definedName>
    <definedName name="Excel_BuiltIn_Print_Titles_6_4_10_1">#REF!</definedName>
    <definedName name="Excel_BuiltIn_Print_Titles_6_4_10_2" localSheetId="16">#REF!</definedName>
    <definedName name="Excel_BuiltIn_Print_Titles_6_4_10_2" localSheetId="53">#REF!</definedName>
    <definedName name="Excel_BuiltIn_Print_Titles_6_4_10_2">#REF!</definedName>
    <definedName name="Excel_BuiltIn_Print_Titles_6_4_10_3" localSheetId="16">#REF!</definedName>
    <definedName name="Excel_BuiltIn_Print_Titles_6_4_10_3" localSheetId="53">#REF!</definedName>
    <definedName name="Excel_BuiltIn_Print_Titles_6_4_10_3">#REF!</definedName>
    <definedName name="Excel_BuiltIn_Print_Titles_6_4_2" localSheetId="16">#REF!</definedName>
    <definedName name="Excel_BuiltIn_Print_Titles_6_4_2" localSheetId="53">#REF!</definedName>
    <definedName name="Excel_BuiltIn_Print_Titles_6_4_2">#REF!</definedName>
    <definedName name="Excel_BuiltIn_Print_Titles_6_4_3" localSheetId="16">#REF!</definedName>
    <definedName name="Excel_BuiltIn_Print_Titles_6_4_3" localSheetId="53">#REF!</definedName>
    <definedName name="Excel_BuiltIn_Print_Titles_6_4_3">#REF!</definedName>
    <definedName name="Excel_BuiltIn_Print_Titles_6_4_4" localSheetId="16">#REF!</definedName>
    <definedName name="Excel_BuiltIn_Print_Titles_6_4_4" localSheetId="53">#REF!</definedName>
    <definedName name="Excel_BuiltIn_Print_Titles_6_4_4">#REF!</definedName>
    <definedName name="Excel_BuiltIn_Print_Titles_6_4_4_1" localSheetId="16">#REF!</definedName>
    <definedName name="Excel_BuiltIn_Print_Titles_6_4_4_1" localSheetId="53">#REF!</definedName>
    <definedName name="Excel_BuiltIn_Print_Titles_6_4_4_1">#REF!</definedName>
    <definedName name="Excel_BuiltIn_Print_Titles_6_4_4_10" localSheetId="16">#REF!</definedName>
    <definedName name="Excel_BuiltIn_Print_Titles_6_4_4_10" localSheetId="53">#REF!</definedName>
    <definedName name="Excel_BuiltIn_Print_Titles_6_4_4_10">#REF!</definedName>
    <definedName name="Excel_BuiltIn_Print_Titles_6_4_4_10_1" localSheetId="16">#REF!</definedName>
    <definedName name="Excel_BuiltIn_Print_Titles_6_4_4_10_1" localSheetId="53">#REF!</definedName>
    <definedName name="Excel_BuiltIn_Print_Titles_6_4_4_10_1">#REF!</definedName>
    <definedName name="Excel_BuiltIn_Print_Titles_6_4_4_10_2" localSheetId="16">#REF!</definedName>
    <definedName name="Excel_BuiltIn_Print_Titles_6_4_4_10_2" localSheetId="53">#REF!</definedName>
    <definedName name="Excel_BuiltIn_Print_Titles_6_4_4_10_2">#REF!</definedName>
    <definedName name="Excel_BuiltIn_Print_Titles_6_4_4_10_3" localSheetId="16">#REF!</definedName>
    <definedName name="Excel_BuiltIn_Print_Titles_6_4_4_10_3" localSheetId="53">#REF!</definedName>
    <definedName name="Excel_BuiltIn_Print_Titles_6_4_4_10_3">#REF!</definedName>
    <definedName name="Excel_BuiltIn_Print_Titles_6_4_4_2" localSheetId="16">#REF!</definedName>
    <definedName name="Excel_BuiltIn_Print_Titles_6_4_4_2" localSheetId="53">#REF!</definedName>
    <definedName name="Excel_BuiltIn_Print_Titles_6_4_4_2">#REF!</definedName>
    <definedName name="Excel_BuiltIn_Print_Titles_6_4_4_3" localSheetId="16">#REF!</definedName>
    <definedName name="Excel_BuiltIn_Print_Titles_6_4_4_3" localSheetId="53">#REF!</definedName>
    <definedName name="Excel_BuiltIn_Print_Titles_6_4_4_3">#REF!</definedName>
    <definedName name="Excel_BuiltIn_Print_Titles_6_4_4_9" localSheetId="16">#REF!</definedName>
    <definedName name="Excel_BuiltIn_Print_Titles_6_4_4_9" localSheetId="53">#REF!</definedName>
    <definedName name="Excel_BuiltIn_Print_Titles_6_4_4_9">#REF!</definedName>
    <definedName name="Excel_BuiltIn_Print_Titles_6_4_4_9_1" localSheetId="16">#REF!</definedName>
    <definedName name="Excel_BuiltIn_Print_Titles_6_4_4_9_1" localSheetId="53">#REF!</definedName>
    <definedName name="Excel_BuiltIn_Print_Titles_6_4_4_9_1">#REF!</definedName>
    <definedName name="Excel_BuiltIn_Print_Titles_6_4_4_9_2" localSheetId="16">#REF!</definedName>
    <definedName name="Excel_BuiltIn_Print_Titles_6_4_4_9_2" localSheetId="53">#REF!</definedName>
    <definedName name="Excel_BuiltIn_Print_Titles_6_4_4_9_2">#REF!</definedName>
    <definedName name="Excel_BuiltIn_Print_Titles_6_4_4_9_3" localSheetId="16">#REF!</definedName>
    <definedName name="Excel_BuiltIn_Print_Titles_6_4_4_9_3" localSheetId="53">#REF!</definedName>
    <definedName name="Excel_BuiltIn_Print_Titles_6_4_4_9_3">#REF!</definedName>
    <definedName name="Excel_BuiltIn_Print_Titles_6_4_5" localSheetId="16">#REF!</definedName>
    <definedName name="Excel_BuiltIn_Print_Titles_6_4_5" localSheetId="53">#REF!</definedName>
    <definedName name="Excel_BuiltIn_Print_Titles_6_4_5">#REF!</definedName>
    <definedName name="Excel_BuiltIn_Print_Titles_6_4_5_1" localSheetId="16">#REF!</definedName>
    <definedName name="Excel_BuiltIn_Print_Titles_6_4_5_1" localSheetId="53">#REF!</definedName>
    <definedName name="Excel_BuiltIn_Print_Titles_6_4_5_1">#REF!</definedName>
    <definedName name="Excel_BuiltIn_Print_Titles_6_4_5_10" localSheetId="16">#REF!</definedName>
    <definedName name="Excel_BuiltIn_Print_Titles_6_4_5_10" localSheetId="53">#REF!</definedName>
    <definedName name="Excel_BuiltIn_Print_Titles_6_4_5_10">#REF!</definedName>
    <definedName name="Excel_BuiltIn_Print_Titles_6_4_5_10_1" localSheetId="16">#REF!</definedName>
    <definedName name="Excel_BuiltIn_Print_Titles_6_4_5_10_1" localSheetId="53">#REF!</definedName>
    <definedName name="Excel_BuiltIn_Print_Titles_6_4_5_10_1">#REF!</definedName>
    <definedName name="Excel_BuiltIn_Print_Titles_6_4_5_10_2" localSheetId="16">#REF!</definedName>
    <definedName name="Excel_BuiltIn_Print_Titles_6_4_5_10_2" localSheetId="53">#REF!</definedName>
    <definedName name="Excel_BuiltIn_Print_Titles_6_4_5_10_2">#REF!</definedName>
    <definedName name="Excel_BuiltIn_Print_Titles_6_4_5_10_3" localSheetId="16">#REF!</definedName>
    <definedName name="Excel_BuiltIn_Print_Titles_6_4_5_10_3" localSheetId="53">#REF!</definedName>
    <definedName name="Excel_BuiltIn_Print_Titles_6_4_5_10_3">#REF!</definedName>
    <definedName name="Excel_BuiltIn_Print_Titles_6_4_5_2" localSheetId="16">#REF!</definedName>
    <definedName name="Excel_BuiltIn_Print_Titles_6_4_5_2" localSheetId="53">#REF!</definedName>
    <definedName name="Excel_BuiltIn_Print_Titles_6_4_5_2">#REF!</definedName>
    <definedName name="Excel_BuiltIn_Print_Titles_6_4_5_3" localSheetId="16">#REF!</definedName>
    <definedName name="Excel_BuiltIn_Print_Titles_6_4_5_3" localSheetId="53">#REF!</definedName>
    <definedName name="Excel_BuiltIn_Print_Titles_6_4_5_3">#REF!</definedName>
    <definedName name="Excel_BuiltIn_Print_Titles_6_4_5_9" localSheetId="16">#REF!</definedName>
    <definedName name="Excel_BuiltIn_Print_Titles_6_4_5_9" localSheetId="53">#REF!</definedName>
    <definedName name="Excel_BuiltIn_Print_Titles_6_4_5_9">#REF!</definedName>
    <definedName name="Excel_BuiltIn_Print_Titles_6_4_5_9_1" localSheetId="16">#REF!</definedName>
    <definedName name="Excel_BuiltIn_Print_Titles_6_4_5_9_1" localSheetId="53">#REF!</definedName>
    <definedName name="Excel_BuiltIn_Print_Titles_6_4_5_9_1">#REF!</definedName>
    <definedName name="Excel_BuiltIn_Print_Titles_6_4_5_9_2" localSheetId="16">#REF!</definedName>
    <definedName name="Excel_BuiltIn_Print_Titles_6_4_5_9_2" localSheetId="53">#REF!</definedName>
    <definedName name="Excel_BuiltIn_Print_Titles_6_4_5_9_2">#REF!</definedName>
    <definedName name="Excel_BuiltIn_Print_Titles_6_4_5_9_3" localSheetId="16">#REF!</definedName>
    <definedName name="Excel_BuiltIn_Print_Titles_6_4_5_9_3" localSheetId="53">#REF!</definedName>
    <definedName name="Excel_BuiltIn_Print_Titles_6_4_5_9_3">#REF!</definedName>
    <definedName name="Excel_BuiltIn_Print_Titles_6_4_6" localSheetId="16">#REF!</definedName>
    <definedName name="Excel_BuiltIn_Print_Titles_6_4_6" localSheetId="53">#REF!</definedName>
    <definedName name="Excel_BuiltIn_Print_Titles_6_4_6">#REF!</definedName>
    <definedName name="Excel_BuiltIn_Print_Titles_6_4_6_1" localSheetId="16">#REF!</definedName>
    <definedName name="Excel_BuiltIn_Print_Titles_6_4_6_1" localSheetId="53">#REF!</definedName>
    <definedName name="Excel_BuiltIn_Print_Titles_6_4_6_1">#REF!</definedName>
    <definedName name="Excel_BuiltIn_Print_Titles_6_4_6_10" localSheetId="16">#REF!</definedName>
    <definedName name="Excel_BuiltIn_Print_Titles_6_4_6_10" localSheetId="53">#REF!</definedName>
    <definedName name="Excel_BuiltIn_Print_Titles_6_4_6_10">#REF!</definedName>
    <definedName name="Excel_BuiltIn_Print_Titles_6_4_6_10_1" localSheetId="16">#REF!</definedName>
    <definedName name="Excel_BuiltIn_Print_Titles_6_4_6_10_1" localSheetId="53">#REF!</definedName>
    <definedName name="Excel_BuiltIn_Print_Titles_6_4_6_10_1">#REF!</definedName>
    <definedName name="Excel_BuiltIn_Print_Titles_6_4_6_10_2" localSheetId="16">#REF!</definedName>
    <definedName name="Excel_BuiltIn_Print_Titles_6_4_6_10_2" localSheetId="53">#REF!</definedName>
    <definedName name="Excel_BuiltIn_Print_Titles_6_4_6_10_2">#REF!</definedName>
    <definedName name="Excel_BuiltIn_Print_Titles_6_4_6_10_3" localSheetId="16">#REF!</definedName>
    <definedName name="Excel_BuiltIn_Print_Titles_6_4_6_10_3" localSheetId="53">#REF!</definedName>
    <definedName name="Excel_BuiltIn_Print_Titles_6_4_6_10_3">#REF!</definedName>
    <definedName name="Excel_BuiltIn_Print_Titles_6_4_6_2" localSheetId="16">#REF!</definedName>
    <definedName name="Excel_BuiltIn_Print_Titles_6_4_6_2" localSheetId="53">#REF!</definedName>
    <definedName name="Excel_BuiltIn_Print_Titles_6_4_6_2">#REF!</definedName>
    <definedName name="Excel_BuiltIn_Print_Titles_6_4_6_3" localSheetId="16">#REF!</definedName>
    <definedName name="Excel_BuiltIn_Print_Titles_6_4_6_3" localSheetId="53">#REF!</definedName>
    <definedName name="Excel_BuiltIn_Print_Titles_6_4_6_3">#REF!</definedName>
    <definedName name="Excel_BuiltIn_Print_Titles_6_4_6_9" localSheetId="16">#REF!</definedName>
    <definedName name="Excel_BuiltIn_Print_Titles_6_4_6_9" localSheetId="53">#REF!</definedName>
    <definedName name="Excel_BuiltIn_Print_Titles_6_4_6_9">#REF!</definedName>
    <definedName name="Excel_BuiltIn_Print_Titles_6_4_6_9_1" localSheetId="16">#REF!</definedName>
    <definedName name="Excel_BuiltIn_Print_Titles_6_4_6_9_1" localSheetId="53">#REF!</definedName>
    <definedName name="Excel_BuiltIn_Print_Titles_6_4_6_9_1">#REF!</definedName>
    <definedName name="Excel_BuiltIn_Print_Titles_6_4_6_9_2" localSheetId="16">#REF!</definedName>
    <definedName name="Excel_BuiltIn_Print_Titles_6_4_6_9_2" localSheetId="53">#REF!</definedName>
    <definedName name="Excel_BuiltIn_Print_Titles_6_4_6_9_2">#REF!</definedName>
    <definedName name="Excel_BuiltIn_Print_Titles_6_4_6_9_3" localSheetId="16">#REF!</definedName>
    <definedName name="Excel_BuiltIn_Print_Titles_6_4_6_9_3" localSheetId="53">#REF!</definedName>
    <definedName name="Excel_BuiltIn_Print_Titles_6_4_6_9_3">#REF!</definedName>
    <definedName name="Excel_BuiltIn_Print_Titles_6_4_8" localSheetId="16">#REF!</definedName>
    <definedName name="Excel_BuiltIn_Print_Titles_6_4_8" localSheetId="53">#REF!</definedName>
    <definedName name="Excel_BuiltIn_Print_Titles_6_4_8">#REF!</definedName>
    <definedName name="Excel_BuiltIn_Print_Titles_6_4_8_1" localSheetId="16">#REF!</definedName>
    <definedName name="Excel_BuiltIn_Print_Titles_6_4_8_1" localSheetId="53">#REF!</definedName>
    <definedName name="Excel_BuiltIn_Print_Titles_6_4_8_1">#REF!</definedName>
    <definedName name="Excel_BuiltIn_Print_Titles_6_4_8_10" localSheetId="16">#REF!</definedName>
    <definedName name="Excel_BuiltIn_Print_Titles_6_4_8_10" localSheetId="53">#REF!</definedName>
    <definedName name="Excel_BuiltIn_Print_Titles_6_4_8_10">#REF!</definedName>
    <definedName name="Excel_BuiltIn_Print_Titles_6_4_8_10_1" localSheetId="16">#REF!</definedName>
    <definedName name="Excel_BuiltIn_Print_Titles_6_4_8_10_1" localSheetId="53">#REF!</definedName>
    <definedName name="Excel_BuiltIn_Print_Titles_6_4_8_10_1">#REF!</definedName>
    <definedName name="Excel_BuiltIn_Print_Titles_6_4_8_10_2" localSheetId="16">#REF!</definedName>
    <definedName name="Excel_BuiltIn_Print_Titles_6_4_8_10_2" localSheetId="53">#REF!</definedName>
    <definedName name="Excel_BuiltIn_Print_Titles_6_4_8_10_2">#REF!</definedName>
    <definedName name="Excel_BuiltIn_Print_Titles_6_4_8_10_3" localSheetId="16">#REF!</definedName>
    <definedName name="Excel_BuiltIn_Print_Titles_6_4_8_10_3" localSheetId="53">#REF!</definedName>
    <definedName name="Excel_BuiltIn_Print_Titles_6_4_8_10_3">#REF!</definedName>
    <definedName name="Excel_BuiltIn_Print_Titles_6_4_8_2" localSheetId="16">#REF!</definedName>
    <definedName name="Excel_BuiltIn_Print_Titles_6_4_8_2" localSheetId="53">#REF!</definedName>
    <definedName name="Excel_BuiltIn_Print_Titles_6_4_8_2">#REF!</definedName>
    <definedName name="Excel_BuiltIn_Print_Titles_6_4_8_3" localSheetId="16">#REF!</definedName>
    <definedName name="Excel_BuiltIn_Print_Titles_6_4_8_3" localSheetId="53">#REF!</definedName>
    <definedName name="Excel_BuiltIn_Print_Titles_6_4_8_3">#REF!</definedName>
    <definedName name="Excel_BuiltIn_Print_Titles_6_4_8_9" localSheetId="16">#REF!</definedName>
    <definedName name="Excel_BuiltIn_Print_Titles_6_4_8_9" localSheetId="53">#REF!</definedName>
    <definedName name="Excel_BuiltIn_Print_Titles_6_4_8_9">#REF!</definedName>
    <definedName name="Excel_BuiltIn_Print_Titles_6_4_8_9_1" localSheetId="16">#REF!</definedName>
    <definedName name="Excel_BuiltIn_Print_Titles_6_4_8_9_1" localSheetId="53">#REF!</definedName>
    <definedName name="Excel_BuiltIn_Print_Titles_6_4_8_9_1">#REF!</definedName>
    <definedName name="Excel_BuiltIn_Print_Titles_6_4_8_9_2" localSheetId="16">#REF!</definedName>
    <definedName name="Excel_BuiltIn_Print_Titles_6_4_8_9_2" localSheetId="53">#REF!</definedName>
    <definedName name="Excel_BuiltIn_Print_Titles_6_4_8_9_2">#REF!</definedName>
    <definedName name="Excel_BuiltIn_Print_Titles_6_4_8_9_3" localSheetId="16">#REF!</definedName>
    <definedName name="Excel_BuiltIn_Print_Titles_6_4_8_9_3" localSheetId="53">#REF!</definedName>
    <definedName name="Excel_BuiltIn_Print_Titles_6_4_8_9_3">#REF!</definedName>
    <definedName name="Excel_BuiltIn_Print_Titles_6_4_9" localSheetId="16">#REF!</definedName>
    <definedName name="Excel_BuiltIn_Print_Titles_6_4_9" localSheetId="53">#REF!</definedName>
    <definedName name="Excel_BuiltIn_Print_Titles_6_4_9">#REF!</definedName>
    <definedName name="Excel_BuiltIn_Print_Titles_6_4_9_1" localSheetId="16">#REF!</definedName>
    <definedName name="Excel_BuiltIn_Print_Titles_6_4_9_1" localSheetId="53">#REF!</definedName>
    <definedName name="Excel_BuiltIn_Print_Titles_6_4_9_1">#REF!</definedName>
    <definedName name="Excel_BuiltIn_Print_Titles_6_4_9_2" localSheetId="16">#REF!</definedName>
    <definedName name="Excel_BuiltIn_Print_Titles_6_4_9_2" localSheetId="53">#REF!</definedName>
    <definedName name="Excel_BuiltIn_Print_Titles_6_4_9_2">#REF!</definedName>
    <definedName name="Excel_BuiltIn_Print_Titles_6_4_9_3" localSheetId="16">#REF!</definedName>
    <definedName name="Excel_BuiltIn_Print_Titles_6_4_9_3" localSheetId="53">#REF!</definedName>
    <definedName name="Excel_BuiltIn_Print_Titles_6_4_9_3">#REF!</definedName>
    <definedName name="Excel_BuiltIn_Print_Titles_6_5" localSheetId="16">#REF!</definedName>
    <definedName name="Excel_BuiltIn_Print_Titles_6_5" localSheetId="53">#REF!</definedName>
    <definedName name="Excel_BuiltIn_Print_Titles_6_5">#REF!</definedName>
    <definedName name="Excel_BuiltIn_Print_Titles_6_5_1" localSheetId="16">#REF!</definedName>
    <definedName name="Excel_BuiltIn_Print_Titles_6_5_1" localSheetId="53">#REF!</definedName>
    <definedName name="Excel_BuiltIn_Print_Titles_6_5_1">#REF!</definedName>
    <definedName name="Excel_BuiltIn_Print_Titles_6_5_10" localSheetId="16">#REF!</definedName>
    <definedName name="Excel_BuiltIn_Print_Titles_6_5_10" localSheetId="53">#REF!</definedName>
    <definedName name="Excel_BuiltIn_Print_Titles_6_5_10">#REF!</definedName>
    <definedName name="Excel_BuiltIn_Print_Titles_6_5_10_1" localSheetId="16">#REF!</definedName>
    <definedName name="Excel_BuiltIn_Print_Titles_6_5_10_1" localSheetId="53">#REF!</definedName>
    <definedName name="Excel_BuiltIn_Print_Titles_6_5_10_1">#REF!</definedName>
    <definedName name="Excel_BuiltIn_Print_Titles_6_5_10_2" localSheetId="16">#REF!</definedName>
    <definedName name="Excel_BuiltIn_Print_Titles_6_5_10_2" localSheetId="53">#REF!</definedName>
    <definedName name="Excel_BuiltIn_Print_Titles_6_5_10_2">#REF!</definedName>
    <definedName name="Excel_BuiltIn_Print_Titles_6_5_10_3" localSheetId="16">#REF!</definedName>
    <definedName name="Excel_BuiltIn_Print_Titles_6_5_10_3" localSheetId="53">#REF!</definedName>
    <definedName name="Excel_BuiltIn_Print_Titles_6_5_10_3">#REF!</definedName>
    <definedName name="Excel_BuiltIn_Print_Titles_6_5_2" localSheetId="16">#REF!</definedName>
    <definedName name="Excel_BuiltIn_Print_Titles_6_5_2" localSheetId="53">#REF!</definedName>
    <definedName name="Excel_BuiltIn_Print_Titles_6_5_2">#REF!</definedName>
    <definedName name="Excel_BuiltIn_Print_Titles_6_5_3" localSheetId="16">#REF!</definedName>
    <definedName name="Excel_BuiltIn_Print_Titles_6_5_3" localSheetId="53">#REF!</definedName>
    <definedName name="Excel_BuiltIn_Print_Titles_6_5_3">#REF!</definedName>
    <definedName name="Excel_BuiltIn_Print_Titles_6_5_9" localSheetId="16">#REF!</definedName>
    <definedName name="Excel_BuiltIn_Print_Titles_6_5_9" localSheetId="53">#REF!</definedName>
    <definedName name="Excel_BuiltIn_Print_Titles_6_5_9">#REF!</definedName>
    <definedName name="Excel_BuiltIn_Print_Titles_6_5_9_1" localSheetId="16">#REF!</definedName>
    <definedName name="Excel_BuiltIn_Print_Titles_6_5_9_1" localSheetId="53">#REF!</definedName>
    <definedName name="Excel_BuiltIn_Print_Titles_6_5_9_1">#REF!</definedName>
    <definedName name="Excel_BuiltIn_Print_Titles_6_5_9_2" localSheetId="16">#REF!</definedName>
    <definedName name="Excel_BuiltIn_Print_Titles_6_5_9_2" localSheetId="53">#REF!</definedName>
    <definedName name="Excel_BuiltIn_Print_Titles_6_5_9_2">#REF!</definedName>
    <definedName name="Excel_BuiltIn_Print_Titles_6_5_9_3" localSheetId="16">#REF!</definedName>
    <definedName name="Excel_BuiltIn_Print_Titles_6_5_9_3" localSheetId="53">#REF!</definedName>
    <definedName name="Excel_BuiltIn_Print_Titles_6_5_9_3">#REF!</definedName>
    <definedName name="Excel_BuiltIn_Print_Titles_6_6" localSheetId="16">#REF!</definedName>
    <definedName name="Excel_BuiltIn_Print_Titles_6_6" localSheetId="53">#REF!</definedName>
    <definedName name="Excel_BuiltIn_Print_Titles_6_6">#REF!</definedName>
    <definedName name="Excel_BuiltIn_Print_Titles_6_6_1" localSheetId="16">#REF!</definedName>
    <definedName name="Excel_BuiltIn_Print_Titles_6_6_1" localSheetId="53">#REF!</definedName>
    <definedName name="Excel_BuiltIn_Print_Titles_6_6_1">#REF!</definedName>
    <definedName name="Excel_BuiltIn_Print_Titles_6_6_10" localSheetId="16">#REF!</definedName>
    <definedName name="Excel_BuiltIn_Print_Titles_6_6_10" localSheetId="53">#REF!</definedName>
    <definedName name="Excel_BuiltIn_Print_Titles_6_6_10">#REF!</definedName>
    <definedName name="Excel_BuiltIn_Print_Titles_6_6_10_1" localSheetId="16">#REF!</definedName>
    <definedName name="Excel_BuiltIn_Print_Titles_6_6_10_1" localSheetId="53">#REF!</definedName>
    <definedName name="Excel_BuiltIn_Print_Titles_6_6_10_1">#REF!</definedName>
    <definedName name="Excel_BuiltIn_Print_Titles_6_6_10_2" localSheetId="16">#REF!</definedName>
    <definedName name="Excel_BuiltIn_Print_Titles_6_6_10_2" localSheetId="53">#REF!</definedName>
    <definedName name="Excel_BuiltIn_Print_Titles_6_6_10_2">#REF!</definedName>
    <definedName name="Excel_BuiltIn_Print_Titles_6_6_10_3" localSheetId="16">#REF!</definedName>
    <definedName name="Excel_BuiltIn_Print_Titles_6_6_10_3" localSheetId="53">#REF!</definedName>
    <definedName name="Excel_BuiltIn_Print_Titles_6_6_10_3">#REF!</definedName>
    <definedName name="Excel_BuiltIn_Print_Titles_6_6_2" localSheetId="16">#REF!</definedName>
    <definedName name="Excel_BuiltIn_Print_Titles_6_6_2" localSheetId="53">#REF!</definedName>
    <definedName name="Excel_BuiltIn_Print_Titles_6_6_2">#REF!</definedName>
    <definedName name="Excel_BuiltIn_Print_Titles_6_6_3" localSheetId="16">#REF!</definedName>
    <definedName name="Excel_BuiltIn_Print_Titles_6_6_3" localSheetId="53">#REF!</definedName>
    <definedName name="Excel_BuiltIn_Print_Titles_6_6_3">#REF!</definedName>
    <definedName name="Excel_BuiltIn_Print_Titles_6_6_9" localSheetId="16">#REF!</definedName>
    <definedName name="Excel_BuiltIn_Print_Titles_6_6_9" localSheetId="53">#REF!</definedName>
    <definedName name="Excel_BuiltIn_Print_Titles_6_6_9">#REF!</definedName>
    <definedName name="Excel_BuiltIn_Print_Titles_6_6_9_1" localSheetId="16">#REF!</definedName>
    <definedName name="Excel_BuiltIn_Print_Titles_6_6_9_1" localSheetId="53">#REF!</definedName>
    <definedName name="Excel_BuiltIn_Print_Titles_6_6_9_1">#REF!</definedName>
    <definedName name="Excel_BuiltIn_Print_Titles_6_6_9_2" localSheetId="16">#REF!</definedName>
    <definedName name="Excel_BuiltIn_Print_Titles_6_6_9_2" localSheetId="53">#REF!</definedName>
    <definedName name="Excel_BuiltIn_Print_Titles_6_6_9_2">#REF!</definedName>
    <definedName name="Excel_BuiltIn_Print_Titles_6_6_9_3" localSheetId="16">#REF!</definedName>
    <definedName name="Excel_BuiltIn_Print_Titles_6_6_9_3" localSheetId="53">#REF!</definedName>
    <definedName name="Excel_BuiltIn_Print_Titles_6_6_9_3">#REF!</definedName>
    <definedName name="Excel_BuiltIn_Print_Titles_6_7" localSheetId="16">#REF!</definedName>
    <definedName name="Excel_BuiltIn_Print_Titles_6_7" localSheetId="53">#REF!</definedName>
    <definedName name="Excel_BuiltIn_Print_Titles_6_7">#REF!</definedName>
    <definedName name="Excel_BuiltIn_Print_Titles_6_7_1" localSheetId="16">#REF!</definedName>
    <definedName name="Excel_BuiltIn_Print_Titles_6_7_1" localSheetId="53">#REF!</definedName>
    <definedName name="Excel_BuiltIn_Print_Titles_6_7_1">#REF!</definedName>
    <definedName name="Excel_BuiltIn_Print_Titles_6_7_10" localSheetId="16">#REF!</definedName>
    <definedName name="Excel_BuiltIn_Print_Titles_6_7_10" localSheetId="53">#REF!</definedName>
    <definedName name="Excel_BuiltIn_Print_Titles_6_7_10">#REF!</definedName>
    <definedName name="Excel_BuiltIn_Print_Titles_6_7_10_1" localSheetId="16">#REF!</definedName>
    <definedName name="Excel_BuiltIn_Print_Titles_6_7_10_1" localSheetId="53">#REF!</definedName>
    <definedName name="Excel_BuiltIn_Print_Titles_6_7_10_1">#REF!</definedName>
    <definedName name="Excel_BuiltIn_Print_Titles_6_7_10_2" localSheetId="16">#REF!</definedName>
    <definedName name="Excel_BuiltIn_Print_Titles_6_7_10_2" localSheetId="53">#REF!</definedName>
    <definedName name="Excel_BuiltIn_Print_Titles_6_7_10_2">#REF!</definedName>
    <definedName name="Excel_BuiltIn_Print_Titles_6_7_10_3" localSheetId="16">#REF!</definedName>
    <definedName name="Excel_BuiltIn_Print_Titles_6_7_10_3" localSheetId="53">#REF!</definedName>
    <definedName name="Excel_BuiltIn_Print_Titles_6_7_10_3">#REF!</definedName>
    <definedName name="Excel_BuiltIn_Print_Titles_6_7_2" localSheetId="16">#REF!</definedName>
    <definedName name="Excel_BuiltIn_Print_Titles_6_7_2" localSheetId="53">#REF!</definedName>
    <definedName name="Excel_BuiltIn_Print_Titles_6_7_2">#REF!</definedName>
    <definedName name="Excel_BuiltIn_Print_Titles_6_7_3" localSheetId="16">#REF!</definedName>
    <definedName name="Excel_BuiltIn_Print_Titles_6_7_3" localSheetId="53">#REF!</definedName>
    <definedName name="Excel_BuiltIn_Print_Titles_6_7_3">#REF!</definedName>
    <definedName name="Excel_BuiltIn_Print_Titles_6_7_4" localSheetId="16">#REF!</definedName>
    <definedName name="Excel_BuiltIn_Print_Titles_6_7_4" localSheetId="53">#REF!</definedName>
    <definedName name="Excel_BuiltIn_Print_Titles_6_7_4">#REF!</definedName>
    <definedName name="Excel_BuiltIn_Print_Titles_6_7_4_1" localSheetId="16">#REF!</definedName>
    <definedName name="Excel_BuiltIn_Print_Titles_6_7_4_1" localSheetId="53">#REF!</definedName>
    <definedName name="Excel_BuiltIn_Print_Titles_6_7_4_1">#REF!</definedName>
    <definedName name="Excel_BuiltIn_Print_Titles_6_7_4_1_1" localSheetId="16">#REF!</definedName>
    <definedName name="Excel_BuiltIn_Print_Titles_6_7_4_1_1" localSheetId="53">#REF!</definedName>
    <definedName name="Excel_BuiltIn_Print_Titles_6_7_4_1_1">#REF!</definedName>
    <definedName name="Excel_BuiltIn_Print_Titles_6_7_4_1_1_1">#REF!</definedName>
    <definedName name="Excel_BuiltIn_Print_Titles_6_7_4_1_10" localSheetId="16">#REF!</definedName>
    <definedName name="Excel_BuiltIn_Print_Titles_6_7_4_1_10" localSheetId="53">#REF!</definedName>
    <definedName name="Excel_BuiltIn_Print_Titles_6_7_4_1_10">#REF!</definedName>
    <definedName name="Excel_BuiltIn_Print_Titles_6_7_4_1_10_1" localSheetId="16">#REF!</definedName>
    <definedName name="Excel_BuiltIn_Print_Titles_6_7_4_1_10_1" localSheetId="53">#REF!</definedName>
    <definedName name="Excel_BuiltIn_Print_Titles_6_7_4_1_10_1">#REF!</definedName>
    <definedName name="Excel_BuiltIn_Print_Titles_6_7_4_1_10_2" localSheetId="16">#REF!</definedName>
    <definedName name="Excel_BuiltIn_Print_Titles_6_7_4_1_10_2" localSheetId="53">#REF!</definedName>
    <definedName name="Excel_BuiltIn_Print_Titles_6_7_4_1_10_2">#REF!</definedName>
    <definedName name="Excel_BuiltIn_Print_Titles_6_7_4_1_10_3" localSheetId="16">#REF!</definedName>
    <definedName name="Excel_BuiltIn_Print_Titles_6_7_4_1_10_3" localSheetId="53">#REF!</definedName>
    <definedName name="Excel_BuiltIn_Print_Titles_6_7_4_1_10_3">#REF!</definedName>
    <definedName name="Excel_BuiltIn_Print_Titles_6_7_4_1_2" localSheetId="16">#REF!</definedName>
    <definedName name="Excel_BuiltIn_Print_Titles_6_7_4_1_2" localSheetId="53">#REF!</definedName>
    <definedName name="Excel_BuiltIn_Print_Titles_6_7_4_1_2">#REF!</definedName>
    <definedName name="Excel_BuiltIn_Print_Titles_6_7_4_1_3" localSheetId="16">#REF!</definedName>
    <definedName name="Excel_BuiltIn_Print_Titles_6_7_4_1_3" localSheetId="53">#REF!</definedName>
    <definedName name="Excel_BuiltIn_Print_Titles_6_7_4_1_3">#REF!</definedName>
    <definedName name="Excel_BuiltIn_Print_Titles_6_7_4_1_9" localSheetId="16">#REF!</definedName>
    <definedName name="Excel_BuiltIn_Print_Titles_6_7_4_1_9" localSheetId="53">#REF!</definedName>
    <definedName name="Excel_BuiltIn_Print_Titles_6_7_4_1_9">#REF!</definedName>
    <definedName name="Excel_BuiltIn_Print_Titles_6_7_4_1_9_1" localSheetId="16">#REF!</definedName>
    <definedName name="Excel_BuiltIn_Print_Titles_6_7_4_1_9_1" localSheetId="53">#REF!</definedName>
    <definedName name="Excel_BuiltIn_Print_Titles_6_7_4_1_9_1">#REF!</definedName>
    <definedName name="Excel_BuiltIn_Print_Titles_6_7_4_1_9_2" localSheetId="16">#REF!</definedName>
    <definedName name="Excel_BuiltIn_Print_Titles_6_7_4_1_9_2" localSheetId="53">#REF!</definedName>
    <definedName name="Excel_BuiltIn_Print_Titles_6_7_4_1_9_2">#REF!</definedName>
    <definedName name="Excel_BuiltIn_Print_Titles_6_7_4_1_9_3" localSheetId="16">#REF!</definedName>
    <definedName name="Excel_BuiltIn_Print_Titles_6_7_4_1_9_3" localSheetId="53">#REF!</definedName>
    <definedName name="Excel_BuiltIn_Print_Titles_6_7_4_1_9_3">#REF!</definedName>
    <definedName name="Excel_BuiltIn_Print_Titles_6_7_4_10" localSheetId="16">#REF!</definedName>
    <definedName name="Excel_BuiltIn_Print_Titles_6_7_4_10" localSheetId="53">#REF!</definedName>
    <definedName name="Excel_BuiltIn_Print_Titles_6_7_4_10">#REF!</definedName>
    <definedName name="Excel_BuiltIn_Print_Titles_6_7_4_10_1" localSheetId="16">#REF!</definedName>
    <definedName name="Excel_BuiltIn_Print_Titles_6_7_4_10_1" localSheetId="53">#REF!</definedName>
    <definedName name="Excel_BuiltIn_Print_Titles_6_7_4_10_1">#REF!</definedName>
    <definedName name="Excel_BuiltIn_Print_Titles_6_7_4_10_2" localSheetId="16">#REF!</definedName>
    <definedName name="Excel_BuiltIn_Print_Titles_6_7_4_10_2" localSheetId="53">#REF!</definedName>
    <definedName name="Excel_BuiltIn_Print_Titles_6_7_4_10_2">#REF!</definedName>
    <definedName name="Excel_BuiltIn_Print_Titles_6_7_4_10_3" localSheetId="16">#REF!</definedName>
    <definedName name="Excel_BuiltIn_Print_Titles_6_7_4_10_3" localSheetId="53">#REF!</definedName>
    <definedName name="Excel_BuiltIn_Print_Titles_6_7_4_10_3">#REF!</definedName>
    <definedName name="Excel_BuiltIn_Print_Titles_6_7_4_2" localSheetId="16">#REF!</definedName>
    <definedName name="Excel_BuiltIn_Print_Titles_6_7_4_2" localSheetId="53">#REF!</definedName>
    <definedName name="Excel_BuiltIn_Print_Titles_6_7_4_2">#REF!</definedName>
    <definedName name="Excel_BuiltIn_Print_Titles_6_7_4_3" localSheetId="16">#REF!</definedName>
    <definedName name="Excel_BuiltIn_Print_Titles_6_7_4_3" localSheetId="53">#REF!</definedName>
    <definedName name="Excel_BuiltIn_Print_Titles_6_7_4_3">#REF!</definedName>
    <definedName name="Excel_BuiltIn_Print_Titles_6_7_4_4" localSheetId="16">#REF!</definedName>
    <definedName name="Excel_BuiltIn_Print_Titles_6_7_4_4" localSheetId="53">#REF!</definedName>
    <definedName name="Excel_BuiltIn_Print_Titles_6_7_4_4">#REF!</definedName>
    <definedName name="Excel_BuiltIn_Print_Titles_6_7_4_4_1" localSheetId="16">#REF!</definedName>
    <definedName name="Excel_BuiltIn_Print_Titles_6_7_4_4_1" localSheetId="53">#REF!</definedName>
    <definedName name="Excel_BuiltIn_Print_Titles_6_7_4_4_1">#REF!</definedName>
    <definedName name="Excel_BuiltIn_Print_Titles_6_7_4_4_10" localSheetId="16">#REF!</definedName>
    <definedName name="Excel_BuiltIn_Print_Titles_6_7_4_4_10" localSheetId="53">#REF!</definedName>
    <definedName name="Excel_BuiltIn_Print_Titles_6_7_4_4_10">#REF!</definedName>
    <definedName name="Excel_BuiltIn_Print_Titles_6_7_4_4_10_1" localSheetId="16">#REF!</definedName>
    <definedName name="Excel_BuiltIn_Print_Titles_6_7_4_4_10_1" localSheetId="53">#REF!</definedName>
    <definedName name="Excel_BuiltIn_Print_Titles_6_7_4_4_10_1">#REF!</definedName>
    <definedName name="Excel_BuiltIn_Print_Titles_6_7_4_4_10_2" localSheetId="16">#REF!</definedName>
    <definedName name="Excel_BuiltIn_Print_Titles_6_7_4_4_10_2" localSheetId="53">#REF!</definedName>
    <definedName name="Excel_BuiltIn_Print_Titles_6_7_4_4_10_2">#REF!</definedName>
    <definedName name="Excel_BuiltIn_Print_Titles_6_7_4_4_10_3" localSheetId="16">#REF!</definedName>
    <definedName name="Excel_BuiltIn_Print_Titles_6_7_4_4_10_3" localSheetId="53">#REF!</definedName>
    <definedName name="Excel_BuiltIn_Print_Titles_6_7_4_4_10_3">#REF!</definedName>
    <definedName name="Excel_BuiltIn_Print_Titles_6_7_4_4_2" localSheetId="16">#REF!</definedName>
    <definedName name="Excel_BuiltIn_Print_Titles_6_7_4_4_2" localSheetId="53">#REF!</definedName>
    <definedName name="Excel_BuiltIn_Print_Titles_6_7_4_4_2">#REF!</definedName>
    <definedName name="Excel_BuiltIn_Print_Titles_6_7_4_4_3" localSheetId="16">#REF!</definedName>
    <definedName name="Excel_BuiltIn_Print_Titles_6_7_4_4_3" localSheetId="53">#REF!</definedName>
    <definedName name="Excel_BuiltIn_Print_Titles_6_7_4_4_3">#REF!</definedName>
    <definedName name="Excel_BuiltIn_Print_Titles_6_7_4_4_9" localSheetId="16">#REF!</definedName>
    <definedName name="Excel_BuiltIn_Print_Titles_6_7_4_4_9" localSheetId="53">#REF!</definedName>
    <definedName name="Excel_BuiltIn_Print_Titles_6_7_4_4_9">#REF!</definedName>
    <definedName name="Excel_BuiltIn_Print_Titles_6_7_4_4_9_1" localSheetId="16">#REF!</definedName>
    <definedName name="Excel_BuiltIn_Print_Titles_6_7_4_4_9_1" localSheetId="53">#REF!</definedName>
    <definedName name="Excel_BuiltIn_Print_Titles_6_7_4_4_9_1">#REF!</definedName>
    <definedName name="Excel_BuiltIn_Print_Titles_6_7_4_4_9_2" localSheetId="16">#REF!</definedName>
    <definedName name="Excel_BuiltIn_Print_Titles_6_7_4_4_9_2" localSheetId="53">#REF!</definedName>
    <definedName name="Excel_BuiltIn_Print_Titles_6_7_4_4_9_2">#REF!</definedName>
    <definedName name="Excel_BuiltIn_Print_Titles_6_7_4_4_9_3" localSheetId="16">#REF!</definedName>
    <definedName name="Excel_BuiltIn_Print_Titles_6_7_4_4_9_3" localSheetId="53">#REF!</definedName>
    <definedName name="Excel_BuiltIn_Print_Titles_6_7_4_4_9_3">#REF!</definedName>
    <definedName name="Excel_BuiltIn_Print_Titles_6_7_4_5" localSheetId="16">#REF!</definedName>
    <definedName name="Excel_BuiltIn_Print_Titles_6_7_4_5" localSheetId="53">#REF!</definedName>
    <definedName name="Excel_BuiltIn_Print_Titles_6_7_4_5">#REF!</definedName>
    <definedName name="Excel_BuiltIn_Print_Titles_6_7_4_5_1" localSheetId="16">#REF!</definedName>
    <definedName name="Excel_BuiltIn_Print_Titles_6_7_4_5_1" localSheetId="53">#REF!</definedName>
    <definedName name="Excel_BuiltIn_Print_Titles_6_7_4_5_1">#REF!</definedName>
    <definedName name="Excel_BuiltIn_Print_Titles_6_7_4_5_10" localSheetId="16">#REF!</definedName>
    <definedName name="Excel_BuiltIn_Print_Titles_6_7_4_5_10" localSheetId="53">#REF!</definedName>
    <definedName name="Excel_BuiltIn_Print_Titles_6_7_4_5_10">#REF!</definedName>
    <definedName name="Excel_BuiltIn_Print_Titles_6_7_4_5_10_1" localSheetId="16">#REF!</definedName>
    <definedName name="Excel_BuiltIn_Print_Titles_6_7_4_5_10_1" localSheetId="53">#REF!</definedName>
    <definedName name="Excel_BuiltIn_Print_Titles_6_7_4_5_10_1">#REF!</definedName>
    <definedName name="Excel_BuiltIn_Print_Titles_6_7_4_5_10_2" localSheetId="16">#REF!</definedName>
    <definedName name="Excel_BuiltIn_Print_Titles_6_7_4_5_10_2" localSheetId="53">#REF!</definedName>
    <definedName name="Excel_BuiltIn_Print_Titles_6_7_4_5_10_2">#REF!</definedName>
    <definedName name="Excel_BuiltIn_Print_Titles_6_7_4_5_10_3" localSheetId="16">#REF!</definedName>
    <definedName name="Excel_BuiltIn_Print_Titles_6_7_4_5_10_3" localSheetId="53">#REF!</definedName>
    <definedName name="Excel_BuiltIn_Print_Titles_6_7_4_5_10_3">#REF!</definedName>
    <definedName name="Excel_BuiltIn_Print_Titles_6_7_4_5_2" localSheetId="16">#REF!</definedName>
    <definedName name="Excel_BuiltIn_Print_Titles_6_7_4_5_2" localSheetId="53">#REF!</definedName>
    <definedName name="Excel_BuiltIn_Print_Titles_6_7_4_5_2">#REF!</definedName>
    <definedName name="Excel_BuiltIn_Print_Titles_6_7_4_5_3" localSheetId="16">#REF!</definedName>
    <definedName name="Excel_BuiltIn_Print_Titles_6_7_4_5_3" localSheetId="53">#REF!</definedName>
    <definedName name="Excel_BuiltIn_Print_Titles_6_7_4_5_3">#REF!</definedName>
    <definedName name="Excel_BuiltIn_Print_Titles_6_7_4_5_9" localSheetId="16">#REF!</definedName>
    <definedName name="Excel_BuiltIn_Print_Titles_6_7_4_5_9" localSheetId="53">#REF!</definedName>
    <definedName name="Excel_BuiltIn_Print_Titles_6_7_4_5_9">#REF!</definedName>
    <definedName name="Excel_BuiltIn_Print_Titles_6_7_4_5_9_1" localSheetId="16">#REF!</definedName>
    <definedName name="Excel_BuiltIn_Print_Titles_6_7_4_5_9_1" localSheetId="53">#REF!</definedName>
    <definedName name="Excel_BuiltIn_Print_Titles_6_7_4_5_9_1">#REF!</definedName>
    <definedName name="Excel_BuiltIn_Print_Titles_6_7_4_5_9_2" localSheetId="16">#REF!</definedName>
    <definedName name="Excel_BuiltIn_Print_Titles_6_7_4_5_9_2" localSheetId="53">#REF!</definedName>
    <definedName name="Excel_BuiltIn_Print_Titles_6_7_4_5_9_2">#REF!</definedName>
    <definedName name="Excel_BuiltIn_Print_Titles_6_7_4_5_9_3" localSheetId="16">#REF!</definedName>
    <definedName name="Excel_BuiltIn_Print_Titles_6_7_4_5_9_3" localSheetId="53">#REF!</definedName>
    <definedName name="Excel_BuiltIn_Print_Titles_6_7_4_5_9_3">#REF!</definedName>
    <definedName name="Excel_BuiltIn_Print_Titles_6_7_4_6" localSheetId="16">#REF!</definedName>
    <definedName name="Excel_BuiltIn_Print_Titles_6_7_4_6" localSheetId="53">#REF!</definedName>
    <definedName name="Excel_BuiltIn_Print_Titles_6_7_4_6">#REF!</definedName>
    <definedName name="Excel_BuiltIn_Print_Titles_6_7_4_6_1" localSheetId="16">#REF!</definedName>
    <definedName name="Excel_BuiltIn_Print_Titles_6_7_4_6_1" localSheetId="53">#REF!</definedName>
    <definedName name="Excel_BuiltIn_Print_Titles_6_7_4_6_1">#REF!</definedName>
    <definedName name="Excel_BuiltIn_Print_Titles_6_7_4_6_10" localSheetId="16">#REF!</definedName>
    <definedName name="Excel_BuiltIn_Print_Titles_6_7_4_6_10" localSheetId="53">#REF!</definedName>
    <definedName name="Excel_BuiltIn_Print_Titles_6_7_4_6_10">#REF!</definedName>
    <definedName name="Excel_BuiltIn_Print_Titles_6_7_4_6_10_1" localSheetId="16">#REF!</definedName>
    <definedName name="Excel_BuiltIn_Print_Titles_6_7_4_6_10_1" localSheetId="53">#REF!</definedName>
    <definedName name="Excel_BuiltIn_Print_Titles_6_7_4_6_10_1">#REF!</definedName>
    <definedName name="Excel_BuiltIn_Print_Titles_6_7_4_6_10_2" localSheetId="16">#REF!</definedName>
    <definedName name="Excel_BuiltIn_Print_Titles_6_7_4_6_10_2" localSheetId="53">#REF!</definedName>
    <definedName name="Excel_BuiltIn_Print_Titles_6_7_4_6_10_2">#REF!</definedName>
    <definedName name="Excel_BuiltIn_Print_Titles_6_7_4_6_10_3" localSheetId="16">#REF!</definedName>
    <definedName name="Excel_BuiltIn_Print_Titles_6_7_4_6_10_3" localSheetId="53">#REF!</definedName>
    <definedName name="Excel_BuiltIn_Print_Titles_6_7_4_6_10_3">#REF!</definedName>
    <definedName name="Excel_BuiltIn_Print_Titles_6_7_4_6_2" localSheetId="16">#REF!</definedName>
    <definedName name="Excel_BuiltIn_Print_Titles_6_7_4_6_2" localSheetId="53">#REF!</definedName>
    <definedName name="Excel_BuiltIn_Print_Titles_6_7_4_6_2">#REF!</definedName>
    <definedName name="Excel_BuiltIn_Print_Titles_6_7_4_6_3" localSheetId="16">#REF!</definedName>
    <definedName name="Excel_BuiltIn_Print_Titles_6_7_4_6_3" localSheetId="53">#REF!</definedName>
    <definedName name="Excel_BuiltIn_Print_Titles_6_7_4_6_3">#REF!</definedName>
    <definedName name="Excel_BuiltIn_Print_Titles_6_7_4_6_9" localSheetId="16">#REF!</definedName>
    <definedName name="Excel_BuiltIn_Print_Titles_6_7_4_6_9" localSheetId="53">#REF!</definedName>
    <definedName name="Excel_BuiltIn_Print_Titles_6_7_4_6_9">#REF!</definedName>
    <definedName name="Excel_BuiltIn_Print_Titles_6_7_4_6_9_1" localSheetId="16">#REF!</definedName>
    <definedName name="Excel_BuiltIn_Print_Titles_6_7_4_6_9_1" localSheetId="53">#REF!</definedName>
    <definedName name="Excel_BuiltIn_Print_Titles_6_7_4_6_9_1">#REF!</definedName>
    <definedName name="Excel_BuiltIn_Print_Titles_6_7_4_6_9_2" localSheetId="16">#REF!</definedName>
    <definedName name="Excel_BuiltIn_Print_Titles_6_7_4_6_9_2" localSheetId="53">#REF!</definedName>
    <definedName name="Excel_BuiltIn_Print_Titles_6_7_4_6_9_2">#REF!</definedName>
    <definedName name="Excel_BuiltIn_Print_Titles_6_7_4_6_9_3" localSheetId="16">#REF!</definedName>
    <definedName name="Excel_BuiltIn_Print_Titles_6_7_4_6_9_3" localSheetId="53">#REF!</definedName>
    <definedName name="Excel_BuiltIn_Print_Titles_6_7_4_6_9_3">#REF!</definedName>
    <definedName name="Excel_BuiltIn_Print_Titles_6_7_4_8" localSheetId="16">#REF!</definedName>
    <definedName name="Excel_BuiltIn_Print_Titles_6_7_4_8" localSheetId="53">#REF!</definedName>
    <definedName name="Excel_BuiltIn_Print_Titles_6_7_4_8">#REF!</definedName>
    <definedName name="Excel_BuiltIn_Print_Titles_6_7_4_8_1" localSheetId="16">#REF!</definedName>
    <definedName name="Excel_BuiltIn_Print_Titles_6_7_4_8_1" localSheetId="53">#REF!</definedName>
    <definedName name="Excel_BuiltIn_Print_Titles_6_7_4_8_1">#REF!</definedName>
    <definedName name="Excel_BuiltIn_Print_Titles_6_7_4_8_10" localSheetId="16">#REF!</definedName>
    <definedName name="Excel_BuiltIn_Print_Titles_6_7_4_8_10" localSheetId="53">#REF!</definedName>
    <definedName name="Excel_BuiltIn_Print_Titles_6_7_4_8_10">#REF!</definedName>
    <definedName name="Excel_BuiltIn_Print_Titles_6_7_4_8_10_1" localSheetId="16">#REF!</definedName>
    <definedName name="Excel_BuiltIn_Print_Titles_6_7_4_8_10_1" localSheetId="53">#REF!</definedName>
    <definedName name="Excel_BuiltIn_Print_Titles_6_7_4_8_10_1">#REF!</definedName>
    <definedName name="Excel_BuiltIn_Print_Titles_6_7_4_8_10_2" localSheetId="16">#REF!</definedName>
    <definedName name="Excel_BuiltIn_Print_Titles_6_7_4_8_10_2" localSheetId="53">#REF!</definedName>
    <definedName name="Excel_BuiltIn_Print_Titles_6_7_4_8_10_2">#REF!</definedName>
    <definedName name="Excel_BuiltIn_Print_Titles_6_7_4_8_10_3" localSheetId="16">#REF!</definedName>
    <definedName name="Excel_BuiltIn_Print_Titles_6_7_4_8_10_3" localSheetId="53">#REF!</definedName>
    <definedName name="Excel_BuiltIn_Print_Titles_6_7_4_8_10_3">#REF!</definedName>
    <definedName name="Excel_BuiltIn_Print_Titles_6_7_4_8_2" localSheetId="16">#REF!</definedName>
    <definedName name="Excel_BuiltIn_Print_Titles_6_7_4_8_2" localSheetId="53">#REF!</definedName>
    <definedName name="Excel_BuiltIn_Print_Titles_6_7_4_8_2">#REF!</definedName>
    <definedName name="Excel_BuiltIn_Print_Titles_6_7_4_8_3" localSheetId="16">#REF!</definedName>
    <definedName name="Excel_BuiltIn_Print_Titles_6_7_4_8_3" localSheetId="53">#REF!</definedName>
    <definedName name="Excel_BuiltIn_Print_Titles_6_7_4_8_3">#REF!</definedName>
    <definedName name="Excel_BuiltIn_Print_Titles_6_7_4_8_9" localSheetId="16">#REF!</definedName>
    <definedName name="Excel_BuiltIn_Print_Titles_6_7_4_8_9" localSheetId="53">#REF!</definedName>
    <definedName name="Excel_BuiltIn_Print_Titles_6_7_4_8_9">#REF!</definedName>
    <definedName name="Excel_BuiltIn_Print_Titles_6_7_4_8_9_1" localSheetId="16">#REF!</definedName>
    <definedName name="Excel_BuiltIn_Print_Titles_6_7_4_8_9_1" localSheetId="53">#REF!</definedName>
    <definedName name="Excel_BuiltIn_Print_Titles_6_7_4_8_9_1">#REF!</definedName>
    <definedName name="Excel_BuiltIn_Print_Titles_6_7_4_8_9_2" localSheetId="16">#REF!</definedName>
    <definedName name="Excel_BuiltIn_Print_Titles_6_7_4_8_9_2" localSheetId="53">#REF!</definedName>
    <definedName name="Excel_BuiltIn_Print_Titles_6_7_4_8_9_2">#REF!</definedName>
    <definedName name="Excel_BuiltIn_Print_Titles_6_7_4_8_9_3" localSheetId="16">#REF!</definedName>
    <definedName name="Excel_BuiltIn_Print_Titles_6_7_4_8_9_3" localSheetId="53">#REF!</definedName>
    <definedName name="Excel_BuiltIn_Print_Titles_6_7_4_8_9_3">#REF!</definedName>
    <definedName name="Excel_BuiltIn_Print_Titles_6_7_4_9" localSheetId="16">#REF!</definedName>
    <definedName name="Excel_BuiltIn_Print_Titles_6_7_4_9" localSheetId="53">#REF!</definedName>
    <definedName name="Excel_BuiltIn_Print_Titles_6_7_4_9">#REF!</definedName>
    <definedName name="Excel_BuiltIn_Print_Titles_6_7_4_9_1" localSheetId="16">#REF!</definedName>
    <definedName name="Excel_BuiltIn_Print_Titles_6_7_4_9_1" localSheetId="53">#REF!</definedName>
    <definedName name="Excel_BuiltIn_Print_Titles_6_7_4_9_1">#REF!</definedName>
    <definedName name="Excel_BuiltIn_Print_Titles_6_7_4_9_2" localSheetId="16">#REF!</definedName>
    <definedName name="Excel_BuiltIn_Print_Titles_6_7_4_9_2" localSheetId="53">#REF!</definedName>
    <definedName name="Excel_BuiltIn_Print_Titles_6_7_4_9_2">#REF!</definedName>
    <definedName name="Excel_BuiltIn_Print_Titles_6_7_4_9_3" localSheetId="16">#REF!</definedName>
    <definedName name="Excel_BuiltIn_Print_Titles_6_7_4_9_3" localSheetId="53">#REF!</definedName>
    <definedName name="Excel_BuiltIn_Print_Titles_6_7_4_9_3">#REF!</definedName>
    <definedName name="Excel_BuiltIn_Print_Titles_6_7_5" localSheetId="16">#REF!</definedName>
    <definedName name="Excel_BuiltIn_Print_Titles_6_7_5" localSheetId="53">#REF!</definedName>
    <definedName name="Excel_BuiltIn_Print_Titles_6_7_5">#REF!</definedName>
    <definedName name="Excel_BuiltIn_Print_Titles_6_7_5_1" localSheetId="16">#REF!</definedName>
    <definedName name="Excel_BuiltIn_Print_Titles_6_7_5_1" localSheetId="53">#REF!</definedName>
    <definedName name="Excel_BuiltIn_Print_Titles_6_7_5_1">#REF!</definedName>
    <definedName name="Excel_BuiltIn_Print_Titles_6_7_5_10" localSheetId="16">#REF!</definedName>
    <definedName name="Excel_BuiltIn_Print_Titles_6_7_5_10" localSheetId="53">#REF!</definedName>
    <definedName name="Excel_BuiltIn_Print_Titles_6_7_5_10">#REF!</definedName>
    <definedName name="Excel_BuiltIn_Print_Titles_6_7_5_10_1" localSheetId="16">#REF!</definedName>
    <definedName name="Excel_BuiltIn_Print_Titles_6_7_5_10_1" localSheetId="53">#REF!</definedName>
    <definedName name="Excel_BuiltIn_Print_Titles_6_7_5_10_1">#REF!</definedName>
    <definedName name="Excel_BuiltIn_Print_Titles_6_7_5_10_2" localSheetId="16">#REF!</definedName>
    <definedName name="Excel_BuiltIn_Print_Titles_6_7_5_10_2" localSheetId="53">#REF!</definedName>
    <definedName name="Excel_BuiltIn_Print_Titles_6_7_5_10_2">#REF!</definedName>
    <definedName name="Excel_BuiltIn_Print_Titles_6_7_5_10_3" localSheetId="16">#REF!</definedName>
    <definedName name="Excel_BuiltIn_Print_Titles_6_7_5_10_3" localSheetId="53">#REF!</definedName>
    <definedName name="Excel_BuiltIn_Print_Titles_6_7_5_10_3">#REF!</definedName>
    <definedName name="Excel_BuiltIn_Print_Titles_6_7_5_2" localSheetId="16">#REF!</definedName>
    <definedName name="Excel_BuiltIn_Print_Titles_6_7_5_2" localSheetId="53">#REF!</definedName>
    <definedName name="Excel_BuiltIn_Print_Titles_6_7_5_2">#REF!</definedName>
    <definedName name="Excel_BuiltIn_Print_Titles_6_7_5_3" localSheetId="16">#REF!</definedName>
    <definedName name="Excel_BuiltIn_Print_Titles_6_7_5_3" localSheetId="53">#REF!</definedName>
    <definedName name="Excel_BuiltIn_Print_Titles_6_7_5_3">#REF!</definedName>
    <definedName name="Excel_BuiltIn_Print_Titles_6_7_5_9" localSheetId="16">#REF!</definedName>
    <definedName name="Excel_BuiltIn_Print_Titles_6_7_5_9" localSheetId="53">#REF!</definedName>
    <definedName name="Excel_BuiltIn_Print_Titles_6_7_5_9">#REF!</definedName>
    <definedName name="Excel_BuiltIn_Print_Titles_6_7_5_9_1" localSheetId="16">#REF!</definedName>
    <definedName name="Excel_BuiltIn_Print_Titles_6_7_5_9_1" localSheetId="53">#REF!</definedName>
    <definedName name="Excel_BuiltIn_Print_Titles_6_7_5_9_1">#REF!</definedName>
    <definedName name="Excel_BuiltIn_Print_Titles_6_7_5_9_2" localSheetId="16">#REF!</definedName>
    <definedName name="Excel_BuiltIn_Print_Titles_6_7_5_9_2" localSheetId="53">#REF!</definedName>
    <definedName name="Excel_BuiltIn_Print_Titles_6_7_5_9_2">#REF!</definedName>
    <definedName name="Excel_BuiltIn_Print_Titles_6_7_5_9_3" localSheetId="16">#REF!</definedName>
    <definedName name="Excel_BuiltIn_Print_Titles_6_7_5_9_3" localSheetId="53">#REF!</definedName>
    <definedName name="Excel_BuiltIn_Print_Titles_6_7_5_9_3">#REF!</definedName>
    <definedName name="Excel_BuiltIn_Print_Titles_6_7_6" localSheetId="16">#REF!</definedName>
    <definedName name="Excel_BuiltIn_Print_Titles_6_7_6" localSheetId="53">#REF!</definedName>
    <definedName name="Excel_BuiltIn_Print_Titles_6_7_6">#REF!</definedName>
    <definedName name="Excel_BuiltIn_Print_Titles_6_7_6_1" localSheetId="16">#REF!</definedName>
    <definedName name="Excel_BuiltIn_Print_Titles_6_7_6_1" localSheetId="53">#REF!</definedName>
    <definedName name="Excel_BuiltIn_Print_Titles_6_7_6_1">#REF!</definedName>
    <definedName name="Excel_BuiltIn_Print_Titles_6_7_6_10" localSheetId="16">#REF!</definedName>
    <definedName name="Excel_BuiltIn_Print_Titles_6_7_6_10" localSheetId="53">#REF!</definedName>
    <definedName name="Excel_BuiltIn_Print_Titles_6_7_6_10">#REF!</definedName>
    <definedName name="Excel_BuiltIn_Print_Titles_6_7_6_10_1" localSheetId="16">#REF!</definedName>
    <definedName name="Excel_BuiltIn_Print_Titles_6_7_6_10_1" localSheetId="53">#REF!</definedName>
    <definedName name="Excel_BuiltIn_Print_Titles_6_7_6_10_1">#REF!</definedName>
    <definedName name="Excel_BuiltIn_Print_Titles_6_7_6_10_2" localSheetId="16">#REF!</definedName>
    <definedName name="Excel_BuiltIn_Print_Titles_6_7_6_10_2" localSheetId="53">#REF!</definedName>
    <definedName name="Excel_BuiltIn_Print_Titles_6_7_6_10_2">#REF!</definedName>
    <definedName name="Excel_BuiltIn_Print_Titles_6_7_6_10_3" localSheetId="16">#REF!</definedName>
    <definedName name="Excel_BuiltIn_Print_Titles_6_7_6_10_3" localSheetId="53">#REF!</definedName>
    <definedName name="Excel_BuiltIn_Print_Titles_6_7_6_10_3">#REF!</definedName>
    <definedName name="Excel_BuiltIn_Print_Titles_6_7_6_2" localSheetId="16">#REF!</definedName>
    <definedName name="Excel_BuiltIn_Print_Titles_6_7_6_2" localSheetId="53">#REF!</definedName>
    <definedName name="Excel_BuiltIn_Print_Titles_6_7_6_2">#REF!</definedName>
    <definedName name="Excel_BuiltIn_Print_Titles_6_7_6_3" localSheetId="16">#REF!</definedName>
    <definedName name="Excel_BuiltIn_Print_Titles_6_7_6_3" localSheetId="53">#REF!</definedName>
    <definedName name="Excel_BuiltIn_Print_Titles_6_7_6_3">#REF!</definedName>
    <definedName name="Excel_BuiltIn_Print_Titles_6_7_6_9" localSheetId="16">#REF!</definedName>
    <definedName name="Excel_BuiltIn_Print_Titles_6_7_6_9" localSheetId="53">#REF!</definedName>
    <definedName name="Excel_BuiltIn_Print_Titles_6_7_6_9">#REF!</definedName>
    <definedName name="Excel_BuiltIn_Print_Titles_6_7_6_9_1" localSheetId="16">#REF!</definedName>
    <definedName name="Excel_BuiltIn_Print_Titles_6_7_6_9_1" localSheetId="53">#REF!</definedName>
    <definedName name="Excel_BuiltIn_Print_Titles_6_7_6_9_1">#REF!</definedName>
    <definedName name="Excel_BuiltIn_Print_Titles_6_7_6_9_2" localSheetId="16">#REF!</definedName>
    <definedName name="Excel_BuiltIn_Print_Titles_6_7_6_9_2" localSheetId="53">#REF!</definedName>
    <definedName name="Excel_BuiltIn_Print_Titles_6_7_6_9_2">#REF!</definedName>
    <definedName name="Excel_BuiltIn_Print_Titles_6_7_6_9_3" localSheetId="16">#REF!</definedName>
    <definedName name="Excel_BuiltIn_Print_Titles_6_7_6_9_3" localSheetId="53">#REF!</definedName>
    <definedName name="Excel_BuiltIn_Print_Titles_6_7_6_9_3">#REF!</definedName>
    <definedName name="Excel_BuiltIn_Print_Titles_6_7_8" localSheetId="16">#REF!</definedName>
    <definedName name="Excel_BuiltIn_Print_Titles_6_7_8" localSheetId="53">#REF!</definedName>
    <definedName name="Excel_BuiltIn_Print_Titles_6_7_8">#REF!</definedName>
    <definedName name="Excel_BuiltIn_Print_Titles_6_7_8_1" localSheetId="16">#REF!</definedName>
    <definedName name="Excel_BuiltIn_Print_Titles_6_7_8_1" localSheetId="53">#REF!</definedName>
    <definedName name="Excel_BuiltIn_Print_Titles_6_7_8_1">#REF!</definedName>
    <definedName name="Excel_BuiltIn_Print_Titles_6_7_8_10" localSheetId="16">#REF!</definedName>
    <definedName name="Excel_BuiltIn_Print_Titles_6_7_8_10" localSheetId="53">#REF!</definedName>
    <definedName name="Excel_BuiltIn_Print_Titles_6_7_8_10">#REF!</definedName>
    <definedName name="Excel_BuiltIn_Print_Titles_6_7_8_10_1" localSheetId="16">#REF!</definedName>
    <definedName name="Excel_BuiltIn_Print_Titles_6_7_8_10_1" localSheetId="53">#REF!</definedName>
    <definedName name="Excel_BuiltIn_Print_Titles_6_7_8_10_1">#REF!</definedName>
    <definedName name="Excel_BuiltIn_Print_Titles_6_7_8_10_2" localSheetId="16">#REF!</definedName>
    <definedName name="Excel_BuiltIn_Print_Titles_6_7_8_10_2" localSheetId="53">#REF!</definedName>
    <definedName name="Excel_BuiltIn_Print_Titles_6_7_8_10_2">#REF!</definedName>
    <definedName name="Excel_BuiltIn_Print_Titles_6_7_8_10_3" localSheetId="16">#REF!</definedName>
    <definedName name="Excel_BuiltIn_Print_Titles_6_7_8_10_3" localSheetId="53">#REF!</definedName>
    <definedName name="Excel_BuiltIn_Print_Titles_6_7_8_10_3">#REF!</definedName>
    <definedName name="Excel_BuiltIn_Print_Titles_6_7_8_2" localSheetId="16">#REF!</definedName>
    <definedName name="Excel_BuiltIn_Print_Titles_6_7_8_2" localSheetId="53">#REF!</definedName>
    <definedName name="Excel_BuiltIn_Print_Titles_6_7_8_2">#REF!</definedName>
    <definedName name="Excel_BuiltIn_Print_Titles_6_7_8_3" localSheetId="16">#REF!</definedName>
    <definedName name="Excel_BuiltIn_Print_Titles_6_7_8_3" localSheetId="53">#REF!</definedName>
    <definedName name="Excel_BuiltIn_Print_Titles_6_7_8_3">#REF!</definedName>
    <definedName name="Excel_BuiltIn_Print_Titles_6_7_8_9" localSheetId="16">#REF!</definedName>
    <definedName name="Excel_BuiltIn_Print_Titles_6_7_8_9" localSheetId="53">#REF!</definedName>
    <definedName name="Excel_BuiltIn_Print_Titles_6_7_8_9">#REF!</definedName>
    <definedName name="Excel_BuiltIn_Print_Titles_6_7_8_9_1" localSheetId="16">#REF!</definedName>
    <definedName name="Excel_BuiltIn_Print_Titles_6_7_8_9_1" localSheetId="53">#REF!</definedName>
    <definedName name="Excel_BuiltIn_Print_Titles_6_7_8_9_1">#REF!</definedName>
    <definedName name="Excel_BuiltIn_Print_Titles_6_7_8_9_2" localSheetId="16">#REF!</definedName>
    <definedName name="Excel_BuiltIn_Print_Titles_6_7_8_9_2" localSheetId="53">#REF!</definedName>
    <definedName name="Excel_BuiltIn_Print_Titles_6_7_8_9_2">#REF!</definedName>
    <definedName name="Excel_BuiltIn_Print_Titles_6_7_8_9_3" localSheetId="16">#REF!</definedName>
    <definedName name="Excel_BuiltIn_Print_Titles_6_7_8_9_3" localSheetId="53">#REF!</definedName>
    <definedName name="Excel_BuiltIn_Print_Titles_6_7_8_9_3">#REF!</definedName>
    <definedName name="Excel_BuiltIn_Print_Titles_6_7_9" localSheetId="16">#REF!</definedName>
    <definedName name="Excel_BuiltIn_Print_Titles_6_7_9" localSheetId="53">#REF!</definedName>
    <definedName name="Excel_BuiltIn_Print_Titles_6_7_9">#REF!</definedName>
    <definedName name="Excel_BuiltIn_Print_Titles_6_7_9_1" localSheetId="16">#REF!</definedName>
    <definedName name="Excel_BuiltIn_Print_Titles_6_7_9_1" localSheetId="53">#REF!</definedName>
    <definedName name="Excel_BuiltIn_Print_Titles_6_7_9_1">#REF!</definedName>
    <definedName name="Excel_BuiltIn_Print_Titles_6_7_9_2" localSheetId="16">#REF!</definedName>
    <definedName name="Excel_BuiltIn_Print_Titles_6_7_9_2" localSheetId="53">#REF!</definedName>
    <definedName name="Excel_BuiltIn_Print_Titles_6_7_9_2">#REF!</definedName>
    <definedName name="Excel_BuiltIn_Print_Titles_6_7_9_3" localSheetId="16">#REF!</definedName>
    <definedName name="Excel_BuiltIn_Print_Titles_6_7_9_3" localSheetId="53">#REF!</definedName>
    <definedName name="Excel_BuiltIn_Print_Titles_6_7_9_3">#REF!</definedName>
    <definedName name="Excel_BuiltIn_Print_Titles_6_8" localSheetId="16">#REF!</definedName>
    <definedName name="Excel_BuiltIn_Print_Titles_6_8" localSheetId="53">#REF!</definedName>
    <definedName name="Excel_BuiltIn_Print_Titles_6_8">#REF!</definedName>
    <definedName name="Excel_BuiltIn_Print_Titles_6_8_1" localSheetId="16">#REF!</definedName>
    <definedName name="Excel_BuiltIn_Print_Titles_6_8_1" localSheetId="53">#REF!</definedName>
    <definedName name="Excel_BuiltIn_Print_Titles_6_8_1">#REF!</definedName>
    <definedName name="Excel_BuiltIn_Print_Titles_6_8_1_1" localSheetId="16">#REF!</definedName>
    <definedName name="Excel_BuiltIn_Print_Titles_6_8_1_1" localSheetId="53">#REF!</definedName>
    <definedName name="Excel_BuiltIn_Print_Titles_6_8_1_1">#REF!</definedName>
    <definedName name="Excel_BuiltIn_Print_Titles_6_8_1_1_1">#REF!</definedName>
    <definedName name="Excel_BuiltIn_Print_Titles_6_8_1_10" localSheetId="16">#REF!</definedName>
    <definedName name="Excel_BuiltIn_Print_Titles_6_8_1_10" localSheetId="53">#REF!</definedName>
    <definedName name="Excel_BuiltIn_Print_Titles_6_8_1_10">#REF!</definedName>
    <definedName name="Excel_BuiltIn_Print_Titles_6_8_1_10_1" localSheetId="16">#REF!</definedName>
    <definedName name="Excel_BuiltIn_Print_Titles_6_8_1_10_1" localSheetId="53">#REF!</definedName>
    <definedName name="Excel_BuiltIn_Print_Titles_6_8_1_10_1">#REF!</definedName>
    <definedName name="Excel_BuiltIn_Print_Titles_6_8_1_10_2" localSheetId="16">#REF!</definedName>
    <definedName name="Excel_BuiltIn_Print_Titles_6_8_1_10_2" localSheetId="53">#REF!</definedName>
    <definedName name="Excel_BuiltIn_Print_Titles_6_8_1_10_2">#REF!</definedName>
    <definedName name="Excel_BuiltIn_Print_Titles_6_8_1_10_3" localSheetId="16">#REF!</definedName>
    <definedName name="Excel_BuiltIn_Print_Titles_6_8_1_10_3" localSheetId="53">#REF!</definedName>
    <definedName name="Excel_BuiltIn_Print_Titles_6_8_1_10_3">#REF!</definedName>
    <definedName name="Excel_BuiltIn_Print_Titles_6_8_1_2" localSheetId="16">#REF!</definedName>
    <definedName name="Excel_BuiltIn_Print_Titles_6_8_1_2" localSheetId="53">#REF!</definedName>
    <definedName name="Excel_BuiltIn_Print_Titles_6_8_1_2">#REF!</definedName>
    <definedName name="Excel_BuiltIn_Print_Titles_6_8_1_3" localSheetId="16">#REF!</definedName>
    <definedName name="Excel_BuiltIn_Print_Titles_6_8_1_3" localSheetId="53">#REF!</definedName>
    <definedName name="Excel_BuiltIn_Print_Titles_6_8_1_3">#REF!</definedName>
    <definedName name="Excel_BuiltIn_Print_Titles_6_8_1_9" localSheetId="16">#REF!</definedName>
    <definedName name="Excel_BuiltIn_Print_Titles_6_8_1_9" localSheetId="53">#REF!</definedName>
    <definedName name="Excel_BuiltIn_Print_Titles_6_8_1_9">#REF!</definedName>
    <definedName name="Excel_BuiltIn_Print_Titles_6_8_1_9_1" localSheetId="16">#REF!</definedName>
    <definedName name="Excel_BuiltIn_Print_Titles_6_8_1_9_1" localSheetId="53">#REF!</definedName>
    <definedName name="Excel_BuiltIn_Print_Titles_6_8_1_9_1">#REF!</definedName>
    <definedName name="Excel_BuiltIn_Print_Titles_6_8_1_9_2" localSheetId="16">#REF!</definedName>
    <definedName name="Excel_BuiltIn_Print_Titles_6_8_1_9_2" localSheetId="53">#REF!</definedName>
    <definedName name="Excel_BuiltIn_Print_Titles_6_8_1_9_2">#REF!</definedName>
    <definedName name="Excel_BuiltIn_Print_Titles_6_8_1_9_3" localSheetId="16">#REF!</definedName>
    <definedName name="Excel_BuiltIn_Print_Titles_6_8_1_9_3" localSheetId="53">#REF!</definedName>
    <definedName name="Excel_BuiltIn_Print_Titles_6_8_1_9_3">#REF!</definedName>
    <definedName name="Excel_BuiltIn_Print_Titles_6_8_10" localSheetId="16">#REF!</definedName>
    <definedName name="Excel_BuiltIn_Print_Titles_6_8_10" localSheetId="53">#REF!</definedName>
    <definedName name="Excel_BuiltIn_Print_Titles_6_8_10">#REF!</definedName>
    <definedName name="Excel_BuiltIn_Print_Titles_6_8_10_1" localSheetId="16">#REF!</definedName>
    <definedName name="Excel_BuiltIn_Print_Titles_6_8_10_1" localSheetId="53">#REF!</definedName>
    <definedName name="Excel_BuiltIn_Print_Titles_6_8_10_1">#REF!</definedName>
    <definedName name="Excel_BuiltIn_Print_Titles_6_8_10_2" localSheetId="16">#REF!</definedName>
    <definedName name="Excel_BuiltIn_Print_Titles_6_8_10_2" localSheetId="53">#REF!</definedName>
    <definedName name="Excel_BuiltIn_Print_Titles_6_8_10_2">#REF!</definedName>
    <definedName name="Excel_BuiltIn_Print_Titles_6_8_10_3" localSheetId="16">#REF!</definedName>
    <definedName name="Excel_BuiltIn_Print_Titles_6_8_10_3" localSheetId="53">#REF!</definedName>
    <definedName name="Excel_BuiltIn_Print_Titles_6_8_10_3">#REF!</definedName>
    <definedName name="Excel_BuiltIn_Print_Titles_6_8_2" localSheetId="16">#REF!</definedName>
    <definedName name="Excel_BuiltIn_Print_Titles_6_8_2" localSheetId="53">#REF!</definedName>
    <definedName name="Excel_BuiltIn_Print_Titles_6_8_2">#REF!</definedName>
    <definedName name="Excel_BuiltIn_Print_Titles_6_8_3" localSheetId="16">#REF!</definedName>
    <definedName name="Excel_BuiltIn_Print_Titles_6_8_3" localSheetId="53">#REF!</definedName>
    <definedName name="Excel_BuiltIn_Print_Titles_6_8_3">#REF!</definedName>
    <definedName name="Excel_BuiltIn_Print_Titles_6_8_4" localSheetId="16">#REF!</definedName>
    <definedName name="Excel_BuiltIn_Print_Titles_6_8_4" localSheetId="53">#REF!</definedName>
    <definedName name="Excel_BuiltIn_Print_Titles_6_8_4">#REF!</definedName>
    <definedName name="Excel_BuiltIn_Print_Titles_6_8_4_1" localSheetId="16">#REF!</definedName>
    <definedName name="Excel_BuiltIn_Print_Titles_6_8_4_1" localSheetId="53">#REF!</definedName>
    <definedName name="Excel_BuiltIn_Print_Titles_6_8_4_1">#REF!</definedName>
    <definedName name="Excel_BuiltIn_Print_Titles_6_8_4_1_1" localSheetId="16">#REF!</definedName>
    <definedName name="Excel_BuiltIn_Print_Titles_6_8_4_1_1" localSheetId="53">#REF!</definedName>
    <definedName name="Excel_BuiltIn_Print_Titles_6_8_4_1_1">#REF!</definedName>
    <definedName name="Excel_BuiltIn_Print_Titles_6_8_4_1_1_1">#REF!</definedName>
    <definedName name="Excel_BuiltIn_Print_Titles_6_8_4_1_10" localSheetId="16">#REF!</definedName>
    <definedName name="Excel_BuiltIn_Print_Titles_6_8_4_1_10" localSheetId="53">#REF!</definedName>
    <definedName name="Excel_BuiltIn_Print_Titles_6_8_4_1_10">#REF!</definedName>
    <definedName name="Excel_BuiltIn_Print_Titles_6_8_4_1_10_1" localSheetId="16">#REF!</definedName>
    <definedName name="Excel_BuiltIn_Print_Titles_6_8_4_1_10_1" localSheetId="53">#REF!</definedName>
    <definedName name="Excel_BuiltIn_Print_Titles_6_8_4_1_10_1">#REF!</definedName>
    <definedName name="Excel_BuiltIn_Print_Titles_6_8_4_1_10_2" localSheetId="16">#REF!</definedName>
    <definedName name="Excel_BuiltIn_Print_Titles_6_8_4_1_10_2" localSheetId="53">#REF!</definedName>
    <definedName name="Excel_BuiltIn_Print_Titles_6_8_4_1_10_2">#REF!</definedName>
    <definedName name="Excel_BuiltIn_Print_Titles_6_8_4_1_10_3" localSheetId="16">#REF!</definedName>
    <definedName name="Excel_BuiltIn_Print_Titles_6_8_4_1_10_3" localSheetId="53">#REF!</definedName>
    <definedName name="Excel_BuiltIn_Print_Titles_6_8_4_1_10_3">#REF!</definedName>
    <definedName name="Excel_BuiltIn_Print_Titles_6_8_4_1_2" localSheetId="16">#REF!</definedName>
    <definedName name="Excel_BuiltIn_Print_Titles_6_8_4_1_2" localSheetId="53">#REF!</definedName>
    <definedName name="Excel_BuiltIn_Print_Titles_6_8_4_1_2">#REF!</definedName>
    <definedName name="Excel_BuiltIn_Print_Titles_6_8_4_1_3" localSheetId="16">#REF!</definedName>
    <definedName name="Excel_BuiltIn_Print_Titles_6_8_4_1_3" localSheetId="53">#REF!</definedName>
    <definedName name="Excel_BuiltIn_Print_Titles_6_8_4_1_3">#REF!</definedName>
    <definedName name="Excel_BuiltIn_Print_Titles_6_8_4_1_9" localSheetId="16">#REF!</definedName>
    <definedName name="Excel_BuiltIn_Print_Titles_6_8_4_1_9" localSheetId="53">#REF!</definedName>
    <definedName name="Excel_BuiltIn_Print_Titles_6_8_4_1_9">#REF!</definedName>
    <definedName name="Excel_BuiltIn_Print_Titles_6_8_4_1_9_1" localSheetId="16">#REF!</definedName>
    <definedName name="Excel_BuiltIn_Print_Titles_6_8_4_1_9_1" localSheetId="53">#REF!</definedName>
    <definedName name="Excel_BuiltIn_Print_Titles_6_8_4_1_9_1">#REF!</definedName>
    <definedName name="Excel_BuiltIn_Print_Titles_6_8_4_1_9_2" localSheetId="16">#REF!</definedName>
    <definedName name="Excel_BuiltIn_Print_Titles_6_8_4_1_9_2" localSheetId="53">#REF!</definedName>
    <definedName name="Excel_BuiltIn_Print_Titles_6_8_4_1_9_2">#REF!</definedName>
    <definedName name="Excel_BuiltIn_Print_Titles_6_8_4_1_9_3" localSheetId="16">#REF!</definedName>
    <definedName name="Excel_BuiltIn_Print_Titles_6_8_4_1_9_3" localSheetId="53">#REF!</definedName>
    <definedName name="Excel_BuiltIn_Print_Titles_6_8_4_1_9_3">#REF!</definedName>
    <definedName name="Excel_BuiltIn_Print_Titles_6_8_4_10" localSheetId="16">#REF!</definedName>
    <definedName name="Excel_BuiltIn_Print_Titles_6_8_4_10" localSheetId="53">#REF!</definedName>
    <definedName name="Excel_BuiltIn_Print_Titles_6_8_4_10">#REF!</definedName>
    <definedName name="Excel_BuiltIn_Print_Titles_6_8_4_10_1" localSheetId="16">#REF!</definedName>
    <definedName name="Excel_BuiltIn_Print_Titles_6_8_4_10_1" localSheetId="53">#REF!</definedName>
    <definedName name="Excel_BuiltIn_Print_Titles_6_8_4_10_1">#REF!</definedName>
    <definedName name="Excel_BuiltIn_Print_Titles_6_8_4_10_2" localSheetId="16">#REF!</definedName>
    <definedName name="Excel_BuiltIn_Print_Titles_6_8_4_10_2" localSheetId="53">#REF!</definedName>
    <definedName name="Excel_BuiltIn_Print_Titles_6_8_4_10_2">#REF!</definedName>
    <definedName name="Excel_BuiltIn_Print_Titles_6_8_4_10_3" localSheetId="16">#REF!</definedName>
    <definedName name="Excel_BuiltIn_Print_Titles_6_8_4_10_3" localSheetId="53">#REF!</definedName>
    <definedName name="Excel_BuiltIn_Print_Titles_6_8_4_10_3">#REF!</definedName>
    <definedName name="Excel_BuiltIn_Print_Titles_6_8_4_2" localSheetId="16">#REF!</definedName>
    <definedName name="Excel_BuiltIn_Print_Titles_6_8_4_2" localSheetId="53">#REF!</definedName>
    <definedName name="Excel_BuiltIn_Print_Titles_6_8_4_2">#REF!</definedName>
    <definedName name="Excel_BuiltIn_Print_Titles_6_8_4_3" localSheetId="16">#REF!</definedName>
    <definedName name="Excel_BuiltIn_Print_Titles_6_8_4_3" localSheetId="53">#REF!</definedName>
    <definedName name="Excel_BuiltIn_Print_Titles_6_8_4_3">#REF!</definedName>
    <definedName name="Excel_BuiltIn_Print_Titles_6_8_4_4" localSheetId="16">#REF!</definedName>
    <definedName name="Excel_BuiltIn_Print_Titles_6_8_4_4" localSheetId="53">#REF!</definedName>
    <definedName name="Excel_BuiltIn_Print_Titles_6_8_4_4">#REF!</definedName>
    <definedName name="Excel_BuiltIn_Print_Titles_6_8_4_4_1" localSheetId="16">#REF!</definedName>
    <definedName name="Excel_BuiltIn_Print_Titles_6_8_4_4_1" localSheetId="53">#REF!</definedName>
    <definedName name="Excel_BuiltIn_Print_Titles_6_8_4_4_1">#REF!</definedName>
    <definedName name="Excel_BuiltIn_Print_Titles_6_8_4_4_10" localSheetId="16">#REF!</definedName>
    <definedName name="Excel_BuiltIn_Print_Titles_6_8_4_4_10" localSheetId="53">#REF!</definedName>
    <definedName name="Excel_BuiltIn_Print_Titles_6_8_4_4_10">#REF!</definedName>
    <definedName name="Excel_BuiltIn_Print_Titles_6_8_4_4_10_1" localSheetId="16">#REF!</definedName>
    <definedName name="Excel_BuiltIn_Print_Titles_6_8_4_4_10_1" localSheetId="53">#REF!</definedName>
    <definedName name="Excel_BuiltIn_Print_Titles_6_8_4_4_10_1">#REF!</definedName>
    <definedName name="Excel_BuiltIn_Print_Titles_6_8_4_4_10_2" localSheetId="16">#REF!</definedName>
    <definedName name="Excel_BuiltIn_Print_Titles_6_8_4_4_10_2" localSheetId="53">#REF!</definedName>
    <definedName name="Excel_BuiltIn_Print_Titles_6_8_4_4_10_2">#REF!</definedName>
    <definedName name="Excel_BuiltIn_Print_Titles_6_8_4_4_10_3" localSheetId="16">#REF!</definedName>
    <definedName name="Excel_BuiltIn_Print_Titles_6_8_4_4_10_3" localSheetId="53">#REF!</definedName>
    <definedName name="Excel_BuiltIn_Print_Titles_6_8_4_4_10_3">#REF!</definedName>
    <definedName name="Excel_BuiltIn_Print_Titles_6_8_4_4_2" localSheetId="16">#REF!</definedName>
    <definedName name="Excel_BuiltIn_Print_Titles_6_8_4_4_2" localSheetId="53">#REF!</definedName>
    <definedName name="Excel_BuiltIn_Print_Titles_6_8_4_4_2">#REF!</definedName>
    <definedName name="Excel_BuiltIn_Print_Titles_6_8_4_4_3" localSheetId="16">#REF!</definedName>
    <definedName name="Excel_BuiltIn_Print_Titles_6_8_4_4_3" localSheetId="53">#REF!</definedName>
    <definedName name="Excel_BuiltIn_Print_Titles_6_8_4_4_3">#REF!</definedName>
    <definedName name="Excel_BuiltIn_Print_Titles_6_8_4_4_9" localSheetId="16">#REF!</definedName>
    <definedName name="Excel_BuiltIn_Print_Titles_6_8_4_4_9" localSheetId="53">#REF!</definedName>
    <definedName name="Excel_BuiltIn_Print_Titles_6_8_4_4_9">#REF!</definedName>
    <definedName name="Excel_BuiltIn_Print_Titles_6_8_4_4_9_1" localSheetId="16">#REF!</definedName>
    <definedName name="Excel_BuiltIn_Print_Titles_6_8_4_4_9_1" localSheetId="53">#REF!</definedName>
    <definedName name="Excel_BuiltIn_Print_Titles_6_8_4_4_9_1">#REF!</definedName>
    <definedName name="Excel_BuiltIn_Print_Titles_6_8_4_4_9_2" localSheetId="16">#REF!</definedName>
    <definedName name="Excel_BuiltIn_Print_Titles_6_8_4_4_9_2" localSheetId="53">#REF!</definedName>
    <definedName name="Excel_BuiltIn_Print_Titles_6_8_4_4_9_2">#REF!</definedName>
    <definedName name="Excel_BuiltIn_Print_Titles_6_8_4_4_9_3" localSheetId="16">#REF!</definedName>
    <definedName name="Excel_BuiltIn_Print_Titles_6_8_4_4_9_3" localSheetId="53">#REF!</definedName>
    <definedName name="Excel_BuiltIn_Print_Titles_6_8_4_4_9_3">#REF!</definedName>
    <definedName name="Excel_BuiltIn_Print_Titles_6_8_4_5" localSheetId="16">#REF!</definedName>
    <definedName name="Excel_BuiltIn_Print_Titles_6_8_4_5" localSheetId="53">#REF!</definedName>
    <definedName name="Excel_BuiltIn_Print_Titles_6_8_4_5">#REF!</definedName>
    <definedName name="Excel_BuiltIn_Print_Titles_6_8_4_5_1" localSheetId="16">#REF!</definedName>
    <definedName name="Excel_BuiltIn_Print_Titles_6_8_4_5_1" localSheetId="53">#REF!</definedName>
    <definedName name="Excel_BuiltIn_Print_Titles_6_8_4_5_1">#REF!</definedName>
    <definedName name="Excel_BuiltIn_Print_Titles_6_8_4_5_10" localSheetId="16">#REF!</definedName>
    <definedName name="Excel_BuiltIn_Print_Titles_6_8_4_5_10" localSheetId="53">#REF!</definedName>
    <definedName name="Excel_BuiltIn_Print_Titles_6_8_4_5_10">#REF!</definedName>
    <definedName name="Excel_BuiltIn_Print_Titles_6_8_4_5_10_1" localSheetId="16">#REF!</definedName>
    <definedName name="Excel_BuiltIn_Print_Titles_6_8_4_5_10_1" localSheetId="53">#REF!</definedName>
    <definedName name="Excel_BuiltIn_Print_Titles_6_8_4_5_10_1">#REF!</definedName>
    <definedName name="Excel_BuiltIn_Print_Titles_6_8_4_5_10_2" localSheetId="16">#REF!</definedName>
    <definedName name="Excel_BuiltIn_Print_Titles_6_8_4_5_10_2" localSheetId="53">#REF!</definedName>
    <definedName name="Excel_BuiltIn_Print_Titles_6_8_4_5_10_2">#REF!</definedName>
    <definedName name="Excel_BuiltIn_Print_Titles_6_8_4_5_10_3" localSheetId="16">#REF!</definedName>
    <definedName name="Excel_BuiltIn_Print_Titles_6_8_4_5_10_3" localSheetId="53">#REF!</definedName>
    <definedName name="Excel_BuiltIn_Print_Titles_6_8_4_5_10_3">#REF!</definedName>
    <definedName name="Excel_BuiltIn_Print_Titles_6_8_4_5_2" localSheetId="16">#REF!</definedName>
    <definedName name="Excel_BuiltIn_Print_Titles_6_8_4_5_2" localSheetId="53">#REF!</definedName>
    <definedName name="Excel_BuiltIn_Print_Titles_6_8_4_5_2">#REF!</definedName>
    <definedName name="Excel_BuiltIn_Print_Titles_6_8_4_5_3" localSheetId="16">#REF!</definedName>
    <definedName name="Excel_BuiltIn_Print_Titles_6_8_4_5_3" localSheetId="53">#REF!</definedName>
    <definedName name="Excel_BuiltIn_Print_Titles_6_8_4_5_3">#REF!</definedName>
    <definedName name="Excel_BuiltIn_Print_Titles_6_8_4_5_9" localSheetId="16">#REF!</definedName>
    <definedName name="Excel_BuiltIn_Print_Titles_6_8_4_5_9" localSheetId="53">#REF!</definedName>
    <definedName name="Excel_BuiltIn_Print_Titles_6_8_4_5_9">#REF!</definedName>
    <definedName name="Excel_BuiltIn_Print_Titles_6_8_4_5_9_1" localSheetId="16">#REF!</definedName>
    <definedName name="Excel_BuiltIn_Print_Titles_6_8_4_5_9_1" localSheetId="53">#REF!</definedName>
    <definedName name="Excel_BuiltIn_Print_Titles_6_8_4_5_9_1">#REF!</definedName>
    <definedName name="Excel_BuiltIn_Print_Titles_6_8_4_5_9_2" localSheetId="16">#REF!</definedName>
    <definedName name="Excel_BuiltIn_Print_Titles_6_8_4_5_9_2" localSheetId="53">#REF!</definedName>
    <definedName name="Excel_BuiltIn_Print_Titles_6_8_4_5_9_2">#REF!</definedName>
    <definedName name="Excel_BuiltIn_Print_Titles_6_8_4_5_9_3" localSheetId="16">#REF!</definedName>
    <definedName name="Excel_BuiltIn_Print_Titles_6_8_4_5_9_3" localSheetId="53">#REF!</definedName>
    <definedName name="Excel_BuiltIn_Print_Titles_6_8_4_5_9_3">#REF!</definedName>
    <definedName name="Excel_BuiltIn_Print_Titles_6_8_4_6" localSheetId="16">#REF!</definedName>
    <definedName name="Excel_BuiltIn_Print_Titles_6_8_4_6" localSheetId="53">#REF!</definedName>
    <definedName name="Excel_BuiltIn_Print_Titles_6_8_4_6">#REF!</definedName>
    <definedName name="Excel_BuiltIn_Print_Titles_6_8_4_6_1" localSheetId="16">#REF!</definedName>
    <definedName name="Excel_BuiltIn_Print_Titles_6_8_4_6_1" localSheetId="53">#REF!</definedName>
    <definedName name="Excel_BuiltIn_Print_Titles_6_8_4_6_1">#REF!</definedName>
    <definedName name="Excel_BuiltIn_Print_Titles_6_8_4_6_10" localSheetId="16">#REF!</definedName>
    <definedName name="Excel_BuiltIn_Print_Titles_6_8_4_6_10" localSheetId="53">#REF!</definedName>
    <definedName name="Excel_BuiltIn_Print_Titles_6_8_4_6_10">#REF!</definedName>
    <definedName name="Excel_BuiltIn_Print_Titles_6_8_4_6_10_1" localSheetId="16">#REF!</definedName>
    <definedName name="Excel_BuiltIn_Print_Titles_6_8_4_6_10_1" localSheetId="53">#REF!</definedName>
    <definedName name="Excel_BuiltIn_Print_Titles_6_8_4_6_10_1">#REF!</definedName>
    <definedName name="Excel_BuiltIn_Print_Titles_6_8_4_6_10_2" localSheetId="16">#REF!</definedName>
    <definedName name="Excel_BuiltIn_Print_Titles_6_8_4_6_10_2" localSheetId="53">#REF!</definedName>
    <definedName name="Excel_BuiltIn_Print_Titles_6_8_4_6_10_2">#REF!</definedName>
    <definedName name="Excel_BuiltIn_Print_Titles_6_8_4_6_10_3" localSheetId="16">#REF!</definedName>
    <definedName name="Excel_BuiltIn_Print_Titles_6_8_4_6_10_3" localSheetId="53">#REF!</definedName>
    <definedName name="Excel_BuiltIn_Print_Titles_6_8_4_6_10_3">#REF!</definedName>
    <definedName name="Excel_BuiltIn_Print_Titles_6_8_4_6_2" localSheetId="16">#REF!</definedName>
    <definedName name="Excel_BuiltIn_Print_Titles_6_8_4_6_2" localSheetId="53">#REF!</definedName>
    <definedName name="Excel_BuiltIn_Print_Titles_6_8_4_6_2">#REF!</definedName>
    <definedName name="Excel_BuiltIn_Print_Titles_6_8_4_6_3" localSheetId="16">#REF!</definedName>
    <definedName name="Excel_BuiltIn_Print_Titles_6_8_4_6_3" localSheetId="53">#REF!</definedName>
    <definedName name="Excel_BuiltIn_Print_Titles_6_8_4_6_3">#REF!</definedName>
    <definedName name="Excel_BuiltIn_Print_Titles_6_8_4_6_9" localSheetId="16">#REF!</definedName>
    <definedName name="Excel_BuiltIn_Print_Titles_6_8_4_6_9" localSheetId="53">#REF!</definedName>
    <definedName name="Excel_BuiltIn_Print_Titles_6_8_4_6_9">#REF!</definedName>
    <definedName name="Excel_BuiltIn_Print_Titles_6_8_4_6_9_1" localSheetId="16">#REF!</definedName>
    <definedName name="Excel_BuiltIn_Print_Titles_6_8_4_6_9_1" localSheetId="53">#REF!</definedName>
    <definedName name="Excel_BuiltIn_Print_Titles_6_8_4_6_9_1">#REF!</definedName>
    <definedName name="Excel_BuiltIn_Print_Titles_6_8_4_6_9_2" localSheetId="16">#REF!</definedName>
    <definedName name="Excel_BuiltIn_Print_Titles_6_8_4_6_9_2" localSheetId="53">#REF!</definedName>
    <definedName name="Excel_BuiltIn_Print_Titles_6_8_4_6_9_2">#REF!</definedName>
    <definedName name="Excel_BuiltIn_Print_Titles_6_8_4_6_9_3" localSheetId="16">#REF!</definedName>
    <definedName name="Excel_BuiltIn_Print_Titles_6_8_4_6_9_3" localSheetId="53">#REF!</definedName>
    <definedName name="Excel_BuiltIn_Print_Titles_6_8_4_6_9_3">#REF!</definedName>
    <definedName name="Excel_BuiltIn_Print_Titles_6_8_4_8" localSheetId="16">#REF!</definedName>
    <definedName name="Excel_BuiltIn_Print_Titles_6_8_4_8" localSheetId="53">#REF!</definedName>
    <definedName name="Excel_BuiltIn_Print_Titles_6_8_4_8">#REF!</definedName>
    <definedName name="Excel_BuiltIn_Print_Titles_6_8_4_8_1" localSheetId="16">#REF!</definedName>
    <definedName name="Excel_BuiltIn_Print_Titles_6_8_4_8_1" localSheetId="53">#REF!</definedName>
    <definedName name="Excel_BuiltIn_Print_Titles_6_8_4_8_1">#REF!</definedName>
    <definedName name="Excel_BuiltIn_Print_Titles_6_8_4_8_10" localSheetId="16">#REF!</definedName>
    <definedName name="Excel_BuiltIn_Print_Titles_6_8_4_8_10" localSheetId="53">#REF!</definedName>
    <definedName name="Excel_BuiltIn_Print_Titles_6_8_4_8_10">#REF!</definedName>
    <definedName name="Excel_BuiltIn_Print_Titles_6_8_4_8_10_1" localSheetId="16">#REF!</definedName>
    <definedName name="Excel_BuiltIn_Print_Titles_6_8_4_8_10_1" localSheetId="53">#REF!</definedName>
    <definedName name="Excel_BuiltIn_Print_Titles_6_8_4_8_10_1">#REF!</definedName>
    <definedName name="Excel_BuiltIn_Print_Titles_6_8_4_8_10_2" localSheetId="16">#REF!</definedName>
    <definedName name="Excel_BuiltIn_Print_Titles_6_8_4_8_10_2" localSheetId="53">#REF!</definedName>
    <definedName name="Excel_BuiltIn_Print_Titles_6_8_4_8_10_2">#REF!</definedName>
    <definedName name="Excel_BuiltIn_Print_Titles_6_8_4_8_10_3" localSheetId="16">#REF!</definedName>
    <definedName name="Excel_BuiltIn_Print_Titles_6_8_4_8_10_3" localSheetId="53">#REF!</definedName>
    <definedName name="Excel_BuiltIn_Print_Titles_6_8_4_8_10_3">#REF!</definedName>
    <definedName name="Excel_BuiltIn_Print_Titles_6_8_4_8_2" localSheetId="16">#REF!</definedName>
    <definedName name="Excel_BuiltIn_Print_Titles_6_8_4_8_2" localSheetId="53">#REF!</definedName>
    <definedName name="Excel_BuiltIn_Print_Titles_6_8_4_8_2">#REF!</definedName>
    <definedName name="Excel_BuiltIn_Print_Titles_6_8_4_8_3" localSheetId="16">#REF!</definedName>
    <definedName name="Excel_BuiltIn_Print_Titles_6_8_4_8_3" localSheetId="53">#REF!</definedName>
    <definedName name="Excel_BuiltIn_Print_Titles_6_8_4_8_3">#REF!</definedName>
    <definedName name="Excel_BuiltIn_Print_Titles_6_8_4_8_9" localSheetId="16">#REF!</definedName>
    <definedName name="Excel_BuiltIn_Print_Titles_6_8_4_8_9" localSheetId="53">#REF!</definedName>
    <definedName name="Excel_BuiltIn_Print_Titles_6_8_4_8_9">#REF!</definedName>
    <definedName name="Excel_BuiltIn_Print_Titles_6_8_4_8_9_1" localSheetId="16">#REF!</definedName>
    <definedName name="Excel_BuiltIn_Print_Titles_6_8_4_8_9_1" localSheetId="53">#REF!</definedName>
    <definedName name="Excel_BuiltIn_Print_Titles_6_8_4_8_9_1">#REF!</definedName>
    <definedName name="Excel_BuiltIn_Print_Titles_6_8_4_8_9_2" localSheetId="16">#REF!</definedName>
    <definedName name="Excel_BuiltIn_Print_Titles_6_8_4_8_9_2" localSheetId="53">#REF!</definedName>
    <definedName name="Excel_BuiltIn_Print_Titles_6_8_4_8_9_2">#REF!</definedName>
    <definedName name="Excel_BuiltIn_Print_Titles_6_8_4_8_9_3" localSheetId="16">#REF!</definedName>
    <definedName name="Excel_BuiltIn_Print_Titles_6_8_4_8_9_3" localSheetId="53">#REF!</definedName>
    <definedName name="Excel_BuiltIn_Print_Titles_6_8_4_8_9_3">#REF!</definedName>
    <definedName name="Excel_BuiltIn_Print_Titles_6_8_4_9" localSheetId="16">#REF!</definedName>
    <definedName name="Excel_BuiltIn_Print_Titles_6_8_4_9" localSheetId="53">#REF!</definedName>
    <definedName name="Excel_BuiltIn_Print_Titles_6_8_4_9">#REF!</definedName>
    <definedName name="Excel_BuiltIn_Print_Titles_6_8_4_9_1" localSheetId="16">#REF!</definedName>
    <definedName name="Excel_BuiltIn_Print_Titles_6_8_4_9_1" localSheetId="53">#REF!</definedName>
    <definedName name="Excel_BuiltIn_Print_Titles_6_8_4_9_1">#REF!</definedName>
    <definedName name="Excel_BuiltIn_Print_Titles_6_8_4_9_2" localSheetId="16">#REF!</definedName>
    <definedName name="Excel_BuiltIn_Print_Titles_6_8_4_9_2" localSheetId="53">#REF!</definedName>
    <definedName name="Excel_BuiltIn_Print_Titles_6_8_4_9_2">#REF!</definedName>
    <definedName name="Excel_BuiltIn_Print_Titles_6_8_4_9_3" localSheetId="16">#REF!</definedName>
    <definedName name="Excel_BuiltIn_Print_Titles_6_8_4_9_3" localSheetId="53">#REF!</definedName>
    <definedName name="Excel_BuiltIn_Print_Titles_6_8_4_9_3">#REF!</definedName>
    <definedName name="Excel_BuiltIn_Print_Titles_6_8_5" localSheetId="16">#REF!</definedName>
    <definedName name="Excel_BuiltIn_Print_Titles_6_8_5" localSheetId="53">#REF!</definedName>
    <definedName name="Excel_BuiltIn_Print_Titles_6_8_5">#REF!</definedName>
    <definedName name="Excel_BuiltIn_Print_Titles_6_8_5_1" localSheetId="16">#REF!</definedName>
    <definedName name="Excel_BuiltIn_Print_Titles_6_8_5_1" localSheetId="53">#REF!</definedName>
    <definedName name="Excel_BuiltIn_Print_Titles_6_8_5_1">#REF!</definedName>
    <definedName name="Excel_BuiltIn_Print_Titles_6_8_5_10" localSheetId="16">#REF!</definedName>
    <definedName name="Excel_BuiltIn_Print_Titles_6_8_5_10" localSheetId="53">#REF!</definedName>
    <definedName name="Excel_BuiltIn_Print_Titles_6_8_5_10">#REF!</definedName>
    <definedName name="Excel_BuiltIn_Print_Titles_6_8_5_10_1" localSheetId="16">#REF!</definedName>
    <definedName name="Excel_BuiltIn_Print_Titles_6_8_5_10_1" localSheetId="53">#REF!</definedName>
    <definedName name="Excel_BuiltIn_Print_Titles_6_8_5_10_1">#REF!</definedName>
    <definedName name="Excel_BuiltIn_Print_Titles_6_8_5_10_2" localSheetId="16">#REF!</definedName>
    <definedName name="Excel_BuiltIn_Print_Titles_6_8_5_10_2" localSheetId="53">#REF!</definedName>
    <definedName name="Excel_BuiltIn_Print_Titles_6_8_5_10_2">#REF!</definedName>
    <definedName name="Excel_BuiltIn_Print_Titles_6_8_5_10_3" localSheetId="16">#REF!</definedName>
    <definedName name="Excel_BuiltIn_Print_Titles_6_8_5_10_3" localSheetId="53">#REF!</definedName>
    <definedName name="Excel_BuiltIn_Print_Titles_6_8_5_10_3">#REF!</definedName>
    <definedName name="Excel_BuiltIn_Print_Titles_6_8_5_2" localSheetId="16">#REF!</definedName>
    <definedName name="Excel_BuiltIn_Print_Titles_6_8_5_2" localSheetId="53">#REF!</definedName>
    <definedName name="Excel_BuiltIn_Print_Titles_6_8_5_2">#REF!</definedName>
    <definedName name="Excel_BuiltIn_Print_Titles_6_8_5_3" localSheetId="16">#REF!</definedName>
    <definedName name="Excel_BuiltIn_Print_Titles_6_8_5_3" localSheetId="53">#REF!</definedName>
    <definedName name="Excel_BuiltIn_Print_Titles_6_8_5_3">#REF!</definedName>
    <definedName name="Excel_BuiltIn_Print_Titles_6_8_5_9" localSheetId="16">#REF!</definedName>
    <definedName name="Excel_BuiltIn_Print_Titles_6_8_5_9" localSheetId="53">#REF!</definedName>
    <definedName name="Excel_BuiltIn_Print_Titles_6_8_5_9">#REF!</definedName>
    <definedName name="Excel_BuiltIn_Print_Titles_6_8_5_9_1" localSheetId="16">#REF!</definedName>
    <definedName name="Excel_BuiltIn_Print_Titles_6_8_5_9_1" localSheetId="53">#REF!</definedName>
    <definedName name="Excel_BuiltIn_Print_Titles_6_8_5_9_1">#REF!</definedName>
    <definedName name="Excel_BuiltIn_Print_Titles_6_8_5_9_2" localSheetId="16">#REF!</definedName>
    <definedName name="Excel_BuiltIn_Print_Titles_6_8_5_9_2" localSheetId="53">#REF!</definedName>
    <definedName name="Excel_BuiltIn_Print_Titles_6_8_5_9_2">#REF!</definedName>
    <definedName name="Excel_BuiltIn_Print_Titles_6_8_5_9_3" localSheetId="16">#REF!</definedName>
    <definedName name="Excel_BuiltIn_Print_Titles_6_8_5_9_3" localSheetId="53">#REF!</definedName>
    <definedName name="Excel_BuiltIn_Print_Titles_6_8_5_9_3">#REF!</definedName>
    <definedName name="Excel_BuiltIn_Print_Titles_6_8_6" localSheetId="16">#REF!</definedName>
    <definedName name="Excel_BuiltIn_Print_Titles_6_8_6" localSheetId="53">#REF!</definedName>
    <definedName name="Excel_BuiltIn_Print_Titles_6_8_6">#REF!</definedName>
    <definedName name="Excel_BuiltIn_Print_Titles_6_8_6_1" localSheetId="16">#REF!</definedName>
    <definedName name="Excel_BuiltIn_Print_Titles_6_8_6_1" localSheetId="53">#REF!</definedName>
    <definedName name="Excel_BuiltIn_Print_Titles_6_8_6_1">#REF!</definedName>
    <definedName name="Excel_BuiltIn_Print_Titles_6_8_6_10" localSheetId="16">#REF!</definedName>
    <definedName name="Excel_BuiltIn_Print_Titles_6_8_6_10" localSheetId="53">#REF!</definedName>
    <definedName name="Excel_BuiltIn_Print_Titles_6_8_6_10">#REF!</definedName>
    <definedName name="Excel_BuiltIn_Print_Titles_6_8_6_10_1" localSheetId="16">#REF!</definedName>
    <definedName name="Excel_BuiltIn_Print_Titles_6_8_6_10_1" localSheetId="53">#REF!</definedName>
    <definedName name="Excel_BuiltIn_Print_Titles_6_8_6_10_1">#REF!</definedName>
    <definedName name="Excel_BuiltIn_Print_Titles_6_8_6_10_2" localSheetId="16">#REF!</definedName>
    <definedName name="Excel_BuiltIn_Print_Titles_6_8_6_10_2" localSheetId="53">#REF!</definedName>
    <definedName name="Excel_BuiltIn_Print_Titles_6_8_6_10_2">#REF!</definedName>
    <definedName name="Excel_BuiltIn_Print_Titles_6_8_6_10_3" localSheetId="16">#REF!</definedName>
    <definedName name="Excel_BuiltIn_Print_Titles_6_8_6_10_3" localSheetId="53">#REF!</definedName>
    <definedName name="Excel_BuiltIn_Print_Titles_6_8_6_10_3">#REF!</definedName>
    <definedName name="Excel_BuiltIn_Print_Titles_6_8_6_2" localSheetId="16">#REF!</definedName>
    <definedName name="Excel_BuiltIn_Print_Titles_6_8_6_2" localSheetId="53">#REF!</definedName>
    <definedName name="Excel_BuiltIn_Print_Titles_6_8_6_2">#REF!</definedName>
    <definedName name="Excel_BuiltIn_Print_Titles_6_8_6_3" localSheetId="16">#REF!</definedName>
    <definedName name="Excel_BuiltIn_Print_Titles_6_8_6_3" localSheetId="53">#REF!</definedName>
    <definedName name="Excel_BuiltIn_Print_Titles_6_8_6_3">#REF!</definedName>
    <definedName name="Excel_BuiltIn_Print_Titles_6_8_6_9" localSheetId="16">#REF!</definedName>
    <definedName name="Excel_BuiltIn_Print_Titles_6_8_6_9" localSheetId="53">#REF!</definedName>
    <definedName name="Excel_BuiltIn_Print_Titles_6_8_6_9">#REF!</definedName>
    <definedName name="Excel_BuiltIn_Print_Titles_6_8_6_9_1" localSheetId="16">#REF!</definedName>
    <definedName name="Excel_BuiltIn_Print_Titles_6_8_6_9_1" localSheetId="53">#REF!</definedName>
    <definedName name="Excel_BuiltIn_Print_Titles_6_8_6_9_1">#REF!</definedName>
    <definedName name="Excel_BuiltIn_Print_Titles_6_8_6_9_2" localSheetId="16">#REF!</definedName>
    <definedName name="Excel_BuiltIn_Print_Titles_6_8_6_9_2" localSheetId="53">#REF!</definedName>
    <definedName name="Excel_BuiltIn_Print_Titles_6_8_6_9_2">#REF!</definedName>
    <definedName name="Excel_BuiltIn_Print_Titles_6_8_6_9_3" localSheetId="16">#REF!</definedName>
    <definedName name="Excel_BuiltIn_Print_Titles_6_8_6_9_3" localSheetId="53">#REF!</definedName>
    <definedName name="Excel_BuiltIn_Print_Titles_6_8_6_9_3">#REF!</definedName>
    <definedName name="Excel_BuiltIn_Print_Titles_6_8_8" localSheetId="16">#REF!</definedName>
    <definedName name="Excel_BuiltIn_Print_Titles_6_8_8" localSheetId="53">#REF!</definedName>
    <definedName name="Excel_BuiltIn_Print_Titles_6_8_8">#REF!</definedName>
    <definedName name="Excel_BuiltIn_Print_Titles_6_8_8_1" localSheetId="16">#REF!</definedName>
    <definedName name="Excel_BuiltIn_Print_Titles_6_8_8_1" localSheetId="53">#REF!</definedName>
    <definedName name="Excel_BuiltIn_Print_Titles_6_8_8_1">#REF!</definedName>
    <definedName name="Excel_BuiltIn_Print_Titles_6_8_8_10" localSheetId="16">#REF!</definedName>
    <definedName name="Excel_BuiltIn_Print_Titles_6_8_8_10" localSheetId="53">#REF!</definedName>
    <definedName name="Excel_BuiltIn_Print_Titles_6_8_8_10">#REF!</definedName>
    <definedName name="Excel_BuiltIn_Print_Titles_6_8_8_10_1" localSheetId="16">#REF!</definedName>
    <definedName name="Excel_BuiltIn_Print_Titles_6_8_8_10_1" localSheetId="53">#REF!</definedName>
    <definedName name="Excel_BuiltIn_Print_Titles_6_8_8_10_1">#REF!</definedName>
    <definedName name="Excel_BuiltIn_Print_Titles_6_8_8_10_2" localSheetId="16">#REF!</definedName>
    <definedName name="Excel_BuiltIn_Print_Titles_6_8_8_10_2" localSheetId="53">#REF!</definedName>
    <definedName name="Excel_BuiltIn_Print_Titles_6_8_8_10_2">#REF!</definedName>
    <definedName name="Excel_BuiltIn_Print_Titles_6_8_8_10_3" localSheetId="16">#REF!</definedName>
    <definedName name="Excel_BuiltIn_Print_Titles_6_8_8_10_3" localSheetId="53">#REF!</definedName>
    <definedName name="Excel_BuiltIn_Print_Titles_6_8_8_10_3">#REF!</definedName>
    <definedName name="Excel_BuiltIn_Print_Titles_6_8_8_2" localSheetId="16">#REF!</definedName>
    <definedName name="Excel_BuiltIn_Print_Titles_6_8_8_2" localSheetId="53">#REF!</definedName>
    <definedName name="Excel_BuiltIn_Print_Titles_6_8_8_2">#REF!</definedName>
    <definedName name="Excel_BuiltIn_Print_Titles_6_8_8_3" localSheetId="16">#REF!</definedName>
    <definedName name="Excel_BuiltIn_Print_Titles_6_8_8_3" localSheetId="53">#REF!</definedName>
    <definedName name="Excel_BuiltIn_Print_Titles_6_8_8_3">#REF!</definedName>
    <definedName name="Excel_BuiltIn_Print_Titles_6_8_8_9" localSheetId="16">#REF!</definedName>
    <definedName name="Excel_BuiltIn_Print_Titles_6_8_8_9" localSheetId="53">#REF!</definedName>
    <definedName name="Excel_BuiltIn_Print_Titles_6_8_8_9">#REF!</definedName>
    <definedName name="Excel_BuiltIn_Print_Titles_6_8_8_9_1" localSheetId="16">#REF!</definedName>
    <definedName name="Excel_BuiltIn_Print_Titles_6_8_8_9_1" localSheetId="53">#REF!</definedName>
    <definedName name="Excel_BuiltIn_Print_Titles_6_8_8_9_1">#REF!</definedName>
    <definedName name="Excel_BuiltIn_Print_Titles_6_8_8_9_2" localSheetId="16">#REF!</definedName>
    <definedName name="Excel_BuiltIn_Print_Titles_6_8_8_9_2" localSheetId="53">#REF!</definedName>
    <definedName name="Excel_BuiltIn_Print_Titles_6_8_8_9_2">#REF!</definedName>
    <definedName name="Excel_BuiltIn_Print_Titles_6_8_8_9_3" localSheetId="16">#REF!</definedName>
    <definedName name="Excel_BuiltIn_Print_Titles_6_8_8_9_3" localSheetId="53">#REF!</definedName>
    <definedName name="Excel_BuiltIn_Print_Titles_6_8_8_9_3">#REF!</definedName>
    <definedName name="Excel_BuiltIn_Print_Titles_6_8_9" localSheetId="16">#REF!</definedName>
    <definedName name="Excel_BuiltIn_Print_Titles_6_8_9" localSheetId="53">#REF!</definedName>
    <definedName name="Excel_BuiltIn_Print_Titles_6_8_9">#REF!</definedName>
    <definedName name="Excel_BuiltIn_Print_Titles_6_8_9_1" localSheetId="16">#REF!</definedName>
    <definedName name="Excel_BuiltIn_Print_Titles_6_8_9_1" localSheetId="53">#REF!</definedName>
    <definedName name="Excel_BuiltIn_Print_Titles_6_8_9_1">#REF!</definedName>
    <definedName name="Excel_BuiltIn_Print_Titles_6_8_9_2" localSheetId="16">#REF!</definedName>
    <definedName name="Excel_BuiltIn_Print_Titles_6_8_9_2" localSheetId="53">#REF!</definedName>
    <definedName name="Excel_BuiltIn_Print_Titles_6_8_9_2">#REF!</definedName>
    <definedName name="Excel_BuiltIn_Print_Titles_6_8_9_3" localSheetId="16">#REF!</definedName>
    <definedName name="Excel_BuiltIn_Print_Titles_6_8_9_3" localSheetId="53">#REF!</definedName>
    <definedName name="Excel_BuiltIn_Print_Titles_6_8_9_3">#REF!</definedName>
    <definedName name="Excel_BuiltIn_Print_Titles_6_9" localSheetId="16">#REF!</definedName>
    <definedName name="Excel_BuiltIn_Print_Titles_6_9" localSheetId="53">#REF!</definedName>
    <definedName name="Excel_BuiltIn_Print_Titles_6_9">#REF!</definedName>
    <definedName name="Excel_BuiltIn_Print_Titles_6_9_1" localSheetId="16">#REF!</definedName>
    <definedName name="Excel_BuiltIn_Print_Titles_6_9_1" localSheetId="53">#REF!</definedName>
    <definedName name="Excel_BuiltIn_Print_Titles_6_9_1">#REF!</definedName>
    <definedName name="Excel_BuiltIn_Print_Titles_6_9_1_1" localSheetId="93">'[1]9b.sz.mell.II.név (7.2)'!#REF!</definedName>
    <definedName name="Excel_BuiltIn_Print_Titles_6_9_1_1" localSheetId="94">'[1]9b.sz.mell.II.név (7.2)'!#REF!</definedName>
    <definedName name="Excel_BuiltIn_Print_Titles_6_9_1_1" localSheetId="95">'[1]9b.sz.mell.II.név (7.2)'!#REF!</definedName>
    <definedName name="Excel_BuiltIn_Print_Titles_6_9_1_1" localSheetId="96">'[1]9b.sz.mell.II.név (7.2)'!#REF!</definedName>
    <definedName name="Excel_BuiltIn_Print_Titles_6_9_1_1" localSheetId="16">'[2]9b.sz.mell.II.név (7.2)'!#REF!</definedName>
    <definedName name="Excel_BuiltIn_Print_Titles_6_9_1_1" localSheetId="53">'[2]9b.sz.mell.II.név (7.2)'!#REF!</definedName>
    <definedName name="Excel_BuiltIn_Print_Titles_6_9_1_1">'[2]9b.sz.mell.II.név (7.2)'!#REF!</definedName>
    <definedName name="Excel_BuiltIn_Print_Titles_6_9_1_1_1">'[1]9b.sz.mell.II.név (7.2)'!#REF!</definedName>
    <definedName name="Excel_BuiltIn_Print_Titles_6_9_1_2" localSheetId="93">'[1]9b.sz.mell.II.név (7.2)'!#REF!</definedName>
    <definedName name="Excel_BuiltIn_Print_Titles_6_9_1_2" localSheetId="94">'[1]9b.sz.mell.II.név (7.2)'!#REF!</definedName>
    <definedName name="Excel_BuiltIn_Print_Titles_6_9_1_2" localSheetId="95">'[1]9b.sz.mell.II.név (7.2)'!#REF!</definedName>
    <definedName name="Excel_BuiltIn_Print_Titles_6_9_1_2" localSheetId="96">'[1]9b.sz.mell.II.név (7.2)'!#REF!</definedName>
    <definedName name="Excel_BuiltIn_Print_Titles_6_9_1_2" localSheetId="16">'[2]9b.sz.mell.II.név (7.2)'!#REF!</definedName>
    <definedName name="Excel_BuiltIn_Print_Titles_6_9_1_2" localSheetId="53">'[2]9b.sz.mell.II.név (7.2)'!#REF!</definedName>
    <definedName name="Excel_BuiltIn_Print_Titles_6_9_1_2">'[2]9b.sz.mell.II.név (7.2)'!#REF!</definedName>
    <definedName name="Excel_BuiltIn_Print_Titles_6_9_1_3" localSheetId="93">'[1]9b.sz.mell.II.név (7.2)'!#REF!</definedName>
    <definedName name="Excel_BuiltIn_Print_Titles_6_9_1_3" localSheetId="94">'[1]9b.sz.mell.II.név (7.2)'!#REF!</definedName>
    <definedName name="Excel_BuiltIn_Print_Titles_6_9_1_3" localSheetId="95">'[1]9b.sz.mell.II.név (7.2)'!#REF!</definedName>
    <definedName name="Excel_BuiltIn_Print_Titles_6_9_1_3" localSheetId="96">'[1]9b.sz.mell.II.név (7.2)'!#REF!</definedName>
    <definedName name="Excel_BuiltIn_Print_Titles_6_9_1_3" localSheetId="16">'[2]9b.sz.mell.II.név (7.2)'!#REF!</definedName>
    <definedName name="Excel_BuiltIn_Print_Titles_6_9_1_3" localSheetId="53">'[2]9b.sz.mell.II.név (7.2)'!#REF!</definedName>
    <definedName name="Excel_BuiltIn_Print_Titles_6_9_1_3">'[2]9b.sz.mell.II.név (7.2)'!#REF!</definedName>
    <definedName name="Excel_BuiltIn_Print_Titles_6_9_10" localSheetId="93">'[1]9b.sz.mell.II.név (7.2)'!#REF!</definedName>
    <definedName name="Excel_BuiltIn_Print_Titles_6_9_10" localSheetId="94">'[1]9b.sz.mell.II.név (7.2)'!#REF!</definedName>
    <definedName name="Excel_BuiltIn_Print_Titles_6_9_10" localSheetId="95">'[1]9b.sz.mell.II.név (7.2)'!#REF!</definedName>
    <definedName name="Excel_BuiltIn_Print_Titles_6_9_10" localSheetId="96">'[1]9b.sz.mell.II.név (7.2)'!#REF!</definedName>
    <definedName name="Excel_BuiltIn_Print_Titles_6_9_10" localSheetId="16">'[2]9b.sz.mell.II.név (7.2)'!#REF!</definedName>
    <definedName name="Excel_BuiltIn_Print_Titles_6_9_10" localSheetId="53">'[2]9b.sz.mell.II.név (7.2)'!#REF!</definedName>
    <definedName name="Excel_BuiltIn_Print_Titles_6_9_10">'[2]9b.sz.mell.II.név (7.2)'!#REF!</definedName>
    <definedName name="Excel_BuiltIn_Print_Titles_6_9_10_1" localSheetId="93">'[1]9b.sz.mell.II.név (7.2)'!#REF!</definedName>
    <definedName name="Excel_BuiltIn_Print_Titles_6_9_10_1" localSheetId="94">'[1]9b.sz.mell.II.név (7.2)'!#REF!</definedName>
    <definedName name="Excel_BuiltIn_Print_Titles_6_9_10_1" localSheetId="95">'[1]9b.sz.mell.II.név (7.2)'!#REF!</definedName>
    <definedName name="Excel_BuiltIn_Print_Titles_6_9_10_1" localSheetId="96">'[1]9b.sz.mell.II.név (7.2)'!#REF!</definedName>
    <definedName name="Excel_BuiltIn_Print_Titles_6_9_10_1" localSheetId="16">'[2]9b.sz.mell.II.név (7.2)'!#REF!</definedName>
    <definedName name="Excel_BuiltIn_Print_Titles_6_9_10_1" localSheetId="53">'[2]9b.sz.mell.II.név (7.2)'!#REF!</definedName>
    <definedName name="Excel_BuiltIn_Print_Titles_6_9_10_1">'[2]9b.sz.mell.II.név (7.2)'!#REF!</definedName>
    <definedName name="Excel_BuiltIn_Print_Titles_6_9_10_2" localSheetId="93">'[1]9b.sz.mell.II.név (7.2)'!#REF!</definedName>
    <definedName name="Excel_BuiltIn_Print_Titles_6_9_10_2" localSheetId="94">'[1]9b.sz.mell.II.név (7.2)'!#REF!</definedName>
    <definedName name="Excel_BuiltIn_Print_Titles_6_9_10_2" localSheetId="95">'[1]9b.sz.mell.II.név (7.2)'!#REF!</definedName>
    <definedName name="Excel_BuiltIn_Print_Titles_6_9_10_2" localSheetId="96">'[1]9b.sz.mell.II.név (7.2)'!#REF!</definedName>
    <definedName name="Excel_BuiltIn_Print_Titles_6_9_10_2" localSheetId="16">'[2]9b.sz.mell.II.név (7.2)'!#REF!</definedName>
    <definedName name="Excel_BuiltIn_Print_Titles_6_9_10_2" localSheetId="53">'[2]9b.sz.mell.II.név (7.2)'!#REF!</definedName>
    <definedName name="Excel_BuiltIn_Print_Titles_6_9_10_2">'[2]9b.sz.mell.II.név (7.2)'!#REF!</definedName>
    <definedName name="Excel_BuiltIn_Print_Titles_6_9_10_3" localSheetId="93">'[1]9b.sz.mell.II.név (7.2)'!#REF!</definedName>
    <definedName name="Excel_BuiltIn_Print_Titles_6_9_10_3" localSheetId="94">'[1]9b.sz.mell.II.név (7.2)'!#REF!</definedName>
    <definedName name="Excel_BuiltIn_Print_Titles_6_9_10_3" localSheetId="95">'[1]9b.sz.mell.II.név (7.2)'!#REF!</definedName>
    <definedName name="Excel_BuiltIn_Print_Titles_6_9_10_3" localSheetId="96">'[1]9b.sz.mell.II.név (7.2)'!#REF!</definedName>
    <definedName name="Excel_BuiltIn_Print_Titles_6_9_10_3" localSheetId="16">'[2]9b.sz.mell.II.név (7.2)'!#REF!</definedName>
    <definedName name="Excel_BuiltIn_Print_Titles_6_9_10_3" localSheetId="53">'[2]9b.sz.mell.II.név (7.2)'!#REF!</definedName>
    <definedName name="Excel_BuiltIn_Print_Titles_6_9_10_3">'[2]9b.sz.mell.II.név (7.2)'!#REF!</definedName>
    <definedName name="Excel_BuiltIn_Print_Titles_6_9_2" localSheetId="93">#REF!</definedName>
    <definedName name="Excel_BuiltIn_Print_Titles_6_9_2" localSheetId="94">#REF!</definedName>
    <definedName name="Excel_BuiltIn_Print_Titles_6_9_2" localSheetId="95">#REF!</definedName>
    <definedName name="Excel_BuiltIn_Print_Titles_6_9_2" localSheetId="96">#REF!</definedName>
    <definedName name="Excel_BuiltIn_Print_Titles_6_9_2" localSheetId="16">#REF!</definedName>
    <definedName name="Excel_BuiltIn_Print_Titles_6_9_2" localSheetId="53">#REF!</definedName>
    <definedName name="Excel_BuiltIn_Print_Titles_6_9_2">#REF!</definedName>
    <definedName name="Excel_BuiltIn_Print_Titles_6_9_3" localSheetId="93">#REF!</definedName>
    <definedName name="Excel_BuiltIn_Print_Titles_6_9_3" localSheetId="94">#REF!</definedName>
    <definedName name="Excel_BuiltIn_Print_Titles_6_9_3" localSheetId="95">#REF!</definedName>
    <definedName name="Excel_BuiltIn_Print_Titles_6_9_3" localSheetId="96">#REF!</definedName>
    <definedName name="Excel_BuiltIn_Print_Titles_6_9_3" localSheetId="16">#REF!</definedName>
    <definedName name="Excel_BuiltIn_Print_Titles_6_9_3" localSheetId="53">#REF!</definedName>
    <definedName name="Excel_BuiltIn_Print_Titles_6_9_3">#REF!</definedName>
    <definedName name="Excel_BuiltIn_Print_Titles_6_9_4" localSheetId="93">'[1]9b.sz.mell.II.név (7.2)'!#REF!</definedName>
    <definedName name="Excel_BuiltIn_Print_Titles_6_9_4" localSheetId="94">'[1]9b.sz.mell.II.név (7.2)'!#REF!</definedName>
    <definedName name="Excel_BuiltIn_Print_Titles_6_9_4" localSheetId="95">'[1]9b.sz.mell.II.név (7.2)'!#REF!</definedName>
    <definedName name="Excel_BuiltIn_Print_Titles_6_9_4" localSheetId="96">'[1]9b.sz.mell.II.név (7.2)'!#REF!</definedName>
    <definedName name="Excel_BuiltIn_Print_Titles_6_9_4" localSheetId="16">'[2]9b.sz.mell.II.név (7.2)'!#REF!</definedName>
    <definedName name="Excel_BuiltIn_Print_Titles_6_9_4" localSheetId="53">'[2]9b.sz.mell.II.név (7.2)'!#REF!</definedName>
    <definedName name="Excel_BuiltIn_Print_Titles_6_9_4">'[2]9b.sz.mell.II.név (7.2)'!#REF!</definedName>
    <definedName name="Excel_BuiltIn_Print_Titles_6_9_4_1" localSheetId="93">'[1]9b.sz.mell.II.név (7.2)'!#REF!</definedName>
    <definedName name="Excel_BuiltIn_Print_Titles_6_9_4_1" localSheetId="94">'[1]9b.sz.mell.II.név (7.2)'!#REF!</definedName>
    <definedName name="Excel_BuiltIn_Print_Titles_6_9_4_1" localSheetId="95">'[1]9b.sz.mell.II.név (7.2)'!#REF!</definedName>
    <definedName name="Excel_BuiltIn_Print_Titles_6_9_4_1" localSheetId="96">'[1]9b.sz.mell.II.név (7.2)'!#REF!</definedName>
    <definedName name="Excel_BuiltIn_Print_Titles_6_9_4_1" localSheetId="16">'[2]9b.sz.mell.II.név (7.2)'!#REF!</definedName>
    <definedName name="Excel_BuiltIn_Print_Titles_6_9_4_1" localSheetId="53">'[2]9b.sz.mell.II.név (7.2)'!#REF!</definedName>
    <definedName name="Excel_BuiltIn_Print_Titles_6_9_4_1">'[2]9b.sz.mell.II.név (7.2)'!#REF!</definedName>
    <definedName name="Excel_BuiltIn_Print_Titles_6_9_4_1_1" localSheetId="93">'[1]9b.sz.mell.II.név (7.2)'!#REF!</definedName>
    <definedName name="Excel_BuiltIn_Print_Titles_6_9_4_1_1" localSheetId="94">'[1]9b.sz.mell.II.név (7.2)'!#REF!</definedName>
    <definedName name="Excel_BuiltIn_Print_Titles_6_9_4_1_1" localSheetId="95">'[1]9b.sz.mell.II.név (7.2)'!#REF!</definedName>
    <definedName name="Excel_BuiltIn_Print_Titles_6_9_4_1_1" localSheetId="96">'[1]9b.sz.mell.II.név (7.2)'!#REF!</definedName>
    <definedName name="Excel_BuiltIn_Print_Titles_6_9_4_1_1" localSheetId="16">'[2]9b.sz.mell.II.név (7.2)'!#REF!</definedName>
    <definedName name="Excel_BuiltIn_Print_Titles_6_9_4_1_1" localSheetId="53">'[2]9b.sz.mell.II.név (7.2)'!#REF!</definedName>
    <definedName name="Excel_BuiltIn_Print_Titles_6_9_4_1_1">'[2]9b.sz.mell.II.név (7.2)'!#REF!</definedName>
    <definedName name="Excel_BuiltIn_Print_Titles_6_9_4_1_1_1">'[1]9b.sz.mell.II.név (7.2)'!#REF!</definedName>
    <definedName name="Excel_BuiltIn_Print_Titles_6_9_4_1_10" localSheetId="93">'[1]9b.sz.mell.II.név (7.2)'!#REF!</definedName>
    <definedName name="Excel_BuiltIn_Print_Titles_6_9_4_1_10" localSheetId="94">'[1]9b.sz.mell.II.név (7.2)'!#REF!</definedName>
    <definedName name="Excel_BuiltIn_Print_Titles_6_9_4_1_10" localSheetId="95">'[1]9b.sz.mell.II.név (7.2)'!#REF!</definedName>
    <definedName name="Excel_BuiltIn_Print_Titles_6_9_4_1_10" localSheetId="96">'[1]9b.sz.mell.II.név (7.2)'!#REF!</definedName>
    <definedName name="Excel_BuiltIn_Print_Titles_6_9_4_1_10" localSheetId="16">'[2]9b.sz.mell.II.név (7.2)'!#REF!</definedName>
    <definedName name="Excel_BuiltIn_Print_Titles_6_9_4_1_10" localSheetId="53">'[2]9b.sz.mell.II.név (7.2)'!#REF!</definedName>
    <definedName name="Excel_BuiltIn_Print_Titles_6_9_4_1_10">'[2]9b.sz.mell.II.név (7.2)'!#REF!</definedName>
    <definedName name="Excel_BuiltIn_Print_Titles_6_9_4_1_10_1" localSheetId="93">'[1]9b.sz.mell.II.név (7.2)'!#REF!</definedName>
    <definedName name="Excel_BuiltIn_Print_Titles_6_9_4_1_10_1" localSheetId="94">'[1]9b.sz.mell.II.név (7.2)'!#REF!</definedName>
    <definedName name="Excel_BuiltIn_Print_Titles_6_9_4_1_10_1" localSheetId="95">'[1]9b.sz.mell.II.név (7.2)'!#REF!</definedName>
    <definedName name="Excel_BuiltIn_Print_Titles_6_9_4_1_10_1" localSheetId="96">'[1]9b.sz.mell.II.név (7.2)'!#REF!</definedName>
    <definedName name="Excel_BuiltIn_Print_Titles_6_9_4_1_10_1" localSheetId="16">'[2]9b.sz.mell.II.név (7.2)'!#REF!</definedName>
    <definedName name="Excel_BuiltIn_Print_Titles_6_9_4_1_10_1" localSheetId="53">'[2]9b.sz.mell.II.név (7.2)'!#REF!</definedName>
    <definedName name="Excel_BuiltIn_Print_Titles_6_9_4_1_10_1">'[2]9b.sz.mell.II.név (7.2)'!#REF!</definedName>
    <definedName name="Excel_BuiltIn_Print_Titles_6_9_4_1_10_2" localSheetId="93">'[1]9b.sz.mell.II.név (7.2)'!#REF!</definedName>
    <definedName name="Excel_BuiltIn_Print_Titles_6_9_4_1_10_2" localSheetId="94">'[1]9b.sz.mell.II.név (7.2)'!#REF!</definedName>
    <definedName name="Excel_BuiltIn_Print_Titles_6_9_4_1_10_2" localSheetId="95">'[1]9b.sz.mell.II.név (7.2)'!#REF!</definedName>
    <definedName name="Excel_BuiltIn_Print_Titles_6_9_4_1_10_2" localSheetId="96">'[1]9b.sz.mell.II.név (7.2)'!#REF!</definedName>
    <definedName name="Excel_BuiltIn_Print_Titles_6_9_4_1_10_2" localSheetId="16">'[2]9b.sz.mell.II.név (7.2)'!#REF!</definedName>
    <definedName name="Excel_BuiltIn_Print_Titles_6_9_4_1_10_2" localSheetId="53">'[2]9b.sz.mell.II.név (7.2)'!#REF!</definedName>
    <definedName name="Excel_BuiltIn_Print_Titles_6_9_4_1_10_2">'[2]9b.sz.mell.II.név (7.2)'!#REF!</definedName>
    <definedName name="Excel_BuiltIn_Print_Titles_6_9_4_1_10_3" localSheetId="93">'[1]9b.sz.mell.II.név (7.2)'!#REF!</definedName>
    <definedName name="Excel_BuiltIn_Print_Titles_6_9_4_1_10_3" localSheetId="94">'[1]9b.sz.mell.II.név (7.2)'!#REF!</definedName>
    <definedName name="Excel_BuiltIn_Print_Titles_6_9_4_1_10_3" localSheetId="95">'[1]9b.sz.mell.II.név (7.2)'!#REF!</definedName>
    <definedName name="Excel_BuiltIn_Print_Titles_6_9_4_1_10_3" localSheetId="96">'[1]9b.sz.mell.II.név (7.2)'!#REF!</definedName>
    <definedName name="Excel_BuiltIn_Print_Titles_6_9_4_1_10_3" localSheetId="16">'[2]9b.sz.mell.II.név (7.2)'!#REF!</definedName>
    <definedName name="Excel_BuiltIn_Print_Titles_6_9_4_1_10_3" localSheetId="53">'[2]9b.sz.mell.II.név (7.2)'!#REF!</definedName>
    <definedName name="Excel_BuiltIn_Print_Titles_6_9_4_1_10_3">'[2]9b.sz.mell.II.név (7.2)'!#REF!</definedName>
    <definedName name="Excel_BuiltIn_Print_Titles_6_9_4_1_2" localSheetId="93">'[1]9b.sz.mell.II.név (7.2)'!#REF!</definedName>
    <definedName name="Excel_BuiltIn_Print_Titles_6_9_4_1_2" localSheetId="94">'[1]9b.sz.mell.II.név (7.2)'!#REF!</definedName>
    <definedName name="Excel_BuiltIn_Print_Titles_6_9_4_1_2" localSheetId="95">'[1]9b.sz.mell.II.név (7.2)'!#REF!</definedName>
    <definedName name="Excel_BuiltIn_Print_Titles_6_9_4_1_2" localSheetId="96">'[1]9b.sz.mell.II.név (7.2)'!#REF!</definedName>
    <definedName name="Excel_BuiltIn_Print_Titles_6_9_4_1_2" localSheetId="16">'[2]9b.sz.mell.II.név (7.2)'!#REF!</definedName>
    <definedName name="Excel_BuiltIn_Print_Titles_6_9_4_1_2" localSheetId="53">'[2]9b.sz.mell.II.név (7.2)'!#REF!</definedName>
    <definedName name="Excel_BuiltIn_Print_Titles_6_9_4_1_2">'[2]9b.sz.mell.II.név (7.2)'!#REF!</definedName>
    <definedName name="Excel_BuiltIn_Print_Titles_6_9_4_1_3" localSheetId="93">'[1]9b.sz.mell.II.név (7.2)'!#REF!</definedName>
    <definedName name="Excel_BuiltIn_Print_Titles_6_9_4_1_3" localSheetId="94">'[1]9b.sz.mell.II.név (7.2)'!#REF!</definedName>
    <definedName name="Excel_BuiltIn_Print_Titles_6_9_4_1_3" localSheetId="95">'[1]9b.sz.mell.II.név (7.2)'!#REF!</definedName>
    <definedName name="Excel_BuiltIn_Print_Titles_6_9_4_1_3" localSheetId="96">'[1]9b.sz.mell.II.név (7.2)'!#REF!</definedName>
    <definedName name="Excel_BuiltIn_Print_Titles_6_9_4_1_3" localSheetId="16">'[2]9b.sz.mell.II.név (7.2)'!#REF!</definedName>
    <definedName name="Excel_BuiltIn_Print_Titles_6_9_4_1_3" localSheetId="53">'[2]9b.sz.mell.II.név (7.2)'!#REF!</definedName>
    <definedName name="Excel_BuiltIn_Print_Titles_6_9_4_1_3">'[2]9b.sz.mell.II.név (7.2)'!#REF!</definedName>
    <definedName name="Excel_BuiltIn_Print_Titles_6_9_4_1_9" localSheetId="93">'[1]9b.sz.mell.II.név Végleges'!#REF!</definedName>
    <definedName name="Excel_BuiltIn_Print_Titles_6_9_4_1_9" localSheetId="94">'[1]9b.sz.mell.II.név Végleges'!#REF!</definedName>
    <definedName name="Excel_BuiltIn_Print_Titles_6_9_4_1_9" localSheetId="95">'[1]9b.sz.mell.II.név Végleges'!#REF!</definedName>
    <definedName name="Excel_BuiltIn_Print_Titles_6_9_4_1_9" localSheetId="96">'[1]9b.sz.mell.II.név Végleges'!#REF!</definedName>
    <definedName name="Excel_BuiltIn_Print_Titles_6_9_4_1_9" localSheetId="16">'[2]9b.sz.mell.II.név Végleges'!#REF!</definedName>
    <definedName name="Excel_BuiltIn_Print_Titles_6_9_4_1_9" localSheetId="53">'[2]9b.sz.mell.II.név Végleges'!#REF!</definedName>
    <definedName name="Excel_BuiltIn_Print_Titles_6_9_4_1_9">'[2]9b.sz.mell.II.név Végleges'!#REF!</definedName>
    <definedName name="Excel_BuiltIn_Print_Titles_6_9_4_1_9_1" localSheetId="93">'[1]9b.sz.mell.II.név Végleges'!#REF!</definedName>
    <definedName name="Excel_BuiltIn_Print_Titles_6_9_4_1_9_1" localSheetId="94">'[1]9b.sz.mell.II.név Végleges'!#REF!</definedName>
    <definedName name="Excel_BuiltIn_Print_Titles_6_9_4_1_9_1" localSheetId="95">'[1]9b.sz.mell.II.név Végleges'!#REF!</definedName>
    <definedName name="Excel_BuiltIn_Print_Titles_6_9_4_1_9_1" localSheetId="96">'[1]9b.sz.mell.II.név Végleges'!#REF!</definedName>
    <definedName name="Excel_BuiltIn_Print_Titles_6_9_4_1_9_1" localSheetId="16">'[2]9b.sz.mell.II.név Végleges'!#REF!</definedName>
    <definedName name="Excel_BuiltIn_Print_Titles_6_9_4_1_9_1" localSheetId="53">'[2]9b.sz.mell.II.név Végleges'!#REF!</definedName>
    <definedName name="Excel_BuiltIn_Print_Titles_6_9_4_1_9_1">'[2]9b.sz.mell.II.név Végleges'!#REF!</definedName>
    <definedName name="Excel_BuiltIn_Print_Titles_6_9_4_1_9_2" localSheetId="93">'[1]9b.sz.mell.II.név Végleges'!#REF!</definedName>
    <definedName name="Excel_BuiltIn_Print_Titles_6_9_4_1_9_2" localSheetId="94">'[1]9b.sz.mell.II.név Végleges'!#REF!</definedName>
    <definedName name="Excel_BuiltIn_Print_Titles_6_9_4_1_9_2" localSheetId="95">'[1]9b.sz.mell.II.név Végleges'!#REF!</definedName>
    <definedName name="Excel_BuiltIn_Print_Titles_6_9_4_1_9_2" localSheetId="96">'[1]9b.sz.mell.II.név Végleges'!#REF!</definedName>
    <definedName name="Excel_BuiltIn_Print_Titles_6_9_4_1_9_2" localSheetId="16">'[2]9b.sz.mell.II.név Végleges'!#REF!</definedName>
    <definedName name="Excel_BuiltIn_Print_Titles_6_9_4_1_9_2" localSheetId="53">'[2]9b.sz.mell.II.név Végleges'!#REF!</definedName>
    <definedName name="Excel_BuiltIn_Print_Titles_6_9_4_1_9_2">'[2]9b.sz.mell.II.név Végleges'!#REF!</definedName>
    <definedName name="Excel_BuiltIn_Print_Titles_6_9_4_1_9_3" localSheetId="93">'[1]9b.sz.mell.II.név Végleges'!#REF!</definedName>
    <definedName name="Excel_BuiltIn_Print_Titles_6_9_4_1_9_3" localSheetId="94">'[1]9b.sz.mell.II.név Végleges'!#REF!</definedName>
    <definedName name="Excel_BuiltIn_Print_Titles_6_9_4_1_9_3" localSheetId="95">'[1]9b.sz.mell.II.név Végleges'!#REF!</definedName>
    <definedName name="Excel_BuiltIn_Print_Titles_6_9_4_1_9_3" localSheetId="96">'[1]9b.sz.mell.II.név Végleges'!#REF!</definedName>
    <definedName name="Excel_BuiltIn_Print_Titles_6_9_4_1_9_3" localSheetId="16">'[2]9b.sz.mell.II.név Végleges'!#REF!</definedName>
    <definedName name="Excel_BuiltIn_Print_Titles_6_9_4_1_9_3" localSheetId="53">'[2]9b.sz.mell.II.név Végleges'!#REF!</definedName>
    <definedName name="Excel_BuiltIn_Print_Titles_6_9_4_1_9_3">'[2]9b.sz.mell.II.név Végleges'!#REF!</definedName>
    <definedName name="Excel_BuiltIn_Print_Titles_6_9_4_10" localSheetId="93">'[1]9b.sz.mell.II.név (7.2)'!#REF!</definedName>
    <definedName name="Excel_BuiltIn_Print_Titles_6_9_4_10" localSheetId="94">'[1]9b.sz.mell.II.név (7.2)'!#REF!</definedName>
    <definedName name="Excel_BuiltIn_Print_Titles_6_9_4_10" localSheetId="95">'[1]9b.sz.mell.II.név (7.2)'!#REF!</definedName>
    <definedName name="Excel_BuiltIn_Print_Titles_6_9_4_10" localSheetId="96">'[1]9b.sz.mell.II.név (7.2)'!#REF!</definedName>
    <definedName name="Excel_BuiltIn_Print_Titles_6_9_4_10" localSheetId="16">'[2]9b.sz.mell.II.név (7.2)'!#REF!</definedName>
    <definedName name="Excel_BuiltIn_Print_Titles_6_9_4_10" localSheetId="53">'[2]9b.sz.mell.II.név (7.2)'!#REF!</definedName>
    <definedName name="Excel_BuiltIn_Print_Titles_6_9_4_10">'[2]9b.sz.mell.II.név (7.2)'!#REF!</definedName>
    <definedName name="Excel_BuiltIn_Print_Titles_6_9_4_10_1" localSheetId="93">'[1]9b.sz.mell.II.név (7.2)'!#REF!</definedName>
    <definedName name="Excel_BuiltIn_Print_Titles_6_9_4_10_1" localSheetId="94">'[1]9b.sz.mell.II.név (7.2)'!#REF!</definedName>
    <definedName name="Excel_BuiltIn_Print_Titles_6_9_4_10_1" localSheetId="95">'[1]9b.sz.mell.II.név (7.2)'!#REF!</definedName>
    <definedName name="Excel_BuiltIn_Print_Titles_6_9_4_10_1" localSheetId="96">'[1]9b.sz.mell.II.név (7.2)'!#REF!</definedName>
    <definedName name="Excel_BuiltIn_Print_Titles_6_9_4_10_1" localSheetId="16">'[2]9b.sz.mell.II.név (7.2)'!#REF!</definedName>
    <definedName name="Excel_BuiltIn_Print_Titles_6_9_4_10_1" localSheetId="53">'[2]9b.sz.mell.II.név (7.2)'!#REF!</definedName>
    <definedName name="Excel_BuiltIn_Print_Titles_6_9_4_10_1">'[2]9b.sz.mell.II.név (7.2)'!#REF!</definedName>
    <definedName name="Excel_BuiltIn_Print_Titles_6_9_4_10_2" localSheetId="93">'[1]9b.sz.mell.II.név (7.2)'!#REF!</definedName>
    <definedName name="Excel_BuiltIn_Print_Titles_6_9_4_10_2" localSheetId="94">'[1]9b.sz.mell.II.név (7.2)'!#REF!</definedName>
    <definedName name="Excel_BuiltIn_Print_Titles_6_9_4_10_2" localSheetId="95">'[1]9b.sz.mell.II.név (7.2)'!#REF!</definedName>
    <definedName name="Excel_BuiltIn_Print_Titles_6_9_4_10_2" localSheetId="96">'[1]9b.sz.mell.II.név (7.2)'!#REF!</definedName>
    <definedName name="Excel_BuiltIn_Print_Titles_6_9_4_10_2" localSheetId="16">'[2]9b.sz.mell.II.név (7.2)'!#REF!</definedName>
    <definedName name="Excel_BuiltIn_Print_Titles_6_9_4_10_2" localSheetId="53">'[2]9b.sz.mell.II.név (7.2)'!#REF!</definedName>
    <definedName name="Excel_BuiltIn_Print_Titles_6_9_4_10_2">'[2]9b.sz.mell.II.név (7.2)'!#REF!</definedName>
    <definedName name="Excel_BuiltIn_Print_Titles_6_9_4_10_3" localSheetId="93">'[1]9b.sz.mell.II.név (7.2)'!#REF!</definedName>
    <definedName name="Excel_BuiltIn_Print_Titles_6_9_4_10_3" localSheetId="94">'[1]9b.sz.mell.II.név (7.2)'!#REF!</definedName>
    <definedName name="Excel_BuiltIn_Print_Titles_6_9_4_10_3" localSheetId="95">'[1]9b.sz.mell.II.név (7.2)'!#REF!</definedName>
    <definedName name="Excel_BuiltIn_Print_Titles_6_9_4_10_3" localSheetId="96">'[1]9b.sz.mell.II.név (7.2)'!#REF!</definedName>
    <definedName name="Excel_BuiltIn_Print_Titles_6_9_4_10_3" localSheetId="16">'[2]9b.sz.mell.II.név (7.2)'!#REF!</definedName>
    <definedName name="Excel_BuiltIn_Print_Titles_6_9_4_10_3" localSheetId="53">'[2]9b.sz.mell.II.név (7.2)'!#REF!</definedName>
    <definedName name="Excel_BuiltIn_Print_Titles_6_9_4_10_3">'[2]9b.sz.mell.II.név (7.2)'!#REF!</definedName>
    <definedName name="Excel_BuiltIn_Print_Titles_6_9_4_2" localSheetId="93">'[1]9b.sz.mell.II.név (7.2)'!#REF!</definedName>
    <definedName name="Excel_BuiltIn_Print_Titles_6_9_4_2" localSheetId="94">'[1]9b.sz.mell.II.név (7.2)'!#REF!</definedName>
    <definedName name="Excel_BuiltIn_Print_Titles_6_9_4_2" localSheetId="95">'[1]9b.sz.mell.II.név (7.2)'!#REF!</definedName>
    <definedName name="Excel_BuiltIn_Print_Titles_6_9_4_2" localSheetId="96">'[1]9b.sz.mell.II.név (7.2)'!#REF!</definedName>
    <definedName name="Excel_BuiltIn_Print_Titles_6_9_4_2" localSheetId="16">'[2]9b.sz.mell.II.név (7.2)'!#REF!</definedName>
    <definedName name="Excel_BuiltIn_Print_Titles_6_9_4_2" localSheetId="53">'[2]9b.sz.mell.II.név (7.2)'!#REF!</definedName>
    <definedName name="Excel_BuiltIn_Print_Titles_6_9_4_2">'[2]9b.sz.mell.II.név (7.2)'!#REF!</definedName>
    <definedName name="Excel_BuiltIn_Print_Titles_6_9_4_3" localSheetId="93">'[1]9b.sz.mell.II.név (7.2)'!#REF!</definedName>
    <definedName name="Excel_BuiltIn_Print_Titles_6_9_4_3" localSheetId="94">'[1]9b.sz.mell.II.név (7.2)'!#REF!</definedName>
    <definedName name="Excel_BuiltIn_Print_Titles_6_9_4_3" localSheetId="95">'[1]9b.sz.mell.II.név (7.2)'!#REF!</definedName>
    <definedName name="Excel_BuiltIn_Print_Titles_6_9_4_3" localSheetId="96">'[1]9b.sz.mell.II.név (7.2)'!#REF!</definedName>
    <definedName name="Excel_BuiltIn_Print_Titles_6_9_4_3" localSheetId="16">'[2]9b.sz.mell.II.név (7.2)'!#REF!</definedName>
    <definedName name="Excel_BuiltIn_Print_Titles_6_9_4_3" localSheetId="53">'[2]9b.sz.mell.II.név (7.2)'!#REF!</definedName>
    <definedName name="Excel_BuiltIn_Print_Titles_6_9_4_3">'[2]9b.sz.mell.II.név (7.2)'!#REF!</definedName>
    <definedName name="Excel_BuiltIn_Print_Titles_6_9_4_4" localSheetId="93">'[1]9b.sz.mell.II.név (7.2)'!#REF!</definedName>
    <definedName name="Excel_BuiltIn_Print_Titles_6_9_4_4" localSheetId="94">'[1]9b.sz.mell.II.név (7.2)'!#REF!</definedName>
    <definedName name="Excel_BuiltIn_Print_Titles_6_9_4_4" localSheetId="95">'[1]9b.sz.mell.II.név (7.2)'!#REF!</definedName>
    <definedName name="Excel_BuiltIn_Print_Titles_6_9_4_4" localSheetId="96">'[1]9b.sz.mell.II.név (7.2)'!#REF!</definedName>
    <definedName name="Excel_BuiltIn_Print_Titles_6_9_4_4" localSheetId="16">'[2]9b.sz.mell.II.név (7.2)'!#REF!</definedName>
    <definedName name="Excel_BuiltIn_Print_Titles_6_9_4_4" localSheetId="53">'[2]9b.sz.mell.II.név (7.2)'!#REF!</definedName>
    <definedName name="Excel_BuiltIn_Print_Titles_6_9_4_4">'[2]9b.sz.mell.II.név (7.2)'!#REF!</definedName>
    <definedName name="Excel_BuiltIn_Print_Titles_6_9_4_4_1" localSheetId="93">'[1]9b.sz.mell.II.név (7.2)'!#REF!</definedName>
    <definedName name="Excel_BuiltIn_Print_Titles_6_9_4_4_1" localSheetId="94">'[1]9b.sz.mell.II.név (7.2)'!#REF!</definedName>
    <definedName name="Excel_BuiltIn_Print_Titles_6_9_4_4_1" localSheetId="95">'[1]9b.sz.mell.II.név (7.2)'!#REF!</definedName>
    <definedName name="Excel_BuiltIn_Print_Titles_6_9_4_4_1" localSheetId="96">'[1]9b.sz.mell.II.név (7.2)'!#REF!</definedName>
    <definedName name="Excel_BuiltIn_Print_Titles_6_9_4_4_1" localSheetId="16">'[2]9b.sz.mell.II.név (7.2)'!#REF!</definedName>
    <definedName name="Excel_BuiltIn_Print_Titles_6_9_4_4_1" localSheetId="53">'[2]9b.sz.mell.II.név (7.2)'!#REF!</definedName>
    <definedName name="Excel_BuiltIn_Print_Titles_6_9_4_4_1">'[2]9b.sz.mell.II.név (7.2)'!#REF!</definedName>
    <definedName name="Excel_BuiltIn_Print_Titles_6_9_4_4_10" localSheetId="93">'[1]9b.sz.mell.II.név (7.2)'!#REF!</definedName>
    <definedName name="Excel_BuiltIn_Print_Titles_6_9_4_4_10" localSheetId="94">'[1]9b.sz.mell.II.név (7.2)'!#REF!</definedName>
    <definedName name="Excel_BuiltIn_Print_Titles_6_9_4_4_10" localSheetId="95">'[1]9b.sz.mell.II.név (7.2)'!#REF!</definedName>
    <definedName name="Excel_BuiltIn_Print_Titles_6_9_4_4_10" localSheetId="96">'[1]9b.sz.mell.II.név (7.2)'!#REF!</definedName>
    <definedName name="Excel_BuiltIn_Print_Titles_6_9_4_4_10" localSheetId="16">'[2]9b.sz.mell.II.név (7.2)'!#REF!</definedName>
    <definedName name="Excel_BuiltIn_Print_Titles_6_9_4_4_10" localSheetId="53">'[2]9b.sz.mell.II.név (7.2)'!#REF!</definedName>
    <definedName name="Excel_BuiltIn_Print_Titles_6_9_4_4_10">'[2]9b.sz.mell.II.név (7.2)'!#REF!</definedName>
    <definedName name="Excel_BuiltIn_Print_Titles_6_9_4_4_10_1" localSheetId="93">'[1]9b.sz.mell.II.név (7.2)'!#REF!</definedName>
    <definedName name="Excel_BuiltIn_Print_Titles_6_9_4_4_10_1" localSheetId="94">'[1]9b.sz.mell.II.név (7.2)'!#REF!</definedName>
    <definedName name="Excel_BuiltIn_Print_Titles_6_9_4_4_10_1" localSheetId="95">'[1]9b.sz.mell.II.név (7.2)'!#REF!</definedName>
    <definedName name="Excel_BuiltIn_Print_Titles_6_9_4_4_10_1" localSheetId="96">'[1]9b.sz.mell.II.név (7.2)'!#REF!</definedName>
    <definedName name="Excel_BuiltIn_Print_Titles_6_9_4_4_10_1" localSheetId="16">'[2]9b.sz.mell.II.név (7.2)'!#REF!</definedName>
    <definedName name="Excel_BuiltIn_Print_Titles_6_9_4_4_10_1" localSheetId="53">'[2]9b.sz.mell.II.név (7.2)'!#REF!</definedName>
    <definedName name="Excel_BuiltIn_Print_Titles_6_9_4_4_10_1">'[2]9b.sz.mell.II.név (7.2)'!#REF!</definedName>
    <definedName name="Excel_BuiltIn_Print_Titles_6_9_4_4_10_2" localSheetId="93">'[1]9b.sz.mell.II.név (7.2)'!#REF!</definedName>
    <definedName name="Excel_BuiltIn_Print_Titles_6_9_4_4_10_2" localSheetId="94">'[1]9b.sz.mell.II.név (7.2)'!#REF!</definedName>
    <definedName name="Excel_BuiltIn_Print_Titles_6_9_4_4_10_2" localSheetId="95">'[1]9b.sz.mell.II.név (7.2)'!#REF!</definedName>
    <definedName name="Excel_BuiltIn_Print_Titles_6_9_4_4_10_2" localSheetId="96">'[1]9b.sz.mell.II.név (7.2)'!#REF!</definedName>
    <definedName name="Excel_BuiltIn_Print_Titles_6_9_4_4_10_2" localSheetId="16">'[2]9b.sz.mell.II.név (7.2)'!#REF!</definedName>
    <definedName name="Excel_BuiltIn_Print_Titles_6_9_4_4_10_2" localSheetId="53">'[2]9b.sz.mell.II.név (7.2)'!#REF!</definedName>
    <definedName name="Excel_BuiltIn_Print_Titles_6_9_4_4_10_2">'[2]9b.sz.mell.II.név (7.2)'!#REF!</definedName>
    <definedName name="Excel_BuiltIn_Print_Titles_6_9_4_4_10_3" localSheetId="93">'[1]9b.sz.mell.II.név (7.2)'!#REF!</definedName>
    <definedName name="Excel_BuiltIn_Print_Titles_6_9_4_4_10_3" localSheetId="94">'[1]9b.sz.mell.II.név (7.2)'!#REF!</definedName>
    <definedName name="Excel_BuiltIn_Print_Titles_6_9_4_4_10_3" localSheetId="95">'[1]9b.sz.mell.II.név (7.2)'!#REF!</definedName>
    <definedName name="Excel_BuiltIn_Print_Titles_6_9_4_4_10_3" localSheetId="96">'[1]9b.sz.mell.II.név (7.2)'!#REF!</definedName>
    <definedName name="Excel_BuiltIn_Print_Titles_6_9_4_4_10_3" localSheetId="16">'[2]9b.sz.mell.II.név (7.2)'!#REF!</definedName>
    <definedName name="Excel_BuiltIn_Print_Titles_6_9_4_4_10_3" localSheetId="53">'[2]9b.sz.mell.II.név (7.2)'!#REF!</definedName>
    <definedName name="Excel_BuiltIn_Print_Titles_6_9_4_4_10_3">'[2]9b.sz.mell.II.név (7.2)'!#REF!</definedName>
    <definedName name="Excel_BuiltIn_Print_Titles_6_9_4_4_2" localSheetId="93">'[1]9b.sz.mell.II.név (7.2)'!#REF!</definedName>
    <definedName name="Excel_BuiltIn_Print_Titles_6_9_4_4_2" localSheetId="94">'[1]9b.sz.mell.II.név (7.2)'!#REF!</definedName>
    <definedName name="Excel_BuiltIn_Print_Titles_6_9_4_4_2" localSheetId="95">'[1]9b.sz.mell.II.név (7.2)'!#REF!</definedName>
    <definedName name="Excel_BuiltIn_Print_Titles_6_9_4_4_2" localSheetId="96">'[1]9b.sz.mell.II.név (7.2)'!#REF!</definedName>
    <definedName name="Excel_BuiltIn_Print_Titles_6_9_4_4_2" localSheetId="16">'[2]9b.sz.mell.II.név (7.2)'!#REF!</definedName>
    <definedName name="Excel_BuiltIn_Print_Titles_6_9_4_4_2" localSheetId="53">'[2]9b.sz.mell.II.név (7.2)'!#REF!</definedName>
    <definedName name="Excel_BuiltIn_Print_Titles_6_9_4_4_2">'[2]9b.sz.mell.II.név (7.2)'!#REF!</definedName>
    <definedName name="Excel_BuiltIn_Print_Titles_6_9_4_4_3" localSheetId="93">'[1]9b.sz.mell.II.név (7.2)'!#REF!</definedName>
    <definedName name="Excel_BuiltIn_Print_Titles_6_9_4_4_3" localSheetId="94">'[1]9b.sz.mell.II.név (7.2)'!#REF!</definedName>
    <definedName name="Excel_BuiltIn_Print_Titles_6_9_4_4_3" localSheetId="95">'[1]9b.sz.mell.II.név (7.2)'!#REF!</definedName>
    <definedName name="Excel_BuiltIn_Print_Titles_6_9_4_4_3" localSheetId="96">'[1]9b.sz.mell.II.név (7.2)'!#REF!</definedName>
    <definedName name="Excel_BuiltIn_Print_Titles_6_9_4_4_3" localSheetId="16">'[2]9b.sz.mell.II.név (7.2)'!#REF!</definedName>
    <definedName name="Excel_BuiltIn_Print_Titles_6_9_4_4_3" localSheetId="53">'[2]9b.sz.mell.II.név (7.2)'!#REF!</definedName>
    <definedName name="Excel_BuiltIn_Print_Titles_6_9_4_4_3">'[2]9b.sz.mell.II.név (7.2)'!#REF!</definedName>
    <definedName name="Excel_BuiltIn_Print_Titles_6_9_4_4_9" localSheetId="93">'[1]9b.sz.mell.II.név Végleges'!#REF!</definedName>
    <definedName name="Excel_BuiltIn_Print_Titles_6_9_4_4_9" localSheetId="94">'[1]9b.sz.mell.II.név Végleges'!#REF!</definedName>
    <definedName name="Excel_BuiltIn_Print_Titles_6_9_4_4_9" localSheetId="95">'[1]9b.sz.mell.II.név Végleges'!#REF!</definedName>
    <definedName name="Excel_BuiltIn_Print_Titles_6_9_4_4_9" localSheetId="96">'[1]9b.sz.mell.II.név Végleges'!#REF!</definedName>
    <definedName name="Excel_BuiltIn_Print_Titles_6_9_4_4_9" localSheetId="16">'[2]9b.sz.mell.II.név Végleges'!#REF!</definedName>
    <definedName name="Excel_BuiltIn_Print_Titles_6_9_4_4_9" localSheetId="53">'[2]9b.sz.mell.II.név Végleges'!#REF!</definedName>
    <definedName name="Excel_BuiltIn_Print_Titles_6_9_4_4_9">'[2]9b.sz.mell.II.név Végleges'!#REF!</definedName>
    <definedName name="Excel_BuiltIn_Print_Titles_6_9_4_4_9_1" localSheetId="93">'[1]9b.sz.mell.II.név Végleges'!#REF!</definedName>
    <definedName name="Excel_BuiltIn_Print_Titles_6_9_4_4_9_1" localSheetId="94">'[1]9b.sz.mell.II.név Végleges'!#REF!</definedName>
    <definedName name="Excel_BuiltIn_Print_Titles_6_9_4_4_9_1" localSheetId="95">'[1]9b.sz.mell.II.név Végleges'!#REF!</definedName>
    <definedName name="Excel_BuiltIn_Print_Titles_6_9_4_4_9_1" localSheetId="96">'[1]9b.sz.mell.II.név Végleges'!#REF!</definedName>
    <definedName name="Excel_BuiltIn_Print_Titles_6_9_4_4_9_1" localSheetId="16">'[2]9b.sz.mell.II.név Végleges'!#REF!</definedName>
    <definedName name="Excel_BuiltIn_Print_Titles_6_9_4_4_9_1" localSheetId="53">'[2]9b.sz.mell.II.név Végleges'!#REF!</definedName>
    <definedName name="Excel_BuiltIn_Print_Titles_6_9_4_4_9_1">'[2]9b.sz.mell.II.név Végleges'!#REF!</definedName>
    <definedName name="Excel_BuiltIn_Print_Titles_6_9_4_4_9_2" localSheetId="93">'[1]9b.sz.mell.II.név Végleges'!#REF!</definedName>
    <definedName name="Excel_BuiltIn_Print_Titles_6_9_4_4_9_2" localSheetId="94">'[1]9b.sz.mell.II.név Végleges'!#REF!</definedName>
    <definedName name="Excel_BuiltIn_Print_Titles_6_9_4_4_9_2" localSheetId="95">'[1]9b.sz.mell.II.név Végleges'!#REF!</definedName>
    <definedName name="Excel_BuiltIn_Print_Titles_6_9_4_4_9_2" localSheetId="96">'[1]9b.sz.mell.II.név Végleges'!#REF!</definedName>
    <definedName name="Excel_BuiltIn_Print_Titles_6_9_4_4_9_2" localSheetId="16">'[2]9b.sz.mell.II.név Végleges'!#REF!</definedName>
    <definedName name="Excel_BuiltIn_Print_Titles_6_9_4_4_9_2" localSheetId="53">'[2]9b.sz.mell.II.név Végleges'!#REF!</definedName>
    <definedName name="Excel_BuiltIn_Print_Titles_6_9_4_4_9_2">'[2]9b.sz.mell.II.név Végleges'!#REF!</definedName>
    <definedName name="Excel_BuiltIn_Print_Titles_6_9_4_4_9_3" localSheetId="93">'[1]9b.sz.mell.II.név Végleges'!#REF!</definedName>
    <definedName name="Excel_BuiltIn_Print_Titles_6_9_4_4_9_3" localSheetId="94">'[1]9b.sz.mell.II.név Végleges'!#REF!</definedName>
    <definedName name="Excel_BuiltIn_Print_Titles_6_9_4_4_9_3" localSheetId="95">'[1]9b.sz.mell.II.név Végleges'!#REF!</definedName>
    <definedName name="Excel_BuiltIn_Print_Titles_6_9_4_4_9_3" localSheetId="96">'[1]9b.sz.mell.II.név Végleges'!#REF!</definedName>
    <definedName name="Excel_BuiltIn_Print_Titles_6_9_4_4_9_3" localSheetId="16">'[2]9b.sz.mell.II.név Végleges'!#REF!</definedName>
    <definedName name="Excel_BuiltIn_Print_Titles_6_9_4_4_9_3" localSheetId="53">'[2]9b.sz.mell.II.név Végleges'!#REF!</definedName>
    <definedName name="Excel_BuiltIn_Print_Titles_6_9_4_4_9_3">'[2]9b.sz.mell.II.név Végleges'!#REF!</definedName>
    <definedName name="Excel_BuiltIn_Print_Titles_6_9_4_5" localSheetId="93">'[1]9b.sz.mell.II.név (7.2)'!#REF!</definedName>
    <definedName name="Excel_BuiltIn_Print_Titles_6_9_4_5" localSheetId="94">'[1]9b.sz.mell.II.név (7.2)'!#REF!</definedName>
    <definedName name="Excel_BuiltIn_Print_Titles_6_9_4_5" localSheetId="95">'[1]9b.sz.mell.II.név (7.2)'!#REF!</definedName>
    <definedName name="Excel_BuiltIn_Print_Titles_6_9_4_5" localSheetId="96">'[1]9b.sz.mell.II.név (7.2)'!#REF!</definedName>
    <definedName name="Excel_BuiltIn_Print_Titles_6_9_4_5" localSheetId="16">'[2]9b.sz.mell.II.név (7.2)'!#REF!</definedName>
    <definedName name="Excel_BuiltIn_Print_Titles_6_9_4_5" localSheetId="53">'[2]9b.sz.mell.II.név (7.2)'!#REF!</definedName>
    <definedName name="Excel_BuiltIn_Print_Titles_6_9_4_5">'[2]9b.sz.mell.II.név (7.2)'!#REF!</definedName>
    <definedName name="Excel_BuiltIn_Print_Titles_6_9_4_5_1" localSheetId="93">'[1]9b.sz.mell.II.név (7.2)'!#REF!</definedName>
    <definedName name="Excel_BuiltIn_Print_Titles_6_9_4_5_1" localSheetId="94">'[1]9b.sz.mell.II.név (7.2)'!#REF!</definedName>
    <definedName name="Excel_BuiltIn_Print_Titles_6_9_4_5_1" localSheetId="95">'[1]9b.sz.mell.II.név (7.2)'!#REF!</definedName>
    <definedName name="Excel_BuiltIn_Print_Titles_6_9_4_5_1" localSheetId="96">'[1]9b.sz.mell.II.név (7.2)'!#REF!</definedName>
    <definedName name="Excel_BuiltIn_Print_Titles_6_9_4_5_1" localSheetId="16">'[2]9b.sz.mell.II.név (7.2)'!#REF!</definedName>
    <definedName name="Excel_BuiltIn_Print_Titles_6_9_4_5_1" localSheetId="53">'[2]9b.sz.mell.II.név (7.2)'!#REF!</definedName>
    <definedName name="Excel_BuiltIn_Print_Titles_6_9_4_5_1">'[2]9b.sz.mell.II.név (7.2)'!#REF!</definedName>
    <definedName name="Excel_BuiltIn_Print_Titles_6_9_4_5_10" localSheetId="93">'[1]9b.sz.mell.II.név (7.2)'!#REF!</definedName>
    <definedName name="Excel_BuiltIn_Print_Titles_6_9_4_5_10" localSheetId="94">'[1]9b.sz.mell.II.név (7.2)'!#REF!</definedName>
    <definedName name="Excel_BuiltIn_Print_Titles_6_9_4_5_10" localSheetId="95">'[1]9b.sz.mell.II.név (7.2)'!#REF!</definedName>
    <definedName name="Excel_BuiltIn_Print_Titles_6_9_4_5_10" localSheetId="96">'[1]9b.sz.mell.II.név (7.2)'!#REF!</definedName>
    <definedName name="Excel_BuiltIn_Print_Titles_6_9_4_5_10" localSheetId="16">'[2]9b.sz.mell.II.név (7.2)'!#REF!</definedName>
    <definedName name="Excel_BuiltIn_Print_Titles_6_9_4_5_10" localSheetId="53">'[2]9b.sz.mell.II.név (7.2)'!#REF!</definedName>
    <definedName name="Excel_BuiltIn_Print_Titles_6_9_4_5_10">'[2]9b.sz.mell.II.név (7.2)'!#REF!</definedName>
    <definedName name="Excel_BuiltIn_Print_Titles_6_9_4_5_10_1" localSheetId="93">'[1]9b.sz.mell.II.név (7.2)'!#REF!</definedName>
    <definedName name="Excel_BuiltIn_Print_Titles_6_9_4_5_10_1" localSheetId="94">'[1]9b.sz.mell.II.név (7.2)'!#REF!</definedName>
    <definedName name="Excel_BuiltIn_Print_Titles_6_9_4_5_10_1" localSheetId="95">'[1]9b.sz.mell.II.név (7.2)'!#REF!</definedName>
    <definedName name="Excel_BuiltIn_Print_Titles_6_9_4_5_10_1" localSheetId="96">'[1]9b.sz.mell.II.név (7.2)'!#REF!</definedName>
    <definedName name="Excel_BuiltIn_Print_Titles_6_9_4_5_10_1" localSheetId="16">'[2]9b.sz.mell.II.név (7.2)'!#REF!</definedName>
    <definedName name="Excel_BuiltIn_Print_Titles_6_9_4_5_10_1" localSheetId="53">'[2]9b.sz.mell.II.név (7.2)'!#REF!</definedName>
    <definedName name="Excel_BuiltIn_Print_Titles_6_9_4_5_10_1">'[2]9b.sz.mell.II.név (7.2)'!#REF!</definedName>
    <definedName name="Excel_BuiltIn_Print_Titles_6_9_4_5_10_2" localSheetId="93">'[1]9b.sz.mell.II.név (7.2)'!#REF!</definedName>
    <definedName name="Excel_BuiltIn_Print_Titles_6_9_4_5_10_2" localSheetId="94">'[1]9b.sz.mell.II.név (7.2)'!#REF!</definedName>
    <definedName name="Excel_BuiltIn_Print_Titles_6_9_4_5_10_2" localSheetId="95">'[1]9b.sz.mell.II.név (7.2)'!#REF!</definedName>
    <definedName name="Excel_BuiltIn_Print_Titles_6_9_4_5_10_2" localSheetId="96">'[1]9b.sz.mell.II.név (7.2)'!#REF!</definedName>
    <definedName name="Excel_BuiltIn_Print_Titles_6_9_4_5_10_2" localSheetId="16">'[2]9b.sz.mell.II.név (7.2)'!#REF!</definedName>
    <definedName name="Excel_BuiltIn_Print_Titles_6_9_4_5_10_2" localSheetId="53">'[2]9b.sz.mell.II.név (7.2)'!#REF!</definedName>
    <definedName name="Excel_BuiltIn_Print_Titles_6_9_4_5_10_2">'[2]9b.sz.mell.II.név (7.2)'!#REF!</definedName>
    <definedName name="Excel_BuiltIn_Print_Titles_6_9_4_5_10_3" localSheetId="93">'[1]9b.sz.mell.II.név (7.2)'!#REF!</definedName>
    <definedName name="Excel_BuiltIn_Print_Titles_6_9_4_5_10_3" localSheetId="94">'[1]9b.sz.mell.II.név (7.2)'!#REF!</definedName>
    <definedName name="Excel_BuiltIn_Print_Titles_6_9_4_5_10_3" localSheetId="95">'[1]9b.sz.mell.II.név (7.2)'!#REF!</definedName>
    <definedName name="Excel_BuiltIn_Print_Titles_6_9_4_5_10_3" localSheetId="96">'[1]9b.sz.mell.II.név (7.2)'!#REF!</definedName>
    <definedName name="Excel_BuiltIn_Print_Titles_6_9_4_5_10_3" localSheetId="16">'[2]9b.sz.mell.II.név (7.2)'!#REF!</definedName>
    <definedName name="Excel_BuiltIn_Print_Titles_6_9_4_5_10_3" localSheetId="53">'[2]9b.sz.mell.II.név (7.2)'!#REF!</definedName>
    <definedName name="Excel_BuiltIn_Print_Titles_6_9_4_5_10_3">'[2]9b.sz.mell.II.név (7.2)'!#REF!</definedName>
    <definedName name="Excel_BuiltIn_Print_Titles_6_9_4_5_2" localSheetId="93">'[1]9b.sz.mell.II.név (7.2)'!#REF!</definedName>
    <definedName name="Excel_BuiltIn_Print_Titles_6_9_4_5_2" localSheetId="94">'[1]9b.sz.mell.II.név (7.2)'!#REF!</definedName>
    <definedName name="Excel_BuiltIn_Print_Titles_6_9_4_5_2" localSheetId="95">'[1]9b.sz.mell.II.név (7.2)'!#REF!</definedName>
    <definedName name="Excel_BuiltIn_Print_Titles_6_9_4_5_2" localSheetId="96">'[1]9b.sz.mell.II.név (7.2)'!#REF!</definedName>
    <definedName name="Excel_BuiltIn_Print_Titles_6_9_4_5_2" localSheetId="16">'[2]9b.sz.mell.II.név (7.2)'!#REF!</definedName>
    <definedName name="Excel_BuiltIn_Print_Titles_6_9_4_5_2" localSheetId="53">'[2]9b.sz.mell.II.név (7.2)'!#REF!</definedName>
    <definedName name="Excel_BuiltIn_Print_Titles_6_9_4_5_2">'[2]9b.sz.mell.II.név (7.2)'!#REF!</definedName>
    <definedName name="Excel_BuiltIn_Print_Titles_6_9_4_5_3" localSheetId="93">'[1]9b.sz.mell.II.név (7.2)'!#REF!</definedName>
    <definedName name="Excel_BuiltIn_Print_Titles_6_9_4_5_3" localSheetId="94">'[1]9b.sz.mell.II.név (7.2)'!#REF!</definedName>
    <definedName name="Excel_BuiltIn_Print_Titles_6_9_4_5_3" localSheetId="95">'[1]9b.sz.mell.II.név (7.2)'!#REF!</definedName>
    <definedName name="Excel_BuiltIn_Print_Titles_6_9_4_5_3" localSheetId="96">'[1]9b.sz.mell.II.név (7.2)'!#REF!</definedName>
    <definedName name="Excel_BuiltIn_Print_Titles_6_9_4_5_3" localSheetId="16">'[2]9b.sz.mell.II.név (7.2)'!#REF!</definedName>
    <definedName name="Excel_BuiltIn_Print_Titles_6_9_4_5_3" localSheetId="53">'[2]9b.sz.mell.II.név (7.2)'!#REF!</definedName>
    <definedName name="Excel_BuiltIn_Print_Titles_6_9_4_5_3">'[2]9b.sz.mell.II.név (7.2)'!#REF!</definedName>
    <definedName name="Excel_BuiltIn_Print_Titles_6_9_4_5_9" localSheetId="93">'[1]9b.sz.mell.II.név Végleges'!#REF!</definedName>
    <definedName name="Excel_BuiltIn_Print_Titles_6_9_4_5_9" localSheetId="94">'[1]9b.sz.mell.II.név Végleges'!#REF!</definedName>
    <definedName name="Excel_BuiltIn_Print_Titles_6_9_4_5_9" localSheetId="95">'[1]9b.sz.mell.II.név Végleges'!#REF!</definedName>
    <definedName name="Excel_BuiltIn_Print_Titles_6_9_4_5_9" localSheetId="96">'[1]9b.sz.mell.II.név Végleges'!#REF!</definedName>
    <definedName name="Excel_BuiltIn_Print_Titles_6_9_4_5_9" localSheetId="16">'[2]9b.sz.mell.II.név Végleges'!#REF!</definedName>
    <definedName name="Excel_BuiltIn_Print_Titles_6_9_4_5_9" localSheetId="53">'[2]9b.sz.mell.II.név Végleges'!#REF!</definedName>
    <definedName name="Excel_BuiltIn_Print_Titles_6_9_4_5_9">'[2]9b.sz.mell.II.név Végleges'!#REF!</definedName>
    <definedName name="Excel_BuiltIn_Print_Titles_6_9_4_5_9_1" localSheetId="93">'[1]9b.sz.mell.II.név Végleges'!#REF!</definedName>
    <definedName name="Excel_BuiltIn_Print_Titles_6_9_4_5_9_1" localSheetId="94">'[1]9b.sz.mell.II.név Végleges'!#REF!</definedName>
    <definedName name="Excel_BuiltIn_Print_Titles_6_9_4_5_9_1" localSheetId="95">'[1]9b.sz.mell.II.név Végleges'!#REF!</definedName>
    <definedName name="Excel_BuiltIn_Print_Titles_6_9_4_5_9_1" localSheetId="96">'[1]9b.sz.mell.II.név Végleges'!#REF!</definedName>
    <definedName name="Excel_BuiltIn_Print_Titles_6_9_4_5_9_1" localSheetId="16">'[2]9b.sz.mell.II.név Végleges'!#REF!</definedName>
    <definedName name="Excel_BuiltIn_Print_Titles_6_9_4_5_9_1" localSheetId="53">'[2]9b.sz.mell.II.név Végleges'!#REF!</definedName>
    <definedName name="Excel_BuiltIn_Print_Titles_6_9_4_5_9_1">'[2]9b.sz.mell.II.név Végleges'!#REF!</definedName>
    <definedName name="Excel_BuiltIn_Print_Titles_6_9_4_5_9_2" localSheetId="93">'[1]9b.sz.mell.II.név Végleges'!#REF!</definedName>
    <definedName name="Excel_BuiltIn_Print_Titles_6_9_4_5_9_2" localSheetId="94">'[1]9b.sz.mell.II.név Végleges'!#REF!</definedName>
    <definedName name="Excel_BuiltIn_Print_Titles_6_9_4_5_9_2" localSheetId="95">'[1]9b.sz.mell.II.név Végleges'!#REF!</definedName>
    <definedName name="Excel_BuiltIn_Print_Titles_6_9_4_5_9_2" localSheetId="96">'[1]9b.sz.mell.II.név Végleges'!#REF!</definedName>
    <definedName name="Excel_BuiltIn_Print_Titles_6_9_4_5_9_2" localSheetId="16">'[2]9b.sz.mell.II.név Végleges'!#REF!</definedName>
    <definedName name="Excel_BuiltIn_Print_Titles_6_9_4_5_9_2" localSheetId="53">'[2]9b.sz.mell.II.név Végleges'!#REF!</definedName>
    <definedName name="Excel_BuiltIn_Print_Titles_6_9_4_5_9_2">'[2]9b.sz.mell.II.név Végleges'!#REF!</definedName>
    <definedName name="Excel_BuiltIn_Print_Titles_6_9_4_5_9_3" localSheetId="93">'[1]9b.sz.mell.II.név Végleges'!#REF!</definedName>
    <definedName name="Excel_BuiltIn_Print_Titles_6_9_4_5_9_3" localSheetId="94">'[1]9b.sz.mell.II.név Végleges'!#REF!</definedName>
    <definedName name="Excel_BuiltIn_Print_Titles_6_9_4_5_9_3" localSheetId="95">'[1]9b.sz.mell.II.név Végleges'!#REF!</definedName>
    <definedName name="Excel_BuiltIn_Print_Titles_6_9_4_5_9_3" localSheetId="96">'[1]9b.sz.mell.II.név Végleges'!#REF!</definedName>
    <definedName name="Excel_BuiltIn_Print_Titles_6_9_4_5_9_3" localSheetId="16">'[2]9b.sz.mell.II.név Végleges'!#REF!</definedName>
    <definedName name="Excel_BuiltIn_Print_Titles_6_9_4_5_9_3" localSheetId="53">'[2]9b.sz.mell.II.név Végleges'!#REF!</definedName>
    <definedName name="Excel_BuiltIn_Print_Titles_6_9_4_5_9_3">'[2]9b.sz.mell.II.név Végleges'!#REF!</definedName>
    <definedName name="Excel_BuiltIn_Print_Titles_6_9_4_6" localSheetId="93">'[1]9b.sz.mell.III.-IVnév (7.2) '!#REF!</definedName>
    <definedName name="Excel_BuiltIn_Print_Titles_6_9_4_6" localSheetId="94">'[1]9b.sz.mell.III.-IVnév (7.2) '!#REF!</definedName>
    <definedName name="Excel_BuiltIn_Print_Titles_6_9_4_6" localSheetId="95">'[1]9b.sz.mell.III.-IVnév (7.2) '!#REF!</definedName>
    <definedName name="Excel_BuiltIn_Print_Titles_6_9_4_6" localSheetId="96">'[1]9b.sz.mell.III.-IVnév (7.2) '!#REF!</definedName>
    <definedName name="Excel_BuiltIn_Print_Titles_6_9_4_6" localSheetId="16">'[2]9b.sz.mell.III.-IVnév (7.2) '!#REF!</definedName>
    <definedName name="Excel_BuiltIn_Print_Titles_6_9_4_6" localSheetId="53">'[2]9b.sz.mell.III.-IVnév (7.2) '!#REF!</definedName>
    <definedName name="Excel_BuiltIn_Print_Titles_6_9_4_6">'[2]9b.sz.mell.III.-IVnév (7.2) '!#REF!</definedName>
    <definedName name="Excel_BuiltIn_Print_Titles_6_9_4_6_1" localSheetId="93">'[1]9b.sz.mell. Egész év'!#REF!</definedName>
    <definedName name="Excel_BuiltIn_Print_Titles_6_9_4_6_1" localSheetId="94">'[1]9b.sz.mell. Egész év'!#REF!</definedName>
    <definedName name="Excel_BuiltIn_Print_Titles_6_9_4_6_1" localSheetId="95">'[1]9b.sz.mell. Egész év'!#REF!</definedName>
    <definedName name="Excel_BuiltIn_Print_Titles_6_9_4_6_1" localSheetId="96">'[1]9b.sz.mell. Egész év'!#REF!</definedName>
    <definedName name="Excel_BuiltIn_Print_Titles_6_9_4_6_1" localSheetId="16">'[2]9b.sz.mell. Egész év'!#REF!</definedName>
    <definedName name="Excel_BuiltIn_Print_Titles_6_9_4_6_1" localSheetId="53">'[2]9b.sz.mell. Egész év'!#REF!</definedName>
    <definedName name="Excel_BuiltIn_Print_Titles_6_9_4_6_1">'[2]9b.sz.mell. Egész év'!#REF!</definedName>
    <definedName name="Excel_BuiltIn_Print_Titles_6_9_4_6_10" localSheetId="93">'[1]9b.sz.mell.III.-IVnév (7.2) '!#REF!</definedName>
    <definedName name="Excel_BuiltIn_Print_Titles_6_9_4_6_10" localSheetId="94">'[1]9b.sz.mell.III.-IVnév (7.2) '!#REF!</definedName>
    <definedName name="Excel_BuiltIn_Print_Titles_6_9_4_6_10" localSheetId="95">'[1]9b.sz.mell.III.-IVnév (7.2) '!#REF!</definedName>
    <definedName name="Excel_BuiltIn_Print_Titles_6_9_4_6_10" localSheetId="96">'[1]9b.sz.mell.III.-IVnév (7.2) '!#REF!</definedName>
    <definedName name="Excel_BuiltIn_Print_Titles_6_9_4_6_10" localSheetId="16">'[2]9b.sz.mell.III.-IVnév (7.2) '!#REF!</definedName>
    <definedName name="Excel_BuiltIn_Print_Titles_6_9_4_6_10" localSheetId="53">'[2]9b.sz.mell.III.-IVnév (7.2) '!#REF!</definedName>
    <definedName name="Excel_BuiltIn_Print_Titles_6_9_4_6_10">'[2]9b.sz.mell.III.-IVnév (7.2) '!#REF!</definedName>
    <definedName name="Excel_BuiltIn_Print_Titles_6_9_4_6_10_1" localSheetId="93">'[1]9b.sz.mell. Egész év'!#REF!</definedName>
    <definedName name="Excel_BuiltIn_Print_Titles_6_9_4_6_10_1" localSheetId="94">'[1]9b.sz.mell. Egész év'!#REF!</definedName>
    <definedName name="Excel_BuiltIn_Print_Titles_6_9_4_6_10_1" localSheetId="95">'[1]9b.sz.mell. Egész év'!#REF!</definedName>
    <definedName name="Excel_BuiltIn_Print_Titles_6_9_4_6_10_1" localSheetId="96">'[1]9b.sz.mell. Egész év'!#REF!</definedName>
    <definedName name="Excel_BuiltIn_Print_Titles_6_9_4_6_10_1" localSheetId="16">'[2]9b.sz.mell. Egész év'!#REF!</definedName>
    <definedName name="Excel_BuiltIn_Print_Titles_6_9_4_6_10_1" localSheetId="53">'[2]9b.sz.mell. Egész év'!#REF!</definedName>
    <definedName name="Excel_BuiltIn_Print_Titles_6_9_4_6_10_1">'[2]9b.sz.mell. Egész év'!#REF!</definedName>
    <definedName name="Excel_BuiltIn_Print_Titles_6_9_4_6_10_2" localSheetId="93">'[1]9b.sz.mell.III.-IVnév (7.2) '!#REF!</definedName>
    <definedName name="Excel_BuiltIn_Print_Titles_6_9_4_6_10_2" localSheetId="94">'[1]9b.sz.mell.III.-IVnév (7.2) '!#REF!</definedName>
    <definedName name="Excel_BuiltIn_Print_Titles_6_9_4_6_10_2" localSheetId="95">'[1]9b.sz.mell.III.-IVnév (7.2) '!#REF!</definedName>
    <definedName name="Excel_BuiltIn_Print_Titles_6_9_4_6_10_2" localSheetId="96">'[1]9b.sz.mell.III.-IVnév (7.2) '!#REF!</definedName>
    <definedName name="Excel_BuiltIn_Print_Titles_6_9_4_6_10_2" localSheetId="16">'[2]9b.sz.mell.III.-IVnév (7.2) '!#REF!</definedName>
    <definedName name="Excel_BuiltIn_Print_Titles_6_9_4_6_10_2" localSheetId="53">'[2]9b.sz.mell.III.-IVnév (7.2) '!#REF!</definedName>
    <definedName name="Excel_BuiltIn_Print_Titles_6_9_4_6_10_2">'[2]9b.sz.mell.III.-IVnév (7.2) '!#REF!</definedName>
    <definedName name="Excel_BuiltIn_Print_Titles_6_9_4_6_10_3" localSheetId="93">'[1]9b.sz.mell.III.-IVnév (7.2) '!#REF!</definedName>
    <definedName name="Excel_BuiltIn_Print_Titles_6_9_4_6_10_3" localSheetId="94">'[1]9b.sz.mell.III.-IVnév (7.2) '!#REF!</definedName>
    <definedName name="Excel_BuiltIn_Print_Titles_6_9_4_6_10_3" localSheetId="95">'[1]9b.sz.mell.III.-IVnév (7.2) '!#REF!</definedName>
    <definedName name="Excel_BuiltIn_Print_Titles_6_9_4_6_10_3" localSheetId="96">'[1]9b.sz.mell.III.-IVnév (7.2) '!#REF!</definedName>
    <definedName name="Excel_BuiltIn_Print_Titles_6_9_4_6_10_3" localSheetId="16">'[2]9b.sz.mell.III.-IVnév (7.2) '!#REF!</definedName>
    <definedName name="Excel_BuiltIn_Print_Titles_6_9_4_6_10_3" localSheetId="53">'[2]9b.sz.mell.III.-IVnév (7.2) '!#REF!</definedName>
    <definedName name="Excel_BuiltIn_Print_Titles_6_9_4_6_10_3">'[2]9b.sz.mell.III.-IVnév (7.2) '!#REF!</definedName>
    <definedName name="Excel_BuiltIn_Print_Titles_6_9_4_6_2" localSheetId="93">'[1]9b.sz.mell.III.-IVnév (7.2) '!#REF!</definedName>
    <definedName name="Excel_BuiltIn_Print_Titles_6_9_4_6_2" localSheetId="94">'[1]9b.sz.mell.III.-IVnév (7.2) '!#REF!</definedName>
    <definedName name="Excel_BuiltIn_Print_Titles_6_9_4_6_2" localSheetId="95">'[1]9b.sz.mell.III.-IVnév (7.2) '!#REF!</definedName>
    <definedName name="Excel_BuiltIn_Print_Titles_6_9_4_6_2" localSheetId="96">'[1]9b.sz.mell.III.-IVnév (7.2) '!#REF!</definedName>
    <definedName name="Excel_BuiltIn_Print_Titles_6_9_4_6_2" localSheetId="16">'[2]9b.sz.mell.III.-IVnév (7.2) '!#REF!</definedName>
    <definedName name="Excel_BuiltIn_Print_Titles_6_9_4_6_2" localSheetId="53">'[2]9b.sz.mell.III.-IVnév (7.2) '!#REF!</definedName>
    <definedName name="Excel_BuiltIn_Print_Titles_6_9_4_6_2">'[2]9b.sz.mell.III.-IVnév (7.2) '!#REF!</definedName>
    <definedName name="Excel_BuiltIn_Print_Titles_6_9_4_6_3" localSheetId="93">'[1]9b.sz.mell.III.-IVnév (7.2) '!#REF!</definedName>
    <definedName name="Excel_BuiltIn_Print_Titles_6_9_4_6_3" localSheetId="94">'[1]9b.sz.mell.III.-IVnév (7.2) '!#REF!</definedName>
    <definedName name="Excel_BuiltIn_Print_Titles_6_9_4_6_3" localSheetId="95">'[1]9b.sz.mell.III.-IVnév (7.2) '!#REF!</definedName>
    <definedName name="Excel_BuiltIn_Print_Titles_6_9_4_6_3" localSheetId="96">'[1]9b.sz.mell.III.-IVnév (7.2) '!#REF!</definedName>
    <definedName name="Excel_BuiltIn_Print_Titles_6_9_4_6_3" localSheetId="16">'[2]9b.sz.mell.III.-IVnév (7.2) '!#REF!</definedName>
    <definedName name="Excel_BuiltIn_Print_Titles_6_9_4_6_3" localSheetId="53">'[2]9b.sz.mell.III.-IVnév (7.2) '!#REF!</definedName>
    <definedName name="Excel_BuiltIn_Print_Titles_6_9_4_6_3">'[2]9b.sz.mell.III.-IVnév (7.2) '!#REF!</definedName>
    <definedName name="Excel_BuiltIn_Print_Titles_6_9_4_6_9" localSheetId="93">'[1]9b.sz.mell.III.-IVnév (7.2) '!#REF!</definedName>
    <definedName name="Excel_BuiltIn_Print_Titles_6_9_4_6_9" localSheetId="94">'[1]9b.sz.mell.III.-IVnév (7.2) '!#REF!</definedName>
    <definedName name="Excel_BuiltIn_Print_Titles_6_9_4_6_9" localSheetId="95">'[1]9b.sz.mell.III.-IVnév (7.2) '!#REF!</definedName>
    <definedName name="Excel_BuiltIn_Print_Titles_6_9_4_6_9" localSheetId="96">'[1]9b.sz.mell.III.-IVnév (7.2) '!#REF!</definedName>
    <definedName name="Excel_BuiltIn_Print_Titles_6_9_4_6_9" localSheetId="16">'[2]9b.sz.mell.III.-IVnév (7.2) '!#REF!</definedName>
    <definedName name="Excel_BuiltIn_Print_Titles_6_9_4_6_9" localSheetId="53">'[2]9b.sz.mell.III.-IVnév (7.2) '!#REF!</definedName>
    <definedName name="Excel_BuiltIn_Print_Titles_6_9_4_6_9">'[2]9b.sz.mell.III.-IVnév (7.2) '!#REF!</definedName>
    <definedName name="Excel_BuiltIn_Print_Titles_6_9_4_6_9_1" localSheetId="93">'[1]9b.sz.mell. Egész év'!#REF!</definedName>
    <definedName name="Excel_BuiltIn_Print_Titles_6_9_4_6_9_1" localSheetId="94">'[1]9b.sz.mell. Egész év'!#REF!</definedName>
    <definedName name="Excel_BuiltIn_Print_Titles_6_9_4_6_9_1" localSheetId="95">'[1]9b.sz.mell. Egész év'!#REF!</definedName>
    <definedName name="Excel_BuiltIn_Print_Titles_6_9_4_6_9_1" localSheetId="96">'[1]9b.sz.mell. Egész év'!#REF!</definedName>
    <definedName name="Excel_BuiltIn_Print_Titles_6_9_4_6_9_1" localSheetId="16">'[2]9b.sz.mell. Egész év'!#REF!</definedName>
    <definedName name="Excel_BuiltIn_Print_Titles_6_9_4_6_9_1" localSheetId="53">'[2]9b.sz.mell. Egész év'!#REF!</definedName>
    <definedName name="Excel_BuiltIn_Print_Titles_6_9_4_6_9_1">'[2]9b.sz.mell. Egész év'!#REF!</definedName>
    <definedName name="Excel_BuiltIn_Print_Titles_6_9_4_6_9_2" localSheetId="93">'[1]9b.sz.mell.III.-IVnév (7.2) '!#REF!</definedName>
    <definedName name="Excel_BuiltIn_Print_Titles_6_9_4_6_9_2" localSheetId="94">'[1]9b.sz.mell.III.-IVnév (7.2) '!#REF!</definedName>
    <definedName name="Excel_BuiltIn_Print_Titles_6_9_4_6_9_2" localSheetId="95">'[1]9b.sz.mell.III.-IVnév (7.2) '!#REF!</definedName>
    <definedName name="Excel_BuiltIn_Print_Titles_6_9_4_6_9_2" localSheetId="96">'[1]9b.sz.mell.III.-IVnév (7.2) '!#REF!</definedName>
    <definedName name="Excel_BuiltIn_Print_Titles_6_9_4_6_9_2" localSheetId="16">'[2]9b.sz.mell.III.-IVnév (7.2) '!#REF!</definedName>
    <definedName name="Excel_BuiltIn_Print_Titles_6_9_4_6_9_2" localSheetId="53">'[2]9b.sz.mell.III.-IVnév (7.2) '!#REF!</definedName>
    <definedName name="Excel_BuiltIn_Print_Titles_6_9_4_6_9_2">'[2]9b.sz.mell.III.-IVnév (7.2) '!#REF!</definedName>
    <definedName name="Excel_BuiltIn_Print_Titles_6_9_4_6_9_3" localSheetId="93">'[1]9b.sz.mell.III.-IVnév (7.2) '!#REF!</definedName>
    <definedName name="Excel_BuiltIn_Print_Titles_6_9_4_6_9_3" localSheetId="94">'[1]9b.sz.mell.III.-IVnév (7.2) '!#REF!</definedName>
    <definedName name="Excel_BuiltIn_Print_Titles_6_9_4_6_9_3" localSheetId="95">'[1]9b.sz.mell.III.-IVnév (7.2) '!#REF!</definedName>
    <definedName name="Excel_BuiltIn_Print_Titles_6_9_4_6_9_3" localSheetId="96">'[1]9b.sz.mell.III.-IVnév (7.2) '!#REF!</definedName>
    <definedName name="Excel_BuiltIn_Print_Titles_6_9_4_6_9_3" localSheetId="16">'[2]9b.sz.mell.III.-IVnév (7.2) '!#REF!</definedName>
    <definedName name="Excel_BuiltIn_Print_Titles_6_9_4_6_9_3" localSheetId="53">'[2]9b.sz.mell.III.-IVnév (7.2) '!#REF!</definedName>
    <definedName name="Excel_BuiltIn_Print_Titles_6_9_4_6_9_3">'[2]9b.sz.mell.III.-IVnév (7.2) '!#REF!</definedName>
    <definedName name="Excel_BuiltIn_Print_Titles_6_9_4_8" localSheetId="93">'[1]9b.sz.mell.II.név (7.2)'!#REF!</definedName>
    <definedName name="Excel_BuiltIn_Print_Titles_6_9_4_8" localSheetId="94">'[1]9b.sz.mell.II.név (7.2)'!#REF!</definedName>
    <definedName name="Excel_BuiltIn_Print_Titles_6_9_4_8" localSheetId="95">'[1]9b.sz.mell.II.név (7.2)'!#REF!</definedName>
    <definedName name="Excel_BuiltIn_Print_Titles_6_9_4_8" localSheetId="96">'[1]9b.sz.mell.II.név (7.2)'!#REF!</definedName>
    <definedName name="Excel_BuiltIn_Print_Titles_6_9_4_8" localSheetId="16">'[2]9b.sz.mell.II.név (7.2)'!#REF!</definedName>
    <definedName name="Excel_BuiltIn_Print_Titles_6_9_4_8" localSheetId="53">'[2]9b.sz.mell.II.név (7.2)'!#REF!</definedName>
    <definedName name="Excel_BuiltIn_Print_Titles_6_9_4_8">'[2]9b.sz.mell.II.név (7.2)'!#REF!</definedName>
    <definedName name="Excel_BuiltIn_Print_Titles_6_9_4_8_1" localSheetId="93">'[1]9b.sz.mell.II.név (7.2)'!#REF!</definedName>
    <definedName name="Excel_BuiltIn_Print_Titles_6_9_4_8_1" localSheetId="94">'[1]9b.sz.mell.II.név (7.2)'!#REF!</definedName>
    <definedName name="Excel_BuiltIn_Print_Titles_6_9_4_8_1" localSheetId="95">'[1]9b.sz.mell.II.név (7.2)'!#REF!</definedName>
    <definedName name="Excel_BuiltIn_Print_Titles_6_9_4_8_1" localSheetId="96">'[1]9b.sz.mell.II.név (7.2)'!#REF!</definedName>
    <definedName name="Excel_BuiltIn_Print_Titles_6_9_4_8_1" localSheetId="16">'[2]9b.sz.mell.II.név (7.2)'!#REF!</definedName>
    <definedName name="Excel_BuiltIn_Print_Titles_6_9_4_8_1" localSheetId="53">'[2]9b.sz.mell.II.név (7.2)'!#REF!</definedName>
    <definedName name="Excel_BuiltIn_Print_Titles_6_9_4_8_1">'[2]9b.sz.mell.II.név (7.2)'!#REF!</definedName>
    <definedName name="Excel_BuiltIn_Print_Titles_6_9_4_8_10" localSheetId="93">'[1]9b.sz.mell.II.név (7.2)'!#REF!</definedName>
    <definedName name="Excel_BuiltIn_Print_Titles_6_9_4_8_10" localSheetId="94">'[1]9b.sz.mell.II.név (7.2)'!#REF!</definedName>
    <definedName name="Excel_BuiltIn_Print_Titles_6_9_4_8_10" localSheetId="95">'[1]9b.sz.mell.II.név (7.2)'!#REF!</definedName>
    <definedName name="Excel_BuiltIn_Print_Titles_6_9_4_8_10" localSheetId="96">'[1]9b.sz.mell.II.név (7.2)'!#REF!</definedName>
    <definedName name="Excel_BuiltIn_Print_Titles_6_9_4_8_10" localSheetId="16">'[2]9b.sz.mell.II.név (7.2)'!#REF!</definedName>
    <definedName name="Excel_BuiltIn_Print_Titles_6_9_4_8_10" localSheetId="53">'[2]9b.sz.mell.II.név (7.2)'!#REF!</definedName>
    <definedName name="Excel_BuiltIn_Print_Titles_6_9_4_8_10">'[2]9b.sz.mell.II.név (7.2)'!#REF!</definedName>
    <definedName name="Excel_BuiltIn_Print_Titles_6_9_4_8_10_1" localSheetId="93">'[1]9b.sz.mell.II.név (7.2)'!#REF!</definedName>
    <definedName name="Excel_BuiltIn_Print_Titles_6_9_4_8_10_1" localSheetId="94">'[1]9b.sz.mell.II.név (7.2)'!#REF!</definedName>
    <definedName name="Excel_BuiltIn_Print_Titles_6_9_4_8_10_1" localSheetId="95">'[1]9b.sz.mell.II.név (7.2)'!#REF!</definedName>
    <definedName name="Excel_BuiltIn_Print_Titles_6_9_4_8_10_1" localSheetId="96">'[1]9b.sz.mell.II.név (7.2)'!#REF!</definedName>
    <definedName name="Excel_BuiltIn_Print_Titles_6_9_4_8_10_1" localSheetId="16">'[2]9b.sz.mell.II.név (7.2)'!#REF!</definedName>
    <definedName name="Excel_BuiltIn_Print_Titles_6_9_4_8_10_1" localSheetId="53">'[2]9b.sz.mell.II.név (7.2)'!#REF!</definedName>
    <definedName name="Excel_BuiltIn_Print_Titles_6_9_4_8_10_1">'[2]9b.sz.mell.II.név (7.2)'!#REF!</definedName>
    <definedName name="Excel_BuiltIn_Print_Titles_6_9_4_8_10_2" localSheetId="93">'[1]9b.sz.mell.II.név (7.2)'!#REF!</definedName>
    <definedName name="Excel_BuiltIn_Print_Titles_6_9_4_8_10_2" localSheetId="94">'[1]9b.sz.mell.II.név (7.2)'!#REF!</definedName>
    <definedName name="Excel_BuiltIn_Print_Titles_6_9_4_8_10_2" localSheetId="95">'[1]9b.sz.mell.II.név (7.2)'!#REF!</definedName>
    <definedName name="Excel_BuiltIn_Print_Titles_6_9_4_8_10_2" localSheetId="96">'[1]9b.sz.mell.II.név (7.2)'!#REF!</definedName>
    <definedName name="Excel_BuiltIn_Print_Titles_6_9_4_8_10_2" localSheetId="16">'[2]9b.sz.mell.II.név (7.2)'!#REF!</definedName>
    <definedName name="Excel_BuiltIn_Print_Titles_6_9_4_8_10_2" localSheetId="53">'[2]9b.sz.mell.II.név (7.2)'!#REF!</definedName>
    <definedName name="Excel_BuiltIn_Print_Titles_6_9_4_8_10_2">'[2]9b.sz.mell.II.név (7.2)'!#REF!</definedName>
    <definedName name="Excel_BuiltIn_Print_Titles_6_9_4_8_10_3" localSheetId="93">'[1]9b.sz.mell.II.név (7.2)'!#REF!</definedName>
    <definedName name="Excel_BuiltIn_Print_Titles_6_9_4_8_10_3" localSheetId="94">'[1]9b.sz.mell.II.név (7.2)'!#REF!</definedName>
    <definedName name="Excel_BuiltIn_Print_Titles_6_9_4_8_10_3" localSheetId="95">'[1]9b.sz.mell.II.név (7.2)'!#REF!</definedName>
    <definedName name="Excel_BuiltIn_Print_Titles_6_9_4_8_10_3" localSheetId="96">'[1]9b.sz.mell.II.név (7.2)'!#REF!</definedName>
    <definedName name="Excel_BuiltIn_Print_Titles_6_9_4_8_10_3" localSheetId="16">'[2]9b.sz.mell.II.név (7.2)'!#REF!</definedName>
    <definedName name="Excel_BuiltIn_Print_Titles_6_9_4_8_10_3" localSheetId="53">'[2]9b.sz.mell.II.név (7.2)'!#REF!</definedName>
    <definedName name="Excel_BuiltIn_Print_Titles_6_9_4_8_10_3">'[2]9b.sz.mell.II.név (7.2)'!#REF!</definedName>
    <definedName name="Excel_BuiltIn_Print_Titles_6_9_4_8_2" localSheetId="93">'[1]9b.sz.mell.II.név (7.2)'!#REF!</definedName>
    <definedName name="Excel_BuiltIn_Print_Titles_6_9_4_8_2" localSheetId="94">'[1]9b.sz.mell.II.név (7.2)'!#REF!</definedName>
    <definedName name="Excel_BuiltIn_Print_Titles_6_9_4_8_2" localSheetId="95">'[1]9b.sz.mell.II.név (7.2)'!#REF!</definedName>
    <definedName name="Excel_BuiltIn_Print_Titles_6_9_4_8_2" localSheetId="96">'[1]9b.sz.mell.II.név (7.2)'!#REF!</definedName>
    <definedName name="Excel_BuiltIn_Print_Titles_6_9_4_8_2" localSheetId="16">'[2]9b.sz.mell.II.név (7.2)'!#REF!</definedName>
    <definedName name="Excel_BuiltIn_Print_Titles_6_9_4_8_2" localSheetId="53">'[2]9b.sz.mell.II.név (7.2)'!#REF!</definedName>
    <definedName name="Excel_BuiltIn_Print_Titles_6_9_4_8_2">'[2]9b.sz.mell.II.név (7.2)'!#REF!</definedName>
    <definedName name="Excel_BuiltIn_Print_Titles_6_9_4_8_3" localSheetId="93">'[1]9b.sz.mell.II.név (7.2)'!#REF!</definedName>
    <definedName name="Excel_BuiltIn_Print_Titles_6_9_4_8_3" localSheetId="94">'[1]9b.sz.mell.II.név (7.2)'!#REF!</definedName>
    <definedName name="Excel_BuiltIn_Print_Titles_6_9_4_8_3" localSheetId="95">'[1]9b.sz.mell.II.név (7.2)'!#REF!</definedName>
    <definedName name="Excel_BuiltIn_Print_Titles_6_9_4_8_3" localSheetId="96">'[1]9b.sz.mell.II.név (7.2)'!#REF!</definedName>
    <definedName name="Excel_BuiltIn_Print_Titles_6_9_4_8_3" localSheetId="16">'[2]9b.sz.mell.II.név (7.2)'!#REF!</definedName>
    <definedName name="Excel_BuiltIn_Print_Titles_6_9_4_8_3" localSheetId="53">'[2]9b.sz.mell.II.név (7.2)'!#REF!</definedName>
    <definedName name="Excel_BuiltIn_Print_Titles_6_9_4_8_3">'[2]9b.sz.mell.II.név (7.2)'!#REF!</definedName>
    <definedName name="Excel_BuiltIn_Print_Titles_6_9_4_8_9" localSheetId="93">'[1]9b.sz.mell.II.név Végleges'!#REF!</definedName>
    <definedName name="Excel_BuiltIn_Print_Titles_6_9_4_8_9" localSheetId="94">'[1]9b.sz.mell.II.név Végleges'!#REF!</definedName>
    <definedName name="Excel_BuiltIn_Print_Titles_6_9_4_8_9" localSheetId="95">'[1]9b.sz.mell.II.név Végleges'!#REF!</definedName>
    <definedName name="Excel_BuiltIn_Print_Titles_6_9_4_8_9" localSheetId="96">'[1]9b.sz.mell.II.név Végleges'!#REF!</definedName>
    <definedName name="Excel_BuiltIn_Print_Titles_6_9_4_8_9" localSheetId="16">'[2]9b.sz.mell.II.név Végleges'!#REF!</definedName>
    <definedName name="Excel_BuiltIn_Print_Titles_6_9_4_8_9" localSheetId="53">'[2]9b.sz.mell.II.név Végleges'!#REF!</definedName>
    <definedName name="Excel_BuiltIn_Print_Titles_6_9_4_8_9">'[2]9b.sz.mell.II.név Végleges'!#REF!</definedName>
    <definedName name="Excel_BuiltIn_Print_Titles_6_9_4_8_9_1" localSheetId="93">'[1]9b.sz.mell.II.név Végleges'!#REF!</definedName>
    <definedName name="Excel_BuiltIn_Print_Titles_6_9_4_8_9_1" localSheetId="94">'[1]9b.sz.mell.II.név Végleges'!#REF!</definedName>
    <definedName name="Excel_BuiltIn_Print_Titles_6_9_4_8_9_1" localSheetId="95">'[1]9b.sz.mell.II.név Végleges'!#REF!</definedName>
    <definedName name="Excel_BuiltIn_Print_Titles_6_9_4_8_9_1" localSheetId="96">'[1]9b.sz.mell.II.név Végleges'!#REF!</definedName>
    <definedName name="Excel_BuiltIn_Print_Titles_6_9_4_8_9_1" localSheetId="16">'[2]9b.sz.mell.II.név Végleges'!#REF!</definedName>
    <definedName name="Excel_BuiltIn_Print_Titles_6_9_4_8_9_1" localSheetId="53">'[2]9b.sz.mell.II.név Végleges'!#REF!</definedName>
    <definedName name="Excel_BuiltIn_Print_Titles_6_9_4_8_9_1">'[2]9b.sz.mell.II.név Végleges'!#REF!</definedName>
    <definedName name="Excel_BuiltIn_Print_Titles_6_9_4_8_9_2" localSheetId="93">'[1]9b.sz.mell.II.név Végleges'!#REF!</definedName>
    <definedName name="Excel_BuiltIn_Print_Titles_6_9_4_8_9_2" localSheetId="94">'[1]9b.sz.mell.II.név Végleges'!#REF!</definedName>
    <definedName name="Excel_BuiltIn_Print_Titles_6_9_4_8_9_2" localSheetId="95">'[1]9b.sz.mell.II.név Végleges'!#REF!</definedName>
    <definedName name="Excel_BuiltIn_Print_Titles_6_9_4_8_9_2" localSheetId="96">'[1]9b.sz.mell.II.név Végleges'!#REF!</definedName>
    <definedName name="Excel_BuiltIn_Print_Titles_6_9_4_8_9_2" localSheetId="16">'[2]9b.sz.mell.II.név Végleges'!#REF!</definedName>
    <definedName name="Excel_BuiltIn_Print_Titles_6_9_4_8_9_2" localSheetId="53">'[2]9b.sz.mell.II.név Végleges'!#REF!</definedName>
    <definedName name="Excel_BuiltIn_Print_Titles_6_9_4_8_9_2">'[2]9b.sz.mell.II.név Végleges'!#REF!</definedName>
    <definedName name="Excel_BuiltIn_Print_Titles_6_9_4_8_9_3" localSheetId="93">'[1]9b.sz.mell.II.név Végleges'!#REF!</definedName>
    <definedName name="Excel_BuiltIn_Print_Titles_6_9_4_8_9_3" localSheetId="94">'[1]9b.sz.mell.II.név Végleges'!#REF!</definedName>
    <definedName name="Excel_BuiltIn_Print_Titles_6_9_4_8_9_3" localSheetId="95">'[1]9b.sz.mell.II.név Végleges'!#REF!</definedName>
    <definedName name="Excel_BuiltIn_Print_Titles_6_9_4_8_9_3" localSheetId="96">'[1]9b.sz.mell.II.név Végleges'!#REF!</definedName>
    <definedName name="Excel_BuiltIn_Print_Titles_6_9_4_8_9_3" localSheetId="16">'[2]9b.sz.mell.II.név Végleges'!#REF!</definedName>
    <definedName name="Excel_BuiltIn_Print_Titles_6_9_4_8_9_3" localSheetId="53">'[2]9b.sz.mell.II.név Végleges'!#REF!</definedName>
    <definedName name="Excel_BuiltIn_Print_Titles_6_9_4_8_9_3">'[2]9b.sz.mell.II.név Végleges'!#REF!</definedName>
    <definedName name="Excel_BuiltIn_Print_Titles_6_9_4_9" localSheetId="93">'[1]9b.sz.mell.II.név Végleges'!#REF!</definedName>
    <definedName name="Excel_BuiltIn_Print_Titles_6_9_4_9" localSheetId="94">'[1]9b.sz.mell.II.név Végleges'!#REF!</definedName>
    <definedName name="Excel_BuiltIn_Print_Titles_6_9_4_9" localSheetId="95">'[1]9b.sz.mell.II.név Végleges'!#REF!</definedName>
    <definedName name="Excel_BuiltIn_Print_Titles_6_9_4_9" localSheetId="96">'[1]9b.sz.mell.II.név Végleges'!#REF!</definedName>
    <definedName name="Excel_BuiltIn_Print_Titles_6_9_4_9" localSheetId="16">'[2]9b.sz.mell.II.név Végleges'!#REF!</definedName>
    <definedName name="Excel_BuiltIn_Print_Titles_6_9_4_9" localSheetId="53">'[2]9b.sz.mell.II.név Végleges'!#REF!</definedName>
    <definedName name="Excel_BuiltIn_Print_Titles_6_9_4_9">'[2]9b.sz.mell.II.név Végleges'!#REF!</definedName>
    <definedName name="Excel_BuiltIn_Print_Titles_6_9_4_9_1" localSheetId="93">'[1]9b.sz.mell.II.név Végleges'!#REF!</definedName>
    <definedName name="Excel_BuiltIn_Print_Titles_6_9_4_9_1" localSheetId="94">'[1]9b.sz.mell.II.név Végleges'!#REF!</definedName>
    <definedName name="Excel_BuiltIn_Print_Titles_6_9_4_9_1" localSheetId="95">'[1]9b.sz.mell.II.név Végleges'!#REF!</definedName>
    <definedName name="Excel_BuiltIn_Print_Titles_6_9_4_9_1" localSheetId="96">'[1]9b.sz.mell.II.név Végleges'!#REF!</definedName>
    <definedName name="Excel_BuiltIn_Print_Titles_6_9_4_9_1" localSheetId="16">'[2]9b.sz.mell.II.név Végleges'!#REF!</definedName>
    <definedName name="Excel_BuiltIn_Print_Titles_6_9_4_9_1" localSheetId="53">'[2]9b.sz.mell.II.név Végleges'!#REF!</definedName>
    <definedName name="Excel_BuiltIn_Print_Titles_6_9_4_9_1">'[2]9b.sz.mell.II.név Végleges'!#REF!</definedName>
    <definedName name="Excel_BuiltIn_Print_Titles_6_9_4_9_2" localSheetId="93">'[1]9b.sz.mell.II.név Végleges'!#REF!</definedName>
    <definedName name="Excel_BuiltIn_Print_Titles_6_9_4_9_2" localSheetId="94">'[1]9b.sz.mell.II.név Végleges'!#REF!</definedName>
    <definedName name="Excel_BuiltIn_Print_Titles_6_9_4_9_2" localSheetId="95">'[1]9b.sz.mell.II.név Végleges'!#REF!</definedName>
    <definedName name="Excel_BuiltIn_Print_Titles_6_9_4_9_2" localSheetId="96">'[1]9b.sz.mell.II.név Végleges'!#REF!</definedName>
    <definedName name="Excel_BuiltIn_Print_Titles_6_9_4_9_2" localSheetId="16">'[2]9b.sz.mell.II.név Végleges'!#REF!</definedName>
    <definedName name="Excel_BuiltIn_Print_Titles_6_9_4_9_2" localSheetId="53">'[2]9b.sz.mell.II.név Végleges'!#REF!</definedName>
    <definedName name="Excel_BuiltIn_Print_Titles_6_9_4_9_2">'[2]9b.sz.mell.II.név Végleges'!#REF!</definedName>
    <definedName name="Excel_BuiltIn_Print_Titles_6_9_4_9_3" localSheetId="93">'[1]9b.sz.mell.II.név Végleges'!#REF!</definedName>
    <definedName name="Excel_BuiltIn_Print_Titles_6_9_4_9_3" localSheetId="94">'[1]9b.sz.mell.II.név Végleges'!#REF!</definedName>
    <definedName name="Excel_BuiltIn_Print_Titles_6_9_4_9_3" localSheetId="95">'[1]9b.sz.mell.II.név Végleges'!#REF!</definedName>
    <definedName name="Excel_BuiltIn_Print_Titles_6_9_4_9_3" localSheetId="96">'[1]9b.sz.mell.II.név Végleges'!#REF!</definedName>
    <definedName name="Excel_BuiltIn_Print_Titles_6_9_4_9_3" localSheetId="16">'[2]9b.sz.mell.II.név Végleges'!#REF!</definedName>
    <definedName name="Excel_BuiltIn_Print_Titles_6_9_4_9_3" localSheetId="53">'[2]9b.sz.mell.II.név Végleges'!#REF!</definedName>
    <definedName name="Excel_BuiltIn_Print_Titles_6_9_4_9_3">'[2]9b.sz.mell.II.név Végleges'!#REF!</definedName>
    <definedName name="Excel_BuiltIn_Print_Titles_6_9_5" localSheetId="93">'[1]9b.sz.mell.II.név (7.2)'!#REF!</definedName>
    <definedName name="Excel_BuiltIn_Print_Titles_6_9_5" localSheetId="94">'[1]9b.sz.mell.II.név (7.2)'!#REF!</definedName>
    <definedName name="Excel_BuiltIn_Print_Titles_6_9_5" localSheetId="95">'[1]9b.sz.mell.II.név (7.2)'!#REF!</definedName>
    <definedName name="Excel_BuiltIn_Print_Titles_6_9_5" localSheetId="96">'[1]9b.sz.mell.II.név (7.2)'!#REF!</definedName>
    <definedName name="Excel_BuiltIn_Print_Titles_6_9_5" localSheetId="16">'[2]9b.sz.mell.II.név (7.2)'!#REF!</definedName>
    <definedName name="Excel_BuiltIn_Print_Titles_6_9_5" localSheetId="53">'[2]9b.sz.mell.II.név (7.2)'!#REF!</definedName>
    <definedName name="Excel_BuiltIn_Print_Titles_6_9_5">'[2]9b.sz.mell.II.név (7.2)'!#REF!</definedName>
    <definedName name="Excel_BuiltIn_Print_Titles_6_9_5_1" localSheetId="93">'[1]9b.sz.mell.II.név (7.2)'!#REF!</definedName>
    <definedName name="Excel_BuiltIn_Print_Titles_6_9_5_1" localSheetId="94">'[1]9b.sz.mell.II.név (7.2)'!#REF!</definedName>
    <definedName name="Excel_BuiltIn_Print_Titles_6_9_5_1" localSheetId="95">'[1]9b.sz.mell.II.név (7.2)'!#REF!</definedName>
    <definedName name="Excel_BuiltIn_Print_Titles_6_9_5_1" localSheetId="96">'[1]9b.sz.mell.II.név (7.2)'!#REF!</definedName>
    <definedName name="Excel_BuiltIn_Print_Titles_6_9_5_1" localSheetId="16">'[2]9b.sz.mell.II.név (7.2)'!#REF!</definedName>
    <definedName name="Excel_BuiltIn_Print_Titles_6_9_5_1" localSheetId="53">'[2]9b.sz.mell.II.név (7.2)'!#REF!</definedName>
    <definedName name="Excel_BuiltIn_Print_Titles_6_9_5_1">'[2]9b.sz.mell.II.név (7.2)'!#REF!</definedName>
    <definedName name="Excel_BuiltIn_Print_Titles_6_9_5_10" localSheetId="93">'[1]9b.sz.mell.II.név (7.2)'!#REF!</definedName>
    <definedName name="Excel_BuiltIn_Print_Titles_6_9_5_10" localSheetId="94">'[1]9b.sz.mell.II.név (7.2)'!#REF!</definedName>
    <definedName name="Excel_BuiltIn_Print_Titles_6_9_5_10" localSheetId="95">'[1]9b.sz.mell.II.név (7.2)'!#REF!</definedName>
    <definedName name="Excel_BuiltIn_Print_Titles_6_9_5_10" localSheetId="96">'[1]9b.sz.mell.II.név (7.2)'!#REF!</definedName>
    <definedName name="Excel_BuiltIn_Print_Titles_6_9_5_10" localSheetId="16">'[2]9b.sz.mell.II.név (7.2)'!#REF!</definedName>
    <definedName name="Excel_BuiltIn_Print_Titles_6_9_5_10" localSheetId="53">'[2]9b.sz.mell.II.név (7.2)'!#REF!</definedName>
    <definedName name="Excel_BuiltIn_Print_Titles_6_9_5_10">'[2]9b.sz.mell.II.név (7.2)'!#REF!</definedName>
    <definedName name="Excel_BuiltIn_Print_Titles_6_9_5_10_1" localSheetId="93">'[1]9b.sz.mell.II.név (7.2)'!#REF!</definedName>
    <definedName name="Excel_BuiltIn_Print_Titles_6_9_5_10_1" localSheetId="94">'[1]9b.sz.mell.II.név (7.2)'!#REF!</definedName>
    <definedName name="Excel_BuiltIn_Print_Titles_6_9_5_10_1" localSheetId="95">'[1]9b.sz.mell.II.név (7.2)'!#REF!</definedName>
    <definedName name="Excel_BuiltIn_Print_Titles_6_9_5_10_1" localSheetId="96">'[1]9b.sz.mell.II.név (7.2)'!#REF!</definedName>
    <definedName name="Excel_BuiltIn_Print_Titles_6_9_5_10_1" localSheetId="16">'[2]9b.sz.mell.II.név (7.2)'!#REF!</definedName>
    <definedName name="Excel_BuiltIn_Print_Titles_6_9_5_10_1" localSheetId="53">'[2]9b.sz.mell.II.név (7.2)'!#REF!</definedName>
    <definedName name="Excel_BuiltIn_Print_Titles_6_9_5_10_1">'[2]9b.sz.mell.II.név (7.2)'!#REF!</definedName>
    <definedName name="Excel_BuiltIn_Print_Titles_6_9_5_10_2" localSheetId="93">'[1]9b.sz.mell.II.név (7.2)'!#REF!</definedName>
    <definedName name="Excel_BuiltIn_Print_Titles_6_9_5_10_2" localSheetId="94">'[1]9b.sz.mell.II.név (7.2)'!#REF!</definedName>
    <definedName name="Excel_BuiltIn_Print_Titles_6_9_5_10_2" localSheetId="95">'[1]9b.sz.mell.II.név (7.2)'!#REF!</definedName>
    <definedName name="Excel_BuiltIn_Print_Titles_6_9_5_10_2" localSheetId="96">'[1]9b.sz.mell.II.név (7.2)'!#REF!</definedName>
    <definedName name="Excel_BuiltIn_Print_Titles_6_9_5_10_2" localSheetId="16">'[2]9b.sz.mell.II.név (7.2)'!#REF!</definedName>
    <definedName name="Excel_BuiltIn_Print_Titles_6_9_5_10_2" localSheetId="53">'[2]9b.sz.mell.II.név (7.2)'!#REF!</definedName>
    <definedName name="Excel_BuiltIn_Print_Titles_6_9_5_10_2">'[2]9b.sz.mell.II.név (7.2)'!#REF!</definedName>
    <definedName name="Excel_BuiltIn_Print_Titles_6_9_5_10_3" localSheetId="93">'[1]9b.sz.mell.II.név (7.2)'!#REF!</definedName>
    <definedName name="Excel_BuiltIn_Print_Titles_6_9_5_10_3" localSheetId="94">'[1]9b.sz.mell.II.név (7.2)'!#REF!</definedName>
    <definedName name="Excel_BuiltIn_Print_Titles_6_9_5_10_3" localSheetId="95">'[1]9b.sz.mell.II.név (7.2)'!#REF!</definedName>
    <definedName name="Excel_BuiltIn_Print_Titles_6_9_5_10_3" localSheetId="96">'[1]9b.sz.mell.II.név (7.2)'!#REF!</definedName>
    <definedName name="Excel_BuiltIn_Print_Titles_6_9_5_10_3" localSheetId="16">'[2]9b.sz.mell.II.név (7.2)'!#REF!</definedName>
    <definedName name="Excel_BuiltIn_Print_Titles_6_9_5_10_3" localSheetId="53">'[2]9b.sz.mell.II.név (7.2)'!#REF!</definedName>
    <definedName name="Excel_BuiltIn_Print_Titles_6_9_5_10_3">'[2]9b.sz.mell.II.név (7.2)'!#REF!</definedName>
    <definedName name="Excel_BuiltIn_Print_Titles_6_9_5_2" localSheetId="93">'[1]9b.sz.mell.II.név (7.2)'!#REF!</definedName>
    <definedName name="Excel_BuiltIn_Print_Titles_6_9_5_2" localSheetId="94">'[1]9b.sz.mell.II.név (7.2)'!#REF!</definedName>
    <definedName name="Excel_BuiltIn_Print_Titles_6_9_5_2" localSheetId="95">'[1]9b.sz.mell.II.név (7.2)'!#REF!</definedName>
    <definedName name="Excel_BuiltIn_Print_Titles_6_9_5_2" localSheetId="96">'[1]9b.sz.mell.II.név (7.2)'!#REF!</definedName>
    <definedName name="Excel_BuiltIn_Print_Titles_6_9_5_2" localSheetId="16">'[2]9b.sz.mell.II.név (7.2)'!#REF!</definedName>
    <definedName name="Excel_BuiltIn_Print_Titles_6_9_5_2" localSheetId="53">'[2]9b.sz.mell.II.név (7.2)'!#REF!</definedName>
    <definedName name="Excel_BuiltIn_Print_Titles_6_9_5_2">'[2]9b.sz.mell.II.név (7.2)'!#REF!</definedName>
    <definedName name="Excel_BuiltIn_Print_Titles_6_9_5_3" localSheetId="93">'[1]9b.sz.mell.II.név (7.2)'!#REF!</definedName>
    <definedName name="Excel_BuiltIn_Print_Titles_6_9_5_3" localSheetId="94">'[1]9b.sz.mell.II.név (7.2)'!#REF!</definedName>
    <definedName name="Excel_BuiltIn_Print_Titles_6_9_5_3" localSheetId="95">'[1]9b.sz.mell.II.név (7.2)'!#REF!</definedName>
    <definedName name="Excel_BuiltIn_Print_Titles_6_9_5_3" localSheetId="96">'[1]9b.sz.mell.II.név (7.2)'!#REF!</definedName>
    <definedName name="Excel_BuiltIn_Print_Titles_6_9_5_3" localSheetId="16">'[2]9b.sz.mell.II.név (7.2)'!#REF!</definedName>
    <definedName name="Excel_BuiltIn_Print_Titles_6_9_5_3" localSheetId="53">'[2]9b.sz.mell.II.név (7.2)'!#REF!</definedName>
    <definedName name="Excel_BuiltIn_Print_Titles_6_9_5_3">'[2]9b.sz.mell.II.név (7.2)'!#REF!</definedName>
    <definedName name="Excel_BuiltIn_Print_Titles_6_9_5_9" localSheetId="93">'[1]9b.sz.mell.II.név Végleges'!#REF!</definedName>
    <definedName name="Excel_BuiltIn_Print_Titles_6_9_5_9" localSheetId="94">'[1]9b.sz.mell.II.név Végleges'!#REF!</definedName>
    <definedName name="Excel_BuiltIn_Print_Titles_6_9_5_9" localSheetId="95">'[1]9b.sz.mell.II.név Végleges'!#REF!</definedName>
    <definedName name="Excel_BuiltIn_Print_Titles_6_9_5_9" localSheetId="96">'[1]9b.sz.mell.II.név Végleges'!#REF!</definedName>
    <definedName name="Excel_BuiltIn_Print_Titles_6_9_5_9" localSheetId="16">'[2]9b.sz.mell.II.név Végleges'!#REF!</definedName>
    <definedName name="Excel_BuiltIn_Print_Titles_6_9_5_9" localSheetId="53">'[2]9b.sz.mell.II.név Végleges'!#REF!</definedName>
    <definedName name="Excel_BuiltIn_Print_Titles_6_9_5_9">'[2]9b.sz.mell.II.név Végleges'!#REF!</definedName>
    <definedName name="Excel_BuiltIn_Print_Titles_6_9_5_9_1" localSheetId="93">'[1]9b.sz.mell.II.név Végleges'!#REF!</definedName>
    <definedName name="Excel_BuiltIn_Print_Titles_6_9_5_9_1" localSheetId="94">'[1]9b.sz.mell.II.név Végleges'!#REF!</definedName>
    <definedName name="Excel_BuiltIn_Print_Titles_6_9_5_9_1" localSheetId="95">'[1]9b.sz.mell.II.név Végleges'!#REF!</definedName>
    <definedName name="Excel_BuiltIn_Print_Titles_6_9_5_9_1" localSheetId="96">'[1]9b.sz.mell.II.név Végleges'!#REF!</definedName>
    <definedName name="Excel_BuiltIn_Print_Titles_6_9_5_9_1" localSheetId="16">'[2]9b.sz.mell.II.név Végleges'!#REF!</definedName>
    <definedName name="Excel_BuiltIn_Print_Titles_6_9_5_9_1" localSheetId="53">'[2]9b.sz.mell.II.név Végleges'!#REF!</definedName>
    <definedName name="Excel_BuiltIn_Print_Titles_6_9_5_9_1">'[2]9b.sz.mell.II.név Végleges'!#REF!</definedName>
    <definedName name="Excel_BuiltIn_Print_Titles_6_9_5_9_2" localSheetId="93">'[1]9b.sz.mell.II.név Végleges'!#REF!</definedName>
    <definedName name="Excel_BuiltIn_Print_Titles_6_9_5_9_2" localSheetId="94">'[1]9b.sz.mell.II.név Végleges'!#REF!</definedName>
    <definedName name="Excel_BuiltIn_Print_Titles_6_9_5_9_2" localSheetId="95">'[1]9b.sz.mell.II.név Végleges'!#REF!</definedName>
    <definedName name="Excel_BuiltIn_Print_Titles_6_9_5_9_2" localSheetId="96">'[1]9b.sz.mell.II.név Végleges'!#REF!</definedName>
    <definedName name="Excel_BuiltIn_Print_Titles_6_9_5_9_2" localSheetId="16">'[2]9b.sz.mell.II.név Végleges'!#REF!</definedName>
    <definedName name="Excel_BuiltIn_Print_Titles_6_9_5_9_2" localSheetId="53">'[2]9b.sz.mell.II.név Végleges'!#REF!</definedName>
    <definedName name="Excel_BuiltIn_Print_Titles_6_9_5_9_2">'[2]9b.sz.mell.II.név Végleges'!#REF!</definedName>
    <definedName name="Excel_BuiltIn_Print_Titles_6_9_5_9_3" localSheetId="93">'[1]9b.sz.mell.II.név Végleges'!#REF!</definedName>
    <definedName name="Excel_BuiltIn_Print_Titles_6_9_5_9_3" localSheetId="94">'[1]9b.sz.mell.II.név Végleges'!#REF!</definedName>
    <definedName name="Excel_BuiltIn_Print_Titles_6_9_5_9_3" localSheetId="95">'[1]9b.sz.mell.II.név Végleges'!#REF!</definedName>
    <definedName name="Excel_BuiltIn_Print_Titles_6_9_5_9_3" localSheetId="96">'[1]9b.sz.mell.II.név Végleges'!#REF!</definedName>
    <definedName name="Excel_BuiltIn_Print_Titles_6_9_5_9_3" localSheetId="16">'[2]9b.sz.mell.II.név Végleges'!#REF!</definedName>
    <definedName name="Excel_BuiltIn_Print_Titles_6_9_5_9_3" localSheetId="53">'[2]9b.sz.mell.II.név Végleges'!#REF!</definedName>
    <definedName name="Excel_BuiltIn_Print_Titles_6_9_5_9_3">'[2]9b.sz.mell.II.név Végleges'!#REF!</definedName>
    <definedName name="Excel_BuiltIn_Print_Titles_6_9_6" localSheetId="93">'[1]9b.sz.mell.III.-IVnév (7.2) '!#REF!</definedName>
    <definedName name="Excel_BuiltIn_Print_Titles_6_9_6" localSheetId="94">'[1]9b.sz.mell.III.-IVnév (7.2) '!#REF!</definedName>
    <definedName name="Excel_BuiltIn_Print_Titles_6_9_6" localSheetId="95">'[1]9b.sz.mell.III.-IVnév (7.2) '!#REF!</definedName>
    <definedName name="Excel_BuiltIn_Print_Titles_6_9_6" localSheetId="96">'[1]9b.sz.mell.III.-IVnév (7.2) '!#REF!</definedName>
    <definedName name="Excel_BuiltIn_Print_Titles_6_9_6" localSheetId="16">'[2]9b.sz.mell.III.-IVnév (7.2) '!#REF!</definedName>
    <definedName name="Excel_BuiltIn_Print_Titles_6_9_6" localSheetId="53">'[2]9b.sz.mell.III.-IVnév (7.2) '!#REF!</definedName>
    <definedName name="Excel_BuiltIn_Print_Titles_6_9_6">'[2]9b.sz.mell.III.-IVnév (7.2) '!#REF!</definedName>
    <definedName name="Excel_BuiltIn_Print_Titles_6_9_6_1" localSheetId="93">'[1]9b.sz.mell. Egész év'!#REF!</definedName>
    <definedName name="Excel_BuiltIn_Print_Titles_6_9_6_1" localSheetId="94">'[1]9b.sz.mell. Egész év'!#REF!</definedName>
    <definedName name="Excel_BuiltIn_Print_Titles_6_9_6_1" localSheetId="95">'[1]9b.sz.mell. Egész év'!#REF!</definedName>
    <definedName name="Excel_BuiltIn_Print_Titles_6_9_6_1" localSheetId="96">'[1]9b.sz.mell. Egész év'!#REF!</definedName>
    <definedName name="Excel_BuiltIn_Print_Titles_6_9_6_1" localSheetId="16">'[2]9b.sz.mell. Egész év'!#REF!</definedName>
    <definedName name="Excel_BuiltIn_Print_Titles_6_9_6_1" localSheetId="53">'[2]9b.sz.mell. Egész év'!#REF!</definedName>
    <definedName name="Excel_BuiltIn_Print_Titles_6_9_6_1">'[2]9b.sz.mell. Egész év'!#REF!</definedName>
    <definedName name="Excel_BuiltIn_Print_Titles_6_9_6_10" localSheetId="93">'[1]9b.sz.mell.III.-IVnév (7.2) '!#REF!</definedName>
    <definedName name="Excel_BuiltIn_Print_Titles_6_9_6_10" localSheetId="94">'[1]9b.sz.mell.III.-IVnév (7.2) '!#REF!</definedName>
    <definedName name="Excel_BuiltIn_Print_Titles_6_9_6_10" localSheetId="95">'[1]9b.sz.mell.III.-IVnév (7.2) '!#REF!</definedName>
    <definedName name="Excel_BuiltIn_Print_Titles_6_9_6_10" localSheetId="96">'[1]9b.sz.mell.III.-IVnév (7.2) '!#REF!</definedName>
    <definedName name="Excel_BuiltIn_Print_Titles_6_9_6_10" localSheetId="16">'[2]9b.sz.mell.III.-IVnév (7.2) '!#REF!</definedName>
    <definedName name="Excel_BuiltIn_Print_Titles_6_9_6_10" localSheetId="53">'[2]9b.sz.mell.III.-IVnév (7.2) '!#REF!</definedName>
    <definedName name="Excel_BuiltIn_Print_Titles_6_9_6_10">'[2]9b.sz.mell.III.-IVnév (7.2) '!#REF!</definedName>
    <definedName name="Excel_BuiltIn_Print_Titles_6_9_6_10_1" localSheetId="93">'[1]9b.sz.mell. Egész év'!#REF!</definedName>
    <definedName name="Excel_BuiltIn_Print_Titles_6_9_6_10_1" localSheetId="94">'[1]9b.sz.mell. Egész év'!#REF!</definedName>
    <definedName name="Excel_BuiltIn_Print_Titles_6_9_6_10_1" localSheetId="95">'[1]9b.sz.mell. Egész év'!#REF!</definedName>
    <definedName name="Excel_BuiltIn_Print_Titles_6_9_6_10_1" localSheetId="96">'[1]9b.sz.mell. Egész év'!#REF!</definedName>
    <definedName name="Excel_BuiltIn_Print_Titles_6_9_6_10_1" localSheetId="16">'[2]9b.sz.mell. Egész év'!#REF!</definedName>
    <definedName name="Excel_BuiltIn_Print_Titles_6_9_6_10_1" localSheetId="53">'[2]9b.sz.mell. Egész év'!#REF!</definedName>
    <definedName name="Excel_BuiltIn_Print_Titles_6_9_6_10_1">'[2]9b.sz.mell. Egész év'!#REF!</definedName>
    <definedName name="Excel_BuiltIn_Print_Titles_6_9_6_10_2" localSheetId="93">'[1]9b.sz.mell.III.-IVnév (7.2) '!#REF!</definedName>
    <definedName name="Excel_BuiltIn_Print_Titles_6_9_6_10_2" localSheetId="94">'[1]9b.sz.mell.III.-IVnév (7.2) '!#REF!</definedName>
    <definedName name="Excel_BuiltIn_Print_Titles_6_9_6_10_2" localSheetId="95">'[1]9b.sz.mell.III.-IVnév (7.2) '!#REF!</definedName>
    <definedName name="Excel_BuiltIn_Print_Titles_6_9_6_10_2" localSheetId="96">'[1]9b.sz.mell.III.-IVnév (7.2) '!#REF!</definedName>
    <definedName name="Excel_BuiltIn_Print_Titles_6_9_6_10_2" localSheetId="16">'[2]9b.sz.mell.III.-IVnév (7.2) '!#REF!</definedName>
    <definedName name="Excel_BuiltIn_Print_Titles_6_9_6_10_2" localSheetId="53">'[2]9b.sz.mell.III.-IVnév (7.2) '!#REF!</definedName>
    <definedName name="Excel_BuiltIn_Print_Titles_6_9_6_10_2">'[2]9b.sz.mell.III.-IVnév (7.2) '!#REF!</definedName>
    <definedName name="Excel_BuiltIn_Print_Titles_6_9_6_10_3" localSheetId="93">'[1]9b.sz.mell.III.-IVnév (7.2) '!#REF!</definedName>
    <definedName name="Excel_BuiltIn_Print_Titles_6_9_6_10_3" localSheetId="94">'[1]9b.sz.mell.III.-IVnév (7.2) '!#REF!</definedName>
    <definedName name="Excel_BuiltIn_Print_Titles_6_9_6_10_3" localSheetId="95">'[1]9b.sz.mell.III.-IVnév (7.2) '!#REF!</definedName>
    <definedName name="Excel_BuiltIn_Print_Titles_6_9_6_10_3" localSheetId="96">'[1]9b.sz.mell.III.-IVnév (7.2) '!#REF!</definedName>
    <definedName name="Excel_BuiltIn_Print_Titles_6_9_6_10_3" localSheetId="16">'[2]9b.sz.mell.III.-IVnév (7.2) '!#REF!</definedName>
    <definedName name="Excel_BuiltIn_Print_Titles_6_9_6_10_3" localSheetId="53">'[2]9b.sz.mell.III.-IVnév (7.2) '!#REF!</definedName>
    <definedName name="Excel_BuiltIn_Print_Titles_6_9_6_10_3">'[2]9b.sz.mell.III.-IVnév (7.2) '!#REF!</definedName>
    <definedName name="Excel_BuiltIn_Print_Titles_6_9_6_2" localSheetId="93">'[1]9b.sz.mell.III.-IVnév (7.2) '!#REF!</definedName>
    <definedName name="Excel_BuiltIn_Print_Titles_6_9_6_2" localSheetId="94">'[1]9b.sz.mell.III.-IVnév (7.2) '!#REF!</definedName>
    <definedName name="Excel_BuiltIn_Print_Titles_6_9_6_2" localSheetId="95">'[1]9b.sz.mell.III.-IVnév (7.2) '!#REF!</definedName>
    <definedName name="Excel_BuiltIn_Print_Titles_6_9_6_2" localSheetId="96">'[1]9b.sz.mell.III.-IVnév (7.2) '!#REF!</definedName>
    <definedName name="Excel_BuiltIn_Print_Titles_6_9_6_2" localSheetId="16">'[2]9b.sz.mell.III.-IVnév (7.2) '!#REF!</definedName>
    <definedName name="Excel_BuiltIn_Print_Titles_6_9_6_2" localSheetId="53">'[2]9b.sz.mell.III.-IVnév (7.2) '!#REF!</definedName>
    <definedName name="Excel_BuiltIn_Print_Titles_6_9_6_2">'[2]9b.sz.mell.III.-IVnév (7.2) '!#REF!</definedName>
    <definedName name="Excel_BuiltIn_Print_Titles_6_9_6_3" localSheetId="93">'[1]9b.sz.mell.III.-IVnév (7.2) '!#REF!</definedName>
    <definedName name="Excel_BuiltIn_Print_Titles_6_9_6_3" localSheetId="94">'[1]9b.sz.mell.III.-IVnév (7.2) '!#REF!</definedName>
    <definedName name="Excel_BuiltIn_Print_Titles_6_9_6_3" localSheetId="95">'[1]9b.sz.mell.III.-IVnév (7.2) '!#REF!</definedName>
    <definedName name="Excel_BuiltIn_Print_Titles_6_9_6_3" localSheetId="96">'[1]9b.sz.mell.III.-IVnév (7.2) '!#REF!</definedName>
    <definedName name="Excel_BuiltIn_Print_Titles_6_9_6_3" localSheetId="16">'[2]9b.sz.mell.III.-IVnév (7.2) '!#REF!</definedName>
    <definedName name="Excel_BuiltIn_Print_Titles_6_9_6_3" localSheetId="53">'[2]9b.sz.mell.III.-IVnév (7.2) '!#REF!</definedName>
    <definedName name="Excel_BuiltIn_Print_Titles_6_9_6_3">'[2]9b.sz.mell.III.-IVnév (7.2) '!#REF!</definedName>
    <definedName name="Excel_BuiltIn_Print_Titles_6_9_6_9" localSheetId="93">'[1]9b.sz.mell.III.-IVnév (7.2) '!#REF!</definedName>
    <definedName name="Excel_BuiltIn_Print_Titles_6_9_6_9" localSheetId="94">'[1]9b.sz.mell.III.-IVnév (7.2) '!#REF!</definedName>
    <definedName name="Excel_BuiltIn_Print_Titles_6_9_6_9" localSheetId="95">'[1]9b.sz.mell.III.-IVnév (7.2) '!#REF!</definedName>
    <definedName name="Excel_BuiltIn_Print_Titles_6_9_6_9" localSheetId="96">'[1]9b.sz.mell.III.-IVnév (7.2) '!#REF!</definedName>
    <definedName name="Excel_BuiltIn_Print_Titles_6_9_6_9" localSheetId="16">'[2]9b.sz.mell.III.-IVnév (7.2) '!#REF!</definedName>
    <definedName name="Excel_BuiltIn_Print_Titles_6_9_6_9" localSheetId="53">'[2]9b.sz.mell.III.-IVnév (7.2) '!#REF!</definedName>
    <definedName name="Excel_BuiltIn_Print_Titles_6_9_6_9">'[2]9b.sz.mell.III.-IVnév (7.2) '!#REF!</definedName>
    <definedName name="Excel_BuiltIn_Print_Titles_6_9_6_9_1" localSheetId="93">'[1]9b.sz.mell. Egész év'!#REF!</definedName>
    <definedName name="Excel_BuiltIn_Print_Titles_6_9_6_9_1" localSheetId="94">'[1]9b.sz.mell. Egész év'!#REF!</definedName>
    <definedName name="Excel_BuiltIn_Print_Titles_6_9_6_9_1" localSheetId="95">'[1]9b.sz.mell. Egész év'!#REF!</definedName>
    <definedName name="Excel_BuiltIn_Print_Titles_6_9_6_9_1" localSheetId="96">'[1]9b.sz.mell. Egész év'!#REF!</definedName>
    <definedName name="Excel_BuiltIn_Print_Titles_6_9_6_9_1" localSheetId="16">'[2]9b.sz.mell. Egész év'!#REF!</definedName>
    <definedName name="Excel_BuiltIn_Print_Titles_6_9_6_9_1" localSheetId="53">'[2]9b.sz.mell. Egész év'!#REF!</definedName>
    <definedName name="Excel_BuiltIn_Print_Titles_6_9_6_9_1">'[2]9b.sz.mell. Egész év'!#REF!</definedName>
    <definedName name="Excel_BuiltIn_Print_Titles_6_9_6_9_2" localSheetId="93">'[1]9b.sz.mell.III.-IVnév (7.2) '!#REF!</definedName>
    <definedName name="Excel_BuiltIn_Print_Titles_6_9_6_9_2" localSheetId="94">'[1]9b.sz.mell.III.-IVnév (7.2) '!#REF!</definedName>
    <definedName name="Excel_BuiltIn_Print_Titles_6_9_6_9_2" localSheetId="95">'[1]9b.sz.mell.III.-IVnév (7.2) '!#REF!</definedName>
    <definedName name="Excel_BuiltIn_Print_Titles_6_9_6_9_2" localSheetId="96">'[1]9b.sz.mell.III.-IVnév (7.2) '!#REF!</definedName>
    <definedName name="Excel_BuiltIn_Print_Titles_6_9_6_9_2" localSheetId="16">'[2]9b.sz.mell.III.-IVnév (7.2) '!#REF!</definedName>
    <definedName name="Excel_BuiltIn_Print_Titles_6_9_6_9_2" localSheetId="53">'[2]9b.sz.mell.III.-IVnév (7.2) '!#REF!</definedName>
    <definedName name="Excel_BuiltIn_Print_Titles_6_9_6_9_2">'[2]9b.sz.mell.III.-IVnév (7.2) '!#REF!</definedName>
    <definedName name="Excel_BuiltIn_Print_Titles_6_9_6_9_3" localSheetId="93">'[1]9b.sz.mell.III.-IVnév (7.2) '!#REF!</definedName>
    <definedName name="Excel_BuiltIn_Print_Titles_6_9_6_9_3" localSheetId="94">'[1]9b.sz.mell.III.-IVnév (7.2) '!#REF!</definedName>
    <definedName name="Excel_BuiltIn_Print_Titles_6_9_6_9_3" localSheetId="95">'[1]9b.sz.mell.III.-IVnév (7.2) '!#REF!</definedName>
    <definedName name="Excel_BuiltIn_Print_Titles_6_9_6_9_3" localSheetId="96">'[1]9b.sz.mell.III.-IVnév (7.2) '!#REF!</definedName>
    <definedName name="Excel_BuiltIn_Print_Titles_6_9_6_9_3" localSheetId="16">'[2]9b.sz.mell.III.-IVnév (7.2) '!#REF!</definedName>
    <definedName name="Excel_BuiltIn_Print_Titles_6_9_6_9_3" localSheetId="53">'[2]9b.sz.mell.III.-IVnév (7.2) '!#REF!</definedName>
    <definedName name="Excel_BuiltIn_Print_Titles_6_9_6_9_3">'[2]9b.sz.mell.III.-IVnév (7.2) '!#REF!</definedName>
    <definedName name="Excel_BuiltIn_Print_Titles_6_9_8" localSheetId="93">'[1]9b.sz.mell.II.név (7.2)'!#REF!</definedName>
    <definedName name="Excel_BuiltIn_Print_Titles_6_9_8" localSheetId="94">'[1]9b.sz.mell.II.név (7.2)'!#REF!</definedName>
    <definedName name="Excel_BuiltIn_Print_Titles_6_9_8" localSheetId="95">'[1]9b.sz.mell.II.név (7.2)'!#REF!</definedName>
    <definedName name="Excel_BuiltIn_Print_Titles_6_9_8" localSheetId="96">'[1]9b.sz.mell.II.név (7.2)'!#REF!</definedName>
    <definedName name="Excel_BuiltIn_Print_Titles_6_9_8" localSheetId="16">'[2]9b.sz.mell.II.név (7.2)'!#REF!</definedName>
    <definedName name="Excel_BuiltIn_Print_Titles_6_9_8" localSheetId="53">'[2]9b.sz.mell.II.név (7.2)'!#REF!</definedName>
    <definedName name="Excel_BuiltIn_Print_Titles_6_9_8">'[2]9b.sz.mell.II.név (7.2)'!#REF!</definedName>
    <definedName name="Excel_BuiltIn_Print_Titles_6_9_8_1" localSheetId="93">'[1]9b.sz.mell.II.név (7.2)'!#REF!</definedName>
    <definedName name="Excel_BuiltIn_Print_Titles_6_9_8_1" localSheetId="94">'[1]9b.sz.mell.II.név (7.2)'!#REF!</definedName>
    <definedName name="Excel_BuiltIn_Print_Titles_6_9_8_1" localSheetId="95">'[1]9b.sz.mell.II.név (7.2)'!#REF!</definedName>
    <definedName name="Excel_BuiltIn_Print_Titles_6_9_8_1" localSheetId="96">'[1]9b.sz.mell.II.név (7.2)'!#REF!</definedName>
    <definedName name="Excel_BuiltIn_Print_Titles_6_9_8_1" localSheetId="16">'[2]9b.sz.mell.II.név (7.2)'!#REF!</definedName>
    <definedName name="Excel_BuiltIn_Print_Titles_6_9_8_1" localSheetId="53">'[2]9b.sz.mell.II.név (7.2)'!#REF!</definedName>
    <definedName name="Excel_BuiltIn_Print_Titles_6_9_8_1">'[2]9b.sz.mell.II.név (7.2)'!#REF!</definedName>
    <definedName name="Excel_BuiltIn_Print_Titles_6_9_8_10" localSheetId="93">'[1]9b.sz.mell.II.név (7.2)'!#REF!</definedName>
    <definedName name="Excel_BuiltIn_Print_Titles_6_9_8_10" localSheetId="94">'[1]9b.sz.mell.II.név (7.2)'!#REF!</definedName>
    <definedName name="Excel_BuiltIn_Print_Titles_6_9_8_10" localSheetId="95">'[1]9b.sz.mell.II.név (7.2)'!#REF!</definedName>
    <definedName name="Excel_BuiltIn_Print_Titles_6_9_8_10" localSheetId="96">'[1]9b.sz.mell.II.név (7.2)'!#REF!</definedName>
    <definedName name="Excel_BuiltIn_Print_Titles_6_9_8_10" localSheetId="16">'[2]9b.sz.mell.II.név (7.2)'!#REF!</definedName>
    <definedName name="Excel_BuiltIn_Print_Titles_6_9_8_10" localSheetId="53">'[2]9b.sz.mell.II.név (7.2)'!#REF!</definedName>
    <definedName name="Excel_BuiltIn_Print_Titles_6_9_8_10">'[2]9b.sz.mell.II.név (7.2)'!#REF!</definedName>
    <definedName name="Excel_BuiltIn_Print_Titles_6_9_8_10_1" localSheetId="93">'[1]9b.sz.mell.II.név (7.2)'!#REF!</definedName>
    <definedName name="Excel_BuiltIn_Print_Titles_6_9_8_10_1" localSheetId="94">'[1]9b.sz.mell.II.név (7.2)'!#REF!</definedName>
    <definedName name="Excel_BuiltIn_Print_Titles_6_9_8_10_1" localSheetId="95">'[1]9b.sz.mell.II.név (7.2)'!#REF!</definedName>
    <definedName name="Excel_BuiltIn_Print_Titles_6_9_8_10_1" localSheetId="96">'[1]9b.sz.mell.II.név (7.2)'!#REF!</definedName>
    <definedName name="Excel_BuiltIn_Print_Titles_6_9_8_10_1" localSheetId="16">'[2]9b.sz.mell.II.név (7.2)'!#REF!</definedName>
    <definedName name="Excel_BuiltIn_Print_Titles_6_9_8_10_1" localSheetId="53">'[2]9b.sz.mell.II.név (7.2)'!#REF!</definedName>
    <definedName name="Excel_BuiltIn_Print_Titles_6_9_8_10_1">'[2]9b.sz.mell.II.név (7.2)'!#REF!</definedName>
    <definedName name="Excel_BuiltIn_Print_Titles_6_9_8_10_2" localSheetId="93">'[1]9b.sz.mell.II.név (7.2)'!#REF!</definedName>
    <definedName name="Excel_BuiltIn_Print_Titles_6_9_8_10_2" localSheetId="94">'[1]9b.sz.mell.II.név (7.2)'!#REF!</definedName>
    <definedName name="Excel_BuiltIn_Print_Titles_6_9_8_10_2" localSheetId="95">'[1]9b.sz.mell.II.név (7.2)'!#REF!</definedName>
    <definedName name="Excel_BuiltIn_Print_Titles_6_9_8_10_2" localSheetId="96">'[1]9b.sz.mell.II.név (7.2)'!#REF!</definedName>
    <definedName name="Excel_BuiltIn_Print_Titles_6_9_8_10_2" localSheetId="16">'[2]9b.sz.mell.II.név (7.2)'!#REF!</definedName>
    <definedName name="Excel_BuiltIn_Print_Titles_6_9_8_10_2" localSheetId="53">'[2]9b.sz.mell.II.név (7.2)'!#REF!</definedName>
    <definedName name="Excel_BuiltIn_Print_Titles_6_9_8_10_2">'[2]9b.sz.mell.II.név (7.2)'!#REF!</definedName>
    <definedName name="Excel_BuiltIn_Print_Titles_6_9_8_10_3" localSheetId="93">'[1]9b.sz.mell.II.név (7.2)'!#REF!</definedName>
    <definedName name="Excel_BuiltIn_Print_Titles_6_9_8_10_3" localSheetId="94">'[1]9b.sz.mell.II.név (7.2)'!#REF!</definedName>
    <definedName name="Excel_BuiltIn_Print_Titles_6_9_8_10_3" localSheetId="95">'[1]9b.sz.mell.II.név (7.2)'!#REF!</definedName>
    <definedName name="Excel_BuiltIn_Print_Titles_6_9_8_10_3" localSheetId="96">'[1]9b.sz.mell.II.név (7.2)'!#REF!</definedName>
    <definedName name="Excel_BuiltIn_Print_Titles_6_9_8_10_3" localSheetId="16">'[2]9b.sz.mell.II.név (7.2)'!#REF!</definedName>
    <definedName name="Excel_BuiltIn_Print_Titles_6_9_8_10_3" localSheetId="53">'[2]9b.sz.mell.II.név (7.2)'!#REF!</definedName>
    <definedName name="Excel_BuiltIn_Print_Titles_6_9_8_10_3">'[2]9b.sz.mell.II.név (7.2)'!#REF!</definedName>
    <definedName name="Excel_BuiltIn_Print_Titles_6_9_8_2" localSheetId="93">'[1]9b.sz.mell.II.név (7.2)'!#REF!</definedName>
    <definedName name="Excel_BuiltIn_Print_Titles_6_9_8_2" localSheetId="94">'[1]9b.sz.mell.II.név (7.2)'!#REF!</definedName>
    <definedName name="Excel_BuiltIn_Print_Titles_6_9_8_2" localSheetId="95">'[1]9b.sz.mell.II.név (7.2)'!#REF!</definedName>
    <definedName name="Excel_BuiltIn_Print_Titles_6_9_8_2" localSheetId="96">'[1]9b.sz.mell.II.név (7.2)'!#REF!</definedName>
    <definedName name="Excel_BuiltIn_Print_Titles_6_9_8_2" localSheetId="16">'[2]9b.sz.mell.II.név (7.2)'!#REF!</definedName>
    <definedName name="Excel_BuiltIn_Print_Titles_6_9_8_2" localSheetId="53">'[2]9b.sz.mell.II.név (7.2)'!#REF!</definedName>
    <definedName name="Excel_BuiltIn_Print_Titles_6_9_8_2">'[2]9b.sz.mell.II.név (7.2)'!#REF!</definedName>
    <definedName name="Excel_BuiltIn_Print_Titles_6_9_8_3" localSheetId="93">'[1]9b.sz.mell.II.név (7.2)'!#REF!</definedName>
    <definedName name="Excel_BuiltIn_Print_Titles_6_9_8_3" localSheetId="94">'[1]9b.sz.mell.II.név (7.2)'!#REF!</definedName>
    <definedName name="Excel_BuiltIn_Print_Titles_6_9_8_3" localSheetId="95">'[1]9b.sz.mell.II.név (7.2)'!#REF!</definedName>
    <definedName name="Excel_BuiltIn_Print_Titles_6_9_8_3" localSheetId="96">'[1]9b.sz.mell.II.név (7.2)'!#REF!</definedName>
    <definedName name="Excel_BuiltIn_Print_Titles_6_9_8_3" localSheetId="16">'[2]9b.sz.mell.II.név (7.2)'!#REF!</definedName>
    <definedName name="Excel_BuiltIn_Print_Titles_6_9_8_3" localSheetId="53">'[2]9b.sz.mell.II.név (7.2)'!#REF!</definedName>
    <definedName name="Excel_BuiltIn_Print_Titles_6_9_8_3">'[2]9b.sz.mell.II.név (7.2)'!#REF!</definedName>
    <definedName name="Excel_BuiltIn_Print_Titles_6_9_8_9" localSheetId="93">'[1]9b.sz.mell.II.név Végleges'!#REF!</definedName>
    <definedName name="Excel_BuiltIn_Print_Titles_6_9_8_9" localSheetId="94">'[1]9b.sz.mell.II.név Végleges'!#REF!</definedName>
    <definedName name="Excel_BuiltIn_Print_Titles_6_9_8_9" localSheetId="95">'[1]9b.sz.mell.II.név Végleges'!#REF!</definedName>
    <definedName name="Excel_BuiltIn_Print_Titles_6_9_8_9" localSheetId="96">'[1]9b.sz.mell.II.név Végleges'!#REF!</definedName>
    <definedName name="Excel_BuiltIn_Print_Titles_6_9_8_9" localSheetId="16">'[2]9b.sz.mell.II.név Végleges'!#REF!</definedName>
    <definedName name="Excel_BuiltIn_Print_Titles_6_9_8_9" localSheetId="53">'[2]9b.sz.mell.II.név Végleges'!#REF!</definedName>
    <definedName name="Excel_BuiltIn_Print_Titles_6_9_8_9">'[2]9b.sz.mell.II.név Végleges'!#REF!</definedName>
    <definedName name="Excel_BuiltIn_Print_Titles_6_9_8_9_1" localSheetId="93">'[1]9b.sz.mell.II.név Végleges'!#REF!</definedName>
    <definedName name="Excel_BuiltIn_Print_Titles_6_9_8_9_1" localSheetId="94">'[1]9b.sz.mell.II.név Végleges'!#REF!</definedName>
    <definedName name="Excel_BuiltIn_Print_Titles_6_9_8_9_1" localSheetId="95">'[1]9b.sz.mell.II.név Végleges'!#REF!</definedName>
    <definedName name="Excel_BuiltIn_Print_Titles_6_9_8_9_1" localSheetId="96">'[1]9b.sz.mell.II.név Végleges'!#REF!</definedName>
    <definedName name="Excel_BuiltIn_Print_Titles_6_9_8_9_1" localSheetId="16">'[2]9b.sz.mell.II.név Végleges'!#REF!</definedName>
    <definedName name="Excel_BuiltIn_Print_Titles_6_9_8_9_1" localSheetId="53">'[2]9b.sz.mell.II.név Végleges'!#REF!</definedName>
    <definedName name="Excel_BuiltIn_Print_Titles_6_9_8_9_1">'[2]9b.sz.mell.II.név Végleges'!#REF!</definedName>
    <definedName name="Excel_BuiltIn_Print_Titles_6_9_8_9_2" localSheetId="93">'[1]9b.sz.mell.II.név Végleges'!#REF!</definedName>
    <definedName name="Excel_BuiltIn_Print_Titles_6_9_8_9_2" localSheetId="94">'[1]9b.sz.mell.II.név Végleges'!#REF!</definedName>
    <definedName name="Excel_BuiltIn_Print_Titles_6_9_8_9_2" localSheetId="95">'[1]9b.sz.mell.II.név Végleges'!#REF!</definedName>
    <definedName name="Excel_BuiltIn_Print_Titles_6_9_8_9_2" localSheetId="96">'[1]9b.sz.mell.II.név Végleges'!#REF!</definedName>
    <definedName name="Excel_BuiltIn_Print_Titles_6_9_8_9_2" localSheetId="16">'[2]9b.sz.mell.II.név Végleges'!#REF!</definedName>
    <definedName name="Excel_BuiltIn_Print_Titles_6_9_8_9_2" localSheetId="53">'[2]9b.sz.mell.II.név Végleges'!#REF!</definedName>
    <definedName name="Excel_BuiltIn_Print_Titles_6_9_8_9_2">'[2]9b.sz.mell.II.név Végleges'!#REF!</definedName>
    <definedName name="Excel_BuiltIn_Print_Titles_6_9_8_9_3" localSheetId="93">'[1]9b.sz.mell.II.név Végleges'!#REF!</definedName>
    <definedName name="Excel_BuiltIn_Print_Titles_6_9_8_9_3" localSheetId="94">'[1]9b.sz.mell.II.név Végleges'!#REF!</definedName>
    <definedName name="Excel_BuiltIn_Print_Titles_6_9_8_9_3" localSheetId="95">'[1]9b.sz.mell.II.név Végleges'!#REF!</definedName>
    <definedName name="Excel_BuiltIn_Print_Titles_6_9_8_9_3" localSheetId="96">'[1]9b.sz.mell.II.név Végleges'!#REF!</definedName>
    <definedName name="Excel_BuiltIn_Print_Titles_6_9_8_9_3" localSheetId="16">'[2]9b.sz.mell.II.név Végleges'!#REF!</definedName>
    <definedName name="Excel_BuiltIn_Print_Titles_6_9_8_9_3" localSheetId="53">'[2]9b.sz.mell.II.név Végleges'!#REF!</definedName>
    <definedName name="Excel_BuiltIn_Print_Titles_6_9_8_9_3">'[2]9b.sz.mell.II.név Végleges'!#REF!</definedName>
    <definedName name="Excel_BuiltIn_Print_Titles_6_9_9" localSheetId="93">'[1]9b.sz.mell.II.név Végleges'!#REF!</definedName>
    <definedName name="Excel_BuiltIn_Print_Titles_6_9_9" localSheetId="94">'[1]9b.sz.mell.II.név Végleges'!#REF!</definedName>
    <definedName name="Excel_BuiltIn_Print_Titles_6_9_9" localSheetId="95">'[1]9b.sz.mell.II.név Végleges'!#REF!</definedName>
    <definedName name="Excel_BuiltIn_Print_Titles_6_9_9" localSheetId="96">'[1]9b.sz.mell.II.név Végleges'!#REF!</definedName>
    <definedName name="Excel_BuiltIn_Print_Titles_6_9_9" localSheetId="16">'[2]9b.sz.mell.II.név Végleges'!#REF!</definedName>
    <definedName name="Excel_BuiltIn_Print_Titles_6_9_9" localSheetId="53">'[2]9b.sz.mell.II.név Végleges'!#REF!</definedName>
    <definedName name="Excel_BuiltIn_Print_Titles_6_9_9">'[2]9b.sz.mell.II.név Végleges'!#REF!</definedName>
    <definedName name="Excel_BuiltIn_Print_Titles_6_9_9_1" localSheetId="93">'[1]9b.sz.mell.II.név Végleges'!#REF!</definedName>
    <definedName name="Excel_BuiltIn_Print_Titles_6_9_9_1" localSheetId="94">'[1]9b.sz.mell.II.név Végleges'!#REF!</definedName>
    <definedName name="Excel_BuiltIn_Print_Titles_6_9_9_1" localSheetId="95">'[1]9b.sz.mell.II.név Végleges'!#REF!</definedName>
    <definedName name="Excel_BuiltIn_Print_Titles_6_9_9_1" localSheetId="96">'[1]9b.sz.mell.II.név Végleges'!#REF!</definedName>
    <definedName name="Excel_BuiltIn_Print_Titles_6_9_9_1" localSheetId="16">'[2]9b.sz.mell.II.név Végleges'!#REF!</definedName>
    <definedName name="Excel_BuiltIn_Print_Titles_6_9_9_1" localSheetId="53">'[2]9b.sz.mell.II.név Végleges'!#REF!</definedName>
    <definedName name="Excel_BuiltIn_Print_Titles_6_9_9_1">'[2]9b.sz.mell.II.név Végleges'!#REF!</definedName>
    <definedName name="Excel_BuiltIn_Print_Titles_6_9_9_2" localSheetId="93">'[1]9b.sz.mell.II.név Végleges'!#REF!</definedName>
    <definedName name="Excel_BuiltIn_Print_Titles_6_9_9_2" localSheetId="94">'[1]9b.sz.mell.II.név Végleges'!#REF!</definedName>
    <definedName name="Excel_BuiltIn_Print_Titles_6_9_9_2" localSheetId="95">'[1]9b.sz.mell.II.név Végleges'!#REF!</definedName>
    <definedName name="Excel_BuiltIn_Print_Titles_6_9_9_2" localSheetId="96">'[1]9b.sz.mell.II.név Végleges'!#REF!</definedName>
    <definedName name="Excel_BuiltIn_Print_Titles_6_9_9_2" localSheetId="16">'[2]9b.sz.mell.II.név Végleges'!#REF!</definedName>
    <definedName name="Excel_BuiltIn_Print_Titles_6_9_9_2" localSheetId="53">'[2]9b.sz.mell.II.név Végleges'!#REF!</definedName>
    <definedName name="Excel_BuiltIn_Print_Titles_6_9_9_2">'[2]9b.sz.mell.II.név Végleges'!#REF!</definedName>
    <definedName name="Excel_BuiltIn_Print_Titles_6_9_9_3" localSheetId="93">'[1]9b.sz.mell.II.név Végleges'!#REF!</definedName>
    <definedName name="Excel_BuiltIn_Print_Titles_6_9_9_3" localSheetId="94">'[1]9b.sz.mell.II.név Végleges'!#REF!</definedName>
    <definedName name="Excel_BuiltIn_Print_Titles_6_9_9_3" localSheetId="95">'[1]9b.sz.mell.II.név Végleges'!#REF!</definedName>
    <definedName name="Excel_BuiltIn_Print_Titles_6_9_9_3" localSheetId="96">'[1]9b.sz.mell.II.név Végleges'!#REF!</definedName>
    <definedName name="Excel_BuiltIn_Print_Titles_6_9_9_3" localSheetId="16">'[2]9b.sz.mell.II.név Végleges'!#REF!</definedName>
    <definedName name="Excel_BuiltIn_Print_Titles_6_9_9_3" localSheetId="53">'[2]9b.sz.mell.II.név Végleges'!#REF!</definedName>
    <definedName name="Excel_BuiltIn_Print_Titles_6_9_9_3">'[2]9b.sz.mell.II.név Végleges'!#REF!</definedName>
    <definedName name="Mell.11.">#REF!</definedName>
    <definedName name="mell13" localSheetId="93">#REF!</definedName>
    <definedName name="mell13" localSheetId="94">#REF!</definedName>
    <definedName name="mell13" localSheetId="95">#REF!</definedName>
    <definedName name="mell13" localSheetId="96">#REF!</definedName>
    <definedName name="mell13" localSheetId="16">#REF!</definedName>
    <definedName name="mell13" localSheetId="53">#REF!</definedName>
    <definedName name="mell13">#REF!</definedName>
    <definedName name="mell13_10" localSheetId="93">#REF!</definedName>
    <definedName name="mell13_10" localSheetId="94">#REF!</definedName>
    <definedName name="mell13_10" localSheetId="95">#REF!</definedName>
    <definedName name="mell13_10" localSheetId="96">#REF!</definedName>
    <definedName name="mell13_10" localSheetId="16">#REF!</definedName>
    <definedName name="mell13_10" localSheetId="53">#REF!</definedName>
    <definedName name="mell13_10">#REF!</definedName>
    <definedName name="mell13_11" localSheetId="16">#REF!</definedName>
    <definedName name="mell13_11" localSheetId="53">#REF!</definedName>
    <definedName name="mell13_11">#REF!</definedName>
    <definedName name="mell13_15" localSheetId="16">#REF!</definedName>
    <definedName name="mell13_15" localSheetId="53">#REF!</definedName>
    <definedName name="mell13_15">#REF!</definedName>
    <definedName name="mell13_16" localSheetId="16">#REF!</definedName>
    <definedName name="mell13_16" localSheetId="53">#REF!</definedName>
    <definedName name="mell13_16">#REF!</definedName>
    <definedName name="mell13_17" localSheetId="16">#REF!</definedName>
    <definedName name="mell13_17" localSheetId="53">#REF!</definedName>
    <definedName name="mell13_17">#REF!</definedName>
    <definedName name="mell13_25" localSheetId="16">#REF!</definedName>
    <definedName name="mell13_25" localSheetId="53">#REF!</definedName>
    <definedName name="mell13_25">#REF!</definedName>
    <definedName name="mell13_26" localSheetId="16">#REF!</definedName>
    <definedName name="mell13_26" localSheetId="53">#REF!</definedName>
    <definedName name="mell13_26">#REF!</definedName>
    <definedName name="mell13_27" localSheetId="16">#REF!</definedName>
    <definedName name="mell13_27" localSheetId="53">#REF!</definedName>
    <definedName name="mell13_27">#REF!</definedName>
    <definedName name="mell13_29" localSheetId="16">#REF!</definedName>
    <definedName name="mell13_29" localSheetId="53">#REF!</definedName>
    <definedName name="mell13_29">#REF!</definedName>
    <definedName name="mell13_30" localSheetId="16">#REF!</definedName>
    <definedName name="mell13_30" localSheetId="53">#REF!</definedName>
    <definedName name="mell13_30">#REF!</definedName>
    <definedName name="mell13_31" localSheetId="16">#REF!</definedName>
    <definedName name="mell13_31" localSheetId="53">#REF!</definedName>
    <definedName name="mell13_31">#REF!</definedName>
    <definedName name="mell13_33" localSheetId="16">#REF!</definedName>
    <definedName name="mell13_33" localSheetId="53">#REF!</definedName>
    <definedName name="mell13_33">#REF!</definedName>
    <definedName name="mell13_34" localSheetId="16">#REF!</definedName>
    <definedName name="mell13_34" localSheetId="53">#REF!</definedName>
    <definedName name="mell13_34">#REF!</definedName>
    <definedName name="mell13_35" localSheetId="16">#REF!</definedName>
    <definedName name="mell13_35" localSheetId="53">#REF!</definedName>
    <definedName name="mell13_35">#REF!</definedName>
    <definedName name="mell13_37" localSheetId="16">#REF!</definedName>
    <definedName name="mell13_37" localSheetId="53">#REF!</definedName>
    <definedName name="mell13_37">#REF!</definedName>
    <definedName name="mell13_38" localSheetId="16">#REF!</definedName>
    <definedName name="mell13_38" localSheetId="53">#REF!</definedName>
    <definedName name="mell13_38">#REF!</definedName>
    <definedName name="mell13_39" localSheetId="16">#REF!</definedName>
    <definedName name="mell13_39" localSheetId="53">#REF!</definedName>
    <definedName name="mell13_39">#REF!</definedName>
    <definedName name="mell13_4" localSheetId="16">#REF!</definedName>
    <definedName name="mell13_4" localSheetId="53">#REF!</definedName>
    <definedName name="mell13_4">#REF!</definedName>
    <definedName name="mell13_41" localSheetId="16">#REF!</definedName>
    <definedName name="mell13_41" localSheetId="53">#REF!</definedName>
    <definedName name="mell13_41">#REF!</definedName>
    <definedName name="mell13_42" localSheetId="16">#REF!</definedName>
    <definedName name="mell13_42" localSheetId="53">#REF!</definedName>
    <definedName name="mell13_42">#REF!</definedName>
    <definedName name="mell13_43" localSheetId="16">#REF!</definedName>
    <definedName name="mell13_43" localSheetId="53">#REF!</definedName>
    <definedName name="mell13_43">#REF!</definedName>
    <definedName name="mell13_45" localSheetId="16">#REF!</definedName>
    <definedName name="mell13_45" localSheetId="53">#REF!</definedName>
    <definedName name="mell13_45">#REF!</definedName>
    <definedName name="mell13_46" localSheetId="16">#REF!</definedName>
    <definedName name="mell13_46" localSheetId="53">#REF!</definedName>
    <definedName name="mell13_46">#REF!</definedName>
    <definedName name="mell13_47" localSheetId="16">#REF!</definedName>
    <definedName name="mell13_47" localSheetId="53">#REF!</definedName>
    <definedName name="mell13_47">#REF!</definedName>
    <definedName name="mell13_49" localSheetId="16">#REF!</definedName>
    <definedName name="mell13_49" localSheetId="53">#REF!</definedName>
    <definedName name="mell13_49">#REF!</definedName>
    <definedName name="mell13_5" localSheetId="16">#REF!</definedName>
    <definedName name="mell13_5" localSheetId="53">#REF!</definedName>
    <definedName name="mell13_5">#REF!</definedName>
    <definedName name="mell13_50" localSheetId="16">#REF!</definedName>
    <definedName name="mell13_50" localSheetId="53">#REF!</definedName>
    <definedName name="mell13_50">#REF!</definedName>
    <definedName name="mell13_51" localSheetId="16">#REF!</definedName>
    <definedName name="mell13_51" localSheetId="53">#REF!</definedName>
    <definedName name="mell13_51">#REF!</definedName>
    <definedName name="mell13_53" localSheetId="16">#REF!</definedName>
    <definedName name="mell13_53" localSheetId="53">#REF!</definedName>
    <definedName name="mell13_53">#REF!</definedName>
    <definedName name="mell13_54" localSheetId="16">#REF!</definedName>
    <definedName name="mell13_54" localSheetId="53">#REF!</definedName>
    <definedName name="mell13_54">#REF!</definedName>
    <definedName name="mell13_55" localSheetId="16">#REF!</definedName>
    <definedName name="mell13_55" localSheetId="53">#REF!</definedName>
    <definedName name="mell13_55">#REF!</definedName>
    <definedName name="mell13_57" localSheetId="16">#REF!</definedName>
    <definedName name="mell13_57" localSheetId="53">#REF!</definedName>
    <definedName name="mell13_57">#REF!</definedName>
    <definedName name="mell13_58" localSheetId="16">#REF!</definedName>
    <definedName name="mell13_58" localSheetId="53">#REF!</definedName>
    <definedName name="mell13_58">#REF!</definedName>
    <definedName name="mell13_59" localSheetId="16">#REF!</definedName>
    <definedName name="mell13_59" localSheetId="53">#REF!</definedName>
    <definedName name="mell13_59">#REF!</definedName>
    <definedName name="mell13_6" localSheetId="16">#REF!</definedName>
    <definedName name="mell13_6" localSheetId="53">#REF!</definedName>
    <definedName name="mell13_6">#REF!</definedName>
    <definedName name="mell13_61" localSheetId="16">#REF!</definedName>
    <definedName name="mell13_61" localSheetId="53">#REF!</definedName>
    <definedName name="mell13_61">#REF!</definedName>
    <definedName name="mell13_62" localSheetId="16">#REF!</definedName>
    <definedName name="mell13_62" localSheetId="53">#REF!</definedName>
    <definedName name="mell13_62">#REF!</definedName>
    <definedName name="mell13_63" localSheetId="16">#REF!</definedName>
    <definedName name="mell13_63" localSheetId="53">#REF!</definedName>
    <definedName name="mell13_63">#REF!</definedName>
    <definedName name="mell13_65" localSheetId="16">#REF!</definedName>
    <definedName name="mell13_65" localSheetId="53">#REF!</definedName>
    <definedName name="mell13_65">#REF!</definedName>
    <definedName name="mell13_66" localSheetId="16">#REF!</definedName>
    <definedName name="mell13_66" localSheetId="53">#REF!</definedName>
    <definedName name="mell13_66">#REF!</definedName>
    <definedName name="mell13_67" localSheetId="16">#REF!</definedName>
    <definedName name="mell13_67" localSheetId="53">#REF!</definedName>
    <definedName name="mell13_67">#REF!</definedName>
    <definedName name="mell13_7" localSheetId="16">#REF!</definedName>
    <definedName name="mell13_7" localSheetId="53">#REF!</definedName>
    <definedName name="mell13_7">#REF!</definedName>
    <definedName name="mell13_82" localSheetId="16">#REF!</definedName>
    <definedName name="mell13_82" localSheetId="53">#REF!</definedName>
    <definedName name="mell13_82">#REF!</definedName>
    <definedName name="mell13_9" localSheetId="16">#REF!</definedName>
    <definedName name="mell13_9" localSheetId="53">#REF!</definedName>
    <definedName name="mell13_9">#REF!</definedName>
    <definedName name="melléklet" localSheetId="16">#REF!</definedName>
    <definedName name="melléklet" localSheetId="53">#REF!</definedName>
    <definedName name="melléklet">#REF!</definedName>
    <definedName name="melléklet_10" localSheetId="16">#REF!</definedName>
    <definedName name="melléklet_10" localSheetId="53">#REF!</definedName>
    <definedName name="melléklet_10">#REF!</definedName>
    <definedName name="melléklet_11" localSheetId="16">#REF!</definedName>
    <definedName name="melléklet_11" localSheetId="53">#REF!</definedName>
    <definedName name="melléklet_11">#REF!</definedName>
    <definedName name="melléklet_15" localSheetId="16">#REF!</definedName>
    <definedName name="melléklet_15" localSheetId="53">#REF!</definedName>
    <definedName name="melléklet_15">#REF!</definedName>
    <definedName name="melléklet_16" localSheetId="16">#REF!</definedName>
    <definedName name="melléklet_16" localSheetId="53">#REF!</definedName>
    <definedName name="melléklet_16">#REF!</definedName>
    <definedName name="melléklet_17" localSheetId="16">#REF!</definedName>
    <definedName name="melléklet_17" localSheetId="53">#REF!</definedName>
    <definedName name="melléklet_17">#REF!</definedName>
    <definedName name="melléklet_25" localSheetId="16">#REF!</definedName>
    <definedName name="melléklet_25" localSheetId="53">#REF!</definedName>
    <definedName name="melléklet_25">#REF!</definedName>
    <definedName name="melléklet_26" localSheetId="16">#REF!</definedName>
    <definedName name="melléklet_26" localSheetId="53">#REF!</definedName>
    <definedName name="melléklet_26">#REF!</definedName>
    <definedName name="melléklet_27" localSheetId="16">#REF!</definedName>
    <definedName name="melléklet_27" localSheetId="53">#REF!</definedName>
    <definedName name="melléklet_27">#REF!</definedName>
    <definedName name="melléklet_29" localSheetId="16">#REF!</definedName>
    <definedName name="melléklet_29" localSheetId="53">#REF!</definedName>
    <definedName name="melléklet_29">#REF!</definedName>
    <definedName name="melléklet_30" localSheetId="16">#REF!</definedName>
    <definedName name="melléklet_30" localSheetId="53">#REF!</definedName>
    <definedName name="melléklet_30">#REF!</definedName>
    <definedName name="melléklet_31" localSheetId="16">#REF!</definedName>
    <definedName name="melléklet_31" localSheetId="53">#REF!</definedName>
    <definedName name="melléklet_31">#REF!</definedName>
    <definedName name="melléklet_33" localSheetId="16">#REF!</definedName>
    <definedName name="melléklet_33" localSheetId="53">#REF!</definedName>
    <definedName name="melléklet_33">#REF!</definedName>
    <definedName name="melléklet_34" localSheetId="16">#REF!</definedName>
    <definedName name="melléklet_34" localSheetId="53">#REF!</definedName>
    <definedName name="melléklet_34">#REF!</definedName>
    <definedName name="melléklet_35" localSheetId="16">#REF!</definedName>
    <definedName name="melléklet_35" localSheetId="53">#REF!</definedName>
    <definedName name="melléklet_35">#REF!</definedName>
    <definedName name="melléklet_37" localSheetId="16">#REF!</definedName>
    <definedName name="melléklet_37" localSheetId="53">#REF!</definedName>
    <definedName name="melléklet_37">#REF!</definedName>
    <definedName name="melléklet_38" localSheetId="16">#REF!</definedName>
    <definedName name="melléklet_38" localSheetId="53">#REF!</definedName>
    <definedName name="melléklet_38">#REF!</definedName>
    <definedName name="melléklet_39" localSheetId="16">#REF!</definedName>
    <definedName name="melléklet_39" localSheetId="53">#REF!</definedName>
    <definedName name="melléklet_39">#REF!</definedName>
    <definedName name="melléklet_4" localSheetId="16">#REF!</definedName>
    <definedName name="melléklet_4" localSheetId="53">#REF!</definedName>
    <definedName name="melléklet_4">#REF!</definedName>
    <definedName name="melléklet_41" localSheetId="16">#REF!</definedName>
    <definedName name="melléklet_41" localSheetId="53">#REF!</definedName>
    <definedName name="melléklet_41">#REF!</definedName>
    <definedName name="melléklet_42" localSheetId="16">#REF!</definedName>
    <definedName name="melléklet_42" localSheetId="53">#REF!</definedName>
    <definedName name="melléklet_42">#REF!</definedName>
    <definedName name="melléklet_43" localSheetId="16">#REF!</definedName>
    <definedName name="melléklet_43" localSheetId="53">#REF!</definedName>
    <definedName name="melléklet_43">#REF!</definedName>
    <definedName name="melléklet_45" localSheetId="16">#REF!</definedName>
    <definedName name="melléklet_45" localSheetId="53">#REF!</definedName>
    <definedName name="melléklet_45">#REF!</definedName>
    <definedName name="melléklet_46" localSheetId="16">#REF!</definedName>
    <definedName name="melléklet_46" localSheetId="53">#REF!</definedName>
    <definedName name="melléklet_46">#REF!</definedName>
    <definedName name="melléklet_47" localSheetId="16">#REF!</definedName>
    <definedName name="melléklet_47" localSheetId="53">#REF!</definedName>
    <definedName name="melléklet_47">#REF!</definedName>
    <definedName name="melléklet_49" localSheetId="16">#REF!</definedName>
    <definedName name="melléklet_49" localSheetId="53">#REF!</definedName>
    <definedName name="melléklet_49">#REF!</definedName>
    <definedName name="melléklet_5" localSheetId="16">#REF!</definedName>
    <definedName name="melléklet_5" localSheetId="53">#REF!</definedName>
    <definedName name="melléklet_5">#REF!</definedName>
    <definedName name="melléklet_50" localSheetId="16">#REF!</definedName>
    <definedName name="melléklet_50" localSheetId="53">#REF!</definedName>
    <definedName name="melléklet_50">#REF!</definedName>
    <definedName name="melléklet_51" localSheetId="16">#REF!</definedName>
    <definedName name="melléklet_51" localSheetId="53">#REF!</definedName>
    <definedName name="melléklet_51">#REF!</definedName>
    <definedName name="melléklet_53" localSheetId="16">#REF!</definedName>
    <definedName name="melléklet_53" localSheetId="53">#REF!</definedName>
    <definedName name="melléklet_53">#REF!</definedName>
    <definedName name="melléklet_54" localSheetId="16">#REF!</definedName>
    <definedName name="melléklet_54" localSheetId="53">#REF!</definedName>
    <definedName name="melléklet_54">#REF!</definedName>
    <definedName name="melléklet_55" localSheetId="16">#REF!</definedName>
    <definedName name="melléklet_55" localSheetId="53">#REF!</definedName>
    <definedName name="melléklet_55">#REF!</definedName>
    <definedName name="melléklet_57" localSheetId="16">#REF!</definedName>
    <definedName name="melléklet_57" localSheetId="53">#REF!</definedName>
    <definedName name="melléklet_57">#REF!</definedName>
    <definedName name="melléklet_58" localSheetId="16">#REF!</definedName>
    <definedName name="melléklet_58" localSheetId="53">#REF!</definedName>
    <definedName name="melléklet_58">#REF!</definedName>
    <definedName name="melléklet_59" localSheetId="16">#REF!</definedName>
    <definedName name="melléklet_59" localSheetId="53">#REF!</definedName>
    <definedName name="melléklet_59">#REF!</definedName>
    <definedName name="melléklet_6" localSheetId="16">#REF!</definedName>
    <definedName name="melléklet_6" localSheetId="53">#REF!</definedName>
    <definedName name="melléklet_6">#REF!</definedName>
    <definedName name="melléklet_61" localSheetId="16">#REF!</definedName>
    <definedName name="melléklet_61" localSheetId="53">#REF!</definedName>
    <definedName name="melléklet_61">#REF!</definedName>
    <definedName name="melléklet_62" localSheetId="16">#REF!</definedName>
    <definedName name="melléklet_62" localSheetId="53">#REF!</definedName>
    <definedName name="melléklet_62">#REF!</definedName>
    <definedName name="melléklet_63" localSheetId="16">#REF!</definedName>
    <definedName name="melléklet_63" localSheetId="53">#REF!</definedName>
    <definedName name="melléklet_63">#REF!</definedName>
    <definedName name="melléklet_65" localSheetId="16">#REF!</definedName>
    <definedName name="melléklet_65" localSheetId="53">#REF!</definedName>
    <definedName name="melléklet_65">#REF!</definedName>
    <definedName name="melléklet_66" localSheetId="16">#REF!</definedName>
    <definedName name="melléklet_66" localSheetId="53">#REF!</definedName>
    <definedName name="melléklet_66">#REF!</definedName>
    <definedName name="melléklet_67" localSheetId="16">#REF!</definedName>
    <definedName name="melléklet_67" localSheetId="53">#REF!</definedName>
    <definedName name="melléklet_67">#REF!</definedName>
    <definedName name="melléklet_7" localSheetId="16">#REF!</definedName>
    <definedName name="melléklet_7" localSheetId="53">#REF!</definedName>
    <definedName name="melléklet_7">#REF!</definedName>
    <definedName name="melléklet_9" localSheetId="16">#REF!</definedName>
    <definedName name="melléklet_9" localSheetId="53">#REF!</definedName>
    <definedName name="melléklet_9">#REF!</definedName>
    <definedName name="_xlnm.Print_Titles" localSheetId="1">'1.1.sz.mell  '!$A:$A</definedName>
    <definedName name="_xlnm.Print_Titles" localSheetId="94">'15.1. sz. mell.'!$4:$4</definedName>
    <definedName name="_xlnm.Print_Titles" localSheetId="95">'15.2. sz. mell.'!$1:$1</definedName>
    <definedName name="_xlnm.Print_Titles" localSheetId="96">'16. sz. mell'!$4:$4</definedName>
    <definedName name="_xlnm.Print_Titles" localSheetId="97">'17.sz. mell'!$1:$2</definedName>
    <definedName name="_xlnm.Print_Titles" localSheetId="7">'2. sz. mell'!$1:$5</definedName>
    <definedName name="_xlnm.Print_Titles" localSheetId="8">'2.a sz. mell'!$1:$4</definedName>
    <definedName name="_xlnm.Print_Titles" localSheetId="9">'2.b sz. mell'!$1:$3</definedName>
    <definedName name="_xlnm.Print_Titles" localSheetId="10">'2.c sz. mell '!$1:$5</definedName>
    <definedName name="_xlnm.Print_Titles" localSheetId="12">'3. a. sz. mell'!$1:$4</definedName>
    <definedName name="_xlnm.Print_Titles" localSheetId="16">'3.2 Cofogos'!$1:$2</definedName>
    <definedName name="_xlnm.Print_Titles" localSheetId="13">'3.b. sz. mell'!$1:$4</definedName>
    <definedName name="_xlnm.Print_Titles" localSheetId="14">'3.c. sz. mell '!$1:$4</definedName>
    <definedName name="_xlnm.Print_Titles" localSheetId="19">'4. b.sz. mell.'!$1:$6</definedName>
    <definedName name="_xlnm.Print_Titles" localSheetId="17">'4. sz. mell.'!$1:$4</definedName>
    <definedName name="_xlnm.Print_Titles" localSheetId="18">'4.a. sz. mell.'!$1:$6</definedName>
    <definedName name="_xlnm.Print_Titles" localSheetId="25">'5. sz. mell. '!$1:$6</definedName>
    <definedName name="_xlnm.Print_Titles" localSheetId="78">'5.10.1. sz. mell.'!$1:$2</definedName>
    <definedName name="_xlnm.Print_Titles" localSheetId="26">'5.a sz. mell. '!$1:$6</definedName>
    <definedName name="_xlnm.Print_Titles" localSheetId="27">'5.b. sz. mell.'!$1:$6</definedName>
    <definedName name="_xlnm.Print_Titles" localSheetId="28">'5.c sz. mell.'!$1:$6</definedName>
    <definedName name="_xlnm.Print_Titles" localSheetId="79">'6.1.sz.mell. '!$2:$2</definedName>
    <definedName name="_xlnm.Print_Titles" localSheetId="80">'6.2.sz.mell.'!$1:$2</definedName>
    <definedName name="_xlnm.Print_Titles" localSheetId="81">'7.1. sz mell.'!$1:$1</definedName>
    <definedName name="_xlnm.Print_Titles" localSheetId="82">'7.2.. sz mell.'!$1:$1</definedName>
    <definedName name="_xlnm.Print_Titles" localSheetId="86">'9.sz. mell.'!$1:$1</definedName>
    <definedName name="_xlnm.Print_Area" localSheetId="98">'.......'!$A$1:$M$62</definedName>
    <definedName name="_xlnm.Print_Area" localSheetId="99">'............'!$A$1:$AH$20</definedName>
    <definedName name="_xlnm.Print_Area" localSheetId="1">'1.1.sz.mell  '!$A$1:$V$24</definedName>
    <definedName name="_xlnm.Print_Area" localSheetId="2">'1.2.sz.mell  '!$A$2:$V$25</definedName>
    <definedName name="_xlnm.Print_Area" localSheetId="3">'1.3. sz. mell'!$A$1:$DJ$57</definedName>
    <definedName name="_xlnm.Print_Area" localSheetId="4">'1.4. sz. mell'!$A$1:$DA$32</definedName>
    <definedName name="_xlnm.Print_Area" localSheetId="5">'1.5. sz. mell'!$A$2:$AP$13</definedName>
    <definedName name="_xlnm.Print_Area" localSheetId="6">'1.6.sz. mell'!$A$1:$AW$20</definedName>
    <definedName name="_xlnm.Print_Area" localSheetId="0">'1.sz.mell.'!$A$1:$L$149</definedName>
    <definedName name="_xlnm.Print_Area" localSheetId="88">'11.sz. mell'!$A$1:$E$113</definedName>
    <definedName name="_xlnm.Print_Area" localSheetId="90">'13.sz. mell'!$A$1:$M$32</definedName>
    <definedName name="_xlnm.Print_Area" localSheetId="93">'15. sz. mell.'!$A$1:$C$17</definedName>
    <definedName name="_xlnm.Print_Area" localSheetId="94">'15.1. sz. mell.'!$A$1:$E$141</definedName>
    <definedName name="_xlnm.Print_Area" localSheetId="95">'15.2. sz. mell.'!$A$1:$E$67</definedName>
    <definedName name="_xlnm.Print_Area" localSheetId="96">'16. sz. mell'!$A$1:$E$176</definedName>
    <definedName name="_xlnm.Print_Area" localSheetId="97">'17.sz. mell'!$A$1:$F$164</definedName>
    <definedName name="_xlnm.Print_Area" localSheetId="7">'2. sz. mell'!$A$1:$M$103</definedName>
    <definedName name="_xlnm.Print_Area" localSheetId="8">'2.a sz. mell'!$A$1:$M$97</definedName>
    <definedName name="_xlnm.Print_Area" localSheetId="9">'2.b sz. mell'!$A$1:$K$91</definedName>
    <definedName name="_xlnm.Print_Area" localSheetId="10">'2.c sz. mell '!$A$1:$M$91</definedName>
    <definedName name="_xlnm.Print_Area" localSheetId="12">'3. a. sz. mell'!$A$1:$M$82</definedName>
    <definedName name="_xlnm.Print_Area" localSheetId="11">'3. sz. mell'!$A$1:$M$79</definedName>
    <definedName name="_xlnm.Print_Area" localSheetId="15">'3.1. Cofog'!$A$1:$S$111</definedName>
    <definedName name="_xlnm.Print_Area" localSheetId="16">'3.2 Cofogos'!$A$1:$L$290</definedName>
    <definedName name="_xlnm.Print_Area" localSheetId="13">'3.b. sz. mell'!$A$1:$M$78</definedName>
    <definedName name="_xlnm.Print_Area" localSheetId="14">'3.c. sz. mell '!$A$1:$M$77</definedName>
    <definedName name="_xlnm.Print_Area" localSheetId="19">'4. b.sz. mell.'!$A$1:$K$63</definedName>
    <definedName name="_xlnm.Print_Area" localSheetId="17">'4. sz. mell.'!$A$1:$M$62</definedName>
    <definedName name="_xlnm.Print_Area" localSheetId="21">'4.1 sz. mell'!$A$1:$M$64</definedName>
    <definedName name="_xlnm.Print_Area" localSheetId="22">'4.2.sz. mell. '!$A$1:$M$62</definedName>
    <definedName name="_xlnm.Print_Area" localSheetId="23">'4.3 sz. mell.'!$A$1:$M$61</definedName>
    <definedName name="_xlnm.Print_Area" localSheetId="24">'4.4.sz. mell.'!$A$1:$M$62</definedName>
    <definedName name="_xlnm.Print_Area" localSheetId="18">'4.a. sz. mell.'!$A$1:$K$65</definedName>
    <definedName name="_xlnm.Print_Area" localSheetId="20">'4.c. sz. mell.'!$A$1:$M$64</definedName>
    <definedName name="_xlnm.Print_Area" localSheetId="25">'5. sz. mell. '!$A$1:$M$61</definedName>
    <definedName name="_xlnm.Print_Area" localSheetId="29">'5.1. sz. mell. '!$A$1:$M$65</definedName>
    <definedName name="_xlnm.Print_Area" localSheetId="30">'5.1.a. sz. mell.'!$A$1:$M$65</definedName>
    <definedName name="_xlnm.Print_Area" localSheetId="33">'5.1.d.sz.mell'!$A$1:$AP$21</definedName>
    <definedName name="_xlnm.Print_Area" localSheetId="74">'5.10 sz. mell '!$A$1:$M$57</definedName>
    <definedName name="_xlnm.Print_Area" localSheetId="78">'5.10.1. sz. mell.'!$A$1:$S$218</definedName>
    <definedName name="_xlnm.Print_Area" localSheetId="75">'5.10.a.sz. mell'!$A$1:$M$56</definedName>
    <definedName name="_xlnm.Print_Area" localSheetId="76">'5.10.b. sz. mell'!$A$1:$M$57</definedName>
    <definedName name="_xlnm.Print_Area" localSheetId="77">'5.10.c.sz. mell'!$A$1:$M$56</definedName>
    <definedName name="_xlnm.Print_Area" localSheetId="34">'5.2. sz. mell.  '!$A$1:$M$66</definedName>
    <definedName name="_xlnm.Print_Area" localSheetId="35">'5.2.a. sz. mell.'!$A$1:$M$66</definedName>
    <definedName name="_xlnm.Print_Area" localSheetId="38">'5.2.d.sz.mell.'!$A$1:$AP$21</definedName>
    <definedName name="_xlnm.Print_Area" localSheetId="39">'5.3 sz. mell'!$A$1:$M$62</definedName>
    <definedName name="_xlnm.Print_Area" localSheetId="40">'5.3.a. sz. mell'!$A$1:$M$62</definedName>
    <definedName name="_xlnm.Print_Area" localSheetId="43">'5.3.d.sz.mell'!$A$1:$AP$19</definedName>
    <definedName name="_xlnm.Print_Area" localSheetId="44">'5.4. sz mell'!$A$1:$M$62</definedName>
    <definedName name="_xlnm.Print_Area" localSheetId="45">'5.4.a. sz mell'!$A$1:$M$62</definedName>
    <definedName name="_xlnm.Print_Area" localSheetId="48">'5.4.d.sz.mell'!$A$1:$AP$18</definedName>
    <definedName name="_xlnm.Print_Area" localSheetId="49">'5.5. sz. mell.  '!$A$1:$M$66</definedName>
    <definedName name="_xlnm.Print_Area" localSheetId="50">'5.5.a. sz. mell.'!$A$1:$M$66</definedName>
    <definedName name="_xlnm.Print_Area" localSheetId="51">'5.5.b.sz. mell'!$A$1:$M$64</definedName>
    <definedName name="_xlnm.Print_Area" localSheetId="52">'5.5.c. sz. mell'!$A$1:$M$64</definedName>
    <definedName name="_xlnm.Print_Area" localSheetId="53">'5.5.d.sz.mell'!$A$1:$BF$19</definedName>
    <definedName name="_xlnm.Print_Area" localSheetId="54">'5.6. sz. mell'!$A$1:$M$66</definedName>
    <definedName name="_xlnm.Print_Area" localSheetId="55">'5.6.a. sz. mell'!$A$1:$M$66</definedName>
    <definedName name="_xlnm.Print_Area" localSheetId="56">'5.6.b. sz.'!$A$1:$M$64</definedName>
    <definedName name="_xlnm.Print_Area" localSheetId="57">'5.6.c. sz. mell'!$A$1:$M$64</definedName>
    <definedName name="_xlnm.Print_Area" localSheetId="58">'5.6.d sz. mell.'!$A$1:$AH$19</definedName>
    <definedName name="_xlnm.Print_Area" localSheetId="59">'5.7. sz. mell.'!$A$1:$M$69</definedName>
    <definedName name="_xlnm.Print_Area" localSheetId="60">'5.7.a. sz. mell.'!$A$1:$M$68</definedName>
    <definedName name="_xlnm.Print_Area" localSheetId="61">'5.7.b. sz. mell.'!$A$1:$M$66</definedName>
    <definedName name="_xlnm.Print_Area" localSheetId="62">'5.7.c. sz. mell. '!$A$1:$M$66</definedName>
    <definedName name="_xlnm.Print_Area" localSheetId="63">'5.7.d.sz.mell'!$A$1:$AO$21</definedName>
    <definedName name="_xlnm.Print_Area" localSheetId="64">'5.8. sz. mell.'!$A$1:$M$58</definedName>
    <definedName name="_xlnm.Print_Area" localSheetId="65">'5.8.a. sz. mell.'!$A$1:$M$58</definedName>
    <definedName name="_xlnm.Print_Area" localSheetId="68">'5.8.d.sz.mell'!$A$1:$AH$21</definedName>
    <definedName name="_xlnm.Print_Area" localSheetId="69">'5.9. sz. mell.'!$A$1:$M$58</definedName>
    <definedName name="_xlnm.Print_Area" localSheetId="70">'5.9.a. sz. mell'!$A$1:$M$58</definedName>
    <definedName name="_xlnm.Print_Area" localSheetId="71">'5.9.b. sz. mell.'!$A$1:$M$58</definedName>
    <definedName name="_xlnm.Print_Area" localSheetId="73">'5.9.d.sz.mell.'!$A$1:$AP$20</definedName>
    <definedName name="_xlnm.Print_Area" localSheetId="26">'5.a sz. mell. '!$A$1:$M$60</definedName>
    <definedName name="_xlnm.Print_Area" localSheetId="27">'5.b. sz. mell.'!$A$1:$M$61</definedName>
    <definedName name="_xlnm.Print_Area" localSheetId="79">'6.1.sz.mell. '!$A$1:$P$89</definedName>
    <definedName name="_xlnm.Print_Area" localSheetId="80">'6.2.sz.mell.'!$A$1:$O$196</definedName>
    <definedName name="_xlnm.Print_Area" localSheetId="81">'7.1. sz mell.'!$A$1:$P$102</definedName>
    <definedName name="Print_Area_1">'1.sz.mell.'!$A$1:$E$149</definedName>
    <definedName name="Print_Area_10">'3.b. sz. mell'!$A$1:$F$78</definedName>
    <definedName name="Print_Area_11">'3.c. sz. mell '!$A$1:$F$77</definedName>
    <definedName name="Print_Area_12">#REF!</definedName>
    <definedName name="Print_Area_13">#REF!</definedName>
    <definedName name="Print_Area_14">'4. sz. mell.'!$A$1:$F$62</definedName>
    <definedName name="Print_Area_15">'4.a. sz. mell.'!$A$1:$D$65</definedName>
    <definedName name="Print_Area_16">'4. b.sz. mell.'!$A$1:$D$63</definedName>
    <definedName name="Print_Area_17">'4.c. sz. mell.'!$A$1:$F$64</definedName>
    <definedName name="Print_Area_18">'4.1 sz. mell'!$A$1:$F$64</definedName>
    <definedName name="Print_Area_19" localSheetId="93">#REF!</definedName>
    <definedName name="Print_Area_19" localSheetId="94">#REF!</definedName>
    <definedName name="Print_Area_19" localSheetId="95">#REF!</definedName>
    <definedName name="Print_Area_19" localSheetId="96">#REF!</definedName>
    <definedName name="Print_Area_19">#REF!</definedName>
    <definedName name="Print_Area_2">'1.1.sz.mell  '!$A$1:$O$24</definedName>
    <definedName name="Print_Area_20">'4.2.sz. mell. '!$A$1:$F$62</definedName>
    <definedName name="Print_Area_21">'4.3 sz. mell.'!$A$1:$F$61</definedName>
    <definedName name="Print_Area_22">'4.4.sz. mell.'!$A$1:$F$62</definedName>
    <definedName name="Print_Area_23" localSheetId="98">'.......'!$A$1:$F$62</definedName>
    <definedName name="Print_Area_23" localSheetId="93">#REF!</definedName>
    <definedName name="Print_Area_23" localSheetId="94">#REF!</definedName>
    <definedName name="Print_Area_23" localSheetId="95">#REF!</definedName>
    <definedName name="Print_Area_23" localSheetId="96">#REF!</definedName>
    <definedName name="Print_Area_23">#REF!</definedName>
    <definedName name="Print_Area_24">'5. sz. mell. '!$A$1:$F$61</definedName>
    <definedName name="Print_Area_25">'5.a sz. mell. '!$A$1:$F$60</definedName>
    <definedName name="Print_Area_26">'5.b. sz. mell.'!$A$1:$F$61</definedName>
    <definedName name="Print_Area_27">'5.c sz. mell.'!$A$1:$F$57</definedName>
    <definedName name="Print_Area_28">'5.1. sz. mell. '!$A$1:$F$65</definedName>
    <definedName name="Print_Area_29">'5.1.a. sz. mell.'!$A$1:$F$65</definedName>
    <definedName name="Print_Area_3">'1.2.sz.mell  '!$A$1:$O$25</definedName>
    <definedName name="Print_Area_30">'5.1.b. sz. mell.'!$A$1:$F$64</definedName>
    <definedName name="Print_Area_31">'5.1.c. sz. mell.'!$A$1:$F$64</definedName>
    <definedName name="Print_Area_32">'5.2. sz. mell.  '!$A$1:$F$66</definedName>
    <definedName name="Print_Area_33">'5.2.a. sz. mell.'!$A$1:$F$66</definedName>
    <definedName name="Print_Area_34">'5.2.b. sz. mell'!$A$1:$F$64</definedName>
    <definedName name="Print_Area_35">'5.2.c. sz. mell.'!$A$1:$F$64</definedName>
    <definedName name="Print_Area_36">'5.3 sz. mell'!$A$1:$F$62</definedName>
    <definedName name="Print_Area_37">'5.3.a. sz. mell'!$A$1:$F$62</definedName>
    <definedName name="Print_Area_38">'5.3 b. sz. mell'!$A$1:$F$60</definedName>
    <definedName name="Print_Area_39">'5.3.c. sz. mell'!$A$1:$F$60</definedName>
    <definedName name="Print_Area_4">'2. sz. mell'!$A$1:$F$102</definedName>
    <definedName name="Print_Area_40">'5.4. sz mell'!$A$1:$F$62</definedName>
    <definedName name="Print_Area_41">'5.4.a. sz mell'!$A$1:$F$62</definedName>
    <definedName name="Print_Area_42">'5.4.b. sz mell'!$A$1:$F$60</definedName>
    <definedName name="Print_Area_43">'5.4.c. sz mell'!$A$1:$F$60</definedName>
    <definedName name="Print_Area_44">'5.5. sz. mell.  '!$A$1:$F$66</definedName>
    <definedName name="Print_Area_45">'5.5.a. sz. mell.'!$A$1:$F$66</definedName>
    <definedName name="Print_Area_46">'5.5.b.sz. mell'!$A$1:$F$64</definedName>
    <definedName name="Print_Area_47">'5.5.c. sz. mell'!$A$1:$F$64</definedName>
    <definedName name="Print_Area_48">'5.6. sz. mell'!$A$1:$F$66</definedName>
    <definedName name="Print_Area_49">'5.6.a. sz. mell'!$A$1:$F$66</definedName>
    <definedName name="Print_Area_5">'2.a sz. mell'!$A$1:$F$97</definedName>
    <definedName name="Print_Area_50">'5.6.b. sz.'!$A$1:$F$64</definedName>
    <definedName name="Print_Area_51">'5.6.c. sz. mell'!$A$1:$F$64</definedName>
    <definedName name="Print_Area_52">'5.7. sz. mell.'!$A$1:$F$69</definedName>
    <definedName name="Print_Area_53">'5.7.a. sz. mell.'!$A$1:$F$68</definedName>
    <definedName name="Print_Area_54">'5.7.b. sz. mell.'!$A$1:$F$66</definedName>
    <definedName name="Print_Area_55">'5.7.c. sz. mell. '!$A$1:$F$66</definedName>
    <definedName name="Print_Area_56">'5.8. sz. mell.'!$A$1:$F$58</definedName>
    <definedName name="Print_Area_57">'5.8.a. sz. mell.'!$A$1:$F$58</definedName>
    <definedName name="Print_Area_58">'5.8.b. sz. mell.'!$A$1:$F$58</definedName>
    <definedName name="Print_Area_59">'5.8.c. sz. mell.'!$A$1:$F$56</definedName>
    <definedName name="Print_Area_6">'2.b sz. mell'!$A$1:$D$91</definedName>
    <definedName name="Print_Area_60">'5.9. sz. mell.'!$A$1:$F$58</definedName>
    <definedName name="Print_Area_61">'5.9.a. sz. mell'!$A$1:$F$58</definedName>
    <definedName name="Print_Area_62">'5.9.b. sz. mell.'!$A$1:$F$58</definedName>
    <definedName name="Print_Area_63">'5.9.c. sz. mell.'!$A$1:$F$57</definedName>
    <definedName name="Print_Area_64">'5.10 sz. mell '!$A$1:$F$57</definedName>
    <definedName name="Print_Area_65">'5.10.a.sz. mell'!$A$1:$F$56</definedName>
    <definedName name="Print_Area_66">'5.10.b. sz. mell'!$A$1:$F$57</definedName>
    <definedName name="Print_Area_67">'5.10.c.sz. mell'!$A$1:$F$56</definedName>
    <definedName name="Print_Area_68" localSheetId="16">'3.2 Cofogos'!$A$1:$E$290</definedName>
    <definedName name="Print_Area_68">'5.10.1. sz. mell.'!$A$1:$L$218</definedName>
    <definedName name="Print_Area_69">'6.1.sz.mell. '!$A$1:$S$89</definedName>
    <definedName name="Print_Area_7">'2.c sz. mell '!$A$1:$F$91</definedName>
    <definedName name="Print_Area_70">'6.2.sz.mell.'!$A$1:$Q$211</definedName>
    <definedName name="Print_Area_71">'7.1. sz mell.'!$A$1:$J$102</definedName>
    <definedName name="Print_Area_72">'7.2.. sz mell.'!$A$1:$G$47</definedName>
    <definedName name="Print_Area_76" localSheetId="93">#REF!</definedName>
    <definedName name="Print_Area_76" localSheetId="94">#REF!</definedName>
    <definedName name="Print_Area_76" localSheetId="95">#REF!</definedName>
    <definedName name="Print_Area_76" localSheetId="96">#REF!</definedName>
    <definedName name="Print_Area_76">#REF!</definedName>
    <definedName name="Print_Area_78" localSheetId="93">#REF!</definedName>
    <definedName name="Print_Area_78" localSheetId="94">#REF!</definedName>
    <definedName name="Print_Area_78" localSheetId="95">#REF!</definedName>
    <definedName name="Print_Area_78" localSheetId="96">#REF!</definedName>
    <definedName name="Print_Area_78">#REF!</definedName>
    <definedName name="Print_Area_8">'3. sz. mell'!$A$1:$F$79</definedName>
    <definedName name="Print_Area_84" localSheetId="93">#REF!</definedName>
    <definedName name="Print_Area_84" localSheetId="94">#REF!</definedName>
    <definedName name="Print_Area_84" localSheetId="95">#REF!</definedName>
    <definedName name="Print_Area_84" localSheetId="96">#REF!</definedName>
    <definedName name="Print_Area_84">#REF!</definedName>
    <definedName name="Print_Area_89" localSheetId="93">#REF!</definedName>
    <definedName name="Print_Area_89" localSheetId="94">#REF!</definedName>
    <definedName name="Print_Area_89" localSheetId="95">#REF!</definedName>
    <definedName name="Print_Area_89" localSheetId="96">#REF!</definedName>
    <definedName name="Print_Area_89">#REF!</definedName>
    <definedName name="Print_Area_9">'3. a. sz. mell'!$A$1:$F$82</definedName>
    <definedName name="Print_Area_90" localSheetId="93">#REF!</definedName>
    <definedName name="Print_Area_90" localSheetId="94">#REF!</definedName>
    <definedName name="Print_Area_90" localSheetId="95">#REF!</definedName>
    <definedName name="Print_Area_90" localSheetId="96">#REF!</definedName>
    <definedName name="Print_Area_90">#REF!</definedName>
    <definedName name="Print_Area_91" localSheetId="93">#REF!</definedName>
    <definedName name="Print_Area_91" localSheetId="94">#REF!</definedName>
    <definedName name="Print_Area_91" localSheetId="95">#REF!</definedName>
    <definedName name="Print_Area_91" localSheetId="96">#REF!</definedName>
    <definedName name="Print_Area_91">#REF!</definedName>
    <definedName name="Print_Area_92" localSheetId="93">#REF!</definedName>
    <definedName name="Print_Area_92" localSheetId="94">#REF!</definedName>
    <definedName name="Print_Area_92" localSheetId="95">#REF!</definedName>
    <definedName name="Print_Area_92" localSheetId="96">#REF!</definedName>
    <definedName name="Print_Area_92">#REF!</definedName>
    <definedName name="Print_Area_93">#REF!</definedName>
    <definedName name="Print_Area_94">#REF!</definedName>
    <definedName name="Print_Area_95">#REF!</definedName>
    <definedName name="Print_Area_96">#REF!</definedName>
    <definedName name="Print_Area_97">#REF!</definedName>
    <definedName name="Print_Area_98">#REF!</definedName>
    <definedName name="Print_Titles_10">'3.b. sz. mell'!$1:$5</definedName>
    <definedName name="Print_Titles_11">'3.c. sz. mell '!$1:$5</definedName>
    <definedName name="Print_Titles_12">#REF!</definedName>
    <definedName name="Print_Titles_13">#REF!</definedName>
    <definedName name="Print_Titles_14">'4. sz. mell.'!$1:$4</definedName>
    <definedName name="Print_Titles_15">'4.a. sz. mell.'!$1:$6</definedName>
    <definedName name="Print_Titles_16">'4. b.sz. mell.'!$1:$6</definedName>
    <definedName name="Print_Titles_17">'4.c. sz. mell.'!$1:$6</definedName>
    <definedName name="Print_Titles_18">'4.1 sz. mell'!$1:$6</definedName>
    <definedName name="Print_Titles_19" localSheetId="93">#REF!</definedName>
    <definedName name="Print_Titles_19" localSheetId="94">#REF!</definedName>
    <definedName name="Print_Titles_19" localSheetId="95">#REF!</definedName>
    <definedName name="Print_Titles_19" localSheetId="96">#REF!</definedName>
    <definedName name="Print_Titles_19">#REF!</definedName>
    <definedName name="Print_Titles_20">'4.2.sz. mell. '!$1:$6</definedName>
    <definedName name="Print_Titles_21">'4.3 sz. mell.'!$1:$6</definedName>
    <definedName name="Print_Titles_22">'4.4.sz. mell.'!$1:$6</definedName>
    <definedName name="Print_Titles_23" localSheetId="98">'.......'!$1:$6</definedName>
    <definedName name="Print_Titles_23" localSheetId="93">#REF!</definedName>
    <definedName name="Print_Titles_23" localSheetId="94">#REF!</definedName>
    <definedName name="Print_Titles_23" localSheetId="95">#REF!</definedName>
    <definedName name="Print_Titles_23" localSheetId="96">#REF!</definedName>
    <definedName name="Print_Titles_23">#REF!</definedName>
    <definedName name="Print_Titles_24">'5. sz. mell. '!$1:$6</definedName>
    <definedName name="Print_Titles_25">'5.a sz. mell. '!$1:$6</definedName>
    <definedName name="Print_Titles_26">'5.b. sz. mell.'!$1:$6</definedName>
    <definedName name="Print_Titles_27">'5.c sz. mell.'!$1:$6</definedName>
    <definedName name="Print_Titles_28">'5.1. sz. mell. '!$1:$6</definedName>
    <definedName name="Print_Titles_29">'5.1.a. sz. mell.'!$1:$6</definedName>
    <definedName name="Print_Titles_30">'5.1.b. sz. mell.'!$1:$6</definedName>
    <definedName name="Print_Titles_31">'5.1.c. sz. mell.'!$1:$6</definedName>
    <definedName name="Print_Titles_32">'5.2. sz. mell.  '!$1:$6</definedName>
    <definedName name="Print_Titles_33">'5.2.a. sz. mell.'!$1:$6</definedName>
    <definedName name="Print_Titles_34">'5.2.b. sz. mell'!$1:$6</definedName>
    <definedName name="Print_Titles_35">'5.2.c. sz. mell.'!$1:$6</definedName>
    <definedName name="Print_Titles_36">'5.3 sz. mell'!$1:$6</definedName>
    <definedName name="Print_Titles_37">'5.3.a. sz. mell'!$1:$6</definedName>
    <definedName name="Print_Titles_38">'5.3 b. sz. mell'!$1:$6</definedName>
    <definedName name="Print_Titles_39">'5.3.c. sz. mell'!$1:$6</definedName>
    <definedName name="Print_Titles_4">'2. sz. mell'!$1:$5</definedName>
    <definedName name="Print_Titles_40">'5.4. sz mell'!$1:$6</definedName>
    <definedName name="Print_Titles_41">'5.4.a. sz mell'!$1:$6</definedName>
    <definedName name="Print_Titles_42">'5.4.b. sz mell'!$1:$6</definedName>
    <definedName name="Print_Titles_43">'5.4.c. sz mell'!$1:$6</definedName>
    <definedName name="Print_Titles_44">'5.5. sz. mell.  '!$1:$6</definedName>
    <definedName name="Print_Titles_45">'5.5.a. sz. mell.'!$1:$6</definedName>
    <definedName name="Print_Titles_46">'5.5.b.sz. mell'!$1:$6</definedName>
    <definedName name="Print_Titles_47">'5.5.c. sz. mell'!$1:$6</definedName>
    <definedName name="Print_Titles_48">'5.6. sz. mell'!$1:$6</definedName>
    <definedName name="Print_Titles_49">'5.6.a. sz. mell'!$1:$6</definedName>
    <definedName name="Print_Titles_5">'2.a sz. mell'!$1:$5</definedName>
    <definedName name="Print_Titles_50">'5.6.b. sz.'!$1:$6</definedName>
    <definedName name="Print_Titles_51">'5.6.c. sz. mell'!$1:$6</definedName>
    <definedName name="Print_Titles_52">'5.7. sz. mell.'!$1:$6</definedName>
    <definedName name="Print_Titles_53">'5.7.a. sz. mell.'!$1:$6</definedName>
    <definedName name="Print_Titles_54">'5.7.b. sz. mell.'!$1:$6</definedName>
    <definedName name="Print_Titles_55">'5.7.c. sz. mell. '!$1:$6</definedName>
    <definedName name="Print_Titles_56">'5.8. sz. mell.'!$1:$6</definedName>
    <definedName name="Print_Titles_57">'5.8.a. sz. mell.'!$1:$6</definedName>
    <definedName name="Print_Titles_58">'5.8.b. sz. mell.'!$1:$6</definedName>
    <definedName name="Print_Titles_59">'5.8.c. sz. mell.'!$1:$6</definedName>
    <definedName name="Print_Titles_6">'2.b sz. mell'!$1:$5</definedName>
    <definedName name="Print_Titles_60">'5.9. sz. mell.'!$1:$6</definedName>
    <definedName name="Print_Titles_61">'5.9.a. sz. mell'!$1:$6</definedName>
    <definedName name="Print_Titles_62">'5.9.b. sz. mell.'!$1:$6</definedName>
    <definedName name="Print_Titles_63">'5.9.c. sz. mell.'!$1:$6</definedName>
    <definedName name="Print_Titles_64">'5.10 sz. mell '!$1:$6</definedName>
    <definedName name="Print_Titles_65">'5.10.a.sz. mell'!$1:$6</definedName>
    <definedName name="Print_Titles_66">'5.10.b. sz. mell'!$1:$6</definedName>
    <definedName name="Print_Titles_67">'5.10.c.sz. mell'!$1:$6</definedName>
    <definedName name="Print_Titles_68" localSheetId="16">'3.2 Cofogos'!$1:$1</definedName>
    <definedName name="Print_Titles_68">'5.10.1. sz. mell.'!$1:$1</definedName>
    <definedName name="Print_Titles_7">'2.c sz. mell '!$1:$5</definedName>
    <definedName name="Print_Titles_70">'6.2.sz.mell.'!$1:$2</definedName>
    <definedName name="Print_Titles_71">'7.1. sz mell.'!$1:$1</definedName>
    <definedName name="Print_Titles_72">'7.2.. sz mell.'!$1:$1</definedName>
    <definedName name="Print_Titles_76" localSheetId="93">#REF!</definedName>
    <definedName name="Print_Titles_76" localSheetId="94">#REF!</definedName>
    <definedName name="Print_Titles_76" localSheetId="95">#REF!</definedName>
    <definedName name="Print_Titles_76" localSheetId="96">#REF!</definedName>
    <definedName name="Print_Titles_76">#REF!</definedName>
    <definedName name="Print_Titles_8">'3. sz. mell'!$1:$5</definedName>
    <definedName name="Print_Titles_89" localSheetId="93">#REF!</definedName>
    <definedName name="Print_Titles_89" localSheetId="94">#REF!</definedName>
    <definedName name="Print_Titles_89" localSheetId="95">#REF!</definedName>
    <definedName name="Print_Titles_89" localSheetId="96">#REF!</definedName>
    <definedName name="Print_Titles_89">#REF!</definedName>
    <definedName name="Print_Titles_9">'3. a. sz. mell'!$1:$5</definedName>
    <definedName name="Print_Titles_90" localSheetId="93">#REF!</definedName>
    <definedName name="Print_Titles_90" localSheetId="94">#REF!</definedName>
    <definedName name="Print_Titles_90" localSheetId="95">#REF!</definedName>
    <definedName name="Print_Titles_90" localSheetId="96">#REF!</definedName>
    <definedName name="Print_Titles_90">#REF!</definedName>
    <definedName name="Print_Titles_91" localSheetId="93">#REF!</definedName>
    <definedName name="Print_Titles_91" localSheetId="94">#REF!</definedName>
    <definedName name="Print_Titles_91" localSheetId="95">#REF!</definedName>
    <definedName name="Print_Titles_91" localSheetId="96">#REF!</definedName>
    <definedName name="Print_Titles_91">#REF!</definedName>
    <definedName name="Print_Titles_92" localSheetId="93">#REF!</definedName>
    <definedName name="Print_Titles_92" localSheetId="94">#REF!</definedName>
    <definedName name="Print_Titles_92" localSheetId="95">#REF!</definedName>
    <definedName name="Print_Titles_92" localSheetId="96">#REF!</definedName>
    <definedName name="Print_Titles_92">#REF!</definedName>
    <definedName name="Print_Titles_93">#REF!</definedName>
    <definedName name="Print_Titles_94">#REF!</definedName>
    <definedName name="Print_Titles_95">#REF!</definedName>
    <definedName name="Print_Titles_96">#REF!</definedName>
    <definedName name="Print_Titles_97">#REF!</definedName>
    <definedName name="Print_Titles_98">#REF!</definedName>
  </definedNames>
  <calcPr calcId="181029"/>
</workbook>
</file>

<file path=xl/calcChain.xml><?xml version="1.0" encoding="utf-8"?>
<calcChain xmlns="http://schemas.openxmlformats.org/spreadsheetml/2006/main">
  <c r="K83" i="7" l="1"/>
  <c r="K79" i="7"/>
  <c r="K78" i="7"/>
  <c r="K33" i="7"/>
  <c r="K32" i="7"/>
  <c r="H56" i="6"/>
  <c r="J60" i="9"/>
  <c r="J64" i="9"/>
  <c r="J70" i="5"/>
  <c r="J30" i="5"/>
  <c r="H30" i="5" l="1"/>
  <c r="H31" i="5"/>
  <c r="H32" i="5"/>
  <c r="M69" i="10"/>
  <c r="L69" i="10"/>
  <c r="J69" i="10"/>
  <c r="J47" i="10"/>
  <c r="K46" i="17" l="1"/>
  <c r="H18" i="15"/>
  <c r="J20" i="25"/>
  <c r="K20" i="25"/>
  <c r="J12" i="61"/>
  <c r="J20" i="61"/>
  <c r="J8" i="4" l="1"/>
  <c r="J31" i="4"/>
  <c r="J60" i="4"/>
  <c r="J70" i="4"/>
  <c r="J74" i="4"/>
  <c r="J57" i="8"/>
  <c r="J61" i="8"/>
  <c r="J47" i="8"/>
  <c r="L98" i="69"/>
  <c r="L97" i="69"/>
  <c r="I69" i="177" s="1"/>
  <c r="L220" i="70"/>
  <c r="L219" i="70"/>
  <c r="L218" i="70"/>
  <c r="L217" i="70"/>
  <c r="L216" i="70"/>
  <c r="L214" i="70" s="1"/>
  <c r="L215" i="70"/>
  <c r="I70" i="177" s="1"/>
  <c r="N217" i="70"/>
  <c r="J79" i="14"/>
  <c r="J81" i="14" s="1"/>
  <c r="J69" i="14"/>
  <c r="J71" i="14" s="1"/>
  <c r="J42" i="18"/>
  <c r="K25" i="18"/>
  <c r="K21" i="18"/>
  <c r="K20" i="18"/>
  <c r="K8" i="22"/>
  <c r="K18" i="22"/>
  <c r="K19" i="60"/>
  <c r="K20" i="60"/>
  <c r="J56" i="28"/>
  <c r="J63" i="28" s="1"/>
  <c r="J47" i="28"/>
  <c r="J41" i="28"/>
  <c r="J38" i="28"/>
  <c r="J33" i="28"/>
  <c r="J20" i="28"/>
  <c r="J19" i="28"/>
  <c r="J8" i="28"/>
  <c r="J44" i="28" s="1"/>
  <c r="J56" i="32"/>
  <c r="J63" i="32" s="1"/>
  <c r="J47" i="32"/>
  <c r="J41" i="32"/>
  <c r="J38" i="32"/>
  <c r="J33" i="32"/>
  <c r="J20" i="32"/>
  <c r="J19" i="32"/>
  <c r="J8" i="32"/>
  <c r="J44" i="32" s="1"/>
  <c r="J52" i="36"/>
  <c r="J59" i="36" s="1"/>
  <c r="J46" i="36"/>
  <c r="J39" i="36"/>
  <c r="J36" i="36"/>
  <c r="J19" i="36"/>
  <c r="J8" i="36"/>
  <c r="J43" i="36" s="1"/>
  <c r="J52" i="40"/>
  <c r="J59" i="40" s="1"/>
  <c r="J46" i="40"/>
  <c r="J39" i="40"/>
  <c r="J36" i="40"/>
  <c r="J34" i="40"/>
  <c r="J32" i="40"/>
  <c r="J28" i="40"/>
  <c r="J19" i="40"/>
  <c r="J43" i="40" s="1"/>
  <c r="J8" i="40"/>
  <c r="J56" i="44"/>
  <c r="J63" i="44" s="1"/>
  <c r="J50" i="44"/>
  <c r="J43" i="44"/>
  <c r="J40" i="44"/>
  <c r="J38" i="44"/>
  <c r="J36" i="44"/>
  <c r="J33" i="44"/>
  <c r="J28" i="44"/>
  <c r="J26" i="44"/>
  <c r="J20" i="44"/>
  <c r="J19" i="44"/>
  <c r="J8" i="44"/>
  <c r="J47" i="44" s="1"/>
  <c r="J56" i="48"/>
  <c r="J63" i="48" s="1"/>
  <c r="J50" i="48"/>
  <c r="J43" i="48"/>
  <c r="J40" i="48"/>
  <c r="J33" i="48"/>
  <c r="J28" i="48"/>
  <c r="J26" i="48"/>
  <c r="J20" i="48"/>
  <c r="J19" i="48" s="1"/>
  <c r="J8" i="48"/>
  <c r="J47" i="48" s="1"/>
  <c r="J57" i="52"/>
  <c r="J66" i="52" s="1"/>
  <c r="J50" i="52"/>
  <c r="J43" i="52"/>
  <c r="J40" i="52"/>
  <c r="J38" i="52"/>
  <c r="J36" i="52"/>
  <c r="J33" i="52"/>
  <c r="J28" i="52"/>
  <c r="J26" i="52"/>
  <c r="J20" i="52"/>
  <c r="J19" i="52"/>
  <c r="J8" i="52"/>
  <c r="J47" i="52" s="1"/>
  <c r="J51" i="56"/>
  <c r="J55" i="56" s="1"/>
  <c r="J45" i="56"/>
  <c r="J39" i="56"/>
  <c r="J36" i="56"/>
  <c r="J34" i="56"/>
  <c r="J32" i="56"/>
  <c r="J28" i="56"/>
  <c r="J26" i="56"/>
  <c r="J19" i="56"/>
  <c r="J8" i="56"/>
  <c r="J42" i="56" s="1"/>
  <c r="J51" i="60"/>
  <c r="J55" i="60" s="1"/>
  <c r="J45" i="60"/>
  <c r="J39" i="60"/>
  <c r="J36" i="60"/>
  <c r="J34" i="60"/>
  <c r="J32" i="60"/>
  <c r="J28" i="60"/>
  <c r="J42" i="60" s="1"/>
  <c r="J26" i="60"/>
  <c r="J19" i="60"/>
  <c r="J8" i="60"/>
  <c r="P218" i="68"/>
  <c r="P210" i="68"/>
  <c r="P214" i="68" s="1"/>
  <c r="P206" i="68"/>
  <c r="P198" i="68"/>
  <c r="P197" i="68"/>
  <c r="P192" i="68"/>
  <c r="P204" i="68" s="1"/>
  <c r="P184" i="68"/>
  <c r="P180" i="68"/>
  <c r="P188" i="68" s="1"/>
  <c r="P174" i="68"/>
  <c r="P172" i="68"/>
  <c r="P171" i="68"/>
  <c r="P167" i="68"/>
  <c r="P178" i="68" s="1"/>
  <c r="P159" i="68"/>
  <c r="P155" i="68"/>
  <c r="P163" i="68" s="1"/>
  <c r="P149" i="68"/>
  <c r="P147" i="68"/>
  <c r="P146" i="68"/>
  <c r="P137" i="68"/>
  <c r="P153" i="68" s="1"/>
  <c r="P129" i="68"/>
  <c r="P125" i="68"/>
  <c r="P133" i="68" s="1"/>
  <c r="P123" i="68"/>
  <c r="P119" i="68"/>
  <c r="P117" i="68"/>
  <c r="P116" i="68"/>
  <c r="P110" i="68"/>
  <c r="P106" i="68"/>
  <c r="P102" i="68"/>
  <c r="P96" i="68"/>
  <c r="P100" i="68" s="1"/>
  <c r="P94" i="68"/>
  <c r="P93" i="68"/>
  <c r="P83" i="68"/>
  <c r="P87" i="68" s="1"/>
  <c r="P79" i="68"/>
  <c r="P73" i="68"/>
  <c r="P71" i="68"/>
  <c r="P70" i="68" s="1"/>
  <c r="P64" i="68"/>
  <c r="P56" i="68"/>
  <c r="P60" i="68" s="1"/>
  <c r="P52" i="68"/>
  <c r="P46" i="68"/>
  <c r="P44" i="68"/>
  <c r="P43" i="68" s="1"/>
  <c r="P50" i="68" s="1"/>
  <c r="P33" i="68"/>
  <c r="P29" i="68"/>
  <c r="P37" i="68" s="1"/>
  <c r="P19" i="68"/>
  <c r="P17" i="68"/>
  <c r="P15" i="68"/>
  <c r="P14" i="68" s="1"/>
  <c r="P5" i="68"/>
  <c r="P27" i="68" s="1"/>
  <c r="L87" i="69"/>
  <c r="L85" i="69"/>
  <c r="L78" i="69"/>
  <c r="L75" i="69"/>
  <c r="L72" i="69"/>
  <c r="L71" i="69" s="1"/>
  <c r="L89" i="69" s="1"/>
  <c r="L4" i="69"/>
  <c r="L184" i="70"/>
  <c r="L176" i="70"/>
  <c r="L173" i="70"/>
  <c r="L167" i="70"/>
  <c r="L158" i="70"/>
  <c r="L154" i="70"/>
  <c r="L148" i="70"/>
  <c r="L145" i="70"/>
  <c r="L142" i="70"/>
  <c r="L137" i="70"/>
  <c r="L130" i="70"/>
  <c r="L123" i="70"/>
  <c r="L122" i="70"/>
  <c r="L97" i="70"/>
  <c r="L80" i="70"/>
  <c r="L67" i="70"/>
  <c r="L66" i="70"/>
  <c r="L56" i="70" s="1"/>
  <c r="L3" i="70" s="1"/>
  <c r="L196" i="70" s="1"/>
  <c r="L65" i="70"/>
  <c r="L4" i="70"/>
  <c r="N78" i="71"/>
  <c r="N60" i="71"/>
  <c r="N56" i="71"/>
  <c r="N47" i="71" s="1"/>
  <c r="N38" i="71"/>
  <c r="N31" i="71"/>
  <c r="N29" i="71"/>
  <c r="N5" i="71"/>
  <c r="N4" i="71"/>
  <c r="N3" i="71" s="1"/>
  <c r="K20" i="72"/>
  <c r="K47" i="72" s="1"/>
  <c r="I15" i="177" s="1"/>
  <c r="I14" i="177" s="1"/>
  <c r="I13" i="177" s="1"/>
  <c r="I12" i="177" s="1"/>
  <c r="K3" i="72"/>
  <c r="K2" i="72"/>
  <c r="I285" i="177"/>
  <c r="I276" i="177"/>
  <c r="I266" i="177"/>
  <c r="I265" i="177"/>
  <c r="I254" i="177"/>
  <c r="I252" i="177"/>
  <c r="I251" i="177"/>
  <c r="I250" i="177" s="1"/>
  <c r="I248" i="177"/>
  <c r="I247" i="177"/>
  <c r="I244" i="177"/>
  <c r="K244" i="177"/>
  <c r="I242" i="177"/>
  <c r="I241" i="177"/>
  <c r="I240" i="177" s="1"/>
  <c r="I232" i="177"/>
  <c r="I231" i="177"/>
  <c r="I226" i="177"/>
  <c r="I224" i="177" s="1"/>
  <c r="I221" i="177"/>
  <c r="I211" i="177"/>
  <c r="I200" i="177"/>
  <c r="I160" i="177"/>
  <c r="I157" i="177"/>
  <c r="I133" i="177"/>
  <c r="I132" i="177"/>
  <c r="I127" i="177"/>
  <c r="I120" i="177"/>
  <c r="I119" i="177" s="1"/>
  <c r="I118" i="177" s="1"/>
  <c r="I97" i="177"/>
  <c r="I84" i="177"/>
  <c r="I82" i="177" s="1"/>
  <c r="I46" i="177"/>
  <c r="I45" i="177"/>
  <c r="I38" i="177"/>
  <c r="I37" i="177"/>
  <c r="I35" i="177"/>
  <c r="I29" i="177"/>
  <c r="I28" i="177"/>
  <c r="I26" i="177"/>
  <c r="I24" i="177"/>
  <c r="P99" i="178"/>
  <c r="P98" i="178"/>
  <c r="P95" i="178"/>
  <c r="P93" i="178"/>
  <c r="P91" i="178"/>
  <c r="P81" i="178"/>
  <c r="P217" i="68" l="1"/>
  <c r="P216" i="68"/>
  <c r="P77" i="68"/>
  <c r="N102" i="71"/>
  <c r="I11" i="177" s="1"/>
  <c r="I9" i="177" s="1"/>
  <c r="I8" i="177" s="1"/>
  <c r="E22" i="201" l="1"/>
  <c r="E65" i="201" s="1"/>
  <c r="DA56" i="181" l="1"/>
  <c r="DB56" i="181"/>
  <c r="AJ51" i="181"/>
  <c r="AK51" i="181"/>
  <c r="AM51" i="181"/>
  <c r="AO51" i="181"/>
  <c r="AP51" i="181"/>
  <c r="R51" i="181"/>
  <c r="Q51" i="181"/>
  <c r="J51" i="181"/>
  <c r="I51" i="181"/>
  <c r="DB30" i="181"/>
  <c r="DA30" i="181"/>
  <c r="E156" i="201"/>
  <c r="E3" i="200"/>
  <c r="E174" i="201"/>
  <c r="E166" i="201"/>
  <c r="E161" i="201"/>
  <c r="E122" i="201"/>
  <c r="E117" i="201"/>
  <c r="E112" i="201"/>
  <c r="E107" i="201"/>
  <c r="E103" i="201"/>
  <c r="E95" i="201"/>
  <c r="E90" i="201"/>
  <c r="E85" i="201"/>
  <c r="E81" i="201"/>
  <c r="E76" i="201"/>
  <c r="E70" i="201"/>
  <c r="E65" i="200"/>
  <c r="E62" i="200"/>
  <c r="E55" i="200"/>
  <c r="E51" i="200"/>
  <c r="E46" i="200"/>
  <c r="E42" i="200"/>
  <c r="E38" i="200"/>
  <c r="E34" i="200"/>
  <c r="E30" i="200"/>
  <c r="E26" i="200"/>
  <c r="E22" i="200"/>
  <c r="E18" i="200"/>
  <c r="E13" i="200"/>
  <c r="E139" i="199"/>
  <c r="E133" i="199"/>
  <c r="E124" i="199"/>
  <c r="E115" i="199"/>
  <c r="E103" i="199"/>
  <c r="E93" i="199"/>
  <c r="E83" i="199"/>
  <c r="E71" i="199"/>
  <c r="E61" i="199"/>
  <c r="E50" i="199"/>
  <c r="E18" i="199"/>
  <c r="E13" i="199"/>
  <c r="C10" i="198"/>
  <c r="C11" i="198" s="1"/>
  <c r="C12" i="198" s="1"/>
  <c r="C14" i="198" s="1"/>
  <c r="C7" i="198"/>
  <c r="E141" i="199" l="1"/>
  <c r="E4" i="200" s="1"/>
  <c r="E67" i="200" s="1"/>
  <c r="E2" i="201" s="1"/>
  <c r="E176" i="201"/>
  <c r="E124" i="201"/>
  <c r="E180" i="201" l="1"/>
  <c r="BM27" i="182"/>
  <c r="BM28" i="182"/>
  <c r="BL28" i="182"/>
  <c r="BV57" i="181"/>
  <c r="BE31" i="182"/>
  <c r="H41" i="182"/>
  <c r="R30" i="181"/>
  <c r="R28" i="181" s="1"/>
  <c r="C19" i="195"/>
  <c r="C30" i="195"/>
  <c r="Z57" i="181" l="1"/>
  <c r="Q34" i="182"/>
  <c r="Y52" i="182"/>
  <c r="Q41" i="182"/>
  <c r="Q43" i="182"/>
  <c r="Y43" i="182" s="1"/>
  <c r="Q45" i="182"/>
  <c r="Q46" i="182"/>
  <c r="Q48" i="182"/>
  <c r="Q49" i="182"/>
  <c r="Q51" i="182"/>
  <c r="I43" i="182"/>
  <c r="AQ17" i="184"/>
  <c r="AR17" i="184"/>
  <c r="AS17" i="184"/>
  <c r="AT17" i="184"/>
  <c r="AU17" i="184"/>
  <c r="AW33" i="184"/>
  <c r="AW34" i="184" s="1"/>
  <c r="Y33" i="184"/>
  <c r="Y34" i="184"/>
  <c r="AW7" i="184"/>
  <c r="AW20" i="184" s="1"/>
  <c r="AW18" i="184"/>
  <c r="AW19" i="184"/>
  <c r="AO7" i="184"/>
  <c r="AO16" i="184"/>
  <c r="AO17" i="184"/>
  <c r="AO19" i="184"/>
  <c r="AG7" i="184"/>
  <c r="AG8" i="184"/>
  <c r="AG9" i="184"/>
  <c r="AG10" i="184"/>
  <c r="AG11" i="184"/>
  <c r="AG12" i="184"/>
  <c r="AG13" i="184"/>
  <c r="AG14" i="184"/>
  <c r="AG15" i="184"/>
  <c r="AG17" i="184"/>
  <c r="Y7" i="184"/>
  <c r="Y18" i="184"/>
  <c r="Y19" i="184"/>
  <c r="Q7" i="184"/>
  <c r="Q8" i="184"/>
  <c r="Q9" i="184"/>
  <c r="Q10" i="184"/>
  <c r="Q11" i="184"/>
  <c r="Q12" i="184"/>
  <c r="Q13" i="184"/>
  <c r="Q14" i="184"/>
  <c r="Q15" i="184"/>
  <c r="Q16" i="184"/>
  <c r="Q17" i="184"/>
  <c r="Q18" i="184"/>
  <c r="Q19" i="184"/>
  <c r="I7" i="184"/>
  <c r="I8" i="184"/>
  <c r="I9" i="184"/>
  <c r="I10" i="184"/>
  <c r="I11" i="184"/>
  <c r="I12" i="184"/>
  <c r="I13" i="184"/>
  <c r="I14" i="184"/>
  <c r="I15" i="184"/>
  <c r="I17" i="184"/>
  <c r="I18" i="184"/>
  <c r="AK8" i="183"/>
  <c r="AK13" i="183" s="1"/>
  <c r="Y13" i="183"/>
  <c r="Z13" i="183"/>
  <c r="AA13" i="183"/>
  <c r="AB13" i="183"/>
  <c r="AC13" i="183"/>
  <c r="S13" i="183"/>
  <c r="T13" i="183"/>
  <c r="U13" i="183"/>
  <c r="V13" i="183"/>
  <c r="W13" i="183"/>
  <c r="Q15" i="183"/>
  <c r="I15" i="183"/>
  <c r="I8" i="183"/>
  <c r="I13" i="183" s="1"/>
  <c r="AP13" i="183"/>
  <c r="DA32" i="182"/>
  <c r="I47" i="182" s="1"/>
  <c r="CS23" i="182"/>
  <c r="CK7" i="182"/>
  <c r="CK6" i="182" s="1"/>
  <c r="CC6" i="182"/>
  <c r="CC32" i="182" s="1"/>
  <c r="BU32" i="182"/>
  <c r="BM32" i="182"/>
  <c r="I45" i="182" s="1"/>
  <c r="BE7" i="182"/>
  <c r="BE6" i="182" s="1"/>
  <c r="AW27" i="182"/>
  <c r="AW32" i="182" s="1"/>
  <c r="AO7" i="182"/>
  <c r="AO8" i="182"/>
  <c r="AO9" i="182"/>
  <c r="AO10" i="182"/>
  <c r="AG7" i="182"/>
  <c r="AG8" i="182"/>
  <c r="AG9" i="182"/>
  <c r="AG10" i="182"/>
  <c r="Y32" i="182"/>
  <c r="Q31" i="182"/>
  <c r="CS31" i="182" s="1"/>
  <c r="Q20" i="182"/>
  <c r="CS20" i="182" s="1"/>
  <c r="Q19" i="182"/>
  <c r="CS19" i="182" s="1"/>
  <c r="Q17" i="182"/>
  <c r="CS17" i="182" s="1"/>
  <c r="Q9" i="182"/>
  <c r="Q8" i="182"/>
  <c r="CS8" i="182" s="1"/>
  <c r="Q7" i="182"/>
  <c r="I7" i="182"/>
  <c r="I8" i="182"/>
  <c r="I9" i="182"/>
  <c r="I10" i="182"/>
  <c r="Q10" i="182" s="1"/>
  <c r="CS10" i="182" s="1"/>
  <c r="I11" i="182"/>
  <c r="Q11" i="182" s="1"/>
  <c r="CS11" i="182" s="1"/>
  <c r="I12" i="182"/>
  <c r="Q12" i="182" s="1"/>
  <c r="CS12" i="182" s="1"/>
  <c r="I13" i="182"/>
  <c r="Q13" i="182" s="1"/>
  <c r="CS13" i="182" s="1"/>
  <c r="I14" i="182"/>
  <c r="Q14" i="182" s="1"/>
  <c r="CS14" i="182" s="1"/>
  <c r="I15" i="182"/>
  <c r="Q15" i="182" s="1"/>
  <c r="CS15" i="182" s="1"/>
  <c r="I16" i="182"/>
  <c r="Q16" i="182" s="1"/>
  <c r="CS16" i="182" s="1"/>
  <c r="I18" i="182"/>
  <c r="Q18" i="182" s="1"/>
  <c r="CS18" i="182" s="1"/>
  <c r="I21" i="182"/>
  <c r="Q21" i="182" s="1"/>
  <c r="CS21" i="182" s="1"/>
  <c r="I22" i="182"/>
  <c r="Q22" i="182" s="1"/>
  <c r="CS22" i="182" s="1"/>
  <c r="I23" i="182"/>
  <c r="Q23" i="182" s="1"/>
  <c r="I24" i="182"/>
  <c r="Q24" i="182" s="1"/>
  <c r="CS24" i="182" s="1"/>
  <c r="I25" i="182"/>
  <c r="Q25" i="182" s="1"/>
  <c r="CS25" i="182" s="1"/>
  <c r="I26" i="182"/>
  <c r="Q26" i="182" s="1"/>
  <c r="CS26" i="182" s="1"/>
  <c r="I27" i="182"/>
  <c r="Q27" i="182" s="1"/>
  <c r="CS27" i="182" s="1"/>
  <c r="I28" i="182"/>
  <c r="Q28" i="182" s="1"/>
  <c r="CS28" i="182" s="1"/>
  <c r="I29" i="182"/>
  <c r="Q29" i="182" s="1"/>
  <c r="CS29" i="182" s="1"/>
  <c r="I30" i="182"/>
  <c r="Q30" i="182" s="1"/>
  <c r="CS30" i="182" s="1"/>
  <c r="DJ28" i="181"/>
  <c r="DJ57" i="181"/>
  <c r="I41" i="182" l="1"/>
  <c r="Y41" i="182" s="1"/>
  <c r="Z60" i="181"/>
  <c r="Y45" i="182"/>
  <c r="CS7" i="182"/>
  <c r="CS9" i="182"/>
  <c r="Q20" i="184"/>
  <c r="Y20" i="184"/>
  <c r="I17" i="183"/>
  <c r="Q8" i="183"/>
  <c r="Q13" i="183" s="1"/>
  <c r="BE32" i="182"/>
  <c r="CK32" i="182"/>
  <c r="AG6" i="182"/>
  <c r="AG32" i="182" s="1"/>
  <c r="AO6" i="182"/>
  <c r="AO32" i="182" s="1"/>
  <c r="Q6" i="182"/>
  <c r="I6" i="182"/>
  <c r="I32" i="182" s="1"/>
  <c r="DB6" i="181"/>
  <c r="DB7" i="181"/>
  <c r="DB20" i="181"/>
  <c r="DB23" i="181"/>
  <c r="DB35" i="181"/>
  <c r="DB38" i="181"/>
  <c r="DB39" i="181"/>
  <c r="DB49" i="181"/>
  <c r="CT59" i="181"/>
  <c r="CT57" i="181"/>
  <c r="CL28" i="181"/>
  <c r="CL25" i="181"/>
  <c r="CL21" i="181"/>
  <c r="CL8" i="181"/>
  <c r="CL57" i="181" s="1"/>
  <c r="CD57" i="181"/>
  <c r="I49" i="182" s="1"/>
  <c r="Y49" i="182" s="1"/>
  <c r="BN25" i="181"/>
  <c r="BN57" i="181" s="1"/>
  <c r="BF57" i="181"/>
  <c r="AX53" i="181"/>
  <c r="AX15" i="181"/>
  <c r="AX16" i="181"/>
  <c r="AX17" i="181"/>
  <c r="AX18" i="181"/>
  <c r="AP53" i="181"/>
  <c r="AP26" i="181"/>
  <c r="AP27" i="181"/>
  <c r="AP29" i="181"/>
  <c r="AP30" i="181"/>
  <c r="AP32" i="181"/>
  <c r="AP34" i="181"/>
  <c r="AP16" i="181"/>
  <c r="AP19" i="181"/>
  <c r="AH57" i="181"/>
  <c r="Z59" i="181"/>
  <c r="Z24" i="181"/>
  <c r="Z26" i="181"/>
  <c r="Z27" i="181"/>
  <c r="Z29" i="181"/>
  <c r="Z30" i="181"/>
  <c r="Z32" i="181"/>
  <c r="R9" i="181"/>
  <c r="DB9" i="181" s="1"/>
  <c r="R11" i="181"/>
  <c r="DB11" i="181" s="1"/>
  <c r="R15" i="181"/>
  <c r="R16" i="181"/>
  <c r="R17" i="181"/>
  <c r="DB17" i="181" s="1"/>
  <c r="R18" i="181"/>
  <c r="DB18" i="181" s="1"/>
  <c r="R19" i="181"/>
  <c r="DB19" i="181" s="1"/>
  <c r="R20" i="181"/>
  <c r="R22" i="181"/>
  <c r="DB22" i="181" s="1"/>
  <c r="R23" i="181"/>
  <c r="R35" i="181"/>
  <c r="R36" i="181"/>
  <c r="DB36" i="181" s="1"/>
  <c r="R37" i="181"/>
  <c r="DB37" i="181" s="1"/>
  <c r="R38" i="181"/>
  <c r="R39" i="181"/>
  <c r="R40" i="181"/>
  <c r="DB40" i="181" s="1"/>
  <c r="R41" i="181"/>
  <c r="DB41" i="181" s="1"/>
  <c r="R44" i="181"/>
  <c r="DB44" i="181" s="1"/>
  <c r="R46" i="181"/>
  <c r="DB46" i="181" s="1"/>
  <c r="R47" i="181"/>
  <c r="DB47" i="181" s="1"/>
  <c r="R48" i="181"/>
  <c r="DB48" i="181" s="1"/>
  <c r="R49" i="181"/>
  <c r="R50" i="181"/>
  <c r="DB50" i="181" s="1"/>
  <c r="CT60" i="181" l="1"/>
  <c r="I51" i="182"/>
  <c r="Y51" i="182" s="1"/>
  <c r="I50" i="182"/>
  <c r="I44" i="182"/>
  <c r="AO30" i="184"/>
  <c r="Q32" i="182"/>
  <c r="CS6" i="182"/>
  <c r="CS32" i="182" s="1"/>
  <c r="R21" i="181"/>
  <c r="DB21" i="181" s="1"/>
  <c r="DB16" i="181"/>
  <c r="DB15" i="181"/>
  <c r="AP14" i="181"/>
  <c r="AP28" i="181"/>
  <c r="AX14" i="181"/>
  <c r="AX57" i="181" s="1"/>
  <c r="AP25" i="181"/>
  <c r="Z28" i="181"/>
  <c r="Z25" i="181"/>
  <c r="R14" i="181"/>
  <c r="I42" i="182" l="1"/>
  <c r="Q30" i="184"/>
  <c r="Q31" i="184" s="1"/>
  <c r="Q35" i="182"/>
  <c r="DB14" i="181"/>
  <c r="AP57" i="181"/>
  <c r="I40" i="182" l="1"/>
  <c r="J10" i="181"/>
  <c r="R10" i="181" s="1"/>
  <c r="DB10" i="181" s="1"/>
  <c r="J12" i="181"/>
  <c r="R12" i="181" s="1"/>
  <c r="DB12" i="181" s="1"/>
  <c r="J13" i="181"/>
  <c r="R13" i="181" s="1"/>
  <c r="DB13" i="181" s="1"/>
  <c r="J15" i="181"/>
  <c r="J16" i="181"/>
  <c r="J17" i="181"/>
  <c r="J18" i="181"/>
  <c r="J19" i="181"/>
  <c r="J21" i="181"/>
  <c r="J24" i="181"/>
  <c r="R24" i="181" s="1"/>
  <c r="DB24" i="181" s="1"/>
  <c r="J26" i="181"/>
  <c r="J27" i="181"/>
  <c r="R27" i="181" s="1"/>
  <c r="DB27" i="181" s="1"/>
  <c r="J29" i="181"/>
  <c r="R29" i="181" s="1"/>
  <c r="DB29" i="181" s="1"/>
  <c r="J30" i="181"/>
  <c r="J31" i="181"/>
  <c r="R31" i="181" s="1"/>
  <c r="DB31" i="181" s="1"/>
  <c r="J32" i="181"/>
  <c r="R32" i="181" s="1"/>
  <c r="DB32" i="181" s="1"/>
  <c r="J33" i="181"/>
  <c r="R33" i="181" s="1"/>
  <c r="DB33" i="181" s="1"/>
  <c r="J34" i="181"/>
  <c r="R34" i="181" s="1"/>
  <c r="DB34" i="181" s="1"/>
  <c r="J42" i="181"/>
  <c r="R42" i="181" s="1"/>
  <c r="DB42" i="181" s="1"/>
  <c r="J43" i="181"/>
  <c r="R43" i="181" s="1"/>
  <c r="DB43" i="181" s="1"/>
  <c r="J45" i="181"/>
  <c r="R45" i="181" s="1"/>
  <c r="DB45" i="181" s="1"/>
  <c r="DB51" i="181"/>
  <c r="DB57" i="181" s="1"/>
  <c r="J52" i="181"/>
  <c r="R52" i="181" s="1"/>
  <c r="DB52" i="181" s="1"/>
  <c r="J53" i="181"/>
  <c r="R53" i="181" s="1"/>
  <c r="DB53" i="181" s="1"/>
  <c r="J54" i="181"/>
  <c r="R54" i="181" s="1"/>
  <c r="DB54" i="181" s="1"/>
  <c r="J55" i="181"/>
  <c r="R55" i="181" s="1"/>
  <c r="DB55" i="181" s="1"/>
  <c r="DB28" i="181" l="1"/>
  <c r="R8" i="181"/>
  <c r="DB8" i="181" s="1"/>
  <c r="J25" i="181"/>
  <c r="R26" i="181"/>
  <c r="J28" i="181"/>
  <c r="J8" i="181"/>
  <c r="J14" i="181"/>
  <c r="D108" i="197"/>
  <c r="C108" i="197"/>
  <c r="B108" i="197"/>
  <c r="E107" i="197"/>
  <c r="E106" i="197"/>
  <c r="E105" i="197"/>
  <c r="E104" i="197"/>
  <c r="E103" i="197"/>
  <c r="E102" i="197"/>
  <c r="E108" i="197" s="1"/>
  <c r="E101" i="197"/>
  <c r="D98" i="197"/>
  <c r="C98" i="197"/>
  <c r="B98" i="197"/>
  <c r="E97" i="197"/>
  <c r="E96" i="197"/>
  <c r="E95" i="197"/>
  <c r="E94" i="197"/>
  <c r="E93" i="197"/>
  <c r="E92" i="197"/>
  <c r="E91" i="197"/>
  <c r="E98" i="197" s="1"/>
  <c r="D86" i="197"/>
  <c r="C86" i="197"/>
  <c r="B86" i="197"/>
  <c r="E85" i="197"/>
  <c r="E84" i="197"/>
  <c r="E83" i="197"/>
  <c r="E82" i="197"/>
  <c r="E81" i="197"/>
  <c r="E80" i="197"/>
  <c r="E86" i="197" s="1"/>
  <c r="C77" i="197"/>
  <c r="E76" i="197"/>
  <c r="E75" i="197"/>
  <c r="E77" i="197" s="1"/>
  <c r="D74" i="197"/>
  <c r="D77" i="197" s="1"/>
  <c r="D64" i="197"/>
  <c r="C64" i="197"/>
  <c r="B64" i="197"/>
  <c r="E63" i="197"/>
  <c r="E62" i="197"/>
  <c r="E61" i="197"/>
  <c r="E60" i="197"/>
  <c r="E59" i="197"/>
  <c r="E64" i="197" s="1"/>
  <c r="E56" i="197"/>
  <c r="D56" i="197"/>
  <c r="C56" i="197"/>
  <c r="E51" i="197"/>
  <c r="D42" i="197"/>
  <c r="C42" i="197"/>
  <c r="B42" i="197"/>
  <c r="E39" i="197"/>
  <c r="H38" i="197"/>
  <c r="I38" i="197" s="1"/>
  <c r="C38" i="197"/>
  <c r="E38" i="197" s="1"/>
  <c r="E42" i="197" s="1"/>
  <c r="D34" i="197"/>
  <c r="C34" i="197"/>
  <c r="B34" i="197"/>
  <c r="E29" i="197"/>
  <c r="E27" i="197"/>
  <c r="E34" i="197" s="1"/>
  <c r="D20" i="197"/>
  <c r="D67" i="197" s="1"/>
  <c r="C20" i="197"/>
  <c r="C67" i="197" s="1"/>
  <c r="B20" i="197"/>
  <c r="B67" i="197" s="1"/>
  <c r="E17" i="197"/>
  <c r="E15" i="197"/>
  <c r="D12" i="197"/>
  <c r="C12" i="197"/>
  <c r="B12" i="197"/>
  <c r="E7" i="197"/>
  <c r="E12" i="197" s="1"/>
  <c r="E6" i="197"/>
  <c r="E5" i="197"/>
  <c r="R25" i="181" l="1"/>
  <c r="DB25" i="181" s="1"/>
  <c r="R58" i="181" s="1"/>
  <c r="DB26" i="181"/>
  <c r="J57" i="181"/>
  <c r="R57" i="181"/>
  <c r="DB59" i="181" s="1"/>
  <c r="E20" i="197"/>
  <c r="E67" i="197" s="1"/>
  <c r="P206" i="70"/>
  <c r="I116" i="69"/>
  <c r="J116" i="69"/>
  <c r="I114" i="69"/>
  <c r="J114" i="69"/>
  <c r="H114" i="69"/>
  <c r="H116" i="69"/>
  <c r="I112" i="69"/>
  <c r="J112" i="69"/>
  <c r="H112" i="69"/>
  <c r="I110" i="69"/>
  <c r="J110" i="69"/>
  <c r="N110" i="69"/>
  <c r="O110" i="69"/>
  <c r="P110" i="69" s="1"/>
  <c r="H110" i="69"/>
  <c r="I108" i="69"/>
  <c r="J108" i="69"/>
  <c r="L108" i="69"/>
  <c r="N108" i="69"/>
  <c r="O108" i="69"/>
  <c r="P108" i="69" s="1"/>
  <c r="H108" i="69"/>
  <c r="I105" i="69"/>
  <c r="J105" i="69"/>
  <c r="P105" i="69"/>
  <c r="Q105" i="69"/>
  <c r="R105" i="69"/>
  <c r="S105" i="69"/>
  <c r="H105" i="69"/>
  <c r="AG27" i="184" l="1"/>
  <c r="I39" i="182"/>
  <c r="DB60" i="181"/>
  <c r="I27" i="184"/>
  <c r="I46" i="182"/>
  <c r="Y46" i="182" s="1"/>
  <c r="R60" i="181"/>
  <c r="E158" i="196"/>
  <c r="D158" i="196"/>
  <c r="E154" i="196"/>
  <c r="D154" i="196"/>
  <c r="E145" i="196"/>
  <c r="D145" i="196"/>
  <c r="E128" i="196"/>
  <c r="D128" i="196"/>
  <c r="E123" i="196"/>
  <c r="E132" i="196" s="1"/>
  <c r="D123" i="196"/>
  <c r="D132" i="196" s="1"/>
  <c r="E109" i="196"/>
  <c r="D109" i="196"/>
  <c r="E105" i="196"/>
  <c r="E115" i="196" s="1"/>
  <c r="D105" i="196"/>
  <c r="D115" i="196" s="1"/>
  <c r="E94" i="196"/>
  <c r="D94" i="196"/>
  <c r="E91" i="196"/>
  <c r="D91" i="196"/>
  <c r="E88" i="196"/>
  <c r="D88" i="196"/>
  <c r="E85" i="196"/>
  <c r="E84" i="196" s="1"/>
  <c r="D85" i="196"/>
  <c r="D84" i="196" s="1"/>
  <c r="E81" i="196"/>
  <c r="D81" i="196"/>
  <c r="F73" i="196"/>
  <c r="F72" i="196"/>
  <c r="F71" i="196"/>
  <c r="E70" i="196"/>
  <c r="D70" i="196"/>
  <c r="C70" i="196"/>
  <c r="F70" i="196" s="1"/>
  <c r="F69" i="196"/>
  <c r="F68" i="196"/>
  <c r="F67" i="196"/>
  <c r="E66" i="196"/>
  <c r="E74" i="196" s="1"/>
  <c r="D66" i="196"/>
  <c r="D74" i="196" s="1"/>
  <c r="C66" i="196"/>
  <c r="C74" i="196" s="1"/>
  <c r="F65" i="196"/>
  <c r="F64" i="196"/>
  <c r="F63" i="196"/>
  <c r="F62" i="196"/>
  <c r="F61" i="196"/>
  <c r="F60" i="196"/>
  <c r="F55" i="196"/>
  <c r="E53" i="196"/>
  <c r="E54" i="196" s="1"/>
  <c r="D53" i="196"/>
  <c r="C53" i="196"/>
  <c r="C54" i="196" s="1"/>
  <c r="F52" i="196"/>
  <c r="F51" i="196"/>
  <c r="E48" i="196"/>
  <c r="D48" i="196"/>
  <c r="C48" i="196"/>
  <c r="F48" i="196" s="1"/>
  <c r="F47" i="196"/>
  <c r="F46" i="196"/>
  <c r="F45" i="196"/>
  <c r="E44" i="196"/>
  <c r="D44" i="196"/>
  <c r="C44" i="196"/>
  <c r="F44" i="196" s="1"/>
  <c r="F43" i="196"/>
  <c r="F42" i="196"/>
  <c r="F41" i="196"/>
  <c r="F40" i="196"/>
  <c r="F39" i="196"/>
  <c r="E38" i="196"/>
  <c r="D38" i="196"/>
  <c r="C38" i="196"/>
  <c r="F38" i="196" s="1"/>
  <c r="F37" i="196"/>
  <c r="F36" i="196"/>
  <c r="F34" i="196"/>
  <c r="F33" i="196"/>
  <c r="F32" i="196"/>
  <c r="E31" i="196"/>
  <c r="D31" i="196"/>
  <c r="C31" i="196"/>
  <c r="F30" i="196"/>
  <c r="E29" i="196"/>
  <c r="D29" i="196"/>
  <c r="D27" i="196" s="1"/>
  <c r="C29" i="196"/>
  <c r="F28" i="196"/>
  <c r="E27" i="196"/>
  <c r="E26" i="196" s="1"/>
  <c r="C27" i="196"/>
  <c r="F25" i="196"/>
  <c r="F24" i="196"/>
  <c r="F23" i="196"/>
  <c r="F22" i="196"/>
  <c r="E21" i="196"/>
  <c r="D21" i="196"/>
  <c r="C21" i="196"/>
  <c r="C16" i="196" s="1"/>
  <c r="F16" i="196" s="1"/>
  <c r="F20" i="196"/>
  <c r="F19" i="196"/>
  <c r="F18" i="196"/>
  <c r="E17" i="196"/>
  <c r="E8" i="196" s="1"/>
  <c r="E7" i="196" s="1"/>
  <c r="E35" i="196" s="1"/>
  <c r="E56" i="196" s="1"/>
  <c r="D17" i="196"/>
  <c r="D8" i="196" s="1"/>
  <c r="C17" i="196"/>
  <c r="D16" i="196"/>
  <c r="F15" i="196"/>
  <c r="F14" i="196"/>
  <c r="E13" i="196"/>
  <c r="D13" i="196"/>
  <c r="C13" i="196"/>
  <c r="F13" i="196" s="1"/>
  <c r="F12" i="196"/>
  <c r="F11" i="196"/>
  <c r="F10" i="196"/>
  <c r="E9" i="196"/>
  <c r="D9" i="196"/>
  <c r="C9" i="196"/>
  <c r="F9" i="196" s="1"/>
  <c r="C8" i="196"/>
  <c r="C7" i="196"/>
  <c r="F6" i="196"/>
  <c r="I53" i="182" l="1"/>
  <c r="E16" i="196"/>
  <c r="F53" i="196"/>
  <c r="F66" i="196"/>
  <c r="D97" i="196"/>
  <c r="D164" i="196"/>
  <c r="F21" i="196"/>
  <c r="F31" i="196"/>
  <c r="F74" i="196"/>
  <c r="E164" i="196"/>
  <c r="D7" i="196"/>
  <c r="F8" i="196"/>
  <c r="E97" i="196"/>
  <c r="D26" i="196"/>
  <c r="F27" i="196"/>
  <c r="D54" i="196"/>
  <c r="F17" i="196"/>
  <c r="C26" i="196"/>
  <c r="F26" i="196" s="1"/>
  <c r="F29" i="196"/>
  <c r="F7" i="196" l="1"/>
  <c r="D35" i="196"/>
  <c r="D56" i="196" s="1"/>
  <c r="J74" i="196" s="1"/>
  <c r="C35" i="196"/>
  <c r="C56" i="196" l="1"/>
  <c r="F56" i="196" s="1"/>
  <c r="F35" i="196"/>
  <c r="L15" i="195" l="1"/>
  <c r="K15" i="195"/>
  <c r="J15" i="195"/>
  <c r="H15" i="195"/>
  <c r="G15" i="195"/>
  <c r="F15" i="195"/>
  <c r="E15" i="195"/>
  <c r="D15" i="195"/>
  <c r="C15" i="195"/>
  <c r="B15" i="195"/>
  <c r="I14" i="195"/>
  <c r="M14" i="195" s="1"/>
  <c r="I13" i="195"/>
  <c r="M13" i="195" s="1"/>
  <c r="I12" i="195"/>
  <c r="M12" i="195" s="1"/>
  <c r="I11" i="195"/>
  <c r="M11" i="195" s="1"/>
  <c r="I10" i="195"/>
  <c r="M10" i="195" s="1"/>
  <c r="I9" i="195"/>
  <c r="M9" i="195" s="1"/>
  <c r="I8" i="195"/>
  <c r="M8" i="195" s="1"/>
  <c r="I7" i="195"/>
  <c r="M7" i="195" s="1"/>
  <c r="I6" i="195"/>
  <c r="M6" i="195" s="1"/>
  <c r="I5" i="195"/>
  <c r="M5" i="195" s="1"/>
  <c r="I4" i="195"/>
  <c r="M4" i="195" s="1"/>
  <c r="I3" i="195"/>
  <c r="M3" i="195" s="1"/>
  <c r="C32" i="194"/>
  <c r="F31" i="194"/>
  <c r="F30" i="194"/>
  <c r="F29" i="194"/>
  <c r="F28" i="194"/>
  <c r="F27" i="194"/>
  <c r="F26" i="194"/>
  <c r="F25" i="194"/>
  <c r="F24" i="194"/>
  <c r="E24" i="194"/>
  <c r="D24" i="194"/>
  <c r="C24" i="194"/>
  <c r="F23" i="194"/>
  <c r="F22" i="194"/>
  <c r="F21" i="194"/>
  <c r="F20" i="194"/>
  <c r="F19" i="194"/>
  <c r="F18" i="194"/>
  <c r="F17" i="194"/>
  <c r="E16" i="194"/>
  <c r="E32" i="194" s="1"/>
  <c r="D16" i="194"/>
  <c r="D32" i="194" s="1"/>
  <c r="C16" i="194"/>
  <c r="F13" i="194"/>
  <c r="F12" i="194"/>
  <c r="H10" i="193"/>
  <c r="G10" i="193"/>
  <c r="F10" i="193"/>
  <c r="E10" i="193"/>
  <c r="H5" i="193"/>
  <c r="G5" i="193"/>
  <c r="G16" i="193" s="1"/>
  <c r="F5" i="193"/>
  <c r="F16" i="193" s="1"/>
  <c r="E5" i="193"/>
  <c r="E16" i="193" s="1"/>
  <c r="C30" i="192"/>
  <c r="B30" i="192"/>
  <c r="I16" i="190"/>
  <c r="I15" i="190"/>
  <c r="H14" i="190"/>
  <c r="G14" i="190"/>
  <c r="F14" i="190"/>
  <c r="E14" i="190"/>
  <c r="I14" i="190" s="1"/>
  <c r="D14" i="190"/>
  <c r="I13" i="190"/>
  <c r="H12" i="190"/>
  <c r="F12" i="190"/>
  <c r="E12" i="190"/>
  <c r="D12" i="190"/>
  <c r="I12" i="190" s="1"/>
  <c r="I11" i="190"/>
  <c r="H10" i="190"/>
  <c r="F10" i="190"/>
  <c r="E10" i="190"/>
  <c r="D10" i="190"/>
  <c r="I10" i="190" s="1"/>
  <c r="I9" i="190"/>
  <c r="I8" i="190"/>
  <c r="H7" i="190"/>
  <c r="G7" i="190"/>
  <c r="G17" i="190" s="1"/>
  <c r="F7" i="190"/>
  <c r="F17" i="190" s="1"/>
  <c r="E7" i="190"/>
  <c r="I7" i="190" s="1"/>
  <c r="D7" i="190"/>
  <c r="I6" i="190"/>
  <c r="I5" i="190"/>
  <c r="H5" i="190"/>
  <c r="H17" i="190" s="1"/>
  <c r="F5" i="190"/>
  <c r="E5" i="190"/>
  <c r="E17" i="190" s="1"/>
  <c r="D5" i="190"/>
  <c r="D17" i="190" s="1"/>
  <c r="I17" i="190" l="1"/>
  <c r="H16" i="193"/>
  <c r="I15" i="195"/>
  <c r="M15" i="195" s="1"/>
  <c r="B44" i="195" s="1"/>
  <c r="F32" i="194"/>
  <c r="F16" i="194"/>
  <c r="F8" i="194"/>
  <c r="D41" i="191" l="1"/>
  <c r="D39" i="191" s="1"/>
  <c r="D78" i="191" s="1"/>
  <c r="D16" i="191"/>
  <c r="D15" i="191" s="1"/>
  <c r="D10" i="191"/>
  <c r="D3" i="191"/>
  <c r="C8" i="142" l="1"/>
  <c r="C7" i="189" l="1"/>
  <c r="C8" i="189"/>
  <c r="F12" i="179"/>
  <c r="E12" i="179"/>
  <c r="D12" i="179"/>
  <c r="C12" i="179"/>
  <c r="G11" i="179"/>
  <c r="G10" i="179"/>
  <c r="G9" i="179"/>
  <c r="G8" i="179"/>
  <c r="G7" i="179"/>
  <c r="G6" i="179"/>
  <c r="G12" i="179" l="1"/>
  <c r="T89" i="178"/>
  <c r="T92" i="178"/>
  <c r="T94" i="178"/>
  <c r="T96" i="178"/>
  <c r="AN10" i="182" l="1"/>
  <c r="AO13" i="126"/>
  <c r="R45" i="182"/>
  <c r="DI28" i="181"/>
  <c r="DI57" i="181" s="1"/>
  <c r="D30" i="126"/>
  <c r="F30" i="126"/>
  <c r="H30" i="126"/>
  <c r="BZ57" i="181" l="1"/>
  <c r="CA57" i="181"/>
  <c r="CB57" i="181"/>
  <c r="CC57" i="181"/>
  <c r="BT57" i="181"/>
  <c r="BU57" i="181"/>
  <c r="BH25" i="181"/>
  <c r="BI25" i="181"/>
  <c r="BJ25" i="181"/>
  <c r="BK25" i="181"/>
  <c r="BL25" i="181"/>
  <c r="BM25" i="181"/>
  <c r="S44" i="182"/>
  <c r="T44" i="182"/>
  <c r="U44" i="182"/>
  <c r="V44" i="182"/>
  <c r="W44" i="182"/>
  <c r="S51" i="182"/>
  <c r="T51" i="182"/>
  <c r="U51" i="182"/>
  <c r="V51" i="182"/>
  <c r="W51" i="182"/>
  <c r="S52" i="182"/>
  <c r="T52" i="182"/>
  <c r="U52" i="182"/>
  <c r="V52" i="182"/>
  <c r="W52" i="182"/>
  <c r="X52" i="182"/>
  <c r="L48" i="182"/>
  <c r="N48" i="182"/>
  <c r="P48" i="182"/>
  <c r="L49" i="182"/>
  <c r="N49" i="182"/>
  <c r="P49" i="182"/>
  <c r="G47" i="182"/>
  <c r="G50" i="182"/>
  <c r="Y74" i="4"/>
  <c r="AE49" i="4" l="1"/>
  <c r="AE50" i="4"/>
  <c r="AE62" i="4"/>
  <c r="AE63" i="4"/>
  <c r="AE64" i="4"/>
  <c r="AE65" i="4"/>
  <c r="AE66" i="4"/>
  <c r="AE77" i="4"/>
  <c r="AE80" i="4"/>
  <c r="AE90" i="4"/>
  <c r="AE92" i="4"/>
  <c r="AE94" i="4"/>
  <c r="AE9" i="4"/>
  <c r="AE10" i="4"/>
  <c r="AE11" i="4"/>
  <c r="AE12" i="4"/>
  <c r="AE13" i="4"/>
  <c r="AE14" i="4"/>
  <c r="AE15" i="4"/>
  <c r="AC8" i="6" l="1"/>
  <c r="AC67" i="6"/>
  <c r="T9" i="6"/>
  <c r="T10" i="6"/>
  <c r="T11" i="6"/>
  <c r="T12" i="6"/>
  <c r="T13" i="6"/>
  <c r="T14" i="6"/>
  <c r="T15" i="6"/>
  <c r="T17" i="6"/>
  <c r="T18" i="6"/>
  <c r="T19" i="6"/>
  <c r="T20" i="6"/>
  <c r="T21" i="6"/>
  <c r="T22" i="6"/>
  <c r="T23" i="6"/>
  <c r="T24" i="6"/>
  <c r="T25" i="6"/>
  <c r="T34" i="6"/>
  <c r="T38" i="6"/>
  <c r="T39" i="6"/>
  <c r="T44" i="6"/>
  <c r="T45" i="6"/>
  <c r="T57" i="6"/>
  <c r="T58" i="6"/>
  <c r="T59" i="6"/>
  <c r="T60" i="6"/>
  <c r="T61" i="6"/>
  <c r="T69" i="6"/>
  <c r="T70" i="6"/>
  <c r="T72" i="6"/>
  <c r="T75" i="6"/>
  <c r="T76" i="6"/>
  <c r="T77" i="6"/>
  <c r="T84" i="6"/>
  <c r="T85" i="6"/>
  <c r="T86" i="6"/>
  <c r="R9" i="5" l="1"/>
  <c r="R10" i="5"/>
  <c r="R11" i="5"/>
  <c r="R12" i="5"/>
  <c r="R13" i="5"/>
  <c r="R14" i="5"/>
  <c r="R15" i="5"/>
  <c r="R17" i="5"/>
  <c r="R18" i="5"/>
  <c r="R19" i="5"/>
  <c r="R20" i="5"/>
  <c r="R21" i="5"/>
  <c r="R22" i="5"/>
  <c r="R23" i="5"/>
  <c r="R24" i="5"/>
  <c r="R25" i="5"/>
  <c r="R36" i="5"/>
  <c r="R46" i="5"/>
  <c r="R47" i="5"/>
  <c r="R58" i="5"/>
  <c r="R59" i="5"/>
  <c r="R60" i="5"/>
  <c r="R61" i="5"/>
  <c r="R62" i="5"/>
  <c r="R75" i="5"/>
  <c r="R76" i="5"/>
  <c r="R82" i="5"/>
  <c r="R83" i="5"/>
  <c r="R84" i="5"/>
  <c r="R85" i="5"/>
  <c r="R86" i="5"/>
  <c r="R87" i="5"/>
  <c r="R88" i="5"/>
  <c r="R90" i="5"/>
  <c r="R92" i="5"/>
  <c r="R96" i="5"/>
  <c r="R97" i="5"/>
  <c r="R98" i="5"/>
  <c r="AV27" i="182"/>
  <c r="M64" i="9"/>
  <c r="L64" i="9"/>
  <c r="CB6" i="182"/>
  <c r="BD31" i="182"/>
  <c r="AF10" i="182"/>
  <c r="AA71" i="5" l="1"/>
  <c r="L71" i="5"/>
  <c r="M71" i="5"/>
  <c r="AF74" i="4" s="1"/>
  <c r="AB71" i="5"/>
  <c r="L31" i="10"/>
  <c r="AC31" i="6" s="1"/>
  <c r="AE74" i="4" l="1"/>
  <c r="AE75" i="4"/>
  <c r="R71" i="5"/>
  <c r="AC47" i="8"/>
  <c r="M47" i="10"/>
  <c r="L47" i="10"/>
  <c r="AE47" i="8" s="1"/>
  <c r="J56" i="6" l="1"/>
  <c r="AC56" i="6"/>
  <c r="K56" i="6"/>
  <c r="AF60" i="4" s="1"/>
  <c r="AD56" i="6"/>
  <c r="O246" i="177"/>
  <c r="S32" i="182"/>
  <c r="T32" i="182"/>
  <c r="U32" i="182"/>
  <c r="V32" i="182"/>
  <c r="W32" i="182"/>
  <c r="X32" i="182"/>
  <c r="D18" i="182"/>
  <c r="F18" i="182"/>
  <c r="H18" i="182"/>
  <c r="H21" i="182"/>
  <c r="AE60" i="4" l="1"/>
  <c r="T56" i="6"/>
  <c r="K18" i="15"/>
  <c r="J18" i="15"/>
  <c r="M20" i="61"/>
  <c r="L20" i="61"/>
  <c r="M27" i="53"/>
  <c r="L50" i="52"/>
  <c r="M27" i="61"/>
  <c r="AI27" i="60" s="1"/>
  <c r="L27" i="61"/>
  <c r="L26" i="61" s="1"/>
  <c r="L16" i="61"/>
  <c r="AG16" i="60" s="1"/>
  <c r="L18" i="65"/>
  <c r="AM30" i="184"/>
  <c r="AM31" i="184" s="1"/>
  <c r="AE27" i="184"/>
  <c r="AE28" i="184" s="1"/>
  <c r="G27" i="184"/>
  <c r="G28" i="184" s="1"/>
  <c r="G22" i="184"/>
  <c r="P9" i="184"/>
  <c r="P10" i="184"/>
  <c r="P11" i="184"/>
  <c r="P12" i="184"/>
  <c r="P13" i="184"/>
  <c r="P14" i="184"/>
  <c r="P15" i="184"/>
  <c r="O13" i="183"/>
  <c r="W33" i="184" s="1"/>
  <c r="W34" i="184" s="1"/>
  <c r="AC59" i="181"/>
  <c r="AD59" i="181"/>
  <c r="AE59" i="181"/>
  <c r="AF59" i="181"/>
  <c r="AG59" i="181"/>
  <c r="AF57" i="181"/>
  <c r="AG57" i="181"/>
  <c r="AG27" i="60" l="1"/>
  <c r="AG26" i="60"/>
  <c r="M26" i="61"/>
  <c r="AI26" i="60" s="1"/>
  <c r="CR57" i="181"/>
  <c r="CS57" i="181"/>
  <c r="CK8" i="181"/>
  <c r="CK21" i="181"/>
  <c r="CK25" i="181"/>
  <c r="CK28" i="181"/>
  <c r="H51" i="182" l="1"/>
  <c r="CK57" i="181"/>
  <c r="BD57" i="181"/>
  <c r="BE57" i="181"/>
  <c r="BL57" i="181"/>
  <c r="BM57" i="181"/>
  <c r="AV21" i="181"/>
  <c r="AV57" i="181" s="1"/>
  <c r="AW21" i="181"/>
  <c r="AN27" i="181"/>
  <c r="AO27" i="181"/>
  <c r="AN29" i="181"/>
  <c r="AO29" i="181"/>
  <c r="AN30" i="181"/>
  <c r="AO30" i="181"/>
  <c r="Y24" i="181"/>
  <c r="Y27" i="181"/>
  <c r="Y29" i="181"/>
  <c r="Y30" i="181"/>
  <c r="I21" i="181"/>
  <c r="I43" i="181"/>
  <c r="I52" i="181"/>
  <c r="I54" i="181"/>
  <c r="X57" i="181" l="1"/>
  <c r="L45" i="72" l="1"/>
  <c r="L46" i="72"/>
  <c r="M40" i="70"/>
  <c r="M41" i="70"/>
  <c r="M42" i="70"/>
  <c r="M43" i="70"/>
  <c r="M44" i="70"/>
  <c r="M45" i="70"/>
  <c r="M46" i="70"/>
  <c r="M47" i="70"/>
  <c r="M48" i="70"/>
  <c r="M49" i="70"/>
  <c r="M50" i="70"/>
  <c r="M51" i="70"/>
  <c r="M52" i="70"/>
  <c r="M53" i="70"/>
  <c r="M54" i="70"/>
  <c r="M55" i="70"/>
  <c r="M136" i="70"/>
  <c r="M135" i="70"/>
  <c r="M134" i="70"/>
  <c r="M133" i="70"/>
  <c r="M132" i="70"/>
  <c r="M131" i="70"/>
  <c r="M129" i="70"/>
  <c r="M128" i="70"/>
  <c r="M127" i="70"/>
  <c r="M126" i="70"/>
  <c r="M123" i="70" s="1"/>
  <c r="M140" i="70"/>
  <c r="M188" i="70"/>
  <c r="M189" i="70"/>
  <c r="M190" i="70"/>
  <c r="M191" i="70"/>
  <c r="M192" i="70"/>
  <c r="M193" i="70"/>
  <c r="M194" i="70"/>
  <c r="M5" i="69"/>
  <c r="M6" i="69"/>
  <c r="M7" i="69"/>
  <c r="M8" i="69"/>
  <c r="M9" i="69"/>
  <c r="M10" i="69"/>
  <c r="M11" i="69"/>
  <c r="M12" i="69"/>
  <c r="M13" i="69"/>
  <c r="M14" i="69"/>
  <c r="M15" i="69"/>
  <c r="M16" i="69"/>
  <c r="M17" i="69"/>
  <c r="M18" i="69"/>
  <c r="M19" i="69"/>
  <c r="M20" i="69"/>
  <c r="M21" i="69"/>
  <c r="M22" i="69"/>
  <c r="M23" i="69"/>
  <c r="M24" i="69"/>
  <c r="M25" i="69"/>
  <c r="M26" i="69"/>
  <c r="M27" i="69"/>
  <c r="M28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7" i="69"/>
  <c r="M48" i="69"/>
  <c r="M49" i="69"/>
  <c r="M50" i="69"/>
  <c r="M51" i="69"/>
  <c r="M52" i="69"/>
  <c r="M53" i="69"/>
  <c r="M54" i="69"/>
  <c r="M55" i="69"/>
  <c r="M56" i="69"/>
  <c r="M57" i="69"/>
  <c r="M58" i="69"/>
  <c r="M59" i="69"/>
  <c r="M60" i="69"/>
  <c r="M61" i="69"/>
  <c r="M62" i="69"/>
  <c r="M63" i="69"/>
  <c r="M64" i="69"/>
  <c r="M65" i="69"/>
  <c r="M66" i="69"/>
  <c r="M67" i="69"/>
  <c r="M68" i="69"/>
  <c r="M69" i="69"/>
  <c r="M70" i="69"/>
  <c r="R218" i="68"/>
  <c r="K22" i="65"/>
  <c r="K23" i="65"/>
  <c r="K24" i="65"/>
  <c r="L56" i="64"/>
  <c r="K23" i="64"/>
  <c r="K24" i="64"/>
  <c r="K25" i="64"/>
  <c r="K26" i="64"/>
  <c r="K48" i="62"/>
  <c r="L48" i="62"/>
  <c r="M48" i="62"/>
  <c r="K47" i="62"/>
  <c r="L47" i="62"/>
  <c r="M47" i="62"/>
  <c r="M47" i="61" s="1"/>
  <c r="K46" i="62"/>
  <c r="L46" i="62"/>
  <c r="M46" i="62"/>
  <c r="M46" i="61" s="1"/>
  <c r="K41" i="62"/>
  <c r="L41" i="62"/>
  <c r="M41" i="62"/>
  <c r="K40" i="62"/>
  <c r="L40" i="62"/>
  <c r="M40" i="62"/>
  <c r="M48" i="61"/>
  <c r="M40" i="61"/>
  <c r="M41" i="61"/>
  <c r="L31" i="61"/>
  <c r="L28" i="61" s="1"/>
  <c r="L18" i="61"/>
  <c r="K12" i="60"/>
  <c r="K18" i="60"/>
  <c r="K27" i="60"/>
  <c r="K57" i="60"/>
  <c r="K34" i="57"/>
  <c r="K38" i="57"/>
  <c r="K57" i="56"/>
  <c r="K68" i="52"/>
  <c r="K65" i="48"/>
  <c r="H65" i="45"/>
  <c r="J65" i="45"/>
  <c r="M65" i="45"/>
  <c r="K65" i="44"/>
  <c r="H61" i="41"/>
  <c r="J61" i="41"/>
  <c r="L61" i="41"/>
  <c r="M61" i="41"/>
  <c r="K61" i="36"/>
  <c r="K61" i="40"/>
  <c r="K61" i="41" s="1"/>
  <c r="H61" i="37"/>
  <c r="J61" i="37"/>
  <c r="K61" i="37"/>
  <c r="L61" i="37"/>
  <c r="M61" i="37"/>
  <c r="K9" i="36"/>
  <c r="K10" i="36"/>
  <c r="K11" i="36"/>
  <c r="K12" i="36"/>
  <c r="K13" i="36"/>
  <c r="K14" i="36"/>
  <c r="K15" i="36"/>
  <c r="K16" i="36"/>
  <c r="K17" i="36"/>
  <c r="K18" i="36"/>
  <c r="L16" i="33"/>
  <c r="L18" i="33"/>
  <c r="H65" i="33"/>
  <c r="J65" i="33"/>
  <c r="L65" i="33"/>
  <c r="M65" i="33"/>
  <c r="K9" i="32"/>
  <c r="K10" i="32"/>
  <c r="K11" i="32"/>
  <c r="K12" i="32"/>
  <c r="K13" i="32"/>
  <c r="K14" i="32"/>
  <c r="K15" i="32"/>
  <c r="K16" i="32"/>
  <c r="K17" i="32"/>
  <c r="K18" i="32"/>
  <c r="L64" i="29"/>
  <c r="K40" i="29"/>
  <c r="L18" i="29"/>
  <c r="K64" i="28"/>
  <c r="K18" i="28"/>
  <c r="K24" i="25"/>
  <c r="K25" i="25"/>
  <c r="K29" i="25"/>
  <c r="K30" i="25"/>
  <c r="K32" i="25"/>
  <c r="K33" i="25"/>
  <c r="K34" i="25"/>
  <c r="K35" i="25"/>
  <c r="K42" i="25"/>
  <c r="K45" i="25"/>
  <c r="L61" i="14"/>
  <c r="J64" i="15" s="1"/>
  <c r="E64" i="15"/>
  <c r="G64" i="15"/>
  <c r="I22" i="15"/>
  <c r="I26" i="15"/>
  <c r="I28" i="15"/>
  <c r="I29" i="15"/>
  <c r="I30" i="15"/>
  <c r="I31" i="15"/>
  <c r="I32" i="15"/>
  <c r="I33" i="15"/>
  <c r="I35" i="15"/>
  <c r="I40" i="15"/>
  <c r="I53" i="15"/>
  <c r="I54" i="15"/>
  <c r="I56" i="15"/>
  <c r="I57" i="15"/>
  <c r="J17" i="177"/>
  <c r="J18" i="177"/>
  <c r="J20" i="177"/>
  <c r="J22" i="177"/>
  <c r="J25" i="177"/>
  <c r="J27" i="177"/>
  <c r="J30" i="177"/>
  <c r="J31" i="177"/>
  <c r="J33" i="177"/>
  <c r="J36" i="177"/>
  <c r="J39" i="177"/>
  <c r="J40" i="177"/>
  <c r="J42" i="177"/>
  <c r="J48" i="177"/>
  <c r="J49" i="177"/>
  <c r="J50" i="177"/>
  <c r="J51" i="177"/>
  <c r="J53" i="177"/>
  <c r="J59" i="177"/>
  <c r="J61" i="177"/>
  <c r="J62" i="177"/>
  <c r="J63" i="177"/>
  <c r="J64" i="177"/>
  <c r="J66" i="177"/>
  <c r="J67" i="177"/>
  <c r="J71" i="177"/>
  <c r="J73" i="177"/>
  <c r="J74" i="177"/>
  <c r="J76" i="177"/>
  <c r="J78" i="177"/>
  <c r="J79" i="177"/>
  <c r="J81" i="177"/>
  <c r="J83" i="177"/>
  <c r="J86" i="177"/>
  <c r="J87" i="177"/>
  <c r="J89" i="177"/>
  <c r="J90" i="177"/>
  <c r="J92" i="177"/>
  <c r="J93" i="177"/>
  <c r="J95" i="177"/>
  <c r="J96" i="177"/>
  <c r="J98" i="177"/>
  <c r="J102" i="177"/>
  <c r="J104" i="177"/>
  <c r="J105" i="177"/>
  <c r="J107" i="177"/>
  <c r="J108" i="177"/>
  <c r="J109" i="177"/>
  <c r="J111" i="177"/>
  <c r="J113" i="177"/>
  <c r="J115" i="177"/>
  <c r="J116" i="177"/>
  <c r="J121" i="177"/>
  <c r="J122" i="177"/>
  <c r="J123" i="177"/>
  <c r="J124" i="177"/>
  <c r="J125" i="177"/>
  <c r="J126" i="177"/>
  <c r="J128" i="177"/>
  <c r="J129" i="177"/>
  <c r="J130" i="177"/>
  <c r="J131" i="177"/>
  <c r="J134" i="177"/>
  <c r="J135" i="177"/>
  <c r="J136" i="177"/>
  <c r="J137" i="177"/>
  <c r="J138" i="177"/>
  <c r="J139" i="177"/>
  <c r="J140" i="177"/>
  <c r="J141" i="177"/>
  <c r="J142" i="177"/>
  <c r="J143" i="177"/>
  <c r="J144" i="177"/>
  <c r="J145" i="177"/>
  <c r="J146" i="177"/>
  <c r="J147" i="177"/>
  <c r="J148" i="177"/>
  <c r="J149" i="177"/>
  <c r="J150" i="177"/>
  <c r="J151" i="177"/>
  <c r="J152" i="177"/>
  <c r="J153" i="177"/>
  <c r="J154" i="177"/>
  <c r="J155" i="177"/>
  <c r="J156" i="177"/>
  <c r="J158" i="177"/>
  <c r="J159" i="177"/>
  <c r="J161" i="177"/>
  <c r="J162" i="177"/>
  <c r="J163" i="177"/>
  <c r="J164" i="177"/>
  <c r="J165" i="177"/>
  <c r="J166" i="177"/>
  <c r="J167" i="177"/>
  <c r="J168" i="177"/>
  <c r="J169" i="177"/>
  <c r="J170" i="177"/>
  <c r="J171" i="177"/>
  <c r="J172" i="177"/>
  <c r="J173" i="177"/>
  <c r="J174" i="177"/>
  <c r="J175" i="177"/>
  <c r="J176" i="177"/>
  <c r="J177" i="177"/>
  <c r="J178" i="177"/>
  <c r="J179" i="177"/>
  <c r="J180" i="177"/>
  <c r="J181" i="177"/>
  <c r="J182" i="177"/>
  <c r="J183" i="177"/>
  <c r="J184" i="177"/>
  <c r="J185" i="177"/>
  <c r="J186" i="177"/>
  <c r="J187" i="177"/>
  <c r="J188" i="177"/>
  <c r="J189" i="177"/>
  <c r="J190" i="177"/>
  <c r="J191" i="177"/>
  <c r="J192" i="177"/>
  <c r="J193" i="177"/>
  <c r="J194" i="177"/>
  <c r="J195" i="177"/>
  <c r="J196" i="177"/>
  <c r="J197" i="177"/>
  <c r="J201" i="177"/>
  <c r="J202" i="177"/>
  <c r="J204" i="177"/>
  <c r="J205" i="177"/>
  <c r="J207" i="177"/>
  <c r="J209" i="177"/>
  <c r="J212" i="177"/>
  <c r="J213" i="177"/>
  <c r="J215" i="177"/>
  <c r="J217" i="177"/>
  <c r="J219" i="177"/>
  <c r="J222" i="177"/>
  <c r="J223" i="177"/>
  <c r="J225" i="177"/>
  <c r="J227" i="177"/>
  <c r="J229" i="177"/>
  <c r="J233" i="177"/>
  <c r="J235" i="177"/>
  <c r="J239" i="177"/>
  <c r="J243" i="177"/>
  <c r="J245" i="177"/>
  <c r="J249" i="177"/>
  <c r="J253" i="177"/>
  <c r="J255" i="177"/>
  <c r="J257" i="177"/>
  <c r="J259" i="177"/>
  <c r="J261" i="177"/>
  <c r="J263" i="177"/>
  <c r="J264" i="177"/>
  <c r="J267" i="177"/>
  <c r="J268" i="177"/>
  <c r="J269" i="177"/>
  <c r="J270" i="177"/>
  <c r="J271" i="177"/>
  <c r="J272" i="177"/>
  <c r="J274" i="177"/>
  <c r="J277" i="177"/>
  <c r="J278" i="177"/>
  <c r="G18" i="182" s="1"/>
  <c r="J279" i="177"/>
  <c r="J281" i="177"/>
  <c r="J282" i="177"/>
  <c r="J283" i="177"/>
  <c r="J286" i="177"/>
  <c r="J287" i="177"/>
  <c r="Q21" i="178"/>
  <c r="Q22" i="178"/>
  <c r="Q25" i="178"/>
  <c r="Q27" i="178"/>
  <c r="Q29" i="178"/>
  <c r="Q32" i="178"/>
  <c r="Q33" i="178"/>
  <c r="Q34" i="178"/>
  <c r="Q35" i="178"/>
  <c r="Q38" i="178"/>
  <c r="Q39" i="178"/>
  <c r="Q41" i="178"/>
  <c r="Q43" i="178"/>
  <c r="Q44" i="178"/>
  <c r="Q45" i="178"/>
  <c r="Q47" i="178"/>
  <c r="Q48" i="178"/>
  <c r="Q50" i="178"/>
  <c r="Q52" i="178"/>
  <c r="Q54" i="178"/>
  <c r="Q55" i="178"/>
  <c r="Q56" i="178"/>
  <c r="Q58" i="178"/>
  <c r="Q59" i="178"/>
  <c r="Q60" i="178"/>
  <c r="Q61" i="178"/>
  <c r="Q62" i="178"/>
  <c r="Q63" i="178"/>
  <c r="Q65" i="178"/>
  <c r="Q70" i="178"/>
  <c r="Q72" i="178"/>
  <c r="Q73" i="178"/>
  <c r="Q76" i="178"/>
  <c r="Q77" i="178"/>
  <c r="Q79" i="178"/>
  <c r="Q82" i="178"/>
  <c r="Q83" i="178"/>
  <c r="Q85" i="178"/>
  <c r="Q89" i="178"/>
  <c r="Q92" i="178"/>
  <c r="Q94" i="178"/>
  <c r="Q96" i="178"/>
  <c r="Q97" i="178"/>
  <c r="Q100" i="178"/>
  <c r="Q102" i="178"/>
  <c r="Q104" i="178"/>
  <c r="Q105" i="178"/>
  <c r="Q108" i="178"/>
  <c r="O49" i="182" s="1"/>
  <c r="Q109" i="178"/>
  <c r="O48" i="182" s="1"/>
  <c r="Q18" i="178"/>
  <c r="Q9" i="178"/>
  <c r="AN51" i="181" s="1"/>
  <c r="Q10" i="178"/>
  <c r="Q11" i="178"/>
  <c r="Q14" i="178"/>
  <c r="Q5" i="178"/>
  <c r="K41" i="10"/>
  <c r="K45" i="10"/>
  <c r="K47" i="10"/>
  <c r="K48" i="10"/>
  <c r="K49" i="10"/>
  <c r="K50" i="10"/>
  <c r="K51" i="10"/>
  <c r="K52" i="10"/>
  <c r="K57" i="10"/>
  <c r="K58" i="10"/>
  <c r="K60" i="10"/>
  <c r="K61" i="10"/>
  <c r="K63" i="10"/>
  <c r="K66" i="10"/>
  <c r="K67" i="10"/>
  <c r="K68" i="10"/>
  <c r="K69" i="10"/>
  <c r="K73" i="10"/>
  <c r="K30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47" i="9"/>
  <c r="K48" i="9"/>
  <c r="K51" i="9"/>
  <c r="K52" i="9"/>
  <c r="K53" i="9"/>
  <c r="K54" i="9"/>
  <c r="K55" i="9"/>
  <c r="K56" i="9"/>
  <c r="K58" i="9"/>
  <c r="K59" i="9"/>
  <c r="K62" i="9"/>
  <c r="K63" i="9"/>
  <c r="K64" i="9"/>
  <c r="K65" i="9"/>
  <c r="K71" i="9"/>
  <c r="K72" i="9"/>
  <c r="K73" i="9"/>
  <c r="K76" i="9"/>
  <c r="K30" i="9"/>
  <c r="Z31" i="5" s="1"/>
  <c r="K45" i="8"/>
  <c r="K48" i="8"/>
  <c r="K49" i="8"/>
  <c r="K50" i="8"/>
  <c r="K51" i="8"/>
  <c r="K52" i="8"/>
  <c r="K59" i="8"/>
  <c r="K62" i="8"/>
  <c r="K64" i="8"/>
  <c r="K67" i="8"/>
  <c r="K68" i="8"/>
  <c r="K69" i="8"/>
  <c r="K70" i="8"/>
  <c r="K9" i="8"/>
  <c r="K10" i="8"/>
  <c r="K13" i="8"/>
  <c r="K14" i="8"/>
  <c r="K15" i="8"/>
  <c r="K17" i="8"/>
  <c r="K18" i="8"/>
  <c r="K19" i="8"/>
  <c r="K20" i="8"/>
  <c r="K21" i="8"/>
  <c r="K22" i="8"/>
  <c r="K23" i="8"/>
  <c r="K24" i="8"/>
  <c r="K25" i="8"/>
  <c r="J16" i="126" l="1"/>
  <c r="J10" i="126"/>
  <c r="J10" i="124"/>
  <c r="J9" i="123"/>
  <c r="G13" i="183" l="1"/>
  <c r="P15" i="183"/>
  <c r="K9" i="4"/>
  <c r="K10" i="4"/>
  <c r="K13" i="4"/>
  <c r="K14" i="4"/>
  <c r="K15" i="4"/>
  <c r="K17" i="4"/>
  <c r="K19" i="4"/>
  <c r="K20" i="4"/>
  <c r="K21" i="4"/>
  <c r="K22" i="4"/>
  <c r="K23" i="4"/>
  <c r="K24" i="4"/>
  <c r="K25" i="4"/>
  <c r="K39" i="4"/>
  <c r="K40" i="4"/>
  <c r="K49" i="4"/>
  <c r="K50" i="4"/>
  <c r="K62" i="4"/>
  <c r="K63" i="4"/>
  <c r="K64" i="4"/>
  <c r="K65" i="4"/>
  <c r="K66" i="4"/>
  <c r="K75" i="4"/>
  <c r="K76" i="4"/>
  <c r="K77" i="4"/>
  <c r="K78" i="4"/>
  <c r="K79" i="4"/>
  <c r="K80" i="4"/>
  <c r="K81" i="4"/>
  <c r="K82" i="4"/>
  <c r="K83" i="4"/>
  <c r="K15" i="14"/>
  <c r="K20" i="14"/>
  <c r="K26" i="14"/>
  <c r="K27" i="14"/>
  <c r="K29" i="14"/>
  <c r="K30" i="14"/>
  <c r="K31" i="14"/>
  <c r="K33" i="14"/>
  <c r="K51" i="14"/>
  <c r="K52" i="14"/>
  <c r="K62" i="14"/>
  <c r="K40" i="126"/>
  <c r="L40" i="126"/>
  <c r="M40" i="126"/>
  <c r="N40" i="126"/>
  <c r="K86" i="52"/>
  <c r="K76" i="52"/>
  <c r="K18" i="40"/>
  <c r="K80" i="40"/>
  <c r="K53" i="22"/>
  <c r="J25" i="15"/>
  <c r="H281" i="177"/>
  <c r="H282" i="177"/>
  <c r="H283" i="177"/>
  <c r="H242" i="177"/>
  <c r="J10" i="177"/>
  <c r="J7" i="177"/>
  <c r="J6" i="177"/>
  <c r="J5" i="177"/>
  <c r="H276" i="177"/>
  <c r="H275" i="177" s="1"/>
  <c r="L131" i="4"/>
  <c r="L126" i="4"/>
  <c r="L117" i="4"/>
  <c r="L112" i="4"/>
  <c r="N137" i="70"/>
  <c r="N142" i="70"/>
  <c r="N145" i="70"/>
  <c r="N148" i="70"/>
  <c r="N154" i="70"/>
  <c r="N158" i="70"/>
  <c r="N167" i="70"/>
  <c r="N173" i="70"/>
  <c r="N176" i="70"/>
  <c r="N184" i="70"/>
  <c r="L32" i="24"/>
  <c r="I10" i="105"/>
  <c r="J12" i="126"/>
  <c r="I12" i="126"/>
  <c r="R13" i="126"/>
  <c r="Q13" i="126"/>
  <c r="R172" i="68"/>
  <c r="R15" i="68"/>
  <c r="S15" i="68"/>
  <c r="U31" i="125"/>
  <c r="W31" i="125"/>
  <c r="Y31" i="125"/>
  <c r="Z31" i="125"/>
  <c r="I10" i="104"/>
  <c r="I37" i="104"/>
  <c r="I38" i="104" s="1"/>
  <c r="E34" i="104"/>
  <c r="G34" i="104"/>
  <c r="I34" i="104"/>
  <c r="J34" i="104"/>
  <c r="D28" i="104"/>
  <c r="F28" i="104"/>
  <c r="E35" i="106"/>
  <c r="G35" i="106"/>
  <c r="I35" i="106"/>
  <c r="J35" i="106"/>
  <c r="D29" i="106"/>
  <c r="F29" i="106"/>
  <c r="J16" i="106"/>
  <c r="J17" i="106"/>
  <c r="AJ8" i="106"/>
  <c r="AK8" i="106"/>
  <c r="AL8" i="106"/>
  <c r="AM8" i="106"/>
  <c r="AN8" i="106"/>
  <c r="AO8" i="106"/>
  <c r="J10" i="105"/>
  <c r="E34" i="105"/>
  <c r="G34" i="105"/>
  <c r="I34" i="105"/>
  <c r="J34" i="105"/>
  <c r="D28" i="105"/>
  <c r="D29" i="105" s="1"/>
  <c r="F28" i="105"/>
  <c r="F29" i="105" s="1"/>
  <c r="C40" i="125"/>
  <c r="E40" i="125"/>
  <c r="J40" i="125"/>
  <c r="I40" i="125"/>
  <c r="I37" i="125"/>
  <c r="I34" i="125"/>
  <c r="J7" i="124"/>
  <c r="O130" i="70"/>
  <c r="N130" i="70"/>
  <c r="M21" i="18"/>
  <c r="L21" i="18"/>
  <c r="K19" i="18"/>
  <c r="Z8" i="124"/>
  <c r="I9" i="123"/>
  <c r="I37" i="123" s="1"/>
  <c r="I6" i="123"/>
  <c r="AO32" i="181" s="1"/>
  <c r="AO28" i="181" s="1"/>
  <c r="E33" i="123"/>
  <c r="G33" i="123"/>
  <c r="I33" i="123"/>
  <c r="J33" i="123"/>
  <c r="U42" i="123"/>
  <c r="W42" i="123"/>
  <c r="Y42" i="123"/>
  <c r="Z42" i="123"/>
  <c r="AA42" i="123"/>
  <c r="AB42" i="123"/>
  <c r="AC42" i="123"/>
  <c r="AD42" i="123"/>
  <c r="AF42" i="123"/>
  <c r="AH42" i="123"/>
  <c r="U39" i="123"/>
  <c r="W39" i="123"/>
  <c r="Y39" i="123"/>
  <c r="Z39" i="123"/>
  <c r="AA39" i="123"/>
  <c r="AB39" i="123"/>
  <c r="AC39" i="123"/>
  <c r="AD39" i="123"/>
  <c r="AF39" i="123"/>
  <c r="AH39" i="123"/>
  <c r="I15" i="123"/>
  <c r="E36" i="123"/>
  <c r="G36" i="123"/>
  <c r="I36" i="123"/>
  <c r="J36" i="123"/>
  <c r="BF10" i="123"/>
  <c r="I86" i="52"/>
  <c r="J86" i="52"/>
  <c r="L86" i="52"/>
  <c r="M86" i="52"/>
  <c r="I76" i="52"/>
  <c r="J76" i="52"/>
  <c r="J88" i="52" s="1"/>
  <c r="L76" i="52"/>
  <c r="L88" i="52" s="1"/>
  <c r="M76" i="52"/>
  <c r="AG9" i="127"/>
  <c r="AH9" i="127"/>
  <c r="AI9" i="127"/>
  <c r="AJ9" i="127"/>
  <c r="M47" i="8"/>
  <c r="M60" i="4" s="1"/>
  <c r="W60" i="4" s="1"/>
  <c r="L47" i="8"/>
  <c r="K47" i="8" s="1"/>
  <c r="M61" i="8"/>
  <c r="M74" i="4" s="1"/>
  <c r="L61" i="8"/>
  <c r="L35" i="177"/>
  <c r="K276" i="177"/>
  <c r="J276" i="177" s="1"/>
  <c r="L276" i="177"/>
  <c r="H253" i="177"/>
  <c r="F253" i="177"/>
  <c r="L252" i="177"/>
  <c r="L251" i="177"/>
  <c r="L250" i="177" s="1"/>
  <c r="K252" i="177"/>
  <c r="E252" i="177"/>
  <c r="E251" i="177" s="1"/>
  <c r="E250" i="177" s="1"/>
  <c r="G251" i="177"/>
  <c r="G250" i="177"/>
  <c r="L242" i="177"/>
  <c r="K242" i="177"/>
  <c r="J242" i="177" s="1"/>
  <c r="H243" i="177"/>
  <c r="F243" i="177"/>
  <c r="E242" i="177"/>
  <c r="E241" i="177" s="1"/>
  <c r="E240" i="177"/>
  <c r="L39" i="60"/>
  <c r="L39" i="56"/>
  <c r="L43" i="44"/>
  <c r="M43" i="44"/>
  <c r="M40" i="44" s="1"/>
  <c r="L39" i="40"/>
  <c r="L39" i="36"/>
  <c r="L41" i="32"/>
  <c r="L41" i="28"/>
  <c r="L38" i="28" s="1"/>
  <c r="L42" i="18"/>
  <c r="L52" i="177"/>
  <c r="R20" i="178"/>
  <c r="S20" i="178"/>
  <c r="S19" i="178" s="1"/>
  <c r="P107" i="178"/>
  <c r="R107" i="178"/>
  <c r="L36" i="4"/>
  <c r="K59" i="1" s="1"/>
  <c r="S107" i="178"/>
  <c r="S106" i="178" s="1"/>
  <c r="S99" i="178"/>
  <c r="E7" i="189" s="1"/>
  <c r="R99" i="178"/>
  <c r="AJ23" i="126"/>
  <c r="S8" i="178"/>
  <c r="R8" i="178"/>
  <c r="O220" i="70"/>
  <c r="N220" i="70"/>
  <c r="O219" i="70"/>
  <c r="N219" i="70"/>
  <c r="N4" i="70"/>
  <c r="N97" i="70"/>
  <c r="K52" i="70"/>
  <c r="I52" i="70"/>
  <c r="K51" i="70"/>
  <c r="I51" i="70"/>
  <c r="K50" i="70"/>
  <c r="I50" i="70"/>
  <c r="M120" i="70"/>
  <c r="K120" i="70"/>
  <c r="I120" i="70"/>
  <c r="M119" i="70"/>
  <c r="K119" i="70"/>
  <c r="I119" i="70"/>
  <c r="M118" i="70"/>
  <c r="K118" i="70"/>
  <c r="I118" i="70"/>
  <c r="M117" i="70"/>
  <c r="K117" i="70"/>
  <c r="I117" i="70"/>
  <c r="M116" i="70"/>
  <c r="K116" i="70"/>
  <c r="I116" i="70"/>
  <c r="M115" i="70"/>
  <c r="K115" i="70"/>
  <c r="I115" i="70"/>
  <c r="K121" i="70"/>
  <c r="K54" i="70"/>
  <c r="I54" i="70"/>
  <c r="O216" i="70"/>
  <c r="N216" i="70"/>
  <c r="K84" i="177" s="1"/>
  <c r="M114" i="70"/>
  <c r="K114" i="70"/>
  <c r="I114" i="70"/>
  <c r="N218" i="70"/>
  <c r="N67" i="70"/>
  <c r="O65" i="70"/>
  <c r="O215" i="70" s="1"/>
  <c r="N65" i="70"/>
  <c r="O66" i="70"/>
  <c r="N66" i="70"/>
  <c r="K112" i="177"/>
  <c r="O218" i="70"/>
  <c r="L112" i="177" s="1"/>
  <c r="O98" i="69"/>
  <c r="N98" i="69"/>
  <c r="N4" i="69"/>
  <c r="K63" i="69"/>
  <c r="I63" i="69"/>
  <c r="K62" i="69"/>
  <c r="I62" i="69"/>
  <c r="K61" i="69"/>
  <c r="I61" i="69"/>
  <c r="K60" i="69"/>
  <c r="I60" i="69"/>
  <c r="K59" i="69"/>
  <c r="I59" i="69"/>
  <c r="K58" i="69"/>
  <c r="I58" i="69"/>
  <c r="K57" i="69"/>
  <c r="I57" i="69"/>
  <c r="O97" i="69"/>
  <c r="O96" i="69" s="1"/>
  <c r="N97" i="69"/>
  <c r="K69" i="177" s="1"/>
  <c r="J69" i="177" s="1"/>
  <c r="K70" i="69"/>
  <c r="I70" i="69"/>
  <c r="K69" i="69"/>
  <c r="I69" i="69"/>
  <c r="K68" i="69"/>
  <c r="I68" i="69"/>
  <c r="F195" i="177"/>
  <c r="F194" i="177"/>
  <c r="K28" i="177"/>
  <c r="K35" i="177"/>
  <c r="M20" i="72"/>
  <c r="M3" i="72"/>
  <c r="P60" i="71"/>
  <c r="O72" i="71"/>
  <c r="J14" i="107"/>
  <c r="R8" i="126"/>
  <c r="M12" i="62"/>
  <c r="M12" i="61" s="1"/>
  <c r="AO21" i="125"/>
  <c r="AN21" i="125"/>
  <c r="AI21" i="125"/>
  <c r="AJ21" i="125"/>
  <c r="AJ24" i="125" s="1"/>
  <c r="AK21" i="125"/>
  <c r="AL21" i="125"/>
  <c r="AM21" i="125"/>
  <c r="AM24" i="125" s="1"/>
  <c r="I20" i="125"/>
  <c r="I19" i="125"/>
  <c r="I18" i="125"/>
  <c r="I16" i="125"/>
  <c r="I17" i="125"/>
  <c r="I12" i="125"/>
  <c r="I11" i="125"/>
  <c r="I10" i="125"/>
  <c r="I38" i="125" s="1"/>
  <c r="I9" i="125"/>
  <c r="I7" i="125"/>
  <c r="AN13" i="125"/>
  <c r="AN8" i="125"/>
  <c r="M56" i="181"/>
  <c r="N56" i="181"/>
  <c r="CX56" i="181" s="1"/>
  <c r="O56" i="181"/>
  <c r="CY56" i="181" s="1"/>
  <c r="AI40" i="60"/>
  <c r="Y40" i="60" s="1"/>
  <c r="J48" i="61"/>
  <c r="K48" i="61" s="1"/>
  <c r="J47" i="61"/>
  <c r="H12" i="62"/>
  <c r="H12" i="26" s="1"/>
  <c r="H39" i="62"/>
  <c r="G41" i="62"/>
  <c r="G40" i="62"/>
  <c r="CU32" i="182"/>
  <c r="CV32" i="182"/>
  <c r="CW32" i="182"/>
  <c r="CX32" i="182"/>
  <c r="BB28" i="181"/>
  <c r="BC28" i="181"/>
  <c r="BB25" i="181"/>
  <c r="BC25" i="181"/>
  <c r="G12" i="62"/>
  <c r="I12" i="62"/>
  <c r="I8" i="62" s="1"/>
  <c r="L12" i="62"/>
  <c r="J51" i="62"/>
  <c r="K51" i="62"/>
  <c r="L51" i="62"/>
  <c r="L45" i="62"/>
  <c r="L39" i="62"/>
  <c r="I57" i="56"/>
  <c r="I68" i="52"/>
  <c r="I65" i="48"/>
  <c r="I65" i="44"/>
  <c r="I65" i="45" s="1"/>
  <c r="I61" i="40"/>
  <c r="I61" i="41" s="1"/>
  <c r="I61" i="36"/>
  <c r="I61" i="37" s="1"/>
  <c r="I65" i="32"/>
  <c r="I65" i="33" s="1"/>
  <c r="I64" i="28"/>
  <c r="J78" i="8"/>
  <c r="I72" i="4"/>
  <c r="BY32" i="182"/>
  <c r="E49" i="182" s="1"/>
  <c r="BZ6" i="182"/>
  <c r="BZ32" i="182"/>
  <c r="F49" i="182" s="1"/>
  <c r="V49" i="182" s="1"/>
  <c r="M15" i="183"/>
  <c r="N15" i="183"/>
  <c r="M31" i="182"/>
  <c r="N31" i="182"/>
  <c r="CP31" i="182" s="1"/>
  <c r="O31" i="182"/>
  <c r="P31" i="182"/>
  <c r="CR31" i="182" s="1"/>
  <c r="M17" i="182"/>
  <c r="CO17" i="182" s="1"/>
  <c r="N17" i="182"/>
  <c r="CP17" i="182" s="1"/>
  <c r="O17" i="182"/>
  <c r="P17" i="182"/>
  <c r="CR17" i="182" s="1"/>
  <c r="N18" i="182"/>
  <c r="CP18" i="182" s="1"/>
  <c r="O18" i="182"/>
  <c r="P18" i="182"/>
  <c r="CR18" i="182" s="1"/>
  <c r="M19" i="182"/>
  <c r="CO19" i="182" s="1"/>
  <c r="N19" i="182"/>
  <c r="CP19" i="182" s="1"/>
  <c r="O19" i="182"/>
  <c r="P19" i="182"/>
  <c r="CR19" i="182" s="1"/>
  <c r="M20" i="182"/>
  <c r="CO20" i="182" s="1"/>
  <c r="N20" i="182"/>
  <c r="CP20" i="182" s="1"/>
  <c r="O20" i="182"/>
  <c r="P20" i="182"/>
  <c r="CR20" i="182" s="1"/>
  <c r="O21" i="182"/>
  <c r="P21" i="182"/>
  <c r="CR21" i="182" s="1"/>
  <c r="O22" i="182"/>
  <c r="F21" i="182"/>
  <c r="N21" i="182" s="1"/>
  <c r="CP21" i="182" s="1"/>
  <c r="CE6" i="182"/>
  <c r="CA32" i="182"/>
  <c r="G49" i="182" s="1"/>
  <c r="W49" i="182" s="1"/>
  <c r="CB32" i="182"/>
  <c r="BQ32" i="182"/>
  <c r="D48" i="182" s="1"/>
  <c r="BR32" i="182"/>
  <c r="E48" i="182" s="1"/>
  <c r="BS32" i="182"/>
  <c r="F48" i="182" s="1"/>
  <c r="BT32" i="182"/>
  <c r="G48" i="182" s="1"/>
  <c r="BA6" i="182"/>
  <c r="BA32" i="182" s="1"/>
  <c r="BB6" i="182"/>
  <c r="BB32" i="182"/>
  <c r="BC6" i="182"/>
  <c r="BC32" i="182" s="1"/>
  <c r="AS32" i="182"/>
  <c r="AT32" i="182"/>
  <c r="AU32" i="182"/>
  <c r="G43" i="182" s="1"/>
  <c r="AV32" i="182"/>
  <c r="H43" i="182" s="1"/>
  <c r="G54" i="181"/>
  <c r="O54" i="181" s="1"/>
  <c r="CY54" i="181" s="1"/>
  <c r="G52" i="181"/>
  <c r="O52" i="181" s="1"/>
  <c r="CY52" i="181" s="1"/>
  <c r="G43" i="181"/>
  <c r="O43" i="181" s="1"/>
  <c r="CY43" i="181" s="1"/>
  <c r="F21" i="181"/>
  <c r="G21" i="181"/>
  <c r="CP57" i="181"/>
  <c r="CQ57" i="181"/>
  <c r="CI28" i="181"/>
  <c r="CH25" i="181"/>
  <c r="CI25" i="181"/>
  <c r="CH21" i="181"/>
  <c r="CI21" i="181"/>
  <c r="CH8" i="181"/>
  <c r="CI8" i="181"/>
  <c r="AT28" i="181"/>
  <c r="AU28" i="181"/>
  <c r="AT25" i="181"/>
  <c r="AU25" i="181"/>
  <c r="AR21" i="181"/>
  <c r="AS21" i="181"/>
  <c r="AT21" i="181"/>
  <c r="AU21" i="181"/>
  <c r="AL27" i="181"/>
  <c r="AM27" i="181"/>
  <c r="AL29" i="181"/>
  <c r="AM29" i="181"/>
  <c r="AL30" i="181"/>
  <c r="AM30" i="181"/>
  <c r="AJ8" i="181"/>
  <c r="AK8" i="181"/>
  <c r="AL8" i="181"/>
  <c r="AM8" i="181"/>
  <c r="AD57" i="181"/>
  <c r="AE57" i="181"/>
  <c r="V24" i="181"/>
  <c r="W24" i="181"/>
  <c r="V27" i="181"/>
  <c r="W27" i="181"/>
  <c r="V29" i="181"/>
  <c r="W29" i="181"/>
  <c r="V30" i="181"/>
  <c r="W30" i="181"/>
  <c r="CX6" i="181"/>
  <c r="CY6" i="181"/>
  <c r="CZ6" i="181"/>
  <c r="DA6" i="181"/>
  <c r="CX7" i="181"/>
  <c r="CY7" i="181"/>
  <c r="CZ7" i="181"/>
  <c r="DA7" i="181"/>
  <c r="BR21" i="181"/>
  <c r="BS21" i="181"/>
  <c r="BP21" i="181"/>
  <c r="BQ21" i="181"/>
  <c r="BH21" i="181"/>
  <c r="BI21" i="181"/>
  <c r="BJ21" i="181"/>
  <c r="BJ57" i="181" s="1"/>
  <c r="BK21" i="181"/>
  <c r="BR28" i="181"/>
  <c r="BS28" i="181"/>
  <c r="BR25" i="181"/>
  <c r="BS25" i="181"/>
  <c r="N9" i="181"/>
  <c r="CX9" i="181" s="1"/>
  <c r="O9" i="181"/>
  <c r="CY9" i="181" s="1"/>
  <c r="Q9" i="181"/>
  <c r="DA9" i="181" s="1"/>
  <c r="CZ10" i="181"/>
  <c r="N11" i="181"/>
  <c r="CX11" i="181" s="1"/>
  <c r="O11" i="181"/>
  <c r="CY11" i="181" s="1"/>
  <c r="CZ11" i="181"/>
  <c r="Q11" i="181"/>
  <c r="DA11" i="181" s="1"/>
  <c r="CZ12" i="181"/>
  <c r="CZ13" i="181"/>
  <c r="N20" i="181"/>
  <c r="CX20" i="181" s="1"/>
  <c r="O20" i="181"/>
  <c r="CY20" i="181" s="1"/>
  <c r="CZ20" i="181"/>
  <c r="Q20" i="181"/>
  <c r="DA20" i="181" s="1"/>
  <c r="N22" i="181"/>
  <c r="O22" i="181"/>
  <c r="CY22" i="181" s="1"/>
  <c r="CZ22" i="181"/>
  <c r="Q22" i="181"/>
  <c r="DA22" i="181" s="1"/>
  <c r="N23" i="181"/>
  <c r="CX23" i="181" s="1"/>
  <c r="O23" i="181"/>
  <c r="CY23" i="181" s="1"/>
  <c r="CZ23" i="181"/>
  <c r="Q23" i="181"/>
  <c r="DA23" i="181" s="1"/>
  <c r="CZ27" i="181"/>
  <c r="CZ29" i="181"/>
  <c r="CZ30" i="181"/>
  <c r="CZ31" i="181"/>
  <c r="CZ33" i="181"/>
  <c r="N35" i="181"/>
  <c r="CX35" i="181" s="1"/>
  <c r="O35" i="181"/>
  <c r="CY35" i="181" s="1"/>
  <c r="CZ35" i="181"/>
  <c r="Q35" i="181"/>
  <c r="DA35" i="181" s="1"/>
  <c r="N36" i="181"/>
  <c r="CX36" i="181" s="1"/>
  <c r="O36" i="181"/>
  <c r="CY36" i="181" s="1"/>
  <c r="CZ36" i="181"/>
  <c r="Q36" i="181"/>
  <c r="DA36" i="181" s="1"/>
  <c r="N37" i="181"/>
  <c r="CX37" i="181" s="1"/>
  <c r="O37" i="181"/>
  <c r="CY37" i="181" s="1"/>
  <c r="CZ37" i="181"/>
  <c r="Q37" i="181"/>
  <c r="DA37" i="181" s="1"/>
  <c r="N38" i="181"/>
  <c r="CX38" i="181" s="1"/>
  <c r="O38" i="181"/>
  <c r="CY38" i="181" s="1"/>
  <c r="CZ38" i="181"/>
  <c r="Q38" i="181"/>
  <c r="DA38" i="181" s="1"/>
  <c r="N39" i="181"/>
  <c r="CX39" i="181" s="1"/>
  <c r="O39" i="181"/>
  <c r="CY39" i="181" s="1"/>
  <c r="CZ39" i="181"/>
  <c r="Q39" i="181"/>
  <c r="DA39" i="181"/>
  <c r="N40" i="181"/>
  <c r="CX40" i="181" s="1"/>
  <c r="O40" i="181"/>
  <c r="CY40" i="181" s="1"/>
  <c r="CZ40" i="181"/>
  <c r="Q40" i="181"/>
  <c r="DA40" i="181" s="1"/>
  <c r="N41" i="181"/>
  <c r="CX41" i="181" s="1"/>
  <c r="O41" i="181"/>
  <c r="CY41" i="181" s="1"/>
  <c r="CZ41" i="181"/>
  <c r="Q41" i="181"/>
  <c r="DA41" i="181" s="1"/>
  <c r="CZ42" i="181"/>
  <c r="CZ43" i="181"/>
  <c r="Q43" i="181"/>
  <c r="DA43" i="181" s="1"/>
  <c r="N44" i="181"/>
  <c r="CX44" i="181" s="1"/>
  <c r="O44" i="181"/>
  <c r="CY44" i="181" s="1"/>
  <c r="CZ44" i="181"/>
  <c r="Q44" i="181"/>
  <c r="DA44" i="181" s="1"/>
  <c r="CZ45" i="181"/>
  <c r="N46" i="181"/>
  <c r="CX46" i="181" s="1"/>
  <c r="O46" i="181"/>
  <c r="CY46" i="181" s="1"/>
  <c r="CZ46" i="181"/>
  <c r="Q46" i="181"/>
  <c r="DA46" i="181" s="1"/>
  <c r="N47" i="181"/>
  <c r="CX47" i="181" s="1"/>
  <c r="O47" i="181"/>
  <c r="CY47" i="181" s="1"/>
  <c r="CZ47" i="181"/>
  <c r="Q47" i="181"/>
  <c r="DA47" i="181" s="1"/>
  <c r="N48" i="181"/>
  <c r="CX48" i="181" s="1"/>
  <c r="O48" i="181"/>
  <c r="CY48" i="181" s="1"/>
  <c r="CZ48" i="181"/>
  <c r="Q48" i="181"/>
  <c r="DA48" i="181" s="1"/>
  <c r="N49" i="181"/>
  <c r="CX49" i="181" s="1"/>
  <c r="O49" i="181"/>
  <c r="CY49" i="181" s="1"/>
  <c r="CZ49" i="181"/>
  <c r="Q49" i="181"/>
  <c r="DA49" i="181" s="1"/>
  <c r="N50" i="181"/>
  <c r="CX50" i="181" s="1"/>
  <c r="O50" i="181"/>
  <c r="CY50" i="181" s="1"/>
  <c r="CZ50" i="181"/>
  <c r="Q50" i="181"/>
  <c r="DA50" i="181" s="1"/>
  <c r="CZ51" i="181"/>
  <c r="CZ52" i="181"/>
  <c r="Q52" i="181"/>
  <c r="DA52" i="181" s="1"/>
  <c r="CZ54" i="181"/>
  <c r="Q54" i="181"/>
  <c r="DA54" i="181" s="1"/>
  <c r="N55" i="181"/>
  <c r="CX55" i="181" s="1"/>
  <c r="CZ55" i="181"/>
  <c r="CZ56" i="181"/>
  <c r="CO31" i="182"/>
  <c r="CH7" i="182"/>
  <c r="CH6" i="182" s="1"/>
  <c r="CJ7" i="182"/>
  <c r="CJ6" i="182" s="1"/>
  <c r="BI6" i="182"/>
  <c r="BI32" i="182" s="1"/>
  <c r="BJ6" i="182"/>
  <c r="BJ32" i="182" s="1"/>
  <c r="BK6" i="182"/>
  <c r="BK32" i="182" s="1"/>
  <c r="BL6" i="182"/>
  <c r="BL32" i="182" s="1"/>
  <c r="H45" i="182" s="1"/>
  <c r="AL9" i="182"/>
  <c r="AN9" i="182"/>
  <c r="O23" i="182"/>
  <c r="O24" i="182"/>
  <c r="O25" i="182"/>
  <c r="O26" i="182"/>
  <c r="O27" i="182"/>
  <c r="O28" i="182"/>
  <c r="O29" i="182"/>
  <c r="O30" i="182"/>
  <c r="O12" i="182"/>
  <c r="O13" i="182"/>
  <c r="O14" i="182"/>
  <c r="O15" i="182"/>
  <c r="O16" i="182"/>
  <c r="G7" i="127"/>
  <c r="AM26" i="181" s="1"/>
  <c r="W9" i="127"/>
  <c r="G10" i="125"/>
  <c r="G9" i="125"/>
  <c r="G7" i="125"/>
  <c r="J9" i="125"/>
  <c r="G37" i="125"/>
  <c r="G34" i="125"/>
  <c r="G9" i="124"/>
  <c r="J9" i="124"/>
  <c r="J8" i="123"/>
  <c r="J34" i="123" s="1"/>
  <c r="R10" i="123"/>
  <c r="H11" i="107"/>
  <c r="L40" i="14"/>
  <c r="M40" i="14"/>
  <c r="J36" i="4"/>
  <c r="L35" i="4"/>
  <c r="K17" i="2" s="1"/>
  <c r="J17" i="2" s="1"/>
  <c r="M35" i="4"/>
  <c r="J35" i="4"/>
  <c r="U5" i="1"/>
  <c r="V5" i="1"/>
  <c r="W5" i="1"/>
  <c r="S5" i="1"/>
  <c r="T5" i="1"/>
  <c r="Q5" i="1"/>
  <c r="R5" i="1"/>
  <c r="AK16" i="184"/>
  <c r="K8" i="184"/>
  <c r="M8" i="184"/>
  <c r="K9" i="184"/>
  <c r="N9" i="184"/>
  <c r="K10" i="184"/>
  <c r="N10" i="184"/>
  <c r="K11" i="184"/>
  <c r="N11" i="184"/>
  <c r="N12" i="184"/>
  <c r="N13" i="184"/>
  <c r="K14" i="184"/>
  <c r="N14" i="184"/>
  <c r="K15" i="184"/>
  <c r="N15" i="184"/>
  <c r="U19" i="184"/>
  <c r="M16" i="184"/>
  <c r="T99" i="4"/>
  <c r="I17" i="4"/>
  <c r="I19" i="4"/>
  <c r="I20" i="4"/>
  <c r="I21" i="4"/>
  <c r="I22" i="4"/>
  <c r="I23" i="4"/>
  <c r="I24" i="4"/>
  <c r="I25" i="4"/>
  <c r="I9" i="4"/>
  <c r="I10" i="4"/>
  <c r="I13" i="4"/>
  <c r="I14" i="4"/>
  <c r="I15" i="4"/>
  <c r="I31" i="4"/>
  <c r="L30" i="9"/>
  <c r="AA31" i="5" s="1"/>
  <c r="M30" i="9"/>
  <c r="AF30" i="8"/>
  <c r="J30" i="9"/>
  <c r="Y31" i="5" s="1"/>
  <c r="J42" i="9"/>
  <c r="L42" i="9"/>
  <c r="J41" i="9"/>
  <c r="L41" i="9"/>
  <c r="I25" i="18"/>
  <c r="I24" i="18" s="1"/>
  <c r="I23" i="18" s="1"/>
  <c r="I22" i="18" s="1"/>
  <c r="I21" i="18" s="1"/>
  <c r="G25" i="18"/>
  <c r="G24" i="18" s="1"/>
  <c r="G23" i="18" s="1"/>
  <c r="G22" i="18" s="1"/>
  <c r="G21" i="18" s="1"/>
  <c r="H25" i="15"/>
  <c r="F25" i="15"/>
  <c r="G22" i="15"/>
  <c r="I20" i="14"/>
  <c r="J23" i="14"/>
  <c r="L23" i="14"/>
  <c r="H45" i="62"/>
  <c r="L87" i="4"/>
  <c r="K87" i="4" s="1"/>
  <c r="M87" i="4"/>
  <c r="V17" i="3" s="1"/>
  <c r="J87" i="4"/>
  <c r="I79" i="14"/>
  <c r="K79" i="14"/>
  <c r="L79" i="14"/>
  <c r="M79" i="14"/>
  <c r="AH154" i="68"/>
  <c r="J51" i="64" s="1"/>
  <c r="S172" i="68"/>
  <c r="S171" i="68"/>
  <c r="R117" i="68"/>
  <c r="S117" i="68"/>
  <c r="R94" i="68"/>
  <c r="S94" i="68"/>
  <c r="R44" i="68"/>
  <c r="R43" i="68" s="1"/>
  <c r="S44" i="68"/>
  <c r="S43" i="68" s="1"/>
  <c r="E31" i="124"/>
  <c r="G31" i="124"/>
  <c r="I31" i="124"/>
  <c r="J31" i="124"/>
  <c r="E34" i="124"/>
  <c r="G34" i="124"/>
  <c r="I34" i="124"/>
  <c r="J34" i="124"/>
  <c r="U37" i="124"/>
  <c r="W37" i="124"/>
  <c r="Y37" i="124"/>
  <c r="Z37" i="124"/>
  <c r="U28" i="124"/>
  <c r="W28" i="124"/>
  <c r="Y28" i="124"/>
  <c r="Z28" i="124"/>
  <c r="U25" i="124"/>
  <c r="W25" i="124"/>
  <c r="Y25" i="124"/>
  <c r="Z25" i="124"/>
  <c r="G32" i="107"/>
  <c r="I32" i="107"/>
  <c r="J32" i="107"/>
  <c r="E35" i="107"/>
  <c r="G35" i="107"/>
  <c r="I35" i="107"/>
  <c r="J35" i="107"/>
  <c r="E32" i="107"/>
  <c r="U32" i="107"/>
  <c r="W32" i="107"/>
  <c r="Y32" i="107"/>
  <c r="U29" i="107"/>
  <c r="W29" i="107"/>
  <c r="Y29" i="107"/>
  <c r="E48" i="104"/>
  <c r="G48" i="104"/>
  <c r="I48" i="104"/>
  <c r="J48" i="104"/>
  <c r="E45" i="104"/>
  <c r="G45" i="104"/>
  <c r="I45" i="104"/>
  <c r="J45" i="104"/>
  <c r="E37" i="104"/>
  <c r="G37" i="104"/>
  <c r="J37" i="104"/>
  <c r="O8" i="104"/>
  <c r="R8" i="104"/>
  <c r="W34" i="105"/>
  <c r="Y34" i="105"/>
  <c r="Z34" i="105"/>
  <c r="U34" i="105"/>
  <c r="W31" i="105"/>
  <c r="Y31" i="105"/>
  <c r="Z31" i="105"/>
  <c r="U31" i="105"/>
  <c r="R31" i="105"/>
  <c r="Z28" i="105"/>
  <c r="W28" i="105"/>
  <c r="U28" i="105"/>
  <c r="G15" i="105"/>
  <c r="G16" i="105"/>
  <c r="G17" i="105"/>
  <c r="W35" i="105" s="1"/>
  <c r="J19" i="105"/>
  <c r="G19" i="105"/>
  <c r="E19" i="105"/>
  <c r="T28" i="105"/>
  <c r="V28" i="105"/>
  <c r="V29" i="105" s="1"/>
  <c r="X28" i="105"/>
  <c r="Y28" i="105"/>
  <c r="AA40" i="105"/>
  <c r="T37" i="105"/>
  <c r="U37" i="105"/>
  <c r="V37" i="105"/>
  <c r="W37" i="105"/>
  <c r="X37" i="105"/>
  <c r="Y37" i="105"/>
  <c r="Z37" i="105"/>
  <c r="Z38" i="105" s="1"/>
  <c r="T34" i="105"/>
  <c r="T31" i="105"/>
  <c r="G10" i="105"/>
  <c r="E37" i="105"/>
  <c r="G37" i="105"/>
  <c r="G38" i="105" s="1"/>
  <c r="I37" i="105"/>
  <c r="J37" i="105"/>
  <c r="G9" i="105"/>
  <c r="G35" i="105" s="1"/>
  <c r="G10" i="106"/>
  <c r="U29" i="106"/>
  <c r="W29" i="106"/>
  <c r="Y29" i="106"/>
  <c r="Z29" i="106"/>
  <c r="U32" i="106"/>
  <c r="W32" i="106"/>
  <c r="Y32" i="106"/>
  <c r="Z32" i="106"/>
  <c r="AA32" i="106"/>
  <c r="U35" i="106"/>
  <c r="W35" i="106"/>
  <c r="Y35" i="106"/>
  <c r="Z35" i="106"/>
  <c r="E10" i="106"/>
  <c r="G9" i="106"/>
  <c r="G36" i="106" s="1"/>
  <c r="I17" i="14"/>
  <c r="J17" i="14"/>
  <c r="L17" i="14"/>
  <c r="M17" i="14"/>
  <c r="L35" i="14"/>
  <c r="M35" i="14"/>
  <c r="L16" i="14"/>
  <c r="M16" i="14"/>
  <c r="L11" i="14"/>
  <c r="M11" i="14"/>
  <c r="L8" i="14"/>
  <c r="M8" i="14"/>
  <c r="L41" i="14"/>
  <c r="M41" i="14"/>
  <c r="O40" i="14" s="1"/>
  <c r="O41" i="14" s="1"/>
  <c r="I53" i="22"/>
  <c r="G6" i="123"/>
  <c r="AM32" i="181" s="1"/>
  <c r="E6" i="123"/>
  <c r="G27" i="123"/>
  <c r="G28" i="123" s="1"/>
  <c r="G15" i="123"/>
  <c r="W30" i="123"/>
  <c r="Y30" i="123"/>
  <c r="W33" i="123"/>
  <c r="W34" i="123" s="1"/>
  <c r="Y33" i="123"/>
  <c r="AS21" i="125"/>
  <c r="G20" i="125"/>
  <c r="G19" i="125"/>
  <c r="G18" i="125"/>
  <c r="G16" i="125"/>
  <c r="W46" i="125"/>
  <c r="Y46" i="125"/>
  <c r="Y47" i="125" s="1"/>
  <c r="AS8" i="125"/>
  <c r="AS13" i="125"/>
  <c r="J76" i="60"/>
  <c r="I66" i="60"/>
  <c r="J66" i="60"/>
  <c r="K66" i="60"/>
  <c r="L66" i="60"/>
  <c r="H257" i="177"/>
  <c r="H256" i="177" s="1"/>
  <c r="H258" i="177" s="1"/>
  <c r="F257" i="177"/>
  <c r="L256" i="177"/>
  <c r="L258" i="177" s="1"/>
  <c r="K256" i="177"/>
  <c r="I256" i="177"/>
  <c r="I258" i="177" s="1"/>
  <c r="G256" i="177"/>
  <c r="E256" i="177"/>
  <c r="E258" i="177" s="1"/>
  <c r="F193" i="177"/>
  <c r="F192" i="177"/>
  <c r="F191" i="177"/>
  <c r="F190" i="177"/>
  <c r="F196" i="177"/>
  <c r="F189" i="177"/>
  <c r="F188" i="177"/>
  <c r="F187" i="177"/>
  <c r="K127" i="177"/>
  <c r="L127" i="177"/>
  <c r="L120" i="177"/>
  <c r="J47" i="177"/>
  <c r="H50" i="177"/>
  <c r="F50" i="177"/>
  <c r="L30" i="8"/>
  <c r="M30" i="8"/>
  <c r="J30" i="8"/>
  <c r="K49" i="70"/>
  <c r="I49" i="70"/>
  <c r="K48" i="70"/>
  <c r="I48" i="70"/>
  <c r="K44" i="70"/>
  <c r="I44" i="70"/>
  <c r="K43" i="70"/>
  <c r="I43" i="70"/>
  <c r="K42" i="70"/>
  <c r="I42" i="70"/>
  <c r="K41" i="70"/>
  <c r="I41" i="70"/>
  <c r="K40" i="70"/>
  <c r="I40" i="70"/>
  <c r="M39" i="70"/>
  <c r="K39" i="70"/>
  <c r="I39" i="70"/>
  <c r="M38" i="70"/>
  <c r="K38" i="70"/>
  <c r="I38" i="70"/>
  <c r="M113" i="70"/>
  <c r="K113" i="70"/>
  <c r="I113" i="70"/>
  <c r="O80" i="70"/>
  <c r="K53" i="70"/>
  <c r="I53" i="70"/>
  <c r="M112" i="70"/>
  <c r="K112" i="70"/>
  <c r="I112" i="70"/>
  <c r="K47" i="70"/>
  <c r="I47" i="70"/>
  <c r="K46" i="70"/>
  <c r="I46" i="70"/>
  <c r="M37" i="70"/>
  <c r="M36" i="70"/>
  <c r="M35" i="70"/>
  <c r="M34" i="70"/>
  <c r="M33" i="70"/>
  <c r="M32" i="70"/>
  <c r="M31" i="70"/>
  <c r="M30" i="70"/>
  <c r="M29" i="70"/>
  <c r="M28" i="70"/>
  <c r="M27" i="70"/>
  <c r="M26" i="70"/>
  <c r="M25" i="70"/>
  <c r="M24" i="70"/>
  <c r="K45" i="70"/>
  <c r="I45" i="70"/>
  <c r="O56" i="70"/>
  <c r="I59" i="8"/>
  <c r="I45" i="8"/>
  <c r="I48" i="8"/>
  <c r="I49" i="8"/>
  <c r="I50" i="8"/>
  <c r="I51" i="8"/>
  <c r="I52" i="8"/>
  <c r="I30" i="8"/>
  <c r="I9" i="8"/>
  <c r="I10" i="8"/>
  <c r="I13" i="8"/>
  <c r="I14" i="8"/>
  <c r="I15" i="8"/>
  <c r="I17" i="8"/>
  <c r="I18" i="8"/>
  <c r="I19" i="8"/>
  <c r="I20" i="8"/>
  <c r="I21" i="8"/>
  <c r="I22" i="8"/>
  <c r="I23" i="8"/>
  <c r="I24" i="8"/>
  <c r="I25" i="8"/>
  <c r="L69" i="177"/>
  <c r="M69" i="177" s="1"/>
  <c r="O4" i="69"/>
  <c r="F24" i="182"/>
  <c r="N24" i="182" s="1"/>
  <c r="CP24" i="182" s="1"/>
  <c r="J4" i="69"/>
  <c r="D24" i="182" s="1"/>
  <c r="L24" i="182" s="1"/>
  <c r="CN24" i="182" s="1"/>
  <c r="K56" i="69"/>
  <c r="I56" i="69"/>
  <c r="K55" i="69"/>
  <c r="I55" i="69"/>
  <c r="K54" i="69"/>
  <c r="I54" i="69"/>
  <c r="K53" i="69"/>
  <c r="I53" i="69"/>
  <c r="K52" i="69"/>
  <c r="I52" i="69"/>
  <c r="K51" i="69"/>
  <c r="I51" i="69"/>
  <c r="K50" i="69"/>
  <c r="I50" i="69"/>
  <c r="K67" i="69"/>
  <c r="I67" i="69"/>
  <c r="K66" i="69"/>
  <c r="I66" i="69"/>
  <c r="K49" i="69"/>
  <c r="K64" i="69"/>
  <c r="K65" i="69"/>
  <c r="I290" i="177"/>
  <c r="L290" i="177"/>
  <c r="H286" i="177"/>
  <c r="H285" i="177" s="1"/>
  <c r="H287" i="177"/>
  <c r="G80" i="6" s="1"/>
  <c r="F30" i="182"/>
  <c r="N30" i="182" s="1"/>
  <c r="CP30" i="182" s="1"/>
  <c r="K285" i="177"/>
  <c r="L285" i="177"/>
  <c r="L284" i="177" s="1"/>
  <c r="M73" i="8" s="1"/>
  <c r="H280" i="177"/>
  <c r="I280" i="177"/>
  <c r="K280" i="177"/>
  <c r="L280" i="177"/>
  <c r="H278" i="177"/>
  <c r="E18" i="182" s="1"/>
  <c r="M18" i="182" s="1"/>
  <c r="CO18" i="182" s="1"/>
  <c r="H279" i="177"/>
  <c r="F52" i="181" s="1"/>
  <c r="N52" i="181" s="1"/>
  <c r="CX52" i="181" s="1"/>
  <c r="H277" i="177"/>
  <c r="I275" i="177"/>
  <c r="K275" i="177"/>
  <c r="L275" i="177"/>
  <c r="H268" i="177"/>
  <c r="H269" i="177"/>
  <c r="H270" i="177"/>
  <c r="H271" i="177"/>
  <c r="H272" i="177"/>
  <c r="H267" i="177"/>
  <c r="J44" i="9"/>
  <c r="K266" i="177"/>
  <c r="L266" i="177"/>
  <c r="M44" i="9" s="1"/>
  <c r="H261" i="177"/>
  <c r="H260" i="177" s="1"/>
  <c r="H262" i="177"/>
  <c r="I260" i="177"/>
  <c r="I262" i="177" s="1"/>
  <c r="K260" i="177"/>
  <c r="K262" i="177"/>
  <c r="L260" i="177"/>
  <c r="L262" i="177" s="1"/>
  <c r="H249" i="177"/>
  <c r="H248" i="177" s="1"/>
  <c r="K248" i="177"/>
  <c r="L248" i="177"/>
  <c r="H239" i="177"/>
  <c r="H238" i="177" s="1"/>
  <c r="I238" i="177"/>
  <c r="K238" i="177"/>
  <c r="K237" i="177" s="1"/>
  <c r="K241" i="177"/>
  <c r="L238" i="177"/>
  <c r="L241" i="177"/>
  <c r="L240" i="177" s="1"/>
  <c r="H233" i="177"/>
  <c r="H232" i="177" s="1"/>
  <c r="H231" i="177" s="1"/>
  <c r="H230" i="177" s="1"/>
  <c r="H234" i="177" s="1"/>
  <c r="E12" i="182" s="1"/>
  <c r="K232" i="177"/>
  <c r="K231" i="177" s="1"/>
  <c r="L232" i="177"/>
  <c r="L231" i="177" s="1"/>
  <c r="L230" i="177" s="1"/>
  <c r="L234" i="177" s="1"/>
  <c r="H223" i="177"/>
  <c r="H222" i="177"/>
  <c r="H221" i="177" s="1"/>
  <c r="H220" i="177" s="1"/>
  <c r="I220" i="177"/>
  <c r="K221" i="177"/>
  <c r="L221" i="177"/>
  <c r="L220" i="177"/>
  <c r="H213" i="177"/>
  <c r="H212" i="177"/>
  <c r="I208" i="177"/>
  <c r="F11" i="182" s="1"/>
  <c r="N11" i="182" s="1"/>
  <c r="CP11" i="182" s="1"/>
  <c r="K208" i="177"/>
  <c r="L208" i="177"/>
  <c r="I206" i="177"/>
  <c r="K206" i="177"/>
  <c r="J206" i="177" s="1"/>
  <c r="L206" i="177"/>
  <c r="I199" i="177"/>
  <c r="K200" i="177"/>
  <c r="K199" i="177"/>
  <c r="L200" i="177"/>
  <c r="L199" i="177" s="1"/>
  <c r="H159" i="177"/>
  <c r="H161" i="177"/>
  <c r="H162" i="177"/>
  <c r="H163" i="177"/>
  <c r="H164" i="177"/>
  <c r="H165" i="177"/>
  <c r="H166" i="177"/>
  <c r="H167" i="177"/>
  <c r="H168" i="177"/>
  <c r="H169" i="177"/>
  <c r="H170" i="177"/>
  <c r="H171" i="177"/>
  <c r="H172" i="177"/>
  <c r="H173" i="177"/>
  <c r="H174" i="177"/>
  <c r="H175" i="177"/>
  <c r="H176" i="177"/>
  <c r="H177" i="177"/>
  <c r="H178" i="177"/>
  <c r="H179" i="177"/>
  <c r="H180" i="177"/>
  <c r="H181" i="177"/>
  <c r="H182" i="177"/>
  <c r="H183" i="177"/>
  <c r="H184" i="177"/>
  <c r="H185" i="177"/>
  <c r="H186" i="177"/>
  <c r="H158" i="177"/>
  <c r="H135" i="177"/>
  <c r="H136" i="177"/>
  <c r="H137" i="177"/>
  <c r="H138" i="177"/>
  <c r="H139" i="177"/>
  <c r="H140" i="177"/>
  <c r="H141" i="177"/>
  <c r="H142" i="177"/>
  <c r="H143" i="177"/>
  <c r="H144" i="177"/>
  <c r="H145" i="177"/>
  <c r="H146" i="177"/>
  <c r="H147" i="177"/>
  <c r="H148" i="177"/>
  <c r="H149" i="177"/>
  <c r="H150" i="177"/>
  <c r="H151" i="177"/>
  <c r="H152" i="177"/>
  <c r="H153" i="177"/>
  <c r="H154" i="177"/>
  <c r="H155" i="177"/>
  <c r="H134" i="177"/>
  <c r="H133" i="177" s="1"/>
  <c r="H132" i="177" s="1"/>
  <c r="E14" i="182" s="1"/>
  <c r="M14" i="182" s="1"/>
  <c r="F14" i="182"/>
  <c r="N14" i="182" s="1"/>
  <c r="CP14" i="182" s="1"/>
  <c r="K133" i="177"/>
  <c r="J133" i="177" s="1"/>
  <c r="K132" i="177"/>
  <c r="L133" i="177"/>
  <c r="L132" i="177" s="1"/>
  <c r="H122" i="177"/>
  <c r="H123" i="177"/>
  <c r="H124" i="177"/>
  <c r="H125" i="177"/>
  <c r="H126" i="177"/>
  <c r="H128" i="177"/>
  <c r="H129" i="177"/>
  <c r="H130" i="177"/>
  <c r="H131" i="177"/>
  <c r="H121" i="177"/>
  <c r="K120" i="177"/>
  <c r="H107" i="177"/>
  <c r="I106" i="177"/>
  <c r="G45" i="181"/>
  <c r="O45" i="181" s="1"/>
  <c r="CY45" i="181" s="1"/>
  <c r="K106" i="177"/>
  <c r="L106" i="177"/>
  <c r="I94" i="177"/>
  <c r="K97" i="177"/>
  <c r="L97" i="177"/>
  <c r="L94" i="177" s="1"/>
  <c r="H98" i="177"/>
  <c r="H97" i="177" s="1"/>
  <c r="I88" i="177"/>
  <c r="G13" i="181" s="1"/>
  <c r="O13" i="181" s="1"/>
  <c r="CY13" i="181" s="1"/>
  <c r="K88" i="177"/>
  <c r="L88" i="177"/>
  <c r="L91" i="177"/>
  <c r="H81" i="177"/>
  <c r="H80" i="177" s="1"/>
  <c r="F10" i="181" s="1"/>
  <c r="N10" i="181" s="1"/>
  <c r="CX10" i="181" s="1"/>
  <c r="I80" i="177"/>
  <c r="G10" i="181" s="1"/>
  <c r="O10" i="181" s="1"/>
  <c r="CY10" i="181" s="1"/>
  <c r="K80" i="177"/>
  <c r="L80" i="177"/>
  <c r="I75" i="177"/>
  <c r="G12" i="181" s="1"/>
  <c r="O12" i="181" s="1"/>
  <c r="CY12" i="181" s="1"/>
  <c r="K75" i="177"/>
  <c r="K77" i="177"/>
  <c r="L75" i="177"/>
  <c r="L77" i="177" s="1"/>
  <c r="H62" i="177"/>
  <c r="H63" i="177"/>
  <c r="H64" i="177"/>
  <c r="H61" i="177"/>
  <c r="H65" i="177" s="1"/>
  <c r="I65" i="177"/>
  <c r="L65" i="177"/>
  <c r="I60" i="177"/>
  <c r="G42" i="181" s="1"/>
  <c r="O42" i="181" s="1"/>
  <c r="CY42" i="181" s="1"/>
  <c r="K60" i="177"/>
  <c r="L60" i="177"/>
  <c r="H53" i="177"/>
  <c r="H52" i="177" s="1"/>
  <c r="H44" i="177" s="1"/>
  <c r="H49" i="177"/>
  <c r="H51" i="177"/>
  <c r="H48" i="177"/>
  <c r="K46" i="177"/>
  <c r="K45" i="177"/>
  <c r="L46" i="177"/>
  <c r="L45" i="177"/>
  <c r="G35" i="177"/>
  <c r="H39" i="177"/>
  <c r="H38" i="177" s="1"/>
  <c r="K38" i="177"/>
  <c r="L49" i="9"/>
  <c r="L38" i="177"/>
  <c r="H36" i="177"/>
  <c r="H35" i="177" s="1"/>
  <c r="H31" i="177"/>
  <c r="H30" i="177"/>
  <c r="H29" i="177" s="1"/>
  <c r="K29" i="177"/>
  <c r="J29" i="177" s="1"/>
  <c r="L29" i="177"/>
  <c r="H27" i="177"/>
  <c r="H26" i="177"/>
  <c r="K26" i="177"/>
  <c r="J26" i="177" s="1"/>
  <c r="L26" i="177"/>
  <c r="H25" i="177"/>
  <c r="H24" i="177"/>
  <c r="K24" i="177"/>
  <c r="L24" i="177"/>
  <c r="I19" i="177"/>
  <c r="I21" i="177" s="1"/>
  <c r="K19" i="177"/>
  <c r="L19" i="177"/>
  <c r="L21" i="177"/>
  <c r="H20" i="177"/>
  <c r="H19" i="177" s="1"/>
  <c r="H21" i="177" s="1"/>
  <c r="L14" i="177"/>
  <c r="H10" i="177"/>
  <c r="E21" i="182" s="1"/>
  <c r="M21" i="182" s="1"/>
  <c r="CO21" i="182" s="1"/>
  <c r="H6" i="177"/>
  <c r="H7" i="177"/>
  <c r="H5" i="177"/>
  <c r="F54" i="181"/>
  <c r="N54" i="181" s="1"/>
  <c r="CX54" i="181" s="1"/>
  <c r="P106" i="178"/>
  <c r="R103" i="178"/>
  <c r="O108" i="178"/>
  <c r="M49" i="182" s="1"/>
  <c r="O109" i="178"/>
  <c r="M48" i="182" s="1"/>
  <c r="P103" i="178"/>
  <c r="S103" i="178"/>
  <c r="O105" i="178"/>
  <c r="R98" i="178"/>
  <c r="S98" i="178"/>
  <c r="P90" i="178"/>
  <c r="R95" i="178"/>
  <c r="Q95" i="178" s="1"/>
  <c r="S95" i="178"/>
  <c r="R93" i="178"/>
  <c r="Q93" i="178" s="1"/>
  <c r="S93" i="178"/>
  <c r="T93" i="178" s="1"/>
  <c r="R91" i="178"/>
  <c r="Q91" i="178" s="1"/>
  <c r="S91" i="178"/>
  <c r="T91" i="178" s="1"/>
  <c r="O99" i="178"/>
  <c r="O98" i="178"/>
  <c r="O96" i="178"/>
  <c r="O95" i="178" s="1"/>
  <c r="O94" i="178"/>
  <c r="O93" i="178"/>
  <c r="O92" i="178"/>
  <c r="O91" i="178" s="1"/>
  <c r="O89" i="178"/>
  <c r="R81" i="178"/>
  <c r="Q81" i="178" s="1"/>
  <c r="S81" i="178"/>
  <c r="S80" i="178"/>
  <c r="O82" i="178"/>
  <c r="O81" i="178" s="1"/>
  <c r="O73" i="178"/>
  <c r="O72" i="178"/>
  <c r="O71" i="178"/>
  <c r="O70" i="178"/>
  <c r="P69" i="178"/>
  <c r="P68" i="178" s="1"/>
  <c r="R69" i="178"/>
  <c r="S69" i="178"/>
  <c r="S68" i="178"/>
  <c r="S66" i="178"/>
  <c r="S53" i="178"/>
  <c r="S64" i="178"/>
  <c r="O62" i="178"/>
  <c r="O63" i="178"/>
  <c r="O56" i="178"/>
  <c r="O58" i="178"/>
  <c r="O60" i="178"/>
  <c r="O61" i="178"/>
  <c r="O54" i="178"/>
  <c r="O50" i="178"/>
  <c r="P42" i="178"/>
  <c r="P46" i="178" s="1"/>
  <c r="R42" i="178"/>
  <c r="R46" i="178"/>
  <c r="S42" i="178"/>
  <c r="S46" i="178"/>
  <c r="O44" i="178"/>
  <c r="O45" i="178"/>
  <c r="O43" i="178"/>
  <c r="P37" i="178"/>
  <c r="P36" i="178" s="1"/>
  <c r="R37" i="178"/>
  <c r="R36" i="178"/>
  <c r="S37" i="178"/>
  <c r="S36" i="178" s="1"/>
  <c r="O38" i="178"/>
  <c r="I34" i="9"/>
  <c r="O39" i="178"/>
  <c r="O37" i="178" s="1"/>
  <c r="O36" i="178" s="1"/>
  <c r="P31" i="178"/>
  <c r="P30" i="178" s="1"/>
  <c r="P28" i="178" s="1"/>
  <c r="R31" i="178"/>
  <c r="R30" i="178"/>
  <c r="S31" i="178"/>
  <c r="S30" i="178" s="1"/>
  <c r="S28" i="178" s="1"/>
  <c r="O33" i="178"/>
  <c r="O35" i="178"/>
  <c r="O34" i="178"/>
  <c r="O32" i="178"/>
  <c r="O31" i="178" s="1"/>
  <c r="O29" i="178"/>
  <c r="P24" i="178"/>
  <c r="P23" i="178" s="1"/>
  <c r="J33" i="8" s="1"/>
  <c r="J32" i="8" s="1"/>
  <c r="R24" i="178"/>
  <c r="R23" i="178"/>
  <c r="L33" i="8" s="1"/>
  <c r="L32" i="8" s="1"/>
  <c r="S24" i="178"/>
  <c r="S23" i="178" s="1"/>
  <c r="O25" i="178"/>
  <c r="O24" i="178" s="1"/>
  <c r="O23" i="178" s="1"/>
  <c r="O22" i="178"/>
  <c r="P20" i="178"/>
  <c r="P19" i="178" s="1"/>
  <c r="O21" i="178"/>
  <c r="O20" i="178" s="1"/>
  <c r="P13" i="178"/>
  <c r="R13" i="178"/>
  <c r="R12" i="178" s="1"/>
  <c r="S13" i="178"/>
  <c r="E8" i="189" s="1"/>
  <c r="O14" i="178"/>
  <c r="O13" i="178"/>
  <c r="O12" i="178" s="1"/>
  <c r="O9" i="178"/>
  <c r="AL51" i="181" s="1"/>
  <c r="O10" i="178"/>
  <c r="O11" i="178"/>
  <c r="O8" i="178"/>
  <c r="K186" i="70"/>
  <c r="K187" i="70"/>
  <c r="K188" i="70"/>
  <c r="K189" i="70"/>
  <c r="K190" i="70"/>
  <c r="K191" i="70"/>
  <c r="K192" i="70"/>
  <c r="K193" i="70"/>
  <c r="K194" i="70"/>
  <c r="K195" i="70"/>
  <c r="O184" i="70"/>
  <c r="O176" i="70"/>
  <c r="O173" i="70"/>
  <c r="O167" i="70"/>
  <c r="O158" i="70"/>
  <c r="O154" i="70"/>
  <c r="O148" i="70"/>
  <c r="O145" i="70"/>
  <c r="F29" i="182"/>
  <c r="N29" i="182" s="1"/>
  <c r="CP29" i="182" s="1"/>
  <c r="O137" i="70"/>
  <c r="N123" i="70"/>
  <c r="O123" i="70"/>
  <c r="O97" i="70"/>
  <c r="N80" i="70"/>
  <c r="N56" i="70"/>
  <c r="O4" i="70"/>
  <c r="O142" i="70"/>
  <c r="P142" i="70"/>
  <c r="P196" i="70"/>
  <c r="K140" i="70"/>
  <c r="K132" i="70"/>
  <c r="K133" i="70"/>
  <c r="K134" i="70"/>
  <c r="K131" i="70"/>
  <c r="K127" i="70"/>
  <c r="K128" i="70"/>
  <c r="K129" i="70"/>
  <c r="K126" i="70"/>
  <c r="K21" i="69"/>
  <c r="K22" i="69"/>
  <c r="K23" i="69"/>
  <c r="K24" i="69"/>
  <c r="K25" i="69"/>
  <c r="K26" i="69"/>
  <c r="K27" i="69"/>
  <c r="K28" i="69"/>
  <c r="K29" i="69"/>
  <c r="K30" i="69"/>
  <c r="K31" i="69"/>
  <c r="K32" i="69"/>
  <c r="K33" i="69"/>
  <c r="K34" i="69"/>
  <c r="K35" i="69"/>
  <c r="K36" i="69"/>
  <c r="K37" i="69"/>
  <c r="K38" i="69"/>
  <c r="K39" i="69"/>
  <c r="K40" i="69"/>
  <c r="K41" i="69"/>
  <c r="K42" i="69"/>
  <c r="K43" i="69"/>
  <c r="K44" i="69"/>
  <c r="K45" i="69"/>
  <c r="K46" i="69"/>
  <c r="K47" i="69"/>
  <c r="K48" i="69"/>
  <c r="M20" i="18"/>
  <c r="M23" i="14"/>
  <c r="X9" i="127"/>
  <c r="Y9" i="127"/>
  <c r="Z9" i="127"/>
  <c r="AO13" i="125"/>
  <c r="AK13" i="125"/>
  <c r="AK24" i="125" s="1"/>
  <c r="AL13" i="125"/>
  <c r="AL24" i="125"/>
  <c r="AL8" i="125"/>
  <c r="G9" i="123"/>
  <c r="F10" i="123"/>
  <c r="F9" i="123"/>
  <c r="F8" i="123"/>
  <c r="V32" i="181" s="1"/>
  <c r="G8" i="123"/>
  <c r="W32" i="181"/>
  <c r="H8" i="123"/>
  <c r="I8" i="123"/>
  <c r="Y32" i="181" s="1"/>
  <c r="Y28" i="181" s="1"/>
  <c r="F7" i="123"/>
  <c r="F6" i="123"/>
  <c r="AL32" i="181"/>
  <c r="H6" i="123"/>
  <c r="AN32" i="181" s="1"/>
  <c r="AN28" i="181" s="1"/>
  <c r="DH28" i="181" s="1"/>
  <c r="F11" i="107"/>
  <c r="J55" i="65"/>
  <c r="L55" i="65"/>
  <c r="K55" i="65" s="1"/>
  <c r="M55" i="65"/>
  <c r="H55" i="65"/>
  <c r="G57" i="60"/>
  <c r="G57" i="56"/>
  <c r="G68" i="52"/>
  <c r="G65" i="48"/>
  <c r="G65" i="44"/>
  <c r="G65" i="45" s="1"/>
  <c r="G61" i="40"/>
  <c r="G61" i="41" s="1"/>
  <c r="G61" i="36"/>
  <c r="G61" i="37" s="1"/>
  <c r="G65" i="32"/>
  <c r="G65" i="33" s="1"/>
  <c r="G64" i="28"/>
  <c r="G61" i="22"/>
  <c r="G60" i="21"/>
  <c r="L31" i="182"/>
  <c r="CN31" i="182" s="1"/>
  <c r="R44" i="182"/>
  <c r="R51" i="182"/>
  <c r="CM57" i="181"/>
  <c r="CN57" i="181"/>
  <c r="CO57" i="181"/>
  <c r="BN32" i="182"/>
  <c r="BO32" i="182"/>
  <c r="BP32" i="182"/>
  <c r="C48" i="182" s="1"/>
  <c r="R32" i="182"/>
  <c r="CL31" i="182"/>
  <c r="CT32" i="182"/>
  <c r="CE32" i="182"/>
  <c r="D56" i="181"/>
  <c r="L56" i="181" s="1"/>
  <c r="CV56" i="181" s="1"/>
  <c r="CF8" i="181"/>
  <c r="AK17" i="181"/>
  <c r="J48" i="182"/>
  <c r="J49" i="182"/>
  <c r="BW6" i="182"/>
  <c r="BW32" i="182" s="1"/>
  <c r="C49" i="182" s="1"/>
  <c r="BX6" i="182"/>
  <c r="BX32" i="182"/>
  <c r="D49" i="182" s="1"/>
  <c r="T49" i="182" s="1"/>
  <c r="K17" i="182"/>
  <c r="CM17" i="182" s="1"/>
  <c r="C19" i="182"/>
  <c r="C20" i="182"/>
  <c r="K20" i="182"/>
  <c r="CM20" i="182" s="1"/>
  <c r="D22" i="181"/>
  <c r="L22" i="181" s="1"/>
  <c r="CF21" i="181"/>
  <c r="CG21" i="181"/>
  <c r="AA25" i="181"/>
  <c r="AB25" i="181"/>
  <c r="AB57" i="181" s="1"/>
  <c r="AC25" i="181"/>
  <c r="AQ25" i="181"/>
  <c r="AR25" i="181"/>
  <c r="AS25" i="181"/>
  <c r="AY25" i="181"/>
  <c r="AZ25" i="181"/>
  <c r="BA25" i="181"/>
  <c r="BG25" i="181"/>
  <c r="BO25" i="181"/>
  <c r="BP25" i="181"/>
  <c r="BQ25" i="181"/>
  <c r="BW25" i="181"/>
  <c r="BX25" i="181"/>
  <c r="BY25" i="181"/>
  <c r="CE25" i="181"/>
  <c r="CF25" i="181"/>
  <c r="CF57" i="181" s="1"/>
  <c r="CG25" i="181"/>
  <c r="AA28" i="181"/>
  <c r="AB28" i="181"/>
  <c r="AC28" i="181"/>
  <c r="AQ28" i="181"/>
  <c r="AR28" i="181"/>
  <c r="AS28" i="181"/>
  <c r="AY28" i="181"/>
  <c r="AZ28" i="181"/>
  <c r="BA28" i="181"/>
  <c r="BG28" i="181"/>
  <c r="BH28" i="181"/>
  <c r="BH57" i="181" s="1"/>
  <c r="BI28" i="181"/>
  <c r="BO28" i="181"/>
  <c r="BP28" i="181"/>
  <c r="BQ28" i="181"/>
  <c r="BW28" i="181"/>
  <c r="BX28" i="181"/>
  <c r="BY28" i="181"/>
  <c r="CE28" i="181"/>
  <c r="CF28" i="181"/>
  <c r="CF7" i="182"/>
  <c r="CF6" i="182"/>
  <c r="L17" i="3"/>
  <c r="K17" i="3"/>
  <c r="K22" i="3" s="1"/>
  <c r="K46" i="2" s="1"/>
  <c r="F19" i="3"/>
  <c r="F18" i="3"/>
  <c r="E17" i="3"/>
  <c r="K290" i="177"/>
  <c r="J290" i="177"/>
  <c r="G290" i="177"/>
  <c r="H290" i="177" s="1"/>
  <c r="H78" i="8"/>
  <c r="I20" i="72"/>
  <c r="G82" i="6"/>
  <c r="H82" i="6"/>
  <c r="AC89" i="4" s="1"/>
  <c r="T89" i="4" s="1"/>
  <c r="I82" i="6"/>
  <c r="J82" i="6"/>
  <c r="AE89" i="4" s="1"/>
  <c r="K82" i="6"/>
  <c r="AF89" i="4"/>
  <c r="F82" i="6"/>
  <c r="AA89" i="4"/>
  <c r="R84" i="6"/>
  <c r="U84" i="6"/>
  <c r="V94" i="5"/>
  <c r="AA55" i="14"/>
  <c r="AA38" i="14"/>
  <c r="H64" i="17"/>
  <c r="I64" i="17"/>
  <c r="J64" i="17"/>
  <c r="K64" i="17"/>
  <c r="L64" i="17"/>
  <c r="J47" i="17"/>
  <c r="L47" i="17"/>
  <c r="L47" i="7"/>
  <c r="M47" i="17"/>
  <c r="J48" i="17"/>
  <c r="J48" i="7" s="1"/>
  <c r="L48" i="17"/>
  <c r="L48" i="7"/>
  <c r="M48" i="17"/>
  <c r="J49" i="17"/>
  <c r="J49" i="7" s="1"/>
  <c r="L49" i="17"/>
  <c r="L49" i="7"/>
  <c r="M49" i="17"/>
  <c r="H49" i="17"/>
  <c r="H49" i="7"/>
  <c r="H48" i="17"/>
  <c r="H48" i="7" s="1"/>
  <c r="H47" i="17"/>
  <c r="G9" i="7"/>
  <c r="G10" i="7"/>
  <c r="G11" i="7"/>
  <c r="G12" i="7"/>
  <c r="G13" i="7"/>
  <c r="G14" i="7"/>
  <c r="G15" i="7"/>
  <c r="V44" i="5"/>
  <c r="X44" i="5"/>
  <c r="X94" i="5"/>
  <c r="Z44" i="5"/>
  <c r="Z94" i="5" s="1"/>
  <c r="G36" i="15"/>
  <c r="H37" i="57"/>
  <c r="J37" i="57"/>
  <c r="AC37" i="56" s="1"/>
  <c r="U37" i="56" s="1"/>
  <c r="L37" i="57"/>
  <c r="H52" i="57"/>
  <c r="J52" i="57"/>
  <c r="L52" i="57"/>
  <c r="H46" i="57"/>
  <c r="J46" i="57"/>
  <c r="L46" i="57"/>
  <c r="K46" i="57" s="1"/>
  <c r="H47" i="57"/>
  <c r="J47" i="57"/>
  <c r="L47" i="57"/>
  <c r="K47" i="57" s="1"/>
  <c r="H48" i="57"/>
  <c r="J48" i="57"/>
  <c r="AC48" i="56" s="1"/>
  <c r="U48" i="56" s="1"/>
  <c r="L48" i="57"/>
  <c r="H49" i="57"/>
  <c r="J49" i="57"/>
  <c r="L49" i="57"/>
  <c r="K49" i="57" s="1"/>
  <c r="H50" i="57"/>
  <c r="J50" i="57"/>
  <c r="L50" i="57"/>
  <c r="K50" i="57" s="1"/>
  <c r="H40" i="57"/>
  <c r="J40" i="57"/>
  <c r="L40" i="57"/>
  <c r="K40" i="57" s="1"/>
  <c r="H41" i="57"/>
  <c r="J41" i="57"/>
  <c r="J39" i="57" s="1"/>
  <c r="AC39" i="56" s="1"/>
  <c r="U39" i="56" s="1"/>
  <c r="L41" i="57"/>
  <c r="H10" i="57"/>
  <c r="J10" i="57"/>
  <c r="AC10" i="56" s="1"/>
  <c r="U10" i="56" s="1"/>
  <c r="L10" i="57"/>
  <c r="H11" i="57"/>
  <c r="J11" i="57"/>
  <c r="L11" i="57"/>
  <c r="L27" i="53"/>
  <c r="J27" i="53"/>
  <c r="H27" i="53"/>
  <c r="H28" i="66"/>
  <c r="H28" i="26"/>
  <c r="J28" i="66"/>
  <c r="J28" i="26" s="1"/>
  <c r="L28" i="66"/>
  <c r="R38" i="6"/>
  <c r="H80" i="6"/>
  <c r="I80" i="6"/>
  <c r="J80" i="6"/>
  <c r="K80" i="6"/>
  <c r="U80" i="6" s="1"/>
  <c r="F80" i="6"/>
  <c r="H31" i="10"/>
  <c r="I31" i="10"/>
  <c r="J31" i="10"/>
  <c r="K31" i="10" s="1"/>
  <c r="M31" i="10"/>
  <c r="J36" i="9"/>
  <c r="L36" i="9"/>
  <c r="M36" i="9"/>
  <c r="H36" i="9"/>
  <c r="N107" i="178"/>
  <c r="M27" i="10"/>
  <c r="M7" i="10" s="1"/>
  <c r="H27" i="10"/>
  <c r="H7" i="10" s="1"/>
  <c r="I81" i="9"/>
  <c r="J81" i="9"/>
  <c r="K81" i="9"/>
  <c r="L81" i="9"/>
  <c r="AE78" i="8" s="1"/>
  <c r="M81" i="9"/>
  <c r="AF78" i="8" s="1"/>
  <c r="J82" i="9"/>
  <c r="AC79" i="8" s="1"/>
  <c r="T79" i="8" s="1"/>
  <c r="K82" i="9"/>
  <c r="L82" i="9"/>
  <c r="AE79" i="8" s="1"/>
  <c r="M82" i="9"/>
  <c r="AF79" i="8"/>
  <c r="H82" i="9"/>
  <c r="AA79" i="8"/>
  <c r="H81" i="9"/>
  <c r="AA78" i="8"/>
  <c r="R78" i="8" s="1"/>
  <c r="G51" i="9"/>
  <c r="G52" i="9"/>
  <c r="G53" i="9"/>
  <c r="G54" i="9"/>
  <c r="G55" i="9"/>
  <c r="G56" i="9"/>
  <c r="M50" i="9"/>
  <c r="AB56" i="5"/>
  <c r="H42" i="9"/>
  <c r="AA39" i="8"/>
  <c r="H41" i="9"/>
  <c r="J34" i="9"/>
  <c r="K34" i="9"/>
  <c r="L34" i="9"/>
  <c r="M34" i="9"/>
  <c r="H34" i="9"/>
  <c r="M40" i="10"/>
  <c r="L40" i="10"/>
  <c r="L43" i="9" s="1"/>
  <c r="H40" i="10"/>
  <c r="Y49" i="6" s="1"/>
  <c r="AJ32" i="181"/>
  <c r="AJ29" i="181"/>
  <c r="AK29" i="181"/>
  <c r="AJ30" i="181"/>
  <c r="AK30" i="181"/>
  <c r="AJ26" i="181"/>
  <c r="AJ27" i="181"/>
  <c r="AK27" i="181"/>
  <c r="T32" i="181"/>
  <c r="T29" i="181"/>
  <c r="T28" i="181" s="1"/>
  <c r="U29" i="181"/>
  <c r="T30" i="181"/>
  <c r="U30" i="181"/>
  <c r="T21" i="181"/>
  <c r="U21" i="181"/>
  <c r="T27" i="181"/>
  <c r="U27" i="181"/>
  <c r="T26" i="181"/>
  <c r="T24" i="181"/>
  <c r="U24" i="181"/>
  <c r="CV6" i="181"/>
  <c r="CW6" i="181"/>
  <c r="CV7" i="181"/>
  <c r="CW7" i="181"/>
  <c r="L9" i="181"/>
  <c r="CV9" i="181" s="1"/>
  <c r="M9" i="181"/>
  <c r="CW9" i="181" s="1"/>
  <c r="L11" i="181"/>
  <c r="CV11" i="181" s="1"/>
  <c r="M11" i="181"/>
  <c r="CW11" i="181" s="1"/>
  <c r="L20" i="181"/>
  <c r="CV20" i="181" s="1"/>
  <c r="M20" i="181"/>
  <c r="CW20" i="181" s="1"/>
  <c r="M22" i="181"/>
  <c r="CW22" i="181" s="1"/>
  <c r="L23" i="181"/>
  <c r="CV23" i="181" s="1"/>
  <c r="M23" i="181"/>
  <c r="CW23" i="181" s="1"/>
  <c r="L35" i="181"/>
  <c r="CV35" i="181" s="1"/>
  <c r="M35" i="181"/>
  <c r="CW35" i="181" s="1"/>
  <c r="L36" i="181"/>
  <c r="CV36" i="181" s="1"/>
  <c r="M36" i="181"/>
  <c r="CW36" i="181" s="1"/>
  <c r="L37" i="181"/>
  <c r="CV37" i="181" s="1"/>
  <c r="M37" i="181"/>
  <c r="CW37" i="181"/>
  <c r="L38" i="181"/>
  <c r="CV38" i="181" s="1"/>
  <c r="M38" i="181"/>
  <c r="CW38" i="181" s="1"/>
  <c r="L39" i="181"/>
  <c r="CV39" i="181" s="1"/>
  <c r="M39" i="181"/>
  <c r="CW39" i="181" s="1"/>
  <c r="L40" i="181"/>
  <c r="CV40" i="181" s="1"/>
  <c r="M40" i="181"/>
  <c r="CW40" i="181" s="1"/>
  <c r="L41" i="181"/>
  <c r="CV41" i="181" s="1"/>
  <c r="M41" i="181"/>
  <c r="CW41" i="181"/>
  <c r="L44" i="181"/>
  <c r="CV44" i="181" s="1"/>
  <c r="M44" i="181"/>
  <c r="CW44" i="181" s="1"/>
  <c r="L46" i="181"/>
  <c r="CV46" i="181" s="1"/>
  <c r="M46" i="181"/>
  <c r="CW46" i="181" s="1"/>
  <c r="L47" i="181"/>
  <c r="CV47" i="181" s="1"/>
  <c r="M47" i="181"/>
  <c r="CW47" i="181" s="1"/>
  <c r="L48" i="181"/>
  <c r="CV48" i="181" s="1"/>
  <c r="M48" i="181"/>
  <c r="CW48" i="181" s="1"/>
  <c r="L49" i="181"/>
  <c r="CV49" i="181" s="1"/>
  <c r="M49" i="181"/>
  <c r="CW49" i="181" s="1"/>
  <c r="L50" i="181"/>
  <c r="CV50" i="181" s="1"/>
  <c r="M50" i="181"/>
  <c r="CW50" i="181" s="1"/>
  <c r="M55" i="181"/>
  <c r="CW55" i="181" s="1"/>
  <c r="CW56" i="181"/>
  <c r="E21" i="181"/>
  <c r="E43" i="181"/>
  <c r="M43" i="181" s="1"/>
  <c r="CW43" i="181" s="1"/>
  <c r="E52" i="181"/>
  <c r="M52" i="181" s="1"/>
  <c r="CW52" i="181" s="1"/>
  <c r="E54" i="181"/>
  <c r="M54" i="181" s="1"/>
  <c r="CW54" i="181" s="1"/>
  <c r="BG6" i="182"/>
  <c r="BG32" i="182" s="1"/>
  <c r="BH6" i="182"/>
  <c r="BH32" i="182" s="1"/>
  <c r="AY6" i="182"/>
  <c r="AY32" i="182" s="1"/>
  <c r="AZ6" i="182"/>
  <c r="AZ32" i="182" s="1"/>
  <c r="AQ6" i="182"/>
  <c r="AQ32" i="182" s="1"/>
  <c r="AR6" i="182"/>
  <c r="AR32" i="182" s="1"/>
  <c r="AJ9" i="182"/>
  <c r="CZ32" i="182"/>
  <c r="H47" i="182" s="1"/>
  <c r="L17" i="182"/>
  <c r="CN17" i="182" s="1"/>
  <c r="K19" i="182"/>
  <c r="CM19" i="182" s="1"/>
  <c r="L19" i="182"/>
  <c r="CN19" i="182" s="1"/>
  <c r="L20" i="182"/>
  <c r="CN20" i="182" s="1"/>
  <c r="D21" i="182"/>
  <c r="L21" i="182" s="1"/>
  <c r="CN21" i="182" s="1"/>
  <c r="L18" i="182"/>
  <c r="CN18" i="182" s="1"/>
  <c r="AM13" i="183"/>
  <c r="AO13" i="183"/>
  <c r="K16" i="184"/>
  <c r="K17" i="184"/>
  <c r="S19" i="184"/>
  <c r="AI16" i="184"/>
  <c r="AI17" i="184"/>
  <c r="AQ19" i="184"/>
  <c r="J18" i="125"/>
  <c r="U46" i="125"/>
  <c r="T38" i="125"/>
  <c r="U34" i="125"/>
  <c r="W34" i="125"/>
  <c r="W35" i="125" s="1"/>
  <c r="Y34" i="125"/>
  <c r="U28" i="125"/>
  <c r="W28" i="125"/>
  <c r="Y28" i="125"/>
  <c r="J10" i="125"/>
  <c r="E37" i="125"/>
  <c r="E34" i="125"/>
  <c r="U34" i="124"/>
  <c r="U31" i="124"/>
  <c r="W31" i="124"/>
  <c r="Y31" i="124"/>
  <c r="U36" i="123"/>
  <c r="W36" i="123"/>
  <c r="Y36" i="123"/>
  <c r="U33" i="123"/>
  <c r="U30" i="123"/>
  <c r="U27" i="123"/>
  <c r="W27" i="123"/>
  <c r="Y27" i="123"/>
  <c r="J15" i="123"/>
  <c r="E15" i="123"/>
  <c r="AK32" i="181"/>
  <c r="E9" i="123"/>
  <c r="D26" i="107"/>
  <c r="F26" i="107"/>
  <c r="U26" i="107"/>
  <c r="W26" i="107"/>
  <c r="Y26" i="107"/>
  <c r="E57" i="104"/>
  <c r="G57" i="104"/>
  <c r="I57" i="104"/>
  <c r="E51" i="104"/>
  <c r="G51" i="104"/>
  <c r="I51" i="104"/>
  <c r="J9" i="106"/>
  <c r="J36" i="106" s="1"/>
  <c r="E38" i="106"/>
  <c r="G38" i="106"/>
  <c r="I38" i="106"/>
  <c r="R8" i="105"/>
  <c r="H87" i="4"/>
  <c r="Q17" i="3" s="1"/>
  <c r="G121" i="1"/>
  <c r="I89" i="4"/>
  <c r="R16" i="2"/>
  <c r="J89" i="4"/>
  <c r="S16" i="2" s="1"/>
  <c r="I130" i="1"/>
  <c r="L89" i="4"/>
  <c r="K130" i="1"/>
  <c r="M89" i="4"/>
  <c r="V16" i="2"/>
  <c r="H89" i="4"/>
  <c r="R89" i="4" s="1"/>
  <c r="P5" i="1"/>
  <c r="J42" i="4"/>
  <c r="I67" i="1" s="1"/>
  <c r="L42" i="4"/>
  <c r="M42" i="4"/>
  <c r="H42" i="4"/>
  <c r="G42" i="4" s="1"/>
  <c r="H35" i="4"/>
  <c r="G35" i="4" s="1"/>
  <c r="H36" i="4"/>
  <c r="J11" i="4"/>
  <c r="L11" i="4"/>
  <c r="K11" i="4" s="1"/>
  <c r="M11" i="4"/>
  <c r="J12" i="4"/>
  <c r="L12" i="4"/>
  <c r="M12" i="4"/>
  <c r="J18" i="4"/>
  <c r="L18" i="4"/>
  <c r="K18" i="4" s="1"/>
  <c r="M18" i="4"/>
  <c r="M8" i="18"/>
  <c r="H41" i="14"/>
  <c r="H23" i="14"/>
  <c r="I23" i="14" s="1"/>
  <c r="J21" i="18"/>
  <c r="J20" i="18"/>
  <c r="H21" i="18"/>
  <c r="M92" i="8"/>
  <c r="F92" i="8"/>
  <c r="H92" i="8"/>
  <c r="J184" i="70"/>
  <c r="S5" i="68"/>
  <c r="F12" i="125"/>
  <c r="G12" i="125"/>
  <c r="G44" i="125" s="1"/>
  <c r="H12" i="125"/>
  <c r="J12" i="125"/>
  <c r="J123" i="70"/>
  <c r="J130" i="70"/>
  <c r="J137" i="70"/>
  <c r="M8" i="52"/>
  <c r="J28" i="125" s="1"/>
  <c r="V8" i="107"/>
  <c r="W8" i="107"/>
  <c r="X8" i="107"/>
  <c r="Y8" i="107"/>
  <c r="Z8" i="107"/>
  <c r="H47" i="32"/>
  <c r="I47" i="8"/>
  <c r="K81" i="6"/>
  <c r="G285" i="177"/>
  <c r="E285" i="177"/>
  <c r="F286" i="177"/>
  <c r="G266" i="177"/>
  <c r="H44" i="9" s="1"/>
  <c r="AA41" i="8" s="1"/>
  <c r="F272" i="177"/>
  <c r="F270" i="177"/>
  <c r="F269" i="177"/>
  <c r="F184" i="177"/>
  <c r="F183" i="177"/>
  <c r="F182" i="177"/>
  <c r="F186" i="177"/>
  <c r="F185" i="177"/>
  <c r="F181" i="177"/>
  <c r="F180" i="177"/>
  <c r="F179" i="177"/>
  <c r="F178" i="177"/>
  <c r="F177" i="177"/>
  <c r="F174" i="177"/>
  <c r="F173" i="177"/>
  <c r="F172" i="177"/>
  <c r="F175" i="177"/>
  <c r="F171" i="177"/>
  <c r="F170" i="177"/>
  <c r="F169" i="177"/>
  <c r="F176" i="177"/>
  <c r="F197" i="177"/>
  <c r="F130" i="177"/>
  <c r="F147" i="177"/>
  <c r="F146" i="177"/>
  <c r="F145" i="177"/>
  <c r="F144" i="177"/>
  <c r="F143" i="177"/>
  <c r="F142" i="177"/>
  <c r="F141" i="177"/>
  <c r="F140" i="177"/>
  <c r="F139" i="177"/>
  <c r="F153" i="177"/>
  <c r="F152" i="177"/>
  <c r="F151" i="177"/>
  <c r="F150" i="177"/>
  <c r="F149" i="177"/>
  <c r="F148" i="177"/>
  <c r="F155" i="177"/>
  <c r="F154" i="177"/>
  <c r="F156" i="177"/>
  <c r="E200" i="177"/>
  <c r="E199" i="177" s="1"/>
  <c r="F58" i="8" s="1"/>
  <c r="G47" i="177"/>
  <c r="H47" i="177" s="1"/>
  <c r="H46" i="177" s="1"/>
  <c r="E16" i="182" s="1"/>
  <c r="M16" i="182" s="1"/>
  <c r="CO16" i="182" s="1"/>
  <c r="F49" i="177"/>
  <c r="G26" i="177"/>
  <c r="F27" i="177"/>
  <c r="G24" i="177"/>
  <c r="F31" i="177"/>
  <c r="F30" i="177"/>
  <c r="L28" i="177"/>
  <c r="G29" i="177"/>
  <c r="G28" i="177"/>
  <c r="E29" i="177"/>
  <c r="E28" i="177" s="1"/>
  <c r="L107" i="178"/>
  <c r="F36" i="4" s="1"/>
  <c r="E59" i="1" s="1"/>
  <c r="J33" i="10"/>
  <c r="AA35" i="6" s="1"/>
  <c r="M36" i="4"/>
  <c r="L18" i="2"/>
  <c r="M108" i="178"/>
  <c r="K49" i="182" s="1"/>
  <c r="N103" i="178"/>
  <c r="T103" i="178" s="1"/>
  <c r="M105" i="178"/>
  <c r="T98" i="178"/>
  <c r="N98" i="178"/>
  <c r="M100" i="178"/>
  <c r="M27" i="8"/>
  <c r="H27" i="8"/>
  <c r="J78" i="178"/>
  <c r="I78" i="178"/>
  <c r="H78" i="178"/>
  <c r="G78" i="178"/>
  <c r="F78" i="178"/>
  <c r="E78" i="178"/>
  <c r="M77" i="178"/>
  <c r="M76" i="178"/>
  <c r="S75" i="178"/>
  <c r="R75" i="178"/>
  <c r="R74" i="178"/>
  <c r="Q74" i="178" s="1"/>
  <c r="P75" i="178"/>
  <c r="P74" i="178" s="1"/>
  <c r="O75" i="178"/>
  <c r="N75" i="178"/>
  <c r="N74" i="178"/>
  <c r="L75" i="178"/>
  <c r="L74" i="178" s="1"/>
  <c r="L72" i="178" s="1"/>
  <c r="M72" i="178" s="1"/>
  <c r="S74" i="178"/>
  <c r="T73" i="178"/>
  <c r="M73" i="178"/>
  <c r="R71" i="178"/>
  <c r="L71" i="178"/>
  <c r="M71" i="178" s="1"/>
  <c r="M70" i="178"/>
  <c r="O67" i="178"/>
  <c r="O69" i="178"/>
  <c r="O68" i="178" s="1"/>
  <c r="N69" i="178"/>
  <c r="L69" i="178"/>
  <c r="M67" i="178"/>
  <c r="T65" i="178"/>
  <c r="M60" i="178"/>
  <c r="N53" i="178"/>
  <c r="M61" i="178"/>
  <c r="L58" i="178"/>
  <c r="T55" i="178"/>
  <c r="O55" i="178"/>
  <c r="M55" i="178"/>
  <c r="J31" i="8"/>
  <c r="L31" i="8"/>
  <c r="K31" i="8" s="1"/>
  <c r="M31" i="8"/>
  <c r="H31" i="8"/>
  <c r="I31" i="8" s="1"/>
  <c r="O49" i="178"/>
  <c r="O51" i="178" s="1"/>
  <c r="P49" i="178"/>
  <c r="R49" i="178"/>
  <c r="S49" i="178"/>
  <c r="S51" i="178" s="1"/>
  <c r="N49" i="178"/>
  <c r="N51" i="178" s="1"/>
  <c r="T50" i="178"/>
  <c r="M50" i="178"/>
  <c r="O42" i="178"/>
  <c r="O46" i="178" s="1"/>
  <c r="N42" i="178"/>
  <c r="T44" i="178"/>
  <c r="M44" i="178"/>
  <c r="T43" i="178"/>
  <c r="M43" i="178"/>
  <c r="L46" i="178"/>
  <c r="T45" i="178"/>
  <c r="M45" i="178"/>
  <c r="J42" i="178"/>
  <c r="J46" i="178" s="1"/>
  <c r="I42" i="178"/>
  <c r="I46" i="178" s="1"/>
  <c r="H42" i="178"/>
  <c r="H46" i="178" s="1"/>
  <c r="G42" i="178"/>
  <c r="G46" i="178"/>
  <c r="F42" i="178"/>
  <c r="F46" i="178" s="1"/>
  <c r="E42" i="178"/>
  <c r="E46" i="178" s="1"/>
  <c r="T41" i="178"/>
  <c r="N37" i="178"/>
  <c r="T37" i="178" s="1"/>
  <c r="M38" i="178"/>
  <c r="L33" i="178"/>
  <c r="M33" i="178" s="1"/>
  <c r="J40" i="178"/>
  <c r="I40" i="178"/>
  <c r="H40" i="178"/>
  <c r="G40" i="178"/>
  <c r="F40" i="178"/>
  <c r="E40" i="178"/>
  <c r="M39" i="178"/>
  <c r="L37" i="178"/>
  <c r="T35" i="178"/>
  <c r="M35" i="178"/>
  <c r="M32" i="178"/>
  <c r="N31" i="178"/>
  <c r="N30" i="178" s="1"/>
  <c r="N28" i="178" s="1"/>
  <c r="L31" i="178"/>
  <c r="M29" i="178"/>
  <c r="T27" i="178"/>
  <c r="N66" i="178"/>
  <c r="N36" i="178"/>
  <c r="M25" i="178"/>
  <c r="N24" i="178"/>
  <c r="L24" i="178"/>
  <c r="L23" i="178"/>
  <c r="M227" i="177"/>
  <c r="H227" i="177"/>
  <c r="F227" i="177"/>
  <c r="M225" i="177"/>
  <c r="H225" i="177"/>
  <c r="F225" i="177"/>
  <c r="E224" i="177"/>
  <c r="M217" i="177"/>
  <c r="H217" i="177"/>
  <c r="F217" i="177"/>
  <c r="M215" i="177"/>
  <c r="H215" i="177"/>
  <c r="F215" i="177"/>
  <c r="E214" i="177"/>
  <c r="F83" i="177"/>
  <c r="I216" i="177"/>
  <c r="I214" i="177" s="1"/>
  <c r="K216" i="177"/>
  <c r="L216" i="177"/>
  <c r="L214" i="177"/>
  <c r="I228" i="177"/>
  <c r="L226" i="177"/>
  <c r="L224" i="177" s="1"/>
  <c r="J220" i="70"/>
  <c r="J219" i="70"/>
  <c r="G216" i="177" s="1"/>
  <c r="G214" i="177" s="1"/>
  <c r="M111" i="70"/>
  <c r="K111" i="70"/>
  <c r="I111" i="70"/>
  <c r="K37" i="70"/>
  <c r="I37" i="70"/>
  <c r="K36" i="70"/>
  <c r="I36" i="70"/>
  <c r="K35" i="70"/>
  <c r="I35" i="70"/>
  <c r="M109" i="70"/>
  <c r="K109" i="70"/>
  <c r="I109" i="70"/>
  <c r="M108" i="70"/>
  <c r="K108" i="70"/>
  <c r="I108" i="70"/>
  <c r="K34" i="70"/>
  <c r="I34" i="70"/>
  <c r="M110" i="70"/>
  <c r="K110" i="70"/>
  <c r="I110" i="70"/>
  <c r="K33" i="70"/>
  <c r="I33" i="70"/>
  <c r="K32" i="70"/>
  <c r="I32" i="70"/>
  <c r="K31" i="70"/>
  <c r="I31" i="70"/>
  <c r="K30" i="70"/>
  <c r="I30" i="70"/>
  <c r="K29" i="70"/>
  <c r="I29" i="70"/>
  <c r="M107" i="70"/>
  <c r="K107" i="70"/>
  <c r="I107" i="70"/>
  <c r="M106" i="70"/>
  <c r="K106" i="70"/>
  <c r="I106" i="70"/>
  <c r="M105" i="70"/>
  <c r="K105" i="70"/>
  <c r="I105" i="70"/>
  <c r="K28" i="70"/>
  <c r="I28" i="70"/>
  <c r="K27" i="70"/>
  <c r="I27" i="70"/>
  <c r="M104" i="70"/>
  <c r="K104" i="70"/>
  <c r="I104" i="70"/>
  <c r="M103" i="70"/>
  <c r="K103" i="70"/>
  <c r="I103" i="70"/>
  <c r="K26" i="70"/>
  <c r="I26" i="70"/>
  <c r="M102" i="70"/>
  <c r="K102" i="70"/>
  <c r="I102" i="70"/>
  <c r="M101" i="70"/>
  <c r="K101" i="70"/>
  <c r="I101" i="70"/>
  <c r="K25" i="70"/>
  <c r="I25" i="70"/>
  <c r="M100" i="70"/>
  <c r="K100" i="70"/>
  <c r="I100" i="70"/>
  <c r="J4" i="70"/>
  <c r="J56" i="70"/>
  <c r="J80" i="70"/>
  <c r="J97" i="70"/>
  <c r="M99" i="70"/>
  <c r="K99" i="70"/>
  <c r="I99" i="70"/>
  <c r="K55" i="70"/>
  <c r="K24" i="70"/>
  <c r="M23" i="70"/>
  <c r="K23" i="70"/>
  <c r="I23" i="70"/>
  <c r="M22" i="70"/>
  <c r="K22" i="70"/>
  <c r="I22" i="70"/>
  <c r="I112" i="177"/>
  <c r="I110" i="177" s="1"/>
  <c r="I114" i="177" s="1"/>
  <c r="J218" i="70"/>
  <c r="K218" i="70" s="1"/>
  <c r="G112" i="177"/>
  <c r="H112" i="177" s="1"/>
  <c r="L70" i="177"/>
  <c r="J215" i="70"/>
  <c r="K215" i="70" s="1"/>
  <c r="I76" i="60"/>
  <c r="K76" i="60"/>
  <c r="L76" i="60"/>
  <c r="M76" i="60"/>
  <c r="H76" i="60"/>
  <c r="K16" i="70"/>
  <c r="J216" i="70"/>
  <c r="K216" i="70" s="1"/>
  <c r="I85" i="177"/>
  <c r="L84" i="177"/>
  <c r="L82" i="177" s="1"/>
  <c r="L85" i="177" s="1"/>
  <c r="H215" i="70"/>
  <c r="H216" i="70"/>
  <c r="R214" i="70"/>
  <c r="Q214" i="70"/>
  <c r="P214" i="70"/>
  <c r="I100" i="177"/>
  <c r="L100" i="177"/>
  <c r="M55" i="10" s="1"/>
  <c r="J98" i="69"/>
  <c r="K98" i="69" s="1"/>
  <c r="L96" i="69"/>
  <c r="J97" i="69"/>
  <c r="K97" i="69"/>
  <c r="H98" i="69"/>
  <c r="H97" i="69"/>
  <c r="H96" i="69" s="1"/>
  <c r="H100" i="69" s="1"/>
  <c r="R96" i="69"/>
  <c r="Q96" i="69"/>
  <c r="P4" i="69"/>
  <c r="H4" i="69"/>
  <c r="E100" i="177" s="1"/>
  <c r="G4" i="70"/>
  <c r="E4" i="70"/>
  <c r="I41" i="69"/>
  <c r="I40" i="69"/>
  <c r="I39" i="69"/>
  <c r="I38" i="69"/>
  <c r="I37" i="69"/>
  <c r="I36" i="69"/>
  <c r="I35" i="69"/>
  <c r="I34" i="69"/>
  <c r="I33" i="69"/>
  <c r="I32" i="69"/>
  <c r="I31" i="69"/>
  <c r="I30" i="69"/>
  <c r="I29" i="69"/>
  <c r="I28" i="69"/>
  <c r="I27" i="69"/>
  <c r="I26" i="69"/>
  <c r="I25" i="69"/>
  <c r="I24" i="69"/>
  <c r="I23" i="69"/>
  <c r="I22" i="69"/>
  <c r="I46" i="69"/>
  <c r="I45" i="69"/>
  <c r="I44" i="69"/>
  <c r="I43" i="69"/>
  <c r="I42" i="69"/>
  <c r="K20" i="69"/>
  <c r="I20" i="69"/>
  <c r="K19" i="69"/>
  <c r="I19" i="69"/>
  <c r="K18" i="69"/>
  <c r="I18" i="69"/>
  <c r="K17" i="69"/>
  <c r="I17" i="69"/>
  <c r="K16" i="69"/>
  <c r="I16" i="69"/>
  <c r="K15" i="69"/>
  <c r="I15" i="69"/>
  <c r="I47" i="69"/>
  <c r="I21" i="69"/>
  <c r="K14" i="69"/>
  <c r="I14" i="69"/>
  <c r="K13" i="69"/>
  <c r="I13" i="69"/>
  <c r="I48" i="69"/>
  <c r="K12" i="69"/>
  <c r="I12" i="69"/>
  <c r="I49" i="69"/>
  <c r="M109" i="178"/>
  <c r="K48" i="182" s="1"/>
  <c r="N106" i="178"/>
  <c r="N110" i="178" s="1"/>
  <c r="M89" i="178"/>
  <c r="M92" i="178"/>
  <c r="M94" i="178"/>
  <c r="M96" i="178"/>
  <c r="D43" i="181" s="1"/>
  <c r="L43" i="181" s="1"/>
  <c r="CV43" i="181" s="1"/>
  <c r="M97" i="178"/>
  <c r="M99" i="178"/>
  <c r="N88" i="178"/>
  <c r="O88" i="178"/>
  <c r="P88" i="178"/>
  <c r="R88" i="178"/>
  <c r="S88" i="178"/>
  <c r="N91" i="178"/>
  <c r="N93" i="178"/>
  <c r="N95" i="178"/>
  <c r="M82" i="178"/>
  <c r="N81" i="178"/>
  <c r="N83" i="178"/>
  <c r="P80" i="178"/>
  <c r="P84" i="178" s="1"/>
  <c r="AM34" i="181" s="1"/>
  <c r="R80" i="178"/>
  <c r="M54" i="178"/>
  <c r="M56" i="178"/>
  <c r="M57" i="178"/>
  <c r="M62" i="178"/>
  <c r="M63" i="178"/>
  <c r="M49" i="178"/>
  <c r="M48" i="178"/>
  <c r="P51" i="178"/>
  <c r="R51" i="178"/>
  <c r="M21" i="178"/>
  <c r="M22" i="178"/>
  <c r="N20" i="178"/>
  <c r="M5" i="178"/>
  <c r="M8" i="178"/>
  <c r="M9" i="178"/>
  <c r="M10" i="178"/>
  <c r="M14" i="178"/>
  <c r="N7" i="178"/>
  <c r="N6" i="178" s="1"/>
  <c r="O7" i="178"/>
  <c r="O6" i="178" s="1"/>
  <c r="O4" i="178" s="1"/>
  <c r="O15" i="178" s="1"/>
  <c r="P7" i="178"/>
  <c r="P6" i="178" s="1"/>
  <c r="P4" i="178" s="1"/>
  <c r="R7" i="178"/>
  <c r="S7" i="178"/>
  <c r="S6" i="178"/>
  <c r="N13" i="178"/>
  <c r="N12" i="178" s="1"/>
  <c r="P12" i="178"/>
  <c r="J29" i="8" s="1"/>
  <c r="J28" i="8" s="1"/>
  <c r="S12" i="178"/>
  <c r="M29" i="8" s="1"/>
  <c r="M28" i="8" s="1"/>
  <c r="F277" i="177"/>
  <c r="F278" i="177"/>
  <c r="C18" i="182" s="1"/>
  <c r="K18" i="182" s="1"/>
  <c r="CM18" i="182" s="1"/>
  <c r="F279" i="177"/>
  <c r="D52" i="181" s="1"/>
  <c r="L52" i="181" s="1"/>
  <c r="CV52" i="181" s="1"/>
  <c r="F281" i="177"/>
  <c r="F282" i="177"/>
  <c r="F283" i="177"/>
  <c r="F287" i="177"/>
  <c r="G275" i="177"/>
  <c r="M275" i="177" s="1"/>
  <c r="G280" i="177"/>
  <c r="F267" i="177"/>
  <c r="F268" i="177"/>
  <c r="F271" i="177"/>
  <c r="F261" i="177"/>
  <c r="G260" i="177"/>
  <c r="G262" i="177" s="1"/>
  <c r="F249" i="177"/>
  <c r="G248" i="177"/>
  <c r="G247" i="177" s="1"/>
  <c r="F239" i="177"/>
  <c r="G238" i="177"/>
  <c r="G237" i="177"/>
  <c r="F233" i="177"/>
  <c r="G232" i="177"/>
  <c r="F222" i="177"/>
  <c r="F223" i="177"/>
  <c r="G221" i="177"/>
  <c r="G220" i="177" s="1"/>
  <c r="F212" i="177"/>
  <c r="F213" i="177"/>
  <c r="G211" i="177"/>
  <c r="G210" i="177" s="1"/>
  <c r="I210" i="177"/>
  <c r="I218" i="177" s="1"/>
  <c r="G32" i="181" s="1"/>
  <c r="K211" i="177"/>
  <c r="J211" i="177" s="1"/>
  <c r="L40" i="8"/>
  <c r="L211" i="177"/>
  <c r="L210" i="177" s="1"/>
  <c r="F121" i="177"/>
  <c r="F122" i="177"/>
  <c r="F123" i="177"/>
  <c r="F124" i="177"/>
  <c r="F125" i="177"/>
  <c r="F126" i="177"/>
  <c r="F128" i="177"/>
  <c r="F129" i="177"/>
  <c r="F131" i="177"/>
  <c r="F134" i="177"/>
  <c r="F135" i="177"/>
  <c r="F136" i="177"/>
  <c r="F137" i="177"/>
  <c r="F138" i="177"/>
  <c r="F158" i="177"/>
  <c r="F159" i="177"/>
  <c r="F161" i="177"/>
  <c r="F162" i="177"/>
  <c r="F163" i="177"/>
  <c r="F164" i="177"/>
  <c r="F165" i="177"/>
  <c r="F166" i="177"/>
  <c r="F167" i="177"/>
  <c r="F168" i="177"/>
  <c r="G127" i="177"/>
  <c r="G120" i="177" s="1"/>
  <c r="D13" i="182" s="1"/>
  <c r="CG13" i="182" s="1"/>
  <c r="G133" i="177"/>
  <c r="G132" i="177" s="1"/>
  <c r="D14" i="182" s="1"/>
  <c r="CG14" i="182" s="1"/>
  <c r="G160" i="177"/>
  <c r="G157" i="177" s="1"/>
  <c r="D15" i="182" s="1"/>
  <c r="L15" i="182" s="1"/>
  <c r="CN15" i="182" s="1"/>
  <c r="F15" i="182"/>
  <c r="N15" i="182" s="1"/>
  <c r="CP15" i="182" s="1"/>
  <c r="K160" i="177"/>
  <c r="L160" i="177"/>
  <c r="L157" i="177"/>
  <c r="G97" i="177"/>
  <c r="G94" i="177" s="1"/>
  <c r="F98" i="177"/>
  <c r="F47" i="177"/>
  <c r="F48" i="177"/>
  <c r="F51" i="177"/>
  <c r="F53" i="177"/>
  <c r="G46" i="177"/>
  <c r="G45" i="177" s="1"/>
  <c r="G52" i="177"/>
  <c r="I52" i="177"/>
  <c r="I44" i="177" s="1"/>
  <c r="K52" i="177"/>
  <c r="F40" i="177"/>
  <c r="F39" i="177"/>
  <c r="F36" i="177"/>
  <c r="G38" i="177"/>
  <c r="F25" i="177"/>
  <c r="F20" i="177"/>
  <c r="G19" i="177"/>
  <c r="F6" i="177"/>
  <c r="F7" i="177"/>
  <c r="F10" i="177"/>
  <c r="F5" i="177"/>
  <c r="D54" i="181"/>
  <c r="L54" i="181" s="1"/>
  <c r="CV54" i="181" s="1"/>
  <c r="L11" i="177"/>
  <c r="L9" i="177" s="1"/>
  <c r="M46" i="10" s="1"/>
  <c r="J60" i="71"/>
  <c r="L60" i="71"/>
  <c r="O99" i="71"/>
  <c r="M99" i="71"/>
  <c r="K99" i="71"/>
  <c r="O98" i="71"/>
  <c r="M98" i="71"/>
  <c r="K98" i="71"/>
  <c r="O100" i="71"/>
  <c r="M100" i="71"/>
  <c r="K100" i="71"/>
  <c r="O97" i="71"/>
  <c r="M97" i="71"/>
  <c r="K97" i="71"/>
  <c r="K72" i="71"/>
  <c r="M72" i="71"/>
  <c r="G20" i="72"/>
  <c r="L30" i="72"/>
  <c r="J30" i="72"/>
  <c r="H30" i="72"/>
  <c r="L29" i="72"/>
  <c r="J29" i="72"/>
  <c r="H29" i="72"/>
  <c r="L28" i="72"/>
  <c r="J28" i="72"/>
  <c r="H28" i="72"/>
  <c r="L27" i="72"/>
  <c r="J27" i="72"/>
  <c r="H27" i="72"/>
  <c r="L31" i="72"/>
  <c r="J31" i="72"/>
  <c r="H31" i="72"/>
  <c r="L26" i="72"/>
  <c r="J26" i="72"/>
  <c r="H26" i="72"/>
  <c r="L25" i="72"/>
  <c r="J25" i="72"/>
  <c r="H25" i="72"/>
  <c r="L24" i="72"/>
  <c r="J24" i="72"/>
  <c r="H24" i="72"/>
  <c r="L23" i="72"/>
  <c r="J23" i="72"/>
  <c r="H23" i="72"/>
  <c r="L22" i="72"/>
  <c r="J22" i="72"/>
  <c r="H22" i="72"/>
  <c r="L16" i="72"/>
  <c r="J16" i="72"/>
  <c r="H16" i="72"/>
  <c r="L15" i="72"/>
  <c r="J15" i="72"/>
  <c r="H15" i="72"/>
  <c r="L14" i="72"/>
  <c r="J14" i="72"/>
  <c r="H14" i="72"/>
  <c r="H13" i="72"/>
  <c r="H17" i="72"/>
  <c r="H18" i="72"/>
  <c r="H19" i="72"/>
  <c r="I3" i="72"/>
  <c r="H12" i="72"/>
  <c r="AF64" i="8"/>
  <c r="W64" i="8" s="1"/>
  <c r="I29" i="10"/>
  <c r="J29" i="10"/>
  <c r="J28" i="10"/>
  <c r="L29" i="10"/>
  <c r="L28" i="10"/>
  <c r="K28" i="10" s="1"/>
  <c r="M29" i="10"/>
  <c r="H29" i="10"/>
  <c r="AA29" i="8" s="1"/>
  <c r="M41" i="9"/>
  <c r="AF38" i="8"/>
  <c r="M42" i="9"/>
  <c r="I63" i="8"/>
  <c r="J63" i="8"/>
  <c r="L63" i="8"/>
  <c r="K63" i="8" s="1"/>
  <c r="M63" i="8"/>
  <c r="I66" i="8"/>
  <c r="I65" i="8" s="1"/>
  <c r="J66" i="8"/>
  <c r="J65" i="8" s="1"/>
  <c r="L66" i="8"/>
  <c r="M66" i="8"/>
  <c r="M65" i="8" s="1"/>
  <c r="J74" i="8"/>
  <c r="I74" i="8" s="1"/>
  <c r="L74" i="8"/>
  <c r="M74" i="8"/>
  <c r="L78" i="8"/>
  <c r="K78" i="8" s="1"/>
  <c r="M78" i="8"/>
  <c r="W78" i="8" s="1"/>
  <c r="J79" i="8"/>
  <c r="L79" i="8"/>
  <c r="M79" i="8"/>
  <c r="M102" i="4" s="1"/>
  <c r="H79" i="8"/>
  <c r="H74" i="8"/>
  <c r="H66" i="8"/>
  <c r="H65" i="8" s="1"/>
  <c r="H63" i="8"/>
  <c r="J38" i="8"/>
  <c r="L38" i="8"/>
  <c r="M38" i="8"/>
  <c r="J39" i="8"/>
  <c r="L39" i="8"/>
  <c r="M39" i="8"/>
  <c r="H39" i="8"/>
  <c r="H38" i="8"/>
  <c r="J11" i="8"/>
  <c r="I11" i="8" s="1"/>
  <c r="L11" i="8"/>
  <c r="J12" i="8"/>
  <c r="I12" i="8" s="1"/>
  <c r="L12" i="8"/>
  <c r="F8" i="7"/>
  <c r="U55" i="5"/>
  <c r="E290" i="177"/>
  <c r="AJ8" i="124"/>
  <c r="AK8" i="124"/>
  <c r="AI11" i="124"/>
  <c r="AJ11" i="124"/>
  <c r="AK11" i="124"/>
  <c r="F11" i="124"/>
  <c r="AJ19" i="124"/>
  <c r="AK19" i="124"/>
  <c r="K91" i="71"/>
  <c r="M91" i="71"/>
  <c r="O91" i="71"/>
  <c r="K92" i="71"/>
  <c r="M92" i="71"/>
  <c r="O92" i="71"/>
  <c r="K93" i="71"/>
  <c r="M93" i="71"/>
  <c r="O93" i="71"/>
  <c r="K94" i="71"/>
  <c r="M94" i="71"/>
  <c r="O94" i="71"/>
  <c r="K95" i="71"/>
  <c r="M95" i="71"/>
  <c r="O95" i="71"/>
  <c r="K96" i="71"/>
  <c r="M96" i="71"/>
  <c r="O96" i="71"/>
  <c r="K101" i="71"/>
  <c r="M101" i="71"/>
  <c r="O101" i="71"/>
  <c r="F57" i="29"/>
  <c r="F43" i="29"/>
  <c r="F40" i="10"/>
  <c r="D49" i="6" s="1"/>
  <c r="C52" i="181"/>
  <c r="K52" i="181" s="1"/>
  <c r="CU52" i="181" s="1"/>
  <c r="B18" i="182"/>
  <c r="J18" i="182" s="1"/>
  <c r="CL18" i="182" s="1"/>
  <c r="F42" i="9"/>
  <c r="F41" i="9"/>
  <c r="F12" i="62"/>
  <c r="F41" i="62"/>
  <c r="F41" i="61" s="1"/>
  <c r="F40" i="62"/>
  <c r="F47" i="62"/>
  <c r="F48" i="62"/>
  <c r="F46" i="62"/>
  <c r="F46" i="61" s="1"/>
  <c r="Z46" i="60" s="1"/>
  <c r="Q46" i="60" s="1"/>
  <c r="DC57" i="181"/>
  <c r="G3" i="72"/>
  <c r="G2" i="72"/>
  <c r="G47" i="72" s="1"/>
  <c r="E15" i="177" s="1"/>
  <c r="BV6" i="182"/>
  <c r="BV32" i="182" s="1"/>
  <c r="B49" i="182" s="1"/>
  <c r="J19" i="182"/>
  <c r="CL19" i="182" s="1"/>
  <c r="J20" i="182"/>
  <c r="CL20" i="182" s="1"/>
  <c r="Z110" i="178"/>
  <c r="H21" i="70"/>
  <c r="I21" i="70" s="1"/>
  <c r="H20" i="70"/>
  <c r="I20" i="70"/>
  <c r="H19" i="70"/>
  <c r="I19" i="70" s="1"/>
  <c r="H18" i="70"/>
  <c r="I18" i="70" s="1"/>
  <c r="H16" i="70"/>
  <c r="I16" i="70" s="1"/>
  <c r="H64" i="70"/>
  <c r="H56" i="70"/>
  <c r="F48" i="17"/>
  <c r="F49" i="17"/>
  <c r="F50" i="17"/>
  <c r="F51" i="17"/>
  <c r="F47" i="17"/>
  <c r="R52" i="182"/>
  <c r="AI51" i="181"/>
  <c r="C54" i="181"/>
  <c r="K54" i="181" s="1"/>
  <c r="CU54" i="181" s="1"/>
  <c r="C43" i="181"/>
  <c r="K43" i="181" s="1"/>
  <c r="CU43" i="181" s="1"/>
  <c r="AI27" i="181"/>
  <c r="S27" i="181"/>
  <c r="S24" i="181"/>
  <c r="S30" i="181"/>
  <c r="AI30" i="181"/>
  <c r="AI29" i="181"/>
  <c r="S29" i="181"/>
  <c r="K56" i="181"/>
  <c r="CU56" i="181" s="1"/>
  <c r="K50" i="181"/>
  <c r="CU50" i="181" s="1"/>
  <c r="K49" i="181"/>
  <c r="CU49" i="181" s="1"/>
  <c r="K48" i="181"/>
  <c r="CU48" i="181"/>
  <c r="K47" i="181"/>
  <c r="CU47" i="181" s="1"/>
  <c r="K46" i="181"/>
  <c r="CU46" i="181" s="1"/>
  <c r="K44" i="181"/>
  <c r="CU44" i="181" s="1"/>
  <c r="K41" i="181"/>
  <c r="CU41" i="181" s="1"/>
  <c r="K40" i="181"/>
  <c r="CU40" i="181" s="1"/>
  <c r="K39" i="181"/>
  <c r="CU39" i="181" s="1"/>
  <c r="K38" i="181"/>
  <c r="CU38" i="181" s="1"/>
  <c r="K37" i="181"/>
  <c r="CU37" i="181" s="1"/>
  <c r="K36" i="181"/>
  <c r="CU36" i="181" s="1"/>
  <c r="K35" i="181"/>
  <c r="CU35" i="181" s="1"/>
  <c r="K23" i="181"/>
  <c r="CU23" i="181" s="1"/>
  <c r="K22" i="181"/>
  <c r="CU22" i="181" s="1"/>
  <c r="K20" i="181"/>
  <c r="CU20" i="181" s="1"/>
  <c r="K11" i="181"/>
  <c r="CU11" i="181" s="1"/>
  <c r="K9" i="181"/>
  <c r="CU9" i="181" s="1"/>
  <c r="J17" i="182"/>
  <c r="CL17" i="182"/>
  <c r="J29" i="182"/>
  <c r="CL29" i="182" s="1"/>
  <c r="B21" i="182"/>
  <c r="J21" i="182" s="1"/>
  <c r="CL21" i="182" s="1"/>
  <c r="AP6" i="182"/>
  <c r="AP32" i="182" s="1"/>
  <c r="AX6" i="182"/>
  <c r="AX32" i="182" s="1"/>
  <c r="BF6" i="182"/>
  <c r="BF32" i="182" s="1"/>
  <c r="CD6" i="182"/>
  <c r="CD32" i="182" s="1"/>
  <c r="S14" i="181"/>
  <c r="AA14" i="181"/>
  <c r="AY14" i="181"/>
  <c r="BG14" i="181"/>
  <c r="BO14" i="181"/>
  <c r="CE14" i="181"/>
  <c r="AI17" i="181"/>
  <c r="AH9" i="182"/>
  <c r="AL13" i="183"/>
  <c r="X13" i="183"/>
  <c r="R13" i="183"/>
  <c r="AD11" i="183"/>
  <c r="AD10" i="183"/>
  <c r="AD9" i="183"/>
  <c r="CE21" i="181"/>
  <c r="BO21" i="181"/>
  <c r="BG21" i="181"/>
  <c r="AY21" i="181"/>
  <c r="AQ21" i="181"/>
  <c r="AI21" i="181"/>
  <c r="AA21" i="181"/>
  <c r="AA57" i="181" s="1"/>
  <c r="S21" i="181"/>
  <c r="C21" i="181"/>
  <c r="CE8" i="181"/>
  <c r="BO8" i="181"/>
  <c r="BG8" i="181"/>
  <c r="AY8" i="181"/>
  <c r="AQ8" i="181"/>
  <c r="AI8" i="181"/>
  <c r="AA8" i="181"/>
  <c r="S8" i="181"/>
  <c r="CU7" i="181"/>
  <c r="CU6" i="181"/>
  <c r="F55" i="65"/>
  <c r="G55" i="65" s="1"/>
  <c r="F61" i="37"/>
  <c r="F65" i="33"/>
  <c r="F18" i="65"/>
  <c r="F82" i="9"/>
  <c r="Y79" i="8"/>
  <c r="F81" i="9"/>
  <c r="Y78" i="8" s="1"/>
  <c r="F37" i="4"/>
  <c r="F78" i="8"/>
  <c r="F79" i="8"/>
  <c r="L13" i="178"/>
  <c r="L51" i="178"/>
  <c r="E97" i="177"/>
  <c r="E94" i="177"/>
  <c r="E211" i="177"/>
  <c r="E210" i="177" s="1"/>
  <c r="E221" i="177"/>
  <c r="E220" i="177" s="1"/>
  <c r="E228" i="177" s="1"/>
  <c r="E84" i="177"/>
  <c r="E82" i="177" s="1"/>
  <c r="S61" i="70"/>
  <c r="E70" i="177"/>
  <c r="E260" i="177"/>
  <c r="E262" i="177" s="1"/>
  <c r="L81" i="178"/>
  <c r="M81" i="178" s="1"/>
  <c r="L83" i="178"/>
  <c r="F29" i="10"/>
  <c r="Y29" i="8" s="1"/>
  <c r="E284" i="177"/>
  <c r="F39" i="8"/>
  <c r="F38" i="8"/>
  <c r="E276" i="177"/>
  <c r="M59" i="177"/>
  <c r="E208" i="177"/>
  <c r="B11" i="182"/>
  <c r="J11" i="182" s="1"/>
  <c r="CL11" i="182" s="1"/>
  <c r="E19" i="177"/>
  <c r="E21" i="177"/>
  <c r="O6" i="177"/>
  <c r="E69" i="177"/>
  <c r="E68" i="177" s="1"/>
  <c r="E266" i="177"/>
  <c r="E127" i="177"/>
  <c r="E120" i="177" s="1"/>
  <c r="E133" i="177"/>
  <c r="E132" i="177"/>
  <c r="E160" i="177"/>
  <c r="E52" i="177"/>
  <c r="E24" i="177"/>
  <c r="E38" i="177"/>
  <c r="F49" i="9" s="1"/>
  <c r="E238" i="177"/>
  <c r="F238" i="177" s="1"/>
  <c r="E248" i="177"/>
  <c r="E232" i="177"/>
  <c r="F232" i="177" s="1"/>
  <c r="E206" i="177"/>
  <c r="E46" i="177"/>
  <c r="E35" i="177"/>
  <c r="K8" i="126"/>
  <c r="S7" i="123"/>
  <c r="L20" i="178"/>
  <c r="L19" i="178" s="1"/>
  <c r="L17" i="178" s="1"/>
  <c r="S59" i="181" s="1"/>
  <c r="L98" i="178"/>
  <c r="M98" i="178" s="1"/>
  <c r="L95" i="178"/>
  <c r="L90" i="178" s="1"/>
  <c r="L93" i="178"/>
  <c r="L91" i="178"/>
  <c r="M91" i="178" s="1"/>
  <c r="L88" i="178"/>
  <c r="L7" i="178"/>
  <c r="L6" i="178" s="1"/>
  <c r="T104" i="178"/>
  <c r="O104" i="178"/>
  <c r="M104" i="178"/>
  <c r="L103" i="178"/>
  <c r="M103" i="178" s="1"/>
  <c r="J103" i="178"/>
  <c r="J110" i="178"/>
  <c r="I103" i="178"/>
  <c r="I110" i="178"/>
  <c r="H103" i="178"/>
  <c r="H110" i="178"/>
  <c r="G103" i="178"/>
  <c r="G110" i="178"/>
  <c r="F103" i="178"/>
  <c r="F110" i="178"/>
  <c r="E103" i="178"/>
  <c r="E110" i="178"/>
  <c r="T102" i="178"/>
  <c r="J101" i="178"/>
  <c r="I101" i="178"/>
  <c r="H101" i="178"/>
  <c r="G101" i="178"/>
  <c r="F101" i="178"/>
  <c r="E101" i="178"/>
  <c r="T85" i="178"/>
  <c r="T63" i="178"/>
  <c r="J64" i="178"/>
  <c r="I64" i="178"/>
  <c r="H64" i="178"/>
  <c r="G64" i="178"/>
  <c r="F64" i="178"/>
  <c r="E64" i="178"/>
  <c r="T62" i="178"/>
  <c r="T52" i="178"/>
  <c r="T49" i="178"/>
  <c r="J48" i="178"/>
  <c r="J51" i="178" s="1"/>
  <c r="I48" i="178"/>
  <c r="H48" i="178"/>
  <c r="G48" i="178"/>
  <c r="G51" i="178" s="1"/>
  <c r="F48" i="178"/>
  <c r="F51" i="178" s="1"/>
  <c r="E48" i="178"/>
  <c r="T47" i="178"/>
  <c r="J26" i="178"/>
  <c r="I26" i="178"/>
  <c r="H26" i="178"/>
  <c r="G26" i="178"/>
  <c r="F26" i="178"/>
  <c r="E26" i="178"/>
  <c r="T22" i="178"/>
  <c r="T16" i="178"/>
  <c r="T8" i="178"/>
  <c r="T5" i="178"/>
  <c r="J4" i="178"/>
  <c r="J15" i="178"/>
  <c r="I4" i="178"/>
  <c r="I15" i="178" s="1"/>
  <c r="H4" i="178"/>
  <c r="H15" i="178" s="1"/>
  <c r="G4" i="178"/>
  <c r="G15" i="178" s="1"/>
  <c r="F4" i="178"/>
  <c r="F15" i="178"/>
  <c r="E4" i="178"/>
  <c r="E15" i="178" s="1"/>
  <c r="I2" i="72"/>
  <c r="I47" i="72" s="1"/>
  <c r="G15" i="177" s="1"/>
  <c r="E3" i="72"/>
  <c r="E2" i="72"/>
  <c r="L3" i="72"/>
  <c r="H4" i="72"/>
  <c r="J4" i="72"/>
  <c r="L4" i="72"/>
  <c r="H5" i="72"/>
  <c r="J5" i="72"/>
  <c r="L5" i="72"/>
  <c r="H6" i="72"/>
  <c r="J6" i="72"/>
  <c r="L6" i="72"/>
  <c r="H7" i="72"/>
  <c r="J7" i="72"/>
  <c r="L7" i="72"/>
  <c r="H8" i="72"/>
  <c r="J8" i="72"/>
  <c r="L8" i="72"/>
  <c r="F9" i="72"/>
  <c r="F3" i="72" s="1"/>
  <c r="F2" i="72" s="1"/>
  <c r="H9" i="72"/>
  <c r="J9" i="72"/>
  <c r="L9" i="72"/>
  <c r="H10" i="72"/>
  <c r="J10" i="72"/>
  <c r="L10" i="72"/>
  <c r="H11" i="72"/>
  <c r="J11" i="72"/>
  <c r="L11" i="72"/>
  <c r="J12" i="72"/>
  <c r="L12" i="72"/>
  <c r="J13" i="72"/>
  <c r="L13" i="72"/>
  <c r="J17" i="72"/>
  <c r="L17" i="72"/>
  <c r="J18" i="72"/>
  <c r="L18" i="72"/>
  <c r="J19" i="72"/>
  <c r="L19" i="72"/>
  <c r="E20" i="72"/>
  <c r="F20" i="72"/>
  <c r="L20" i="72"/>
  <c r="H21" i="72"/>
  <c r="J21" i="72"/>
  <c r="L21" i="72"/>
  <c r="H32" i="72"/>
  <c r="J32" i="72"/>
  <c r="L32" i="72"/>
  <c r="H33" i="72"/>
  <c r="J33" i="72"/>
  <c r="L33" i="72"/>
  <c r="H34" i="72"/>
  <c r="J34" i="72"/>
  <c r="L34" i="72"/>
  <c r="H35" i="72"/>
  <c r="J35" i="72"/>
  <c r="L35" i="72"/>
  <c r="H36" i="72"/>
  <c r="J36" i="72"/>
  <c r="L36" i="72"/>
  <c r="H37" i="72"/>
  <c r="J37" i="72"/>
  <c r="L37" i="72"/>
  <c r="H38" i="72"/>
  <c r="J38" i="72"/>
  <c r="L38" i="72"/>
  <c r="H39" i="72"/>
  <c r="J39" i="72"/>
  <c r="L39" i="72"/>
  <c r="H40" i="72"/>
  <c r="J40" i="72"/>
  <c r="L40" i="72"/>
  <c r="H41" i="72"/>
  <c r="J41" i="72"/>
  <c r="L41" i="72"/>
  <c r="H42" i="72"/>
  <c r="J42" i="72"/>
  <c r="L42" i="72"/>
  <c r="H43" i="72"/>
  <c r="J43" i="72"/>
  <c r="L43" i="72"/>
  <c r="J44" i="72"/>
  <c r="L44" i="72"/>
  <c r="J45" i="72"/>
  <c r="J46" i="72"/>
  <c r="F5" i="71"/>
  <c r="G5" i="71"/>
  <c r="H5" i="71"/>
  <c r="I5" i="71"/>
  <c r="I4" i="71"/>
  <c r="I3" i="71" s="1"/>
  <c r="J5" i="71"/>
  <c r="J4" i="71"/>
  <c r="L5" i="71"/>
  <c r="P5" i="71"/>
  <c r="O5" i="71" s="1"/>
  <c r="K6" i="71"/>
  <c r="M6" i="71"/>
  <c r="M5" i="71" s="1"/>
  <c r="M4" i="71" s="1"/>
  <c r="M3" i="71" s="1"/>
  <c r="O6" i="71"/>
  <c r="K7" i="71"/>
  <c r="M7" i="71"/>
  <c r="O7" i="71"/>
  <c r="K8" i="71"/>
  <c r="M8" i="71"/>
  <c r="O8" i="71"/>
  <c r="K9" i="71"/>
  <c r="M9" i="71"/>
  <c r="O9" i="71"/>
  <c r="F10" i="71"/>
  <c r="K10" i="71"/>
  <c r="M10" i="71"/>
  <c r="O10" i="71"/>
  <c r="F11" i="71"/>
  <c r="K11" i="71"/>
  <c r="M11" i="71"/>
  <c r="O11" i="71"/>
  <c r="F12" i="71"/>
  <c r="G12" i="71"/>
  <c r="G11" i="71" s="1"/>
  <c r="G10" i="71" s="1"/>
  <c r="H12" i="71"/>
  <c r="H11" i="71" s="1"/>
  <c r="H10" i="71" s="1"/>
  <c r="K12" i="71"/>
  <c r="M12" i="71"/>
  <c r="O12" i="71"/>
  <c r="K13" i="71"/>
  <c r="M13" i="71"/>
  <c r="O13" i="71"/>
  <c r="K14" i="71"/>
  <c r="M14" i="71"/>
  <c r="O14" i="71"/>
  <c r="K15" i="71"/>
  <c r="M15" i="71"/>
  <c r="O15" i="71"/>
  <c r="K16" i="71"/>
  <c r="M16" i="71"/>
  <c r="O16" i="71"/>
  <c r="K17" i="71"/>
  <c r="M17" i="71"/>
  <c r="O17" i="71"/>
  <c r="K18" i="71"/>
  <c r="M18" i="71"/>
  <c r="O18" i="71"/>
  <c r="K19" i="71"/>
  <c r="M19" i="71"/>
  <c r="O19" i="71"/>
  <c r="K20" i="71"/>
  <c r="M20" i="71"/>
  <c r="O20" i="71"/>
  <c r="K21" i="71"/>
  <c r="M21" i="71"/>
  <c r="O21" i="71"/>
  <c r="K22" i="71"/>
  <c r="M22" i="71"/>
  <c r="O22" i="71"/>
  <c r="K23" i="71"/>
  <c r="M23" i="71"/>
  <c r="O23" i="71"/>
  <c r="K24" i="71"/>
  <c r="M24" i="71"/>
  <c r="O24" i="71"/>
  <c r="K25" i="71"/>
  <c r="M25" i="71"/>
  <c r="O25" i="71"/>
  <c r="K26" i="71"/>
  <c r="M26" i="71"/>
  <c r="O26" i="71"/>
  <c r="K27" i="71"/>
  <c r="M27" i="71"/>
  <c r="O27" i="71"/>
  <c r="K28" i="71"/>
  <c r="M28" i="71"/>
  <c r="O28" i="71"/>
  <c r="K30" i="71"/>
  <c r="M30" i="71"/>
  <c r="O30" i="71"/>
  <c r="I31" i="71"/>
  <c r="J31" i="71"/>
  <c r="L31" i="71"/>
  <c r="P31" i="71"/>
  <c r="K32" i="71"/>
  <c r="M32" i="71"/>
  <c r="O32" i="71"/>
  <c r="K33" i="71"/>
  <c r="M33" i="71"/>
  <c r="O33" i="71"/>
  <c r="K34" i="71"/>
  <c r="M34" i="71"/>
  <c r="O34" i="71"/>
  <c r="K35" i="71"/>
  <c r="M35" i="71"/>
  <c r="O35" i="71"/>
  <c r="K36" i="71"/>
  <c r="M36" i="71"/>
  <c r="O36" i="71"/>
  <c r="K37" i="71"/>
  <c r="M37" i="71"/>
  <c r="O37" i="71"/>
  <c r="E38" i="71"/>
  <c r="F38" i="71"/>
  <c r="G38" i="71"/>
  <c r="H38" i="71"/>
  <c r="I38" i="71"/>
  <c r="J38" i="71"/>
  <c r="J29" i="71" s="1"/>
  <c r="L38" i="71"/>
  <c r="P38" i="71"/>
  <c r="P29" i="71"/>
  <c r="K39" i="71"/>
  <c r="M39" i="71"/>
  <c r="O39" i="71"/>
  <c r="K40" i="71"/>
  <c r="M40" i="71"/>
  <c r="O40" i="71"/>
  <c r="K41" i="71"/>
  <c r="M41" i="71"/>
  <c r="O41" i="71"/>
  <c r="K42" i="71"/>
  <c r="M42" i="71"/>
  <c r="O42" i="71"/>
  <c r="K43" i="71"/>
  <c r="M43" i="71"/>
  <c r="O43" i="71"/>
  <c r="K44" i="71"/>
  <c r="M44" i="71"/>
  <c r="O44" i="71"/>
  <c r="K45" i="71"/>
  <c r="M45" i="71"/>
  <c r="O45" i="71"/>
  <c r="K46" i="71"/>
  <c r="M46" i="71"/>
  <c r="O46" i="71"/>
  <c r="K48" i="71"/>
  <c r="M48" i="71"/>
  <c r="O48" i="71"/>
  <c r="K49" i="71"/>
  <c r="M49" i="71"/>
  <c r="O49" i="71"/>
  <c r="K50" i="71"/>
  <c r="M50" i="71"/>
  <c r="O50" i="71"/>
  <c r="K51" i="71"/>
  <c r="M51" i="71"/>
  <c r="O51" i="71"/>
  <c r="K52" i="71"/>
  <c r="M52" i="71"/>
  <c r="O52" i="71"/>
  <c r="K53" i="71"/>
  <c r="M53" i="71"/>
  <c r="O53" i="71"/>
  <c r="K54" i="71"/>
  <c r="M54" i="71"/>
  <c r="O54" i="71"/>
  <c r="K55" i="71"/>
  <c r="M55" i="71"/>
  <c r="O55" i="71"/>
  <c r="G56" i="71"/>
  <c r="H56" i="71"/>
  <c r="I56" i="71"/>
  <c r="J56" i="71"/>
  <c r="L56" i="71"/>
  <c r="P56" i="71"/>
  <c r="K57" i="71"/>
  <c r="M57" i="71"/>
  <c r="O57" i="71"/>
  <c r="K58" i="71"/>
  <c r="M58" i="71"/>
  <c r="O58" i="71"/>
  <c r="K59" i="71"/>
  <c r="M59" i="71"/>
  <c r="O59" i="71"/>
  <c r="I60" i="71"/>
  <c r="K61" i="71"/>
  <c r="M61" i="71"/>
  <c r="M60" i="71" s="1"/>
  <c r="O61" i="71"/>
  <c r="K62" i="71"/>
  <c r="M62" i="71"/>
  <c r="O62" i="71"/>
  <c r="K63" i="71"/>
  <c r="M63" i="71"/>
  <c r="O63" i="71"/>
  <c r="K64" i="71"/>
  <c r="M64" i="71"/>
  <c r="O64" i="71"/>
  <c r="K65" i="71"/>
  <c r="M65" i="71"/>
  <c r="O65" i="71"/>
  <c r="K66" i="71"/>
  <c r="M66" i="71"/>
  <c r="O66" i="71"/>
  <c r="K67" i="71"/>
  <c r="M67" i="71"/>
  <c r="O67" i="71"/>
  <c r="K68" i="71"/>
  <c r="M68" i="71"/>
  <c r="O68" i="71"/>
  <c r="K69" i="71"/>
  <c r="M69" i="71"/>
  <c r="O69" i="71"/>
  <c r="K70" i="71"/>
  <c r="M70" i="71"/>
  <c r="O70" i="71"/>
  <c r="K71" i="71"/>
  <c r="M71" i="71"/>
  <c r="O71" i="71"/>
  <c r="K73" i="71"/>
  <c r="M73" i="71"/>
  <c r="O73" i="71"/>
  <c r="K74" i="71"/>
  <c r="M74" i="71"/>
  <c r="O74" i="71"/>
  <c r="K75" i="71"/>
  <c r="M75" i="71"/>
  <c r="O75" i="71"/>
  <c r="K76" i="71"/>
  <c r="M76" i="71"/>
  <c r="O76" i="71"/>
  <c r="K77" i="71"/>
  <c r="M77" i="71"/>
  <c r="O77" i="71"/>
  <c r="J78" i="71"/>
  <c r="L78" i="71"/>
  <c r="P78" i="71"/>
  <c r="O78" i="71"/>
  <c r="K79" i="71"/>
  <c r="M79" i="71"/>
  <c r="M78" i="71" s="1"/>
  <c r="O79" i="71"/>
  <c r="K80" i="71"/>
  <c r="M80" i="71"/>
  <c r="O80" i="71"/>
  <c r="K81" i="71"/>
  <c r="M81" i="71"/>
  <c r="O81" i="71"/>
  <c r="K82" i="71"/>
  <c r="M82" i="71"/>
  <c r="O82" i="71"/>
  <c r="K83" i="71"/>
  <c r="M83" i="71"/>
  <c r="O83" i="71"/>
  <c r="K84" i="71"/>
  <c r="M84" i="71"/>
  <c r="O84" i="71"/>
  <c r="K85" i="71"/>
  <c r="M85" i="71"/>
  <c r="O85" i="71"/>
  <c r="K86" i="71"/>
  <c r="M86" i="71"/>
  <c r="O86" i="71"/>
  <c r="K87" i="71"/>
  <c r="M87" i="71"/>
  <c r="O87" i="71"/>
  <c r="K88" i="71"/>
  <c r="M88" i="71"/>
  <c r="O88" i="71"/>
  <c r="K89" i="71"/>
  <c r="M89" i="71"/>
  <c r="O89" i="71"/>
  <c r="K90" i="71"/>
  <c r="M90" i="71"/>
  <c r="O90" i="71"/>
  <c r="E102" i="71"/>
  <c r="F102" i="71"/>
  <c r="G102" i="71"/>
  <c r="H102" i="71"/>
  <c r="I5" i="70"/>
  <c r="K5" i="70"/>
  <c r="M5" i="70"/>
  <c r="I6" i="70"/>
  <c r="K6" i="70"/>
  <c r="M6" i="70"/>
  <c r="I7" i="70"/>
  <c r="K7" i="70"/>
  <c r="M7" i="70"/>
  <c r="I8" i="70"/>
  <c r="K8" i="70"/>
  <c r="M8" i="70"/>
  <c r="I9" i="70"/>
  <c r="K9" i="70"/>
  <c r="M9" i="70"/>
  <c r="I10" i="70"/>
  <c r="K10" i="70"/>
  <c r="M10" i="70"/>
  <c r="I11" i="70"/>
  <c r="K11" i="70"/>
  <c r="M11" i="70"/>
  <c r="M216" i="70" s="1"/>
  <c r="M12" i="70"/>
  <c r="I13" i="70"/>
  <c r="K13" i="70"/>
  <c r="M13" i="70"/>
  <c r="I14" i="70"/>
  <c r="K14" i="70"/>
  <c r="M14" i="70"/>
  <c r="I15" i="70"/>
  <c r="K15" i="70"/>
  <c r="M15" i="70"/>
  <c r="I17" i="70"/>
  <c r="K17" i="70"/>
  <c r="M17" i="70"/>
  <c r="K18" i="70"/>
  <c r="M18" i="70"/>
  <c r="K19" i="70"/>
  <c r="M19" i="70"/>
  <c r="K20" i="70"/>
  <c r="M20" i="70"/>
  <c r="K21" i="70"/>
  <c r="M21" i="70"/>
  <c r="I24" i="70"/>
  <c r="I55" i="70"/>
  <c r="I57" i="70"/>
  <c r="K57" i="70"/>
  <c r="M57" i="70"/>
  <c r="I58" i="70"/>
  <c r="K58" i="70"/>
  <c r="M58" i="70"/>
  <c r="I59" i="70"/>
  <c r="K59" i="70"/>
  <c r="M59" i="70"/>
  <c r="I60" i="70"/>
  <c r="K60" i="70"/>
  <c r="M60" i="70"/>
  <c r="I61" i="70"/>
  <c r="K61" i="70"/>
  <c r="M61" i="70"/>
  <c r="I62" i="70"/>
  <c r="K62" i="70"/>
  <c r="M62" i="70"/>
  <c r="I63" i="70"/>
  <c r="K63" i="70"/>
  <c r="M63" i="70"/>
  <c r="K64" i="70"/>
  <c r="M64" i="70"/>
  <c r="I65" i="70"/>
  <c r="K65" i="70"/>
  <c r="M65" i="70"/>
  <c r="I66" i="70"/>
  <c r="K66" i="70"/>
  <c r="M66" i="70"/>
  <c r="I67" i="70"/>
  <c r="K67" i="70"/>
  <c r="M67" i="70"/>
  <c r="I68" i="70"/>
  <c r="K68" i="70"/>
  <c r="M68" i="70"/>
  <c r="I69" i="70"/>
  <c r="K69" i="70"/>
  <c r="M69" i="70"/>
  <c r="I70" i="70"/>
  <c r="K70" i="70"/>
  <c r="M70" i="70"/>
  <c r="I71" i="70"/>
  <c r="K71" i="70"/>
  <c r="M71" i="70"/>
  <c r="I72" i="70"/>
  <c r="K72" i="70"/>
  <c r="M72" i="70"/>
  <c r="I73" i="70"/>
  <c r="K73" i="70"/>
  <c r="M73" i="70"/>
  <c r="I74" i="70"/>
  <c r="K74" i="70"/>
  <c r="M74" i="70"/>
  <c r="I75" i="70"/>
  <c r="K75" i="70"/>
  <c r="M75" i="70"/>
  <c r="I76" i="70"/>
  <c r="K76" i="70"/>
  <c r="M76" i="70"/>
  <c r="I77" i="70"/>
  <c r="K77" i="70"/>
  <c r="M77" i="70"/>
  <c r="I78" i="70"/>
  <c r="K78" i="70"/>
  <c r="M78" i="70"/>
  <c r="I79" i="70"/>
  <c r="K79" i="70"/>
  <c r="M79" i="70"/>
  <c r="H80" i="70"/>
  <c r="I81" i="70"/>
  <c r="K81" i="70"/>
  <c r="M81" i="70"/>
  <c r="I82" i="70"/>
  <c r="K82" i="70"/>
  <c r="M82" i="70"/>
  <c r="I83" i="70"/>
  <c r="K83" i="70"/>
  <c r="M83" i="70"/>
  <c r="I84" i="70"/>
  <c r="K84" i="70"/>
  <c r="M84" i="70"/>
  <c r="I85" i="70"/>
  <c r="K85" i="70"/>
  <c r="M85" i="70"/>
  <c r="I86" i="70"/>
  <c r="K86" i="70"/>
  <c r="M86" i="70"/>
  <c r="I87" i="70"/>
  <c r="K87" i="70"/>
  <c r="M87" i="70"/>
  <c r="I88" i="70"/>
  <c r="K88" i="70"/>
  <c r="M88" i="70"/>
  <c r="I89" i="70"/>
  <c r="K89" i="70"/>
  <c r="M89" i="70"/>
  <c r="I90" i="70"/>
  <c r="K90" i="70"/>
  <c r="M90" i="70"/>
  <c r="I91" i="70"/>
  <c r="K91" i="70"/>
  <c r="M91" i="70"/>
  <c r="I92" i="70"/>
  <c r="K92" i="70"/>
  <c r="M92" i="70"/>
  <c r="I93" i="70"/>
  <c r="K93" i="70"/>
  <c r="M93" i="70"/>
  <c r="I94" i="70"/>
  <c r="K94" i="70"/>
  <c r="M94" i="70"/>
  <c r="I95" i="70"/>
  <c r="K95" i="70"/>
  <c r="M95" i="70"/>
  <c r="I96" i="70"/>
  <c r="K96" i="70"/>
  <c r="M96" i="70"/>
  <c r="E97" i="70"/>
  <c r="H97" i="70"/>
  <c r="I101" i="177"/>
  <c r="I98" i="70"/>
  <c r="K98" i="70"/>
  <c r="M98" i="70"/>
  <c r="M218" i="70" s="1"/>
  <c r="I121" i="70"/>
  <c r="M121" i="70"/>
  <c r="E122" i="70"/>
  <c r="H123" i="70"/>
  <c r="H122" i="70" s="1"/>
  <c r="B28" i="182" s="1"/>
  <c r="J28" i="182" s="1"/>
  <c r="CL28" i="182" s="1"/>
  <c r="I124" i="70"/>
  <c r="K124" i="70"/>
  <c r="M124" i="70"/>
  <c r="I125" i="70"/>
  <c r="K125" i="70"/>
  <c r="M125" i="70"/>
  <c r="E137" i="70"/>
  <c r="H137" i="70"/>
  <c r="I137" i="70" s="1"/>
  <c r="I138" i="70"/>
  <c r="K138" i="70"/>
  <c r="M138" i="70"/>
  <c r="I139" i="70"/>
  <c r="K139" i="70"/>
  <c r="M139" i="70"/>
  <c r="I141" i="70"/>
  <c r="K141" i="70"/>
  <c r="M141" i="70"/>
  <c r="E142" i="70"/>
  <c r="H142" i="70"/>
  <c r="J142" i="70"/>
  <c r="I143" i="70"/>
  <c r="K143" i="70"/>
  <c r="M143" i="70"/>
  <c r="I144" i="70"/>
  <c r="K144" i="70"/>
  <c r="M144" i="70"/>
  <c r="E145" i="70"/>
  <c r="H145" i="70"/>
  <c r="I145" i="70" s="1"/>
  <c r="J145" i="70"/>
  <c r="I146" i="70"/>
  <c r="K146" i="70"/>
  <c r="M146" i="70"/>
  <c r="I147" i="70"/>
  <c r="K147" i="70"/>
  <c r="M147" i="70"/>
  <c r="M145" i="70" s="1"/>
  <c r="E148" i="70"/>
  <c r="H148" i="70"/>
  <c r="J148" i="70"/>
  <c r="I149" i="70"/>
  <c r="K149" i="70"/>
  <c r="M149" i="70"/>
  <c r="I150" i="70"/>
  <c r="K150" i="70"/>
  <c r="M150" i="70"/>
  <c r="I151" i="70"/>
  <c r="K151" i="70"/>
  <c r="M151" i="70"/>
  <c r="I152" i="70"/>
  <c r="K152" i="70"/>
  <c r="M152" i="70"/>
  <c r="I153" i="70"/>
  <c r="K153" i="70"/>
  <c r="M153" i="70"/>
  <c r="E154" i="70"/>
  <c r="H154" i="70"/>
  <c r="J154" i="70"/>
  <c r="I155" i="70"/>
  <c r="K155" i="70"/>
  <c r="M155" i="70"/>
  <c r="I156" i="70"/>
  <c r="K156" i="70"/>
  <c r="M156" i="70"/>
  <c r="I157" i="70"/>
  <c r="K157" i="70"/>
  <c r="M157" i="70"/>
  <c r="E158" i="70"/>
  <c r="H158" i="70"/>
  <c r="J158" i="70"/>
  <c r="I159" i="70"/>
  <c r="K159" i="70"/>
  <c r="M159" i="70"/>
  <c r="I160" i="70"/>
  <c r="K160" i="70"/>
  <c r="M160" i="70"/>
  <c r="I161" i="70"/>
  <c r="K161" i="70"/>
  <c r="M161" i="70"/>
  <c r="I162" i="70"/>
  <c r="K162" i="70"/>
  <c r="M162" i="70"/>
  <c r="I163" i="70"/>
  <c r="K163" i="70"/>
  <c r="M163" i="70"/>
  <c r="I164" i="70"/>
  <c r="K164" i="70"/>
  <c r="M164" i="70"/>
  <c r="I165" i="70"/>
  <c r="K165" i="70"/>
  <c r="M165" i="70"/>
  <c r="I166" i="70"/>
  <c r="K166" i="70"/>
  <c r="M166" i="70"/>
  <c r="E167" i="70"/>
  <c r="H167" i="70"/>
  <c r="J167" i="70"/>
  <c r="I168" i="70"/>
  <c r="K168" i="70"/>
  <c r="M168" i="70"/>
  <c r="I169" i="70"/>
  <c r="K169" i="70"/>
  <c r="M169" i="70"/>
  <c r="I170" i="70"/>
  <c r="K170" i="70"/>
  <c r="M170" i="70"/>
  <c r="I171" i="70"/>
  <c r="K171" i="70"/>
  <c r="M171" i="70"/>
  <c r="I172" i="70"/>
  <c r="K172" i="70"/>
  <c r="M172" i="70"/>
  <c r="E173" i="70"/>
  <c r="H173" i="70"/>
  <c r="J173" i="70"/>
  <c r="I174" i="70"/>
  <c r="K174" i="70"/>
  <c r="M174" i="70"/>
  <c r="I175" i="70"/>
  <c r="K175" i="70"/>
  <c r="M175" i="70"/>
  <c r="E176" i="70"/>
  <c r="H176" i="70"/>
  <c r="J176" i="70"/>
  <c r="I177" i="70"/>
  <c r="K177" i="70"/>
  <c r="M177" i="70"/>
  <c r="I178" i="70"/>
  <c r="K178" i="70"/>
  <c r="M178" i="70"/>
  <c r="I179" i="70"/>
  <c r="K179" i="70"/>
  <c r="M179" i="70"/>
  <c r="I180" i="70"/>
  <c r="K180" i="70"/>
  <c r="M180" i="70"/>
  <c r="I181" i="70"/>
  <c r="K181" i="70"/>
  <c r="M181" i="70"/>
  <c r="I182" i="70"/>
  <c r="K182" i="70"/>
  <c r="M182" i="70"/>
  <c r="I183" i="70"/>
  <c r="K183" i="70"/>
  <c r="M183" i="70"/>
  <c r="E184" i="70"/>
  <c r="G184" i="70"/>
  <c r="H184" i="70"/>
  <c r="I185" i="70"/>
  <c r="K185" i="70"/>
  <c r="K184" i="70" s="1"/>
  <c r="M185" i="70"/>
  <c r="I186" i="70"/>
  <c r="M186" i="70"/>
  <c r="I187" i="70"/>
  <c r="M187" i="70"/>
  <c r="I188" i="70"/>
  <c r="I189" i="70"/>
  <c r="I190" i="70"/>
  <c r="I191" i="70"/>
  <c r="I192" i="70"/>
  <c r="Q4" i="69"/>
  <c r="R4" i="69"/>
  <c r="I5" i="69"/>
  <c r="K5" i="69"/>
  <c r="M97" i="69"/>
  <c r="I6" i="69"/>
  <c r="K6" i="69"/>
  <c r="I7" i="69"/>
  <c r="K7" i="69"/>
  <c r="I8" i="69"/>
  <c r="K8" i="69"/>
  <c r="I9" i="69"/>
  <c r="K9" i="69"/>
  <c r="I10" i="69"/>
  <c r="K10" i="69"/>
  <c r="I11" i="69"/>
  <c r="K11" i="69"/>
  <c r="I64" i="69"/>
  <c r="I65" i="69"/>
  <c r="H72" i="69"/>
  <c r="J72" i="69"/>
  <c r="N72" i="69"/>
  <c r="O72" i="69"/>
  <c r="I73" i="69"/>
  <c r="K73" i="69"/>
  <c r="M73" i="69"/>
  <c r="S73" i="69"/>
  <c r="I74" i="69"/>
  <c r="K74" i="69"/>
  <c r="M74" i="69"/>
  <c r="S74" i="69"/>
  <c r="H75" i="69"/>
  <c r="J75" i="69"/>
  <c r="N75" i="69"/>
  <c r="M75" i="69" s="1"/>
  <c r="O75" i="69"/>
  <c r="P75" i="69"/>
  <c r="I76" i="69"/>
  <c r="K76" i="69"/>
  <c r="M76" i="69"/>
  <c r="S76" i="69"/>
  <c r="I77" i="69"/>
  <c r="K77" i="69"/>
  <c r="M77" i="69"/>
  <c r="H78" i="69"/>
  <c r="J78" i="69"/>
  <c r="D25" i="182"/>
  <c r="L25" i="182" s="1"/>
  <c r="CN25" i="182" s="1"/>
  <c r="F25" i="182"/>
  <c r="N25" i="182" s="1"/>
  <c r="CP25" i="182" s="1"/>
  <c r="N78" i="69"/>
  <c r="H25" i="182" s="1"/>
  <c r="P25" i="182" s="1"/>
  <c r="CR25" i="182" s="1"/>
  <c r="O78" i="69"/>
  <c r="P78" i="69"/>
  <c r="Q78" i="69"/>
  <c r="Q75" i="69"/>
  <c r="Q72" i="69" s="1"/>
  <c r="Q71" i="69" s="1"/>
  <c r="R78" i="69"/>
  <c r="R75" i="69"/>
  <c r="R72" i="69" s="1"/>
  <c r="I79" i="69"/>
  <c r="K79" i="69"/>
  <c r="M79" i="69"/>
  <c r="S79" i="69"/>
  <c r="I80" i="69"/>
  <c r="K80" i="69"/>
  <c r="M80" i="69"/>
  <c r="S80" i="69"/>
  <c r="I81" i="69"/>
  <c r="K81" i="69"/>
  <c r="M81" i="69"/>
  <c r="S81" i="69"/>
  <c r="I82" i="69"/>
  <c r="K82" i="69"/>
  <c r="M82" i="69"/>
  <c r="I83" i="69"/>
  <c r="K83" i="69"/>
  <c r="M83" i="69"/>
  <c r="I84" i="69"/>
  <c r="K84" i="69"/>
  <c r="M84" i="69"/>
  <c r="J85" i="69"/>
  <c r="I85" i="69" s="1"/>
  <c r="N85" i="69"/>
  <c r="O85" i="69"/>
  <c r="I86" i="69"/>
  <c r="K86" i="69"/>
  <c r="M86" i="69"/>
  <c r="J87" i="69"/>
  <c r="I87" i="69" s="1"/>
  <c r="M87" i="69"/>
  <c r="N87" i="69"/>
  <c r="O87" i="69"/>
  <c r="I88" i="69"/>
  <c r="K88" i="69"/>
  <c r="M88" i="69"/>
  <c r="E89" i="69"/>
  <c r="G89" i="69"/>
  <c r="E5" i="68"/>
  <c r="F5" i="68"/>
  <c r="G5" i="68"/>
  <c r="H5" i="68"/>
  <c r="I5" i="68"/>
  <c r="J5" i="68"/>
  <c r="L5" i="68"/>
  <c r="Z7" i="182" s="1"/>
  <c r="N5" i="68"/>
  <c r="AB7" i="182"/>
  <c r="AD7" i="182"/>
  <c r="R5" i="68"/>
  <c r="AF7" i="182" s="1"/>
  <c r="M6" i="68"/>
  <c r="O6" i="68"/>
  <c r="Q6" i="68"/>
  <c r="T6" i="68"/>
  <c r="M7" i="68"/>
  <c r="O7" i="68"/>
  <c r="Q7" i="68"/>
  <c r="T7" i="68"/>
  <c r="M8" i="68"/>
  <c r="O8" i="68"/>
  <c r="Q8" i="68"/>
  <c r="M9" i="68"/>
  <c r="O9" i="68"/>
  <c r="Q9" i="68"/>
  <c r="M10" i="68"/>
  <c r="O10" i="68"/>
  <c r="Q10" i="68"/>
  <c r="M11" i="68"/>
  <c r="O11" i="68"/>
  <c r="Q11" i="68"/>
  <c r="M12" i="68"/>
  <c r="O12" i="68"/>
  <c r="Q12" i="68"/>
  <c r="M13" i="68"/>
  <c r="O13" i="68"/>
  <c r="Q13" i="68"/>
  <c r="T13" i="68"/>
  <c r="E15" i="68"/>
  <c r="E14" i="68"/>
  <c r="F15" i="68"/>
  <c r="F14" i="68" s="1"/>
  <c r="G15" i="68"/>
  <c r="G14" i="68" s="1"/>
  <c r="H15" i="68"/>
  <c r="H14" i="68" s="1"/>
  <c r="I15" i="68"/>
  <c r="I14" i="68"/>
  <c r="J15" i="68"/>
  <c r="J14" i="68" s="1"/>
  <c r="L15" i="68"/>
  <c r="N15" i="68"/>
  <c r="O15" i="68"/>
  <c r="R14" i="68"/>
  <c r="AN7" i="182"/>
  <c r="M16" i="68"/>
  <c r="O16" i="68"/>
  <c r="Q16" i="68"/>
  <c r="T16" i="68"/>
  <c r="AB16" i="68"/>
  <c r="L17" i="68"/>
  <c r="N17" i="68"/>
  <c r="M17" i="68" s="1"/>
  <c r="R17" i="68"/>
  <c r="S17" i="68"/>
  <c r="M18" i="68"/>
  <c r="O18" i="68"/>
  <c r="Q18" i="68"/>
  <c r="L19" i="68"/>
  <c r="N19" i="68"/>
  <c r="R19" i="68"/>
  <c r="S19" i="68"/>
  <c r="M20" i="68"/>
  <c r="O20" i="68"/>
  <c r="Q20" i="68"/>
  <c r="T20" i="68"/>
  <c r="M21" i="68"/>
  <c r="O21" i="68"/>
  <c r="Q21" i="68"/>
  <c r="T21" i="68"/>
  <c r="M22" i="68"/>
  <c r="O22" i="68"/>
  <c r="Q22" i="68"/>
  <c r="T22" i="68"/>
  <c r="M23" i="68"/>
  <c r="O23" i="68"/>
  <c r="Q23" i="68"/>
  <c r="T23" i="68"/>
  <c r="M24" i="68"/>
  <c r="O24" i="68"/>
  <c r="CG7" i="182"/>
  <c r="CG6" i="182" s="1"/>
  <c r="Q24" i="68"/>
  <c r="T24" i="68"/>
  <c r="M25" i="68"/>
  <c r="O25" i="68"/>
  <c r="I28" i="66" s="1"/>
  <c r="I27" i="66" s="1"/>
  <c r="Q25" i="68"/>
  <c r="M26" i="68"/>
  <c r="O26" i="68"/>
  <c r="Q26" i="68"/>
  <c r="T26" i="68"/>
  <c r="T28" i="68"/>
  <c r="L29" i="68"/>
  <c r="N29" i="68"/>
  <c r="R29" i="68"/>
  <c r="Q29" i="68" s="1"/>
  <c r="S29" i="68"/>
  <c r="M30" i="68"/>
  <c r="O30" i="68"/>
  <c r="Q30" i="68"/>
  <c r="T30" i="68"/>
  <c r="M31" i="68"/>
  <c r="O31" i="68"/>
  <c r="Q31" i="68"/>
  <c r="T31" i="68"/>
  <c r="M32" i="68"/>
  <c r="O32" i="68"/>
  <c r="Q32" i="68"/>
  <c r="T32" i="68"/>
  <c r="L33" i="68"/>
  <c r="N33" i="68"/>
  <c r="R33" i="68"/>
  <c r="S33" i="68"/>
  <c r="M34" i="68"/>
  <c r="O34" i="68"/>
  <c r="Q34" i="68"/>
  <c r="T34" i="68"/>
  <c r="M35" i="68"/>
  <c r="O35" i="68"/>
  <c r="Q35" i="68"/>
  <c r="T35" i="68"/>
  <c r="M36" i="68"/>
  <c r="O36" i="68"/>
  <c r="Q36" i="68"/>
  <c r="T36" i="68"/>
  <c r="E37" i="68"/>
  <c r="F37" i="68"/>
  <c r="G37" i="68"/>
  <c r="H37" i="68"/>
  <c r="I37" i="68"/>
  <c r="J37" i="68"/>
  <c r="M38" i="68"/>
  <c r="O38" i="68"/>
  <c r="Q38" i="68"/>
  <c r="T38" i="68"/>
  <c r="T39" i="68"/>
  <c r="T40" i="68"/>
  <c r="M41" i="68"/>
  <c r="O41" i="68"/>
  <c r="T41" i="68"/>
  <c r="M42" i="68"/>
  <c r="O42" i="68"/>
  <c r="T42" i="68"/>
  <c r="E44" i="68"/>
  <c r="E43" i="68" s="1"/>
  <c r="E50" i="68" s="1"/>
  <c r="F44" i="68"/>
  <c r="F43" i="68" s="1"/>
  <c r="F50" i="68" s="1"/>
  <c r="G44" i="68"/>
  <c r="G43" i="68" s="1"/>
  <c r="G50" i="68" s="1"/>
  <c r="H44" i="68"/>
  <c r="H43" i="68" s="1"/>
  <c r="H50" i="68" s="1"/>
  <c r="I44" i="68"/>
  <c r="I43" i="68"/>
  <c r="I50" i="68" s="1"/>
  <c r="J44" i="68"/>
  <c r="J43" i="68"/>
  <c r="J50" i="68" s="1"/>
  <c r="L44" i="68"/>
  <c r="L43" i="68" s="1"/>
  <c r="AQ15" i="181" s="1"/>
  <c r="N44" i="68"/>
  <c r="N43" i="68" s="1"/>
  <c r="AS15" i="181" s="1"/>
  <c r="AU15" i="181"/>
  <c r="M45" i="68"/>
  <c r="O45" i="68"/>
  <c r="Q45" i="68"/>
  <c r="T45" i="68"/>
  <c r="L46" i="68"/>
  <c r="N46" i="68"/>
  <c r="R46" i="68"/>
  <c r="Q46" i="68"/>
  <c r="S46" i="68"/>
  <c r="M47" i="68"/>
  <c r="O47" i="68"/>
  <c r="Q47" i="68"/>
  <c r="T47" i="68"/>
  <c r="M48" i="68"/>
  <c r="O48" i="68"/>
  <c r="Q48" i="68"/>
  <c r="T48" i="68"/>
  <c r="M49" i="68"/>
  <c r="O49" i="68"/>
  <c r="Q49" i="68"/>
  <c r="T49" i="68"/>
  <c r="T51" i="68"/>
  <c r="L52" i="68"/>
  <c r="L60" i="68"/>
  <c r="C15" i="181" s="1"/>
  <c r="N52" i="68"/>
  <c r="R52" i="68"/>
  <c r="S52" i="68"/>
  <c r="T52" i="68" s="1"/>
  <c r="M53" i="68"/>
  <c r="O53" i="68"/>
  <c r="Q53" i="68"/>
  <c r="T53" i="68"/>
  <c r="M54" i="68"/>
  <c r="O54" i="68"/>
  <c r="Q54" i="68"/>
  <c r="T54" i="68"/>
  <c r="M55" i="68"/>
  <c r="O55" i="68"/>
  <c r="Q55" i="68"/>
  <c r="T55" i="68"/>
  <c r="L56" i="68"/>
  <c r="N56" i="68"/>
  <c r="R56" i="68"/>
  <c r="S56" i="68"/>
  <c r="M57" i="68"/>
  <c r="O57" i="68"/>
  <c r="Q57" i="68"/>
  <c r="T57" i="68"/>
  <c r="M58" i="68"/>
  <c r="O58" i="68"/>
  <c r="Q58" i="68"/>
  <c r="T58" i="68"/>
  <c r="M59" i="68"/>
  <c r="O59" i="68"/>
  <c r="Q59" i="68"/>
  <c r="T59" i="68"/>
  <c r="E60" i="68"/>
  <c r="F60" i="68"/>
  <c r="G60" i="68"/>
  <c r="H60" i="68"/>
  <c r="I60" i="68"/>
  <c r="J60" i="68"/>
  <c r="Q61" i="68"/>
  <c r="T61" i="68"/>
  <c r="T62" i="68"/>
  <c r="T63" i="68"/>
  <c r="E64" i="68"/>
  <c r="F64" i="68"/>
  <c r="G64" i="68"/>
  <c r="H64" i="68"/>
  <c r="I64" i="68"/>
  <c r="J64" i="68"/>
  <c r="L64" i="68"/>
  <c r="AI16" i="181" s="1"/>
  <c r="N64" i="68"/>
  <c r="AK16" i="181"/>
  <c r="AM16" i="181"/>
  <c r="R64" i="68"/>
  <c r="AO16" i="181" s="1"/>
  <c r="S64" i="68"/>
  <c r="M65" i="68"/>
  <c r="O65" i="68"/>
  <c r="Q65" i="68"/>
  <c r="M66" i="68"/>
  <c r="O66" i="68"/>
  <c r="Q66" i="68"/>
  <c r="T66" i="68"/>
  <c r="M67" i="68"/>
  <c r="O67" i="68"/>
  <c r="Q67" i="68"/>
  <c r="T67" i="68"/>
  <c r="M68" i="68"/>
  <c r="O68" i="68"/>
  <c r="Q68" i="68"/>
  <c r="M69" i="68"/>
  <c r="O69" i="68"/>
  <c r="Q69" i="68"/>
  <c r="T69" i="68"/>
  <c r="F70" i="68"/>
  <c r="E71" i="68"/>
  <c r="E70" i="68" s="1"/>
  <c r="E77" i="68" s="1"/>
  <c r="G71" i="68"/>
  <c r="G70" i="68"/>
  <c r="G77" i="68" s="1"/>
  <c r="H71" i="68"/>
  <c r="H70" i="68"/>
  <c r="I71" i="68"/>
  <c r="I70" i="68" s="1"/>
  <c r="J71" i="68"/>
  <c r="J70" i="68" s="1"/>
  <c r="L71" i="68"/>
  <c r="L70" i="68" s="1"/>
  <c r="AQ16" i="181" s="1"/>
  <c r="N71" i="68"/>
  <c r="AU16" i="181"/>
  <c r="R71" i="68"/>
  <c r="S71" i="68"/>
  <c r="M72" i="68"/>
  <c r="O72" i="68"/>
  <c r="Q72" i="68"/>
  <c r="T72" i="68"/>
  <c r="L73" i="68"/>
  <c r="N73" i="68"/>
  <c r="R73" i="68"/>
  <c r="S73" i="68"/>
  <c r="M74" i="68"/>
  <c r="O74" i="68"/>
  <c r="Q74" i="68"/>
  <c r="T74" i="68"/>
  <c r="M75" i="68"/>
  <c r="O75" i="68"/>
  <c r="Q75" i="68"/>
  <c r="T75" i="68"/>
  <c r="M76" i="68"/>
  <c r="O76" i="68"/>
  <c r="Q76" i="68"/>
  <c r="T76" i="68"/>
  <c r="T78" i="68"/>
  <c r="L79" i="68"/>
  <c r="N79" i="68"/>
  <c r="R79" i="68"/>
  <c r="S79" i="68"/>
  <c r="M80" i="68"/>
  <c r="O80" i="68"/>
  <c r="Q80" i="68"/>
  <c r="T80" i="68"/>
  <c r="M81" i="68"/>
  <c r="O81" i="68"/>
  <c r="Q81" i="68"/>
  <c r="T81" i="68"/>
  <c r="M82" i="68"/>
  <c r="O82" i="68"/>
  <c r="Q82" i="68"/>
  <c r="T82" i="68"/>
  <c r="L83" i="68"/>
  <c r="L87" i="68" s="1"/>
  <c r="C16" i="181" s="1"/>
  <c r="N83" i="68"/>
  <c r="N87" i="68"/>
  <c r="E16" i="181" s="1"/>
  <c r="O83" i="68"/>
  <c r="R83" i="68"/>
  <c r="R87" i="68" s="1"/>
  <c r="I16" i="181" s="1"/>
  <c r="S83" i="68"/>
  <c r="M84" i="68"/>
  <c r="O84" i="68"/>
  <c r="Q84" i="68"/>
  <c r="T84" i="68"/>
  <c r="M85" i="68"/>
  <c r="O85" i="68"/>
  <c r="Q85" i="68"/>
  <c r="T85" i="68"/>
  <c r="M86" i="68"/>
  <c r="O86" i="68"/>
  <c r="Q86" i="68"/>
  <c r="T86" i="68"/>
  <c r="E87" i="68"/>
  <c r="F87" i="68"/>
  <c r="G87" i="68"/>
  <c r="H87" i="68"/>
  <c r="I87" i="68"/>
  <c r="J87" i="68"/>
  <c r="M88" i="68"/>
  <c r="O88" i="68"/>
  <c r="Q88" i="68"/>
  <c r="T88" i="68"/>
  <c r="T89" i="68"/>
  <c r="T90" i="68"/>
  <c r="M91" i="68"/>
  <c r="AJ17" i="181"/>
  <c r="O91" i="68"/>
  <c r="Q91" i="68"/>
  <c r="T91" i="68"/>
  <c r="M92" i="68"/>
  <c r="O92" i="68"/>
  <c r="Q92" i="68"/>
  <c r="T92" i="68"/>
  <c r="E94" i="68"/>
  <c r="E93" i="68" s="1"/>
  <c r="E100" i="68" s="1"/>
  <c r="F94" i="68"/>
  <c r="F93" i="68"/>
  <c r="F100" i="68" s="1"/>
  <c r="G94" i="68"/>
  <c r="G93" i="68"/>
  <c r="G100" i="68" s="1"/>
  <c r="H94" i="68"/>
  <c r="H93" i="68" s="1"/>
  <c r="H100" i="68" s="1"/>
  <c r="I94" i="68"/>
  <c r="I93" i="68" s="1"/>
  <c r="I100" i="68" s="1"/>
  <c r="J94" i="68"/>
  <c r="J93" i="68" s="1"/>
  <c r="J100" i="68" s="1"/>
  <c r="L94" i="68"/>
  <c r="L93" i="68" s="1"/>
  <c r="AQ17" i="181" s="1"/>
  <c r="N94" i="68"/>
  <c r="R93" i="68"/>
  <c r="AW17" i="181" s="1"/>
  <c r="S93" i="68"/>
  <c r="S100" i="68" s="1"/>
  <c r="M95" i="68"/>
  <c r="O95" i="68"/>
  <c r="Q95" i="68"/>
  <c r="Q94" i="68"/>
  <c r="T95" i="68"/>
  <c r="L96" i="68"/>
  <c r="N96" i="68"/>
  <c r="O96" i="68"/>
  <c r="R96" i="68"/>
  <c r="S96" i="68"/>
  <c r="M97" i="68"/>
  <c r="O97" i="68"/>
  <c r="Q97" i="68"/>
  <c r="T97" i="68"/>
  <c r="M98" i="68"/>
  <c r="O98" i="68"/>
  <c r="Q98" i="68"/>
  <c r="T98" i="68"/>
  <c r="M99" i="68"/>
  <c r="O99" i="68"/>
  <c r="Q99" i="68"/>
  <c r="T99" i="68"/>
  <c r="T101" i="68"/>
  <c r="L102" i="68"/>
  <c r="N102" i="68"/>
  <c r="M102" i="68" s="1"/>
  <c r="R102" i="68"/>
  <c r="S102" i="68"/>
  <c r="M103" i="68"/>
  <c r="O103" i="68"/>
  <c r="Q103" i="68"/>
  <c r="T103" i="68"/>
  <c r="M104" i="68"/>
  <c r="O104" i="68"/>
  <c r="Q104" i="68"/>
  <c r="T104" i="68"/>
  <c r="M105" i="68"/>
  <c r="O105" i="68"/>
  <c r="Q105" i="68"/>
  <c r="T105" i="68"/>
  <c r="L106" i="68"/>
  <c r="L110" i="68" s="1"/>
  <c r="C17" i="181" s="1"/>
  <c r="N106" i="68"/>
  <c r="R106" i="68"/>
  <c r="S106" i="68"/>
  <c r="T106" i="68" s="1"/>
  <c r="M107" i="68"/>
  <c r="O107" i="68"/>
  <c r="Q107" i="68"/>
  <c r="T107" i="68"/>
  <c r="M108" i="68"/>
  <c r="O108" i="68"/>
  <c r="Q108" i="68"/>
  <c r="T108" i="68"/>
  <c r="M109" i="68"/>
  <c r="O109" i="68"/>
  <c r="Q109" i="68"/>
  <c r="T109" i="68"/>
  <c r="E110" i="68"/>
  <c r="E217" i="68" s="1"/>
  <c r="F110" i="68"/>
  <c r="G110" i="68"/>
  <c r="G217" i="68" s="1"/>
  <c r="H110" i="68"/>
  <c r="I110" i="68"/>
  <c r="J110" i="68"/>
  <c r="M111" i="68"/>
  <c r="O111" i="68"/>
  <c r="Q111" i="68"/>
  <c r="T111" i="68"/>
  <c r="X111" i="68"/>
  <c r="AB111" i="68"/>
  <c r="AC111" i="68"/>
  <c r="T112" i="68"/>
  <c r="T113" i="68"/>
  <c r="AG113" i="68"/>
  <c r="AI113" i="68"/>
  <c r="M114" i="68"/>
  <c r="O114" i="68"/>
  <c r="Q114" i="68"/>
  <c r="T114" i="68"/>
  <c r="AE114" i="68"/>
  <c r="AG114" i="68"/>
  <c r="AI114" i="68"/>
  <c r="AM114" i="68"/>
  <c r="M115" i="68"/>
  <c r="O115" i="68"/>
  <c r="Q115" i="68"/>
  <c r="T115" i="68"/>
  <c r="AD115" i="68"/>
  <c r="F10" i="64" s="1"/>
  <c r="AF115" i="68"/>
  <c r="AH115" i="68"/>
  <c r="AJ115" i="68"/>
  <c r="L10" i="64" s="1"/>
  <c r="AK115" i="68"/>
  <c r="AM115" i="68" s="1"/>
  <c r="X116" i="68"/>
  <c r="AB116" i="68"/>
  <c r="AC116" i="68"/>
  <c r="AD116" i="68"/>
  <c r="AF116" i="68"/>
  <c r="H11" i="64"/>
  <c r="AH116" i="68"/>
  <c r="AJ116" i="68"/>
  <c r="AK116" i="68"/>
  <c r="AM116" i="68" s="1"/>
  <c r="E117" i="68"/>
  <c r="E116" i="68" s="1"/>
  <c r="E123" i="68" s="1"/>
  <c r="F117" i="68"/>
  <c r="F116" i="68" s="1"/>
  <c r="F123" i="68" s="1"/>
  <c r="G117" i="68"/>
  <c r="G116" i="68" s="1"/>
  <c r="G123" i="68" s="1"/>
  <c r="H117" i="68"/>
  <c r="H116" i="68"/>
  <c r="H123" i="68" s="1"/>
  <c r="I117" i="68"/>
  <c r="I116" i="68"/>
  <c r="I123" i="68" s="1"/>
  <c r="J117" i="68"/>
  <c r="J116" i="68" s="1"/>
  <c r="J123" i="68" s="1"/>
  <c r="L117" i="68"/>
  <c r="L116" i="68" s="1"/>
  <c r="AQ18" i="181" s="1"/>
  <c r="N117" i="68"/>
  <c r="S116" i="68"/>
  <c r="AE117" i="68"/>
  <c r="AG117" i="68"/>
  <c r="AI117" i="68"/>
  <c r="AM117" i="68"/>
  <c r="M118" i="68"/>
  <c r="O118" i="68"/>
  <c r="Q118" i="68"/>
  <c r="Q117" i="68" s="1"/>
  <c r="T118" i="68"/>
  <c r="AD118" i="68"/>
  <c r="AF118" i="68"/>
  <c r="AH118" i="68"/>
  <c r="J13" i="64" s="1"/>
  <c r="AJ118" i="68"/>
  <c r="L13" i="64" s="1"/>
  <c r="AK118" i="68"/>
  <c r="AM118" i="68" s="1"/>
  <c r="L119" i="68"/>
  <c r="N119" i="68"/>
  <c r="M119" i="68" s="1"/>
  <c r="R119" i="68"/>
  <c r="S119" i="68"/>
  <c r="AE119" i="68"/>
  <c r="AG119" i="68"/>
  <c r="AI119" i="68"/>
  <c r="AM119" i="68"/>
  <c r="M120" i="68"/>
  <c r="O120" i="68"/>
  <c r="Q120" i="68"/>
  <c r="T120" i="68"/>
  <c r="AE120" i="68"/>
  <c r="AG120" i="68"/>
  <c r="AI120" i="68"/>
  <c r="AM120" i="68"/>
  <c r="M121" i="68"/>
  <c r="O121" i="68"/>
  <c r="Q121" i="68"/>
  <c r="T121" i="68"/>
  <c r="AE121" i="68"/>
  <c r="AG121" i="68"/>
  <c r="AI121" i="68"/>
  <c r="AM121" i="68"/>
  <c r="M122" i="68"/>
  <c r="O122" i="68"/>
  <c r="Q122" i="68"/>
  <c r="T122" i="68"/>
  <c r="AD122" i="68"/>
  <c r="F16" i="64" s="1"/>
  <c r="N16" i="64" s="1"/>
  <c r="AF122" i="68"/>
  <c r="H16" i="64" s="1"/>
  <c r="AH122" i="68"/>
  <c r="AJ122" i="68"/>
  <c r="L16" i="64" s="1"/>
  <c r="AK122" i="68"/>
  <c r="M16" i="64" s="1"/>
  <c r="AE123" i="68"/>
  <c r="AG123" i="68"/>
  <c r="AI123" i="68"/>
  <c r="AM123" i="68"/>
  <c r="T124" i="68"/>
  <c r="AD124" i="68"/>
  <c r="AF124" i="68"/>
  <c r="AH124" i="68"/>
  <c r="J18" i="64" s="1"/>
  <c r="AJ124" i="68"/>
  <c r="L18" i="64" s="1"/>
  <c r="AK124" i="68"/>
  <c r="L125" i="68"/>
  <c r="N125" i="68"/>
  <c r="R125" i="68"/>
  <c r="S125" i="68"/>
  <c r="AD125" i="68"/>
  <c r="AF125" i="68"/>
  <c r="AE125" i="68" s="1"/>
  <c r="AH125" i="68"/>
  <c r="AJ125" i="68"/>
  <c r="L19" i="64" s="1"/>
  <c r="AK125" i="68"/>
  <c r="M126" i="68"/>
  <c r="O126" i="68"/>
  <c r="Q126" i="68"/>
  <c r="T126" i="68"/>
  <c r="X126" i="68"/>
  <c r="AB126" i="68"/>
  <c r="AC126" i="68"/>
  <c r="AE126" i="68"/>
  <c r="AG126" i="68"/>
  <c r="AI126" i="68"/>
  <c r="AM126" i="68"/>
  <c r="M127" i="68"/>
  <c r="O127" i="68"/>
  <c r="Q127" i="68"/>
  <c r="T127" i="68"/>
  <c r="M128" i="68"/>
  <c r="O128" i="68"/>
  <c r="Q128" i="68"/>
  <c r="T128" i="68"/>
  <c r="L129" i="68"/>
  <c r="N129" i="68"/>
  <c r="O129" i="68"/>
  <c r="R129" i="68"/>
  <c r="S129" i="68"/>
  <c r="X129" i="68"/>
  <c r="AB129" i="68"/>
  <c r="AC129" i="68"/>
  <c r="AD129" i="68"/>
  <c r="AF129" i="68"/>
  <c r="AH129" i="68"/>
  <c r="J22" i="64" s="1"/>
  <c r="AJ129" i="68"/>
  <c r="L22" i="64" s="1"/>
  <c r="AK129" i="68"/>
  <c r="M130" i="68"/>
  <c r="O130" i="68"/>
  <c r="Q130" i="68"/>
  <c r="T130" i="68"/>
  <c r="AE130" i="68"/>
  <c r="AG130" i="68"/>
  <c r="AI130" i="68"/>
  <c r="AM130" i="68"/>
  <c r="M131" i="68"/>
  <c r="O131" i="68"/>
  <c r="Q131" i="68"/>
  <c r="T131" i="68"/>
  <c r="X131" i="68"/>
  <c r="AB131" i="68"/>
  <c r="AC131" i="68"/>
  <c r="AD131" i="68"/>
  <c r="F40" i="64" s="1"/>
  <c r="AF131" i="68"/>
  <c r="AH131" i="68"/>
  <c r="AI131" i="68" s="1"/>
  <c r="AM131" i="68"/>
  <c r="M132" i="68"/>
  <c r="O132" i="68"/>
  <c r="Q132" i="68"/>
  <c r="T132" i="68"/>
  <c r="AE132" i="68"/>
  <c r="AG132" i="68"/>
  <c r="AI132" i="68"/>
  <c r="AM132" i="68"/>
  <c r="E133" i="68"/>
  <c r="F133" i="68"/>
  <c r="G133" i="68"/>
  <c r="H133" i="68"/>
  <c r="I133" i="68"/>
  <c r="J133" i="68"/>
  <c r="X133" i="68"/>
  <c r="AB133" i="68"/>
  <c r="AC133" i="68"/>
  <c r="AD133" i="68"/>
  <c r="AF133" i="68"/>
  <c r="AH133" i="68"/>
  <c r="AJ133" i="68"/>
  <c r="AM133" i="68"/>
  <c r="M134" i="68"/>
  <c r="O134" i="68"/>
  <c r="Q134" i="68"/>
  <c r="T134" i="68"/>
  <c r="AB134" i="68"/>
  <c r="AC134" i="68"/>
  <c r="AD134" i="68"/>
  <c r="AF134" i="68"/>
  <c r="AE134" i="68" s="1"/>
  <c r="AH134" i="68"/>
  <c r="AJ134" i="68"/>
  <c r="AK134" i="68"/>
  <c r="AM134" i="68" s="1"/>
  <c r="T135" i="68"/>
  <c r="AD135" i="68"/>
  <c r="AF135" i="68"/>
  <c r="AE135" i="68" s="1"/>
  <c r="AH135" i="68"/>
  <c r="AJ135" i="68"/>
  <c r="AI135" i="68" s="1"/>
  <c r="AK135" i="68"/>
  <c r="AM135" i="68"/>
  <c r="T136" i="68"/>
  <c r="AB136" i="68"/>
  <c r="AC136" i="68"/>
  <c r="AD136" i="68"/>
  <c r="AF136" i="68"/>
  <c r="AH136" i="68"/>
  <c r="AJ136" i="68"/>
  <c r="M38" i="64"/>
  <c r="L137" i="68"/>
  <c r="AI19" i="181" s="1"/>
  <c r="N137" i="68"/>
  <c r="AK19" i="181" s="1"/>
  <c r="AM19" i="181"/>
  <c r="R137" i="68"/>
  <c r="AO19" i="181" s="1"/>
  <c r="S137" i="68"/>
  <c r="AB137" i="68"/>
  <c r="AC137" i="68"/>
  <c r="AD137" i="68"/>
  <c r="F36" i="64"/>
  <c r="F35" i="64" s="1"/>
  <c r="AF137" i="68"/>
  <c r="AH137" i="68"/>
  <c r="J28" i="64" s="1"/>
  <c r="AJ137" i="68"/>
  <c r="AK137" i="68"/>
  <c r="M138" i="68"/>
  <c r="O138" i="68"/>
  <c r="Q138" i="68"/>
  <c r="Y138" i="68"/>
  <c r="Z138" i="68"/>
  <c r="AA138" i="68"/>
  <c r="M139" i="68"/>
  <c r="O139" i="68"/>
  <c r="Q139" i="68"/>
  <c r="AE139" i="68"/>
  <c r="AG139" i="68"/>
  <c r="AI139" i="68"/>
  <c r="AM139" i="68"/>
  <c r="M140" i="68"/>
  <c r="O140" i="68"/>
  <c r="Q140" i="68"/>
  <c r="AE140" i="68"/>
  <c r="AG140" i="68"/>
  <c r="AI140" i="68"/>
  <c r="AM140" i="68"/>
  <c r="M141" i="68"/>
  <c r="O141" i="68"/>
  <c r="Q141" i="68"/>
  <c r="AE141" i="68"/>
  <c r="AG141" i="68"/>
  <c r="AI141" i="68"/>
  <c r="AM141" i="68"/>
  <c r="M142" i="68"/>
  <c r="O142" i="68"/>
  <c r="Q142" i="68"/>
  <c r="AE142" i="68"/>
  <c r="AG142" i="68"/>
  <c r="AI142" i="68"/>
  <c r="AM142" i="68"/>
  <c r="M143" i="68"/>
  <c r="O143" i="68"/>
  <c r="Q143" i="68"/>
  <c r="AE143" i="68"/>
  <c r="AG143" i="68"/>
  <c r="AI143" i="68"/>
  <c r="AM143" i="68"/>
  <c r="M144" i="68"/>
  <c r="O144" i="68"/>
  <c r="Q144" i="68"/>
  <c r="AE144" i="68"/>
  <c r="AG144" i="68"/>
  <c r="AI144" i="68"/>
  <c r="AM144" i="68"/>
  <c r="M145" i="68"/>
  <c r="O145" i="68"/>
  <c r="Q145" i="68"/>
  <c r="T145" i="68"/>
  <c r="AE145" i="68"/>
  <c r="AG145" i="68"/>
  <c r="AI145" i="68"/>
  <c r="AM145" i="68"/>
  <c r="AE146" i="68"/>
  <c r="AG146" i="68"/>
  <c r="AI146" i="68"/>
  <c r="AM146" i="68"/>
  <c r="E147" i="68"/>
  <c r="E146" i="68"/>
  <c r="E153" i="68" s="1"/>
  <c r="F147" i="68"/>
  <c r="F146" i="68" s="1"/>
  <c r="F153" i="68" s="1"/>
  <c r="G147" i="68"/>
  <c r="G146" i="68" s="1"/>
  <c r="G153" i="68" s="1"/>
  <c r="H147" i="68"/>
  <c r="I147" i="68"/>
  <c r="I146" i="68" s="1"/>
  <c r="I153" i="68" s="1"/>
  <c r="J147" i="68"/>
  <c r="L147" i="68"/>
  <c r="N147" i="68"/>
  <c r="R147" i="68"/>
  <c r="R146" i="68" s="1"/>
  <c r="S147" i="68"/>
  <c r="X147" i="68"/>
  <c r="AB147" i="68"/>
  <c r="D45" i="64" s="1"/>
  <c r="AC147" i="68"/>
  <c r="AD147" i="68"/>
  <c r="AF147" i="68"/>
  <c r="AH147" i="68"/>
  <c r="AJ147" i="68"/>
  <c r="L45" i="64" s="1"/>
  <c r="AK147" i="68"/>
  <c r="M45" i="64"/>
  <c r="M148" i="68"/>
  <c r="O148" i="68"/>
  <c r="Q148" i="68"/>
  <c r="T148" i="68"/>
  <c r="AE148" i="68"/>
  <c r="AG148" i="68"/>
  <c r="AI148" i="68"/>
  <c r="AM148" i="68"/>
  <c r="L149" i="68"/>
  <c r="N149" i="68"/>
  <c r="M149" i="68" s="1"/>
  <c r="R149" i="68"/>
  <c r="S149" i="68"/>
  <c r="T149" i="68"/>
  <c r="AE149" i="68"/>
  <c r="AG149" i="68"/>
  <c r="AI149" i="68"/>
  <c r="AM149" i="68"/>
  <c r="M150" i="68"/>
  <c r="O150" i="68"/>
  <c r="Q150" i="68"/>
  <c r="T150" i="68"/>
  <c r="X150" i="68"/>
  <c r="AB150" i="68"/>
  <c r="AC150" i="68"/>
  <c r="AD150" i="68"/>
  <c r="F46" i="64" s="1"/>
  <c r="AF150" i="68"/>
  <c r="H46" i="64" s="1"/>
  <c r="AH150" i="68"/>
  <c r="AJ150" i="68"/>
  <c r="L46" i="64" s="1"/>
  <c r="AK150" i="68"/>
  <c r="M151" i="68"/>
  <c r="O151" i="68"/>
  <c r="Q151" i="68"/>
  <c r="T151" i="68"/>
  <c r="AE151" i="68"/>
  <c r="AG151" i="68"/>
  <c r="AI151" i="68"/>
  <c r="AM151" i="68"/>
  <c r="M152" i="68"/>
  <c r="O152" i="68"/>
  <c r="Q152" i="68"/>
  <c r="T152" i="68"/>
  <c r="X152" i="68"/>
  <c r="AB152" i="68"/>
  <c r="D46" i="67" s="1"/>
  <c r="AC152" i="68"/>
  <c r="AD152" i="68"/>
  <c r="AE152" i="68"/>
  <c r="AF152" i="68"/>
  <c r="AH152" i="68"/>
  <c r="J47" i="64" s="1"/>
  <c r="AJ152" i="68"/>
  <c r="L47" i="64" s="1"/>
  <c r="AK152" i="68"/>
  <c r="AM152" i="68"/>
  <c r="X153" i="68"/>
  <c r="AB153" i="68"/>
  <c r="AC153" i="68"/>
  <c r="AD153" i="68"/>
  <c r="AF153" i="68"/>
  <c r="AH153" i="68"/>
  <c r="AJ153" i="68"/>
  <c r="AK153" i="68"/>
  <c r="AM153" i="68" s="1"/>
  <c r="T154" i="68"/>
  <c r="X154" i="68"/>
  <c r="AB154" i="68"/>
  <c r="AC154" i="68"/>
  <c r="E50" i="67" s="1"/>
  <c r="AD154" i="68"/>
  <c r="AF154" i="68"/>
  <c r="AJ154" i="68"/>
  <c r="AK154" i="68"/>
  <c r="AM154" i="68" s="1"/>
  <c r="L155" i="68"/>
  <c r="N155" i="68"/>
  <c r="M155" i="68"/>
  <c r="R155" i="68"/>
  <c r="Q155" i="68" s="1"/>
  <c r="S155" i="68"/>
  <c r="AB155" i="68"/>
  <c r="AC155" i="68"/>
  <c r="AD155" i="68"/>
  <c r="AF155" i="68"/>
  <c r="AH155" i="68"/>
  <c r="AJ155" i="68"/>
  <c r="AK155" i="68"/>
  <c r="AM155" i="68" s="1"/>
  <c r="M156" i="68"/>
  <c r="O156" i="68"/>
  <c r="Q156" i="68"/>
  <c r="T156" i="68"/>
  <c r="AE156" i="68"/>
  <c r="AG156" i="68"/>
  <c r="AI156" i="68"/>
  <c r="AM156" i="68"/>
  <c r="M157" i="68"/>
  <c r="O157" i="68"/>
  <c r="Q157" i="68"/>
  <c r="T157" i="68"/>
  <c r="Y157" i="68"/>
  <c r="Z157" i="68"/>
  <c r="AA157" i="68"/>
  <c r="M158" i="68"/>
  <c r="O158" i="68"/>
  <c r="Q158" i="68"/>
  <c r="T158" i="68"/>
  <c r="L159" i="68"/>
  <c r="N159" i="68"/>
  <c r="R159" i="68"/>
  <c r="S159" i="68"/>
  <c r="AJ159" i="68"/>
  <c r="M160" i="68"/>
  <c r="O160" i="68"/>
  <c r="Q160" i="68"/>
  <c r="T160" i="68"/>
  <c r="M161" i="68"/>
  <c r="O161" i="68"/>
  <c r="Q161" i="68"/>
  <c r="T161" i="68"/>
  <c r="M162" i="68"/>
  <c r="O162" i="68"/>
  <c r="Q162" i="68"/>
  <c r="T162" i="68"/>
  <c r="E163" i="68"/>
  <c r="F163" i="68"/>
  <c r="G163" i="68"/>
  <c r="H163" i="68"/>
  <c r="I163" i="68"/>
  <c r="J163" i="68"/>
  <c r="T164" i="68"/>
  <c r="T165" i="68"/>
  <c r="T166" i="68"/>
  <c r="E167" i="68"/>
  <c r="F167" i="68"/>
  <c r="G167" i="68"/>
  <c r="H167" i="68"/>
  <c r="I167" i="68"/>
  <c r="J167" i="68"/>
  <c r="L167" i="68"/>
  <c r="N167" i="68"/>
  <c r="AB8" i="182"/>
  <c r="AD8" i="182"/>
  <c r="R167" i="68"/>
  <c r="AF8" i="182" s="1"/>
  <c r="S167" i="68"/>
  <c r="M168" i="68"/>
  <c r="O168" i="68"/>
  <c r="Q168" i="68"/>
  <c r="T168" i="68"/>
  <c r="M169" i="68"/>
  <c r="O169" i="68"/>
  <c r="Q169" i="68"/>
  <c r="T169" i="68"/>
  <c r="M170" i="68"/>
  <c r="O170" i="68"/>
  <c r="Q170" i="68"/>
  <c r="T170" i="68"/>
  <c r="F171" i="68"/>
  <c r="E172" i="68"/>
  <c r="E171" i="68" s="1"/>
  <c r="G172" i="68"/>
  <c r="G171" i="68" s="1"/>
  <c r="H172" i="68"/>
  <c r="H171" i="68"/>
  <c r="H178" i="68" s="1"/>
  <c r="I172" i="68"/>
  <c r="I171" i="68"/>
  <c r="J172" i="68"/>
  <c r="J171" i="68" s="1"/>
  <c r="L172" i="68"/>
  <c r="L171" i="68" s="1"/>
  <c r="AH8" i="182" s="1"/>
  <c r="N172" i="68"/>
  <c r="AL8" i="182"/>
  <c r="M173" i="68"/>
  <c r="O173" i="68"/>
  <c r="Q173" i="68"/>
  <c r="Q172" i="68" s="1"/>
  <c r="T173" i="68"/>
  <c r="L174" i="68"/>
  <c r="M174" i="68" s="1"/>
  <c r="N174" i="68"/>
  <c r="R174" i="68"/>
  <c r="S174" i="68"/>
  <c r="M175" i="68"/>
  <c r="O175" i="68"/>
  <c r="Q175" i="68"/>
  <c r="T175" i="68"/>
  <c r="M176" i="68"/>
  <c r="O176" i="68"/>
  <c r="Q176" i="68"/>
  <c r="T176" i="68"/>
  <c r="M177" i="68"/>
  <c r="O177" i="68"/>
  <c r="Q177" i="68"/>
  <c r="T177" i="68"/>
  <c r="T179" i="68"/>
  <c r="L180" i="68"/>
  <c r="N180" i="68"/>
  <c r="R180" i="68"/>
  <c r="S180" i="68"/>
  <c r="T180" i="68"/>
  <c r="M181" i="68"/>
  <c r="O181" i="68"/>
  <c r="Q181" i="68"/>
  <c r="T181" i="68"/>
  <c r="M182" i="68"/>
  <c r="O182" i="68"/>
  <c r="Q182" i="68"/>
  <c r="T182" i="68"/>
  <c r="M183" i="68"/>
  <c r="O183" i="68"/>
  <c r="Q183" i="68"/>
  <c r="T183" i="68"/>
  <c r="L184" i="68"/>
  <c r="L188" i="68" s="1"/>
  <c r="B8" i="182" s="1"/>
  <c r="N184" i="68"/>
  <c r="R184" i="68"/>
  <c r="S184" i="68"/>
  <c r="M185" i="68"/>
  <c r="O185" i="68"/>
  <c r="Q185" i="68"/>
  <c r="T185" i="68"/>
  <c r="M186" i="68"/>
  <c r="O186" i="68"/>
  <c r="Q186" i="68"/>
  <c r="T186" i="68"/>
  <c r="M187" i="68"/>
  <c r="O187" i="68"/>
  <c r="Q187" i="68"/>
  <c r="T187" i="68"/>
  <c r="E188" i="68"/>
  <c r="F188" i="68"/>
  <c r="G188" i="68"/>
  <c r="H188" i="68"/>
  <c r="I188" i="68"/>
  <c r="J188" i="68"/>
  <c r="M189" i="68"/>
  <c r="O189" i="68"/>
  <c r="Q189" i="68"/>
  <c r="T189" i="68"/>
  <c r="T190" i="68"/>
  <c r="T191" i="68"/>
  <c r="L192" i="68"/>
  <c r="Z9" i="182" s="1"/>
  <c r="N192" i="68"/>
  <c r="AB9" i="182" s="1"/>
  <c r="AD9" i="182"/>
  <c r="R192" i="68"/>
  <c r="AF9" i="182" s="1"/>
  <c r="S192" i="68"/>
  <c r="M193" i="68"/>
  <c r="O193" i="68"/>
  <c r="Q193" i="68"/>
  <c r="M194" i="68"/>
  <c r="O194" i="68"/>
  <c r="Q194" i="68"/>
  <c r="M195" i="68"/>
  <c r="O195" i="68"/>
  <c r="Q195" i="68"/>
  <c r="M196" i="68"/>
  <c r="O196" i="68"/>
  <c r="Q196" i="68"/>
  <c r="T196" i="68"/>
  <c r="E198" i="68"/>
  <c r="E197" i="68" s="1"/>
  <c r="E204" i="68" s="1"/>
  <c r="F198" i="68"/>
  <c r="F197" i="68" s="1"/>
  <c r="F204" i="68" s="1"/>
  <c r="G198" i="68"/>
  <c r="G197" i="68" s="1"/>
  <c r="G204" i="68" s="1"/>
  <c r="H198" i="68"/>
  <c r="H197" i="68" s="1"/>
  <c r="H204" i="68" s="1"/>
  <c r="I198" i="68"/>
  <c r="I197" i="68" s="1"/>
  <c r="I204" i="68" s="1"/>
  <c r="J198" i="68"/>
  <c r="J197" i="68" s="1"/>
  <c r="J204" i="68" s="1"/>
  <c r="L198" i="68"/>
  <c r="N198" i="68"/>
  <c r="R198" i="68"/>
  <c r="R197" i="68" s="1"/>
  <c r="S198" i="68"/>
  <c r="M199" i="68"/>
  <c r="O199" i="68"/>
  <c r="Q199" i="68"/>
  <c r="T199" i="68"/>
  <c r="M200" i="68"/>
  <c r="AI9" i="182" s="1"/>
  <c r="O200" i="68"/>
  <c r="AK9" i="182" s="1"/>
  <c r="Q200" i="68"/>
  <c r="T200" i="68"/>
  <c r="M201" i="68"/>
  <c r="O201" i="68"/>
  <c r="Q201" i="68"/>
  <c r="T201" i="68"/>
  <c r="M202" i="68"/>
  <c r="O202" i="68"/>
  <c r="Q202" i="68"/>
  <c r="T202" i="68"/>
  <c r="M203" i="68"/>
  <c r="O203" i="68"/>
  <c r="Q203" i="68"/>
  <c r="T203" i="68"/>
  <c r="T205" i="68"/>
  <c r="L206" i="68"/>
  <c r="N206" i="68"/>
  <c r="R206" i="68"/>
  <c r="S206" i="68"/>
  <c r="M207" i="68"/>
  <c r="O207" i="68"/>
  <c r="Q207" i="68"/>
  <c r="T207" i="68"/>
  <c r="M208" i="68"/>
  <c r="O208" i="68"/>
  <c r="Q208" i="68"/>
  <c r="T208" i="68"/>
  <c r="M209" i="68"/>
  <c r="O209" i="68"/>
  <c r="Q209" i="68"/>
  <c r="T209" i="68"/>
  <c r="L210" i="68"/>
  <c r="L214" i="68"/>
  <c r="B9" i="182" s="1"/>
  <c r="N210" i="68"/>
  <c r="R210" i="68"/>
  <c r="S210" i="68"/>
  <c r="M211" i="68"/>
  <c r="O211" i="68"/>
  <c r="Q211" i="68"/>
  <c r="T211" i="68"/>
  <c r="M212" i="68"/>
  <c r="O212" i="68"/>
  <c r="Q212" i="68"/>
  <c r="T212" i="68"/>
  <c r="M213" i="68"/>
  <c r="O213" i="68"/>
  <c r="Q213" i="68"/>
  <c r="T213" i="68"/>
  <c r="E214" i="68"/>
  <c r="F214" i="68"/>
  <c r="G214" i="68"/>
  <c r="H214" i="68"/>
  <c r="I214" i="68"/>
  <c r="J214" i="68"/>
  <c r="O215" i="68"/>
  <c r="Q215" i="68"/>
  <c r="T215" i="68"/>
  <c r="E218" i="68"/>
  <c r="F218" i="68"/>
  <c r="G218" i="68"/>
  <c r="H218" i="68"/>
  <c r="X159" i="68" s="1"/>
  <c r="I218" i="68"/>
  <c r="J218" i="68"/>
  <c r="E56" i="66" s="1"/>
  <c r="L218" i="68"/>
  <c r="N218" i="68"/>
  <c r="AF159" i="68" s="1"/>
  <c r="Q218" i="68"/>
  <c r="S218" i="68"/>
  <c r="F8" i="67"/>
  <c r="H8" i="67"/>
  <c r="I8" i="67"/>
  <c r="J8" i="67"/>
  <c r="K8" i="67"/>
  <c r="L8" i="67"/>
  <c r="M8" i="67"/>
  <c r="H19" i="67"/>
  <c r="I19" i="67"/>
  <c r="J19" i="67"/>
  <c r="K19" i="67"/>
  <c r="L19" i="67"/>
  <c r="M19" i="67"/>
  <c r="E21" i="67"/>
  <c r="E19" i="67" s="1"/>
  <c r="F25" i="67"/>
  <c r="F19" i="67" s="1"/>
  <c r="D36" i="67"/>
  <c r="H36" i="67"/>
  <c r="I36" i="67"/>
  <c r="J36" i="67"/>
  <c r="K36" i="67"/>
  <c r="L36" i="67"/>
  <c r="M36" i="67"/>
  <c r="F43" i="67"/>
  <c r="H43" i="67"/>
  <c r="I43" i="67"/>
  <c r="J43" i="67"/>
  <c r="K43" i="67"/>
  <c r="L43" i="67"/>
  <c r="M43" i="67"/>
  <c r="E45" i="67"/>
  <c r="D49" i="67"/>
  <c r="H49" i="67"/>
  <c r="I49" i="67"/>
  <c r="I53" i="67" s="1"/>
  <c r="J49" i="67"/>
  <c r="K49" i="67"/>
  <c r="L49" i="67"/>
  <c r="L53" i="67" s="1"/>
  <c r="M49" i="67"/>
  <c r="G9" i="66"/>
  <c r="I9" i="66"/>
  <c r="K9" i="66"/>
  <c r="F10" i="66"/>
  <c r="H10" i="66"/>
  <c r="J10" i="66"/>
  <c r="L10" i="66"/>
  <c r="M10" i="66"/>
  <c r="F11" i="66"/>
  <c r="H11" i="66"/>
  <c r="J11" i="66"/>
  <c r="L11" i="66"/>
  <c r="M11" i="66"/>
  <c r="G12" i="66"/>
  <c r="I12" i="66"/>
  <c r="K12" i="66"/>
  <c r="F13" i="66"/>
  <c r="G13" i="66" s="1"/>
  <c r="H13" i="66"/>
  <c r="J13" i="66"/>
  <c r="L13" i="66"/>
  <c r="M13" i="66"/>
  <c r="G14" i="66"/>
  <c r="I14" i="66"/>
  <c r="K14" i="66"/>
  <c r="G15" i="66"/>
  <c r="I15" i="66"/>
  <c r="K15" i="66"/>
  <c r="F16" i="66"/>
  <c r="H16" i="66"/>
  <c r="J16" i="66"/>
  <c r="L16" i="66"/>
  <c r="AC16" i="64"/>
  <c r="M16" i="66"/>
  <c r="AE16" i="64" s="1"/>
  <c r="G17" i="66"/>
  <c r="I17" i="66"/>
  <c r="K17" i="66"/>
  <c r="M17" i="66"/>
  <c r="F18" i="66"/>
  <c r="H18" i="66"/>
  <c r="J18" i="66"/>
  <c r="I18" i="66" s="1"/>
  <c r="L18" i="66"/>
  <c r="AC18" i="64" s="1"/>
  <c r="M18" i="66"/>
  <c r="F19" i="66"/>
  <c r="H19" i="66"/>
  <c r="J19" i="66"/>
  <c r="L19" i="66"/>
  <c r="M19" i="66"/>
  <c r="G21" i="66"/>
  <c r="I21" i="66"/>
  <c r="K21" i="66"/>
  <c r="E22" i="66"/>
  <c r="E20" i="66" s="1"/>
  <c r="F22" i="66"/>
  <c r="H22" i="66"/>
  <c r="J22" i="66"/>
  <c r="J20" i="66" s="1"/>
  <c r="L22" i="66"/>
  <c r="M22" i="66"/>
  <c r="M20" i="66" s="1"/>
  <c r="I23" i="66"/>
  <c r="K23" i="66"/>
  <c r="AB23" i="64"/>
  <c r="S23" i="64" s="1"/>
  <c r="I24" i="66"/>
  <c r="K24" i="66"/>
  <c r="AB24" i="64" s="1"/>
  <c r="S24" i="64" s="1"/>
  <c r="I25" i="66"/>
  <c r="K25" i="66"/>
  <c r="AB25" i="64"/>
  <c r="S25" i="64" s="1"/>
  <c r="F26" i="66"/>
  <c r="I26" i="66"/>
  <c r="K26" i="66"/>
  <c r="AA28" i="64"/>
  <c r="M28" i="66"/>
  <c r="M28" i="26" s="1"/>
  <c r="I29" i="66"/>
  <c r="K29" i="66"/>
  <c r="AB29" i="64" s="1"/>
  <c r="S29" i="64" s="1"/>
  <c r="I30" i="66"/>
  <c r="K30" i="66"/>
  <c r="AB30" i="64" s="1"/>
  <c r="S30" i="64" s="1"/>
  <c r="I31" i="66"/>
  <c r="K31" i="66"/>
  <c r="I32" i="66"/>
  <c r="K32" i="66"/>
  <c r="AB32" i="64" s="1"/>
  <c r="F33" i="66"/>
  <c r="H34" i="66"/>
  <c r="G34" i="66" s="1"/>
  <c r="J34" i="66"/>
  <c r="L34" i="66"/>
  <c r="AC34" i="64" s="1"/>
  <c r="M34" i="66"/>
  <c r="H36" i="66"/>
  <c r="J36" i="66"/>
  <c r="J35" i="66" s="1"/>
  <c r="AA35" i="64" s="1"/>
  <c r="L36" i="66"/>
  <c r="D37" i="66"/>
  <c r="I39" i="66"/>
  <c r="K39" i="66"/>
  <c r="F40" i="66"/>
  <c r="H40" i="66"/>
  <c r="J40" i="66"/>
  <c r="I40" i="66" s="1"/>
  <c r="L40" i="66"/>
  <c r="M40" i="66"/>
  <c r="I43" i="66"/>
  <c r="K43" i="66"/>
  <c r="F45" i="66"/>
  <c r="H45" i="66"/>
  <c r="J45" i="66"/>
  <c r="L45" i="66"/>
  <c r="M45" i="66"/>
  <c r="E46" i="66"/>
  <c r="F46" i="66"/>
  <c r="H46" i="66"/>
  <c r="J46" i="66"/>
  <c r="L46" i="66"/>
  <c r="M46" i="66"/>
  <c r="F47" i="66"/>
  <c r="H47" i="66"/>
  <c r="J47" i="66"/>
  <c r="L47" i="66"/>
  <c r="M47" i="66"/>
  <c r="I48" i="66"/>
  <c r="K48" i="66"/>
  <c r="I49" i="66"/>
  <c r="K49" i="66"/>
  <c r="D50" i="66"/>
  <c r="F51" i="66"/>
  <c r="H51" i="66"/>
  <c r="J51" i="66"/>
  <c r="L51" i="66"/>
  <c r="M51" i="66"/>
  <c r="L52" i="66"/>
  <c r="L50" i="66" s="1"/>
  <c r="M52" i="66"/>
  <c r="I53" i="66"/>
  <c r="K53" i="66"/>
  <c r="F56" i="66"/>
  <c r="H56" i="66"/>
  <c r="J56" i="66"/>
  <c r="AA56" i="64" s="1"/>
  <c r="L56" i="66"/>
  <c r="K56" i="66" s="1"/>
  <c r="M56" i="66"/>
  <c r="AE56" i="64" s="1"/>
  <c r="G9" i="65"/>
  <c r="I9" i="65"/>
  <c r="K9" i="65"/>
  <c r="H10" i="65"/>
  <c r="J10" i="65"/>
  <c r="AA10" i="64" s="1"/>
  <c r="L10" i="65"/>
  <c r="M10" i="65"/>
  <c r="F11" i="65"/>
  <c r="H11" i="65"/>
  <c r="J11" i="65"/>
  <c r="AA11" i="64" s="1"/>
  <c r="L11" i="65"/>
  <c r="K11" i="65" s="1"/>
  <c r="M11" i="65"/>
  <c r="G12" i="65"/>
  <c r="I12" i="65"/>
  <c r="K12" i="65"/>
  <c r="F13" i="65"/>
  <c r="W13" i="64"/>
  <c r="H13" i="65"/>
  <c r="J13" i="65"/>
  <c r="L13" i="65"/>
  <c r="M13" i="65"/>
  <c r="AE13" i="64" s="1"/>
  <c r="G14" i="65"/>
  <c r="I14" i="65"/>
  <c r="K14" i="65"/>
  <c r="AB14" i="64" s="1"/>
  <c r="G15" i="65"/>
  <c r="I15" i="65"/>
  <c r="K15" i="65"/>
  <c r="AB15" i="64" s="1"/>
  <c r="G16" i="65"/>
  <c r="I16" i="65"/>
  <c r="K16" i="65"/>
  <c r="G17" i="65"/>
  <c r="I17" i="65"/>
  <c r="K17" i="65"/>
  <c r="AB17" i="64"/>
  <c r="H18" i="65"/>
  <c r="J18" i="65"/>
  <c r="M18" i="65"/>
  <c r="AE18" i="64"/>
  <c r="G20" i="65"/>
  <c r="I20" i="65"/>
  <c r="K20" i="65"/>
  <c r="AB21" i="64"/>
  <c r="E21" i="65"/>
  <c r="E19" i="65" s="1"/>
  <c r="F21" i="65"/>
  <c r="H21" i="65"/>
  <c r="Y22" i="64" s="1"/>
  <c r="J21" i="65"/>
  <c r="L21" i="65"/>
  <c r="M21" i="65"/>
  <c r="M21" i="25" s="1"/>
  <c r="F25" i="65"/>
  <c r="F26" i="65"/>
  <c r="W27" i="64" s="1"/>
  <c r="H26" i="65"/>
  <c r="J26" i="65"/>
  <c r="L26" i="65"/>
  <c r="M26" i="65"/>
  <c r="F28" i="65"/>
  <c r="H28" i="65"/>
  <c r="Y29" i="64" s="1"/>
  <c r="P29" i="64" s="1"/>
  <c r="J28" i="65"/>
  <c r="AA29" i="64"/>
  <c r="R29" i="64" s="1"/>
  <c r="L28" i="65"/>
  <c r="AC29" i="64"/>
  <c r="T29" i="64" s="1"/>
  <c r="M28" i="65"/>
  <c r="AE29" i="64"/>
  <c r="V29" i="64" s="1"/>
  <c r="I35" i="65"/>
  <c r="K35" i="65"/>
  <c r="D36" i="65"/>
  <c r="I37" i="65"/>
  <c r="K37" i="65"/>
  <c r="M37" i="65"/>
  <c r="G38" i="65"/>
  <c r="I38" i="65"/>
  <c r="K38" i="65"/>
  <c r="F39" i="65"/>
  <c r="H39" i="65"/>
  <c r="H36" i="65" s="1"/>
  <c r="J39" i="65"/>
  <c r="L39" i="65"/>
  <c r="L36" i="65"/>
  <c r="M39" i="65"/>
  <c r="F44" i="65"/>
  <c r="H44" i="65"/>
  <c r="G44" i="65"/>
  <c r="J44" i="65"/>
  <c r="L44" i="65"/>
  <c r="M44" i="65"/>
  <c r="E45" i="65"/>
  <c r="F45" i="65"/>
  <c r="H45" i="65"/>
  <c r="J45" i="65"/>
  <c r="I45" i="65" s="1"/>
  <c r="L45" i="65"/>
  <c r="AC46" i="64" s="1"/>
  <c r="M45" i="65"/>
  <c r="F46" i="65"/>
  <c r="H46" i="65"/>
  <c r="J46" i="65"/>
  <c r="L46" i="65"/>
  <c r="M46" i="65"/>
  <c r="G47" i="65"/>
  <c r="I47" i="65"/>
  <c r="K47" i="65"/>
  <c r="AB48" i="64" s="1"/>
  <c r="G48" i="65"/>
  <c r="I48" i="65"/>
  <c r="K48" i="65"/>
  <c r="D49" i="65"/>
  <c r="E50" i="65"/>
  <c r="F50" i="65"/>
  <c r="H50" i="65"/>
  <c r="J50" i="65"/>
  <c r="L50" i="65"/>
  <c r="AC51" i="64" s="1"/>
  <c r="M50" i="65"/>
  <c r="E51" i="65"/>
  <c r="H51" i="65"/>
  <c r="J51" i="65"/>
  <c r="L51" i="65"/>
  <c r="M51" i="65"/>
  <c r="G52" i="65"/>
  <c r="I52" i="65"/>
  <c r="K52" i="65"/>
  <c r="Y56" i="64"/>
  <c r="G9" i="64"/>
  <c r="I9" i="64"/>
  <c r="K9" i="64"/>
  <c r="W9" i="64"/>
  <c r="N9" i="64" s="1"/>
  <c r="Y9" i="64"/>
  <c r="P9" i="64"/>
  <c r="AA9" i="64"/>
  <c r="R9" i="64" s="1"/>
  <c r="AE9" i="64"/>
  <c r="V9" i="64"/>
  <c r="H10" i="64"/>
  <c r="J10" i="64"/>
  <c r="M10" i="64"/>
  <c r="M10" i="24"/>
  <c r="W10" i="64"/>
  <c r="F11" i="64"/>
  <c r="J11" i="64"/>
  <c r="L11" i="64"/>
  <c r="M11" i="64"/>
  <c r="F12" i="64"/>
  <c r="H12" i="64"/>
  <c r="J12" i="64"/>
  <c r="L12" i="64"/>
  <c r="M12" i="64"/>
  <c r="W12" i="64"/>
  <c r="N12" i="64" s="1"/>
  <c r="Y12" i="64"/>
  <c r="AA12" i="64"/>
  <c r="AC12" i="64"/>
  <c r="AE12" i="64"/>
  <c r="V12" i="64" s="1"/>
  <c r="F13" i="64"/>
  <c r="F14" i="64"/>
  <c r="G14" i="64" s="1"/>
  <c r="I14" i="64"/>
  <c r="K14" i="64"/>
  <c r="W14" i="64"/>
  <c r="Y14" i="64"/>
  <c r="P14" i="64" s="1"/>
  <c r="AA14" i="64"/>
  <c r="R14" i="64"/>
  <c r="AC14" i="64"/>
  <c r="T14" i="64" s="1"/>
  <c r="AE14" i="64"/>
  <c r="V14" i="64" s="1"/>
  <c r="F15" i="64"/>
  <c r="G15" i="64" s="1"/>
  <c r="I15" i="64"/>
  <c r="K15" i="64"/>
  <c r="W15" i="64"/>
  <c r="Y15" i="64"/>
  <c r="P15" i="64" s="1"/>
  <c r="AA15" i="64"/>
  <c r="R15" i="64"/>
  <c r="AC15" i="64"/>
  <c r="T15" i="64" s="1"/>
  <c r="AE15" i="64"/>
  <c r="V15" i="64" s="1"/>
  <c r="T16" i="64"/>
  <c r="F17" i="64"/>
  <c r="G17" i="64" s="1"/>
  <c r="I17" i="64"/>
  <c r="K17" i="64"/>
  <c r="Y17" i="64"/>
  <c r="P17" i="64" s="1"/>
  <c r="AA17" i="64"/>
  <c r="R17" i="64" s="1"/>
  <c r="AC17" i="64"/>
  <c r="T17" i="64" s="1"/>
  <c r="AE17" i="64"/>
  <c r="V17" i="64" s="1"/>
  <c r="F18" i="64"/>
  <c r="H18" i="64"/>
  <c r="G18" i="64" s="1"/>
  <c r="W18" i="64"/>
  <c r="N18" i="64"/>
  <c r="F19" i="64"/>
  <c r="H19" i="64"/>
  <c r="G21" i="64"/>
  <c r="I21" i="64"/>
  <c r="K21" i="64"/>
  <c r="N21" i="64"/>
  <c r="Y21" i="64"/>
  <c r="P21" i="64"/>
  <c r="AA21" i="64"/>
  <c r="R21" i="64" s="1"/>
  <c r="AC21" i="64"/>
  <c r="T21" i="64" s="1"/>
  <c r="AE21" i="64"/>
  <c r="V21" i="64" s="1"/>
  <c r="E22" i="64"/>
  <c r="E20" i="64" s="1"/>
  <c r="F22" i="64"/>
  <c r="W23" i="64"/>
  <c r="N23" i="64" s="1"/>
  <c r="Y23" i="64"/>
  <c r="P23" i="64" s="1"/>
  <c r="AA23" i="64"/>
  <c r="R23" i="64"/>
  <c r="AC23" i="64"/>
  <c r="T23" i="64" s="1"/>
  <c r="AE23" i="64"/>
  <c r="V23" i="64" s="1"/>
  <c r="W24" i="64"/>
  <c r="N24" i="64" s="1"/>
  <c r="Y24" i="64"/>
  <c r="P24" i="64"/>
  <c r="AA24" i="64"/>
  <c r="R24" i="64" s="1"/>
  <c r="AC24" i="64"/>
  <c r="T24" i="64" s="1"/>
  <c r="AE24" i="64"/>
  <c r="V24" i="64" s="1"/>
  <c r="N25" i="64"/>
  <c r="Y25" i="64"/>
  <c r="P25" i="64" s="1"/>
  <c r="AA25" i="64"/>
  <c r="R25" i="64" s="1"/>
  <c r="AC25" i="64"/>
  <c r="T25" i="64" s="1"/>
  <c r="AE25" i="64"/>
  <c r="V25" i="64" s="1"/>
  <c r="F26" i="64"/>
  <c r="W26" i="64"/>
  <c r="Y26" i="64"/>
  <c r="P26" i="64" s="1"/>
  <c r="AA26" i="64"/>
  <c r="R26" i="64" s="1"/>
  <c r="AB26" i="64"/>
  <c r="S26" i="64" s="1"/>
  <c r="AC26" i="64"/>
  <c r="T26" i="64" s="1"/>
  <c r="AE26" i="64"/>
  <c r="V26" i="64" s="1"/>
  <c r="L28" i="64"/>
  <c r="Y28" i="64"/>
  <c r="AC28" i="64"/>
  <c r="AE28" i="64"/>
  <c r="N29" i="64"/>
  <c r="N30" i="64"/>
  <c r="Y30" i="64"/>
  <c r="P30" i="64" s="1"/>
  <c r="AA30" i="64"/>
  <c r="R30" i="64" s="1"/>
  <c r="AC30" i="64"/>
  <c r="T30" i="64"/>
  <c r="AE30" i="64"/>
  <c r="V30" i="64" s="1"/>
  <c r="N31" i="64"/>
  <c r="Y31" i="64"/>
  <c r="P31" i="64" s="1"/>
  <c r="AA31" i="64"/>
  <c r="R31" i="64" s="1"/>
  <c r="AB31" i="64"/>
  <c r="S31" i="64"/>
  <c r="AC31" i="64"/>
  <c r="T31" i="64" s="1"/>
  <c r="AE31" i="64"/>
  <c r="V31" i="64" s="1"/>
  <c r="I32" i="64"/>
  <c r="K32" i="64"/>
  <c r="S32" i="64" s="1"/>
  <c r="N32" i="64"/>
  <c r="Y32" i="64"/>
  <c r="P32" i="64" s="1"/>
  <c r="AA32" i="64"/>
  <c r="R32" i="64" s="1"/>
  <c r="AC32" i="64"/>
  <c r="T32" i="64" s="1"/>
  <c r="AE32" i="64"/>
  <c r="V32" i="64"/>
  <c r="W33" i="64"/>
  <c r="F34" i="64"/>
  <c r="F33" i="64" s="1"/>
  <c r="H34" i="64"/>
  <c r="J34" i="64"/>
  <c r="L34" i="64"/>
  <c r="L33" i="64" s="1"/>
  <c r="M34" i="64"/>
  <c r="M33" i="64" s="1"/>
  <c r="AA34" i="64"/>
  <c r="H35" i="64"/>
  <c r="J35" i="64"/>
  <c r="L35" i="64"/>
  <c r="M35" i="64"/>
  <c r="AE35" i="64"/>
  <c r="N35" i="64"/>
  <c r="I36" i="64"/>
  <c r="K36" i="64"/>
  <c r="AA36" i="64"/>
  <c r="R36" i="64" s="1"/>
  <c r="AE36" i="64"/>
  <c r="D37" i="64"/>
  <c r="E37" i="64"/>
  <c r="H39" i="64"/>
  <c r="J39" i="64"/>
  <c r="L39" i="64"/>
  <c r="W39" i="64"/>
  <c r="N39" i="64" s="1"/>
  <c r="Y39" i="64"/>
  <c r="AA39" i="64"/>
  <c r="AB39" i="64"/>
  <c r="AC39" i="64"/>
  <c r="AE39" i="64"/>
  <c r="V39" i="64" s="1"/>
  <c r="J40" i="64"/>
  <c r="I55" i="177" s="1"/>
  <c r="L40" i="64"/>
  <c r="W42" i="64"/>
  <c r="N42" i="64" s="1"/>
  <c r="Y42" i="64"/>
  <c r="P42" i="64" s="1"/>
  <c r="AA42" i="64"/>
  <c r="R42" i="64" s="1"/>
  <c r="AB42" i="64"/>
  <c r="S42" i="64" s="1"/>
  <c r="AC42" i="64"/>
  <c r="T42" i="64" s="1"/>
  <c r="AE42" i="64"/>
  <c r="V42" i="64"/>
  <c r="I43" i="64"/>
  <c r="K43" i="64"/>
  <c r="W43" i="64"/>
  <c r="N43" i="64"/>
  <c r="Y43" i="64"/>
  <c r="P43" i="64" s="1"/>
  <c r="AA43" i="64"/>
  <c r="R43" i="64"/>
  <c r="AC43" i="64"/>
  <c r="T43" i="64" s="1"/>
  <c r="AE43" i="64"/>
  <c r="V43" i="64" s="1"/>
  <c r="F45" i="64"/>
  <c r="Y45" i="64"/>
  <c r="AC45" i="64"/>
  <c r="E46" i="64"/>
  <c r="J46" i="64"/>
  <c r="E47" i="64"/>
  <c r="F47" i="64"/>
  <c r="H47" i="64"/>
  <c r="G48" i="64"/>
  <c r="I48" i="64"/>
  <c r="K48" i="64"/>
  <c r="W48" i="64"/>
  <c r="N48" i="64" s="1"/>
  <c r="Y48" i="64"/>
  <c r="P48" i="64" s="1"/>
  <c r="AA48" i="64"/>
  <c r="R48" i="64" s="1"/>
  <c r="AC48" i="64"/>
  <c r="T48" i="64" s="1"/>
  <c r="AE48" i="64"/>
  <c r="V48" i="64" s="1"/>
  <c r="G49" i="64"/>
  <c r="I49" i="64"/>
  <c r="K49" i="64"/>
  <c r="W49" i="64"/>
  <c r="N49" i="64"/>
  <c r="Y49" i="64"/>
  <c r="P49" i="64" s="1"/>
  <c r="AA49" i="64"/>
  <c r="R49" i="64" s="1"/>
  <c r="AC49" i="64"/>
  <c r="T49" i="64" s="1"/>
  <c r="AE49" i="64"/>
  <c r="V49" i="64" s="1"/>
  <c r="D50" i="64"/>
  <c r="F51" i="64"/>
  <c r="L51" i="64"/>
  <c r="Y51" i="64"/>
  <c r="E52" i="64"/>
  <c r="M52" i="64"/>
  <c r="G53" i="64"/>
  <c r="I53" i="64"/>
  <c r="K53" i="64"/>
  <c r="W53" i="64"/>
  <c r="N53" i="64" s="1"/>
  <c r="Y53" i="64"/>
  <c r="P53" i="64" s="1"/>
  <c r="AA53" i="64"/>
  <c r="R53" i="64" s="1"/>
  <c r="AC53" i="64"/>
  <c r="T53" i="64" s="1"/>
  <c r="AE53" i="64"/>
  <c r="V53" i="64" s="1"/>
  <c r="W55" i="64"/>
  <c r="N55" i="64" s="1"/>
  <c r="Y55" i="64"/>
  <c r="P55" i="64" s="1"/>
  <c r="AA55" i="64"/>
  <c r="R55" i="64" s="1"/>
  <c r="AB55" i="64"/>
  <c r="S55" i="64" s="1"/>
  <c r="AC55" i="64"/>
  <c r="T55" i="64" s="1"/>
  <c r="AE55" i="64"/>
  <c r="V55" i="64" s="1"/>
  <c r="H56" i="64"/>
  <c r="W56" i="64"/>
  <c r="R57" i="64"/>
  <c r="S57" i="64"/>
  <c r="T57" i="64"/>
  <c r="W57" i="64"/>
  <c r="N57" i="64" s="1"/>
  <c r="Y57" i="64"/>
  <c r="P57" i="64" s="1"/>
  <c r="AE57" i="64"/>
  <c r="V57" i="64" s="1"/>
  <c r="F65" i="64"/>
  <c r="H65" i="64"/>
  <c r="J65" i="64"/>
  <c r="L65" i="64"/>
  <c r="M65" i="64"/>
  <c r="F75" i="64"/>
  <c r="H75" i="64"/>
  <c r="J75" i="64"/>
  <c r="L75" i="64"/>
  <c r="M75" i="64"/>
  <c r="C7" i="126"/>
  <c r="D7" i="126"/>
  <c r="E7" i="126"/>
  <c r="F7" i="126"/>
  <c r="G7" i="126"/>
  <c r="H7" i="126"/>
  <c r="I7" i="126"/>
  <c r="J7" i="126"/>
  <c r="L8" i="126"/>
  <c r="M8" i="126"/>
  <c r="N8" i="126"/>
  <c r="O8" i="126"/>
  <c r="P8" i="126"/>
  <c r="Q8" i="126"/>
  <c r="S8" i="126"/>
  <c r="T8" i="126"/>
  <c r="U8" i="126"/>
  <c r="V8" i="126"/>
  <c r="W8" i="126"/>
  <c r="X8" i="126"/>
  <c r="Y8" i="126"/>
  <c r="Z8" i="126"/>
  <c r="AA8" i="126"/>
  <c r="AB8" i="126"/>
  <c r="AC8" i="126"/>
  <c r="AD8" i="126"/>
  <c r="AE8" i="126"/>
  <c r="AF8" i="126"/>
  <c r="AG8" i="126"/>
  <c r="AH8" i="126"/>
  <c r="AI8" i="126"/>
  <c r="AJ8" i="126"/>
  <c r="AK8" i="126"/>
  <c r="AL8" i="126"/>
  <c r="AM8" i="126"/>
  <c r="AN8" i="126"/>
  <c r="AO8" i="126"/>
  <c r="AP8" i="126"/>
  <c r="C9" i="126"/>
  <c r="D9" i="126"/>
  <c r="E9" i="126"/>
  <c r="F9" i="126"/>
  <c r="G9" i="126"/>
  <c r="H9" i="126"/>
  <c r="I9" i="126"/>
  <c r="J9" i="126"/>
  <c r="C10" i="126"/>
  <c r="D10" i="126"/>
  <c r="E10" i="126"/>
  <c r="F10" i="126"/>
  <c r="G10" i="126"/>
  <c r="H10" i="126"/>
  <c r="I10" i="126"/>
  <c r="C11" i="126"/>
  <c r="D11" i="126"/>
  <c r="E11" i="126"/>
  <c r="F11" i="126"/>
  <c r="F31" i="126" s="1"/>
  <c r="G11" i="126"/>
  <c r="H11" i="126"/>
  <c r="I11" i="126"/>
  <c r="J11" i="126"/>
  <c r="C12" i="126"/>
  <c r="D12" i="126"/>
  <c r="D43" i="126" s="1"/>
  <c r="E12" i="126"/>
  <c r="E43" i="126" s="1"/>
  <c r="F12" i="126"/>
  <c r="F43" i="126" s="1"/>
  <c r="G12" i="126"/>
  <c r="G43" i="126" s="1"/>
  <c r="H12" i="126"/>
  <c r="H43" i="126" s="1"/>
  <c r="K13" i="126"/>
  <c r="L13" i="126"/>
  <c r="M13" i="126"/>
  <c r="N13" i="126"/>
  <c r="O13" i="126"/>
  <c r="P13" i="126"/>
  <c r="S13" i="126"/>
  <c r="T13" i="126"/>
  <c r="U13" i="126"/>
  <c r="V13" i="126"/>
  <c r="W13" i="126"/>
  <c r="X13" i="126"/>
  <c r="Y13" i="126"/>
  <c r="Z13" i="126"/>
  <c r="AA13" i="126"/>
  <c r="AB13" i="126"/>
  <c r="AC13" i="126"/>
  <c r="AD13" i="126"/>
  <c r="AE13" i="126"/>
  <c r="AF13" i="126"/>
  <c r="AG13" i="126"/>
  <c r="AH13" i="126"/>
  <c r="AI13" i="126"/>
  <c r="AK13" i="126"/>
  <c r="AL13" i="126"/>
  <c r="AM13" i="126"/>
  <c r="AN13" i="126"/>
  <c r="AP13" i="126"/>
  <c r="C16" i="126"/>
  <c r="D16" i="126"/>
  <c r="E16" i="126"/>
  <c r="F16" i="126"/>
  <c r="G16" i="126"/>
  <c r="H16" i="126"/>
  <c r="I16" i="126"/>
  <c r="C17" i="126"/>
  <c r="D17" i="126"/>
  <c r="E17" i="126"/>
  <c r="F17" i="126"/>
  <c r="G17" i="126"/>
  <c r="H17" i="126"/>
  <c r="I17" i="126"/>
  <c r="J17" i="126"/>
  <c r="C18" i="126"/>
  <c r="D18" i="126"/>
  <c r="E18" i="126"/>
  <c r="F18" i="126"/>
  <c r="G18" i="126"/>
  <c r="H18" i="126"/>
  <c r="I18" i="126"/>
  <c r="J18" i="126"/>
  <c r="C19" i="126"/>
  <c r="D19" i="126"/>
  <c r="E19" i="126"/>
  <c r="F19" i="126"/>
  <c r="G19" i="126"/>
  <c r="H19" i="126"/>
  <c r="I19" i="126"/>
  <c r="J19" i="126"/>
  <c r="K20" i="126"/>
  <c r="K23" i="126"/>
  <c r="L20" i="126"/>
  <c r="M20" i="126"/>
  <c r="N20" i="126"/>
  <c r="N23" i="126"/>
  <c r="O20" i="126"/>
  <c r="O23" i="126" s="1"/>
  <c r="P20" i="126"/>
  <c r="Q20" i="126"/>
  <c r="R20" i="126"/>
  <c r="R23" i="126" s="1"/>
  <c r="S20" i="126"/>
  <c r="S23" i="126" s="1"/>
  <c r="T20" i="126"/>
  <c r="T23" i="126" s="1"/>
  <c r="U20" i="126"/>
  <c r="V20" i="126"/>
  <c r="V23" i="126" s="1"/>
  <c r="W20" i="126"/>
  <c r="W23" i="126" s="1"/>
  <c r="X20" i="126"/>
  <c r="X23" i="126" s="1"/>
  <c r="Y20" i="126"/>
  <c r="Y23" i="126" s="1"/>
  <c r="Z20" i="126"/>
  <c r="AA20" i="126"/>
  <c r="AA23" i="126"/>
  <c r="AB20" i="126"/>
  <c r="AB23" i="126" s="1"/>
  <c r="AC20" i="126"/>
  <c r="AC23" i="126" s="1"/>
  <c r="AD20" i="126"/>
  <c r="AE20" i="126"/>
  <c r="AF20" i="126"/>
  <c r="AG20" i="126"/>
  <c r="AG23" i="126" s="1"/>
  <c r="AH20" i="126"/>
  <c r="AI20" i="126"/>
  <c r="AI23" i="126" s="1"/>
  <c r="AK20" i="126"/>
  <c r="AK23" i="126" s="1"/>
  <c r="AL20" i="126"/>
  <c r="AL23" i="126" s="1"/>
  <c r="AM20" i="126"/>
  <c r="F10" i="182" s="1"/>
  <c r="N10" i="182" s="1"/>
  <c r="CP10" i="182" s="1"/>
  <c r="AN20" i="126"/>
  <c r="AN23" i="126" s="1"/>
  <c r="AO20" i="126"/>
  <c r="H10" i="182" s="1"/>
  <c r="P10" i="182" s="1"/>
  <c r="CR10" i="182" s="1"/>
  <c r="AP20" i="126"/>
  <c r="AP23" i="126" s="1"/>
  <c r="S27" i="126"/>
  <c r="S28" i="126" s="1"/>
  <c r="U27" i="126"/>
  <c r="U28" i="126" s="1"/>
  <c r="W27" i="126"/>
  <c r="W28" i="126" s="1"/>
  <c r="Y27" i="126"/>
  <c r="Y28" i="126" s="1"/>
  <c r="Z27" i="126"/>
  <c r="Z28" i="126" s="1"/>
  <c r="H31" i="126"/>
  <c r="S30" i="126"/>
  <c r="S31" i="126" s="1"/>
  <c r="U30" i="126"/>
  <c r="W30" i="126"/>
  <c r="Y30" i="126"/>
  <c r="Z30" i="126"/>
  <c r="Z31" i="126" s="1"/>
  <c r="S33" i="126"/>
  <c r="S34" i="126" s="1"/>
  <c r="U33" i="126"/>
  <c r="W33" i="126"/>
  <c r="Y33" i="126"/>
  <c r="Y34" i="126" s="1"/>
  <c r="Z33" i="126"/>
  <c r="Z34" i="126" s="1"/>
  <c r="C36" i="126"/>
  <c r="E36" i="126"/>
  <c r="E37" i="126" s="1"/>
  <c r="G36" i="126"/>
  <c r="G37" i="126" s="1"/>
  <c r="I36" i="126"/>
  <c r="J36" i="126"/>
  <c r="J37" i="126"/>
  <c r="C39" i="126"/>
  <c r="C40" i="126" s="1"/>
  <c r="E39" i="126"/>
  <c r="G39" i="126"/>
  <c r="I39" i="126"/>
  <c r="I40" i="126" s="1"/>
  <c r="J39" i="126"/>
  <c r="S39" i="126"/>
  <c r="S40" i="126" s="1"/>
  <c r="U39" i="126"/>
  <c r="W39" i="126"/>
  <c r="W40" i="126" s="1"/>
  <c r="Y39" i="126"/>
  <c r="Y40" i="126" s="1"/>
  <c r="Z39" i="126"/>
  <c r="D8" i="63"/>
  <c r="E8" i="63"/>
  <c r="E41" i="63" s="1"/>
  <c r="F8" i="63"/>
  <c r="H8" i="63"/>
  <c r="M8" i="63"/>
  <c r="D19" i="63"/>
  <c r="E19" i="63"/>
  <c r="F19" i="63"/>
  <c r="H19" i="63"/>
  <c r="H41" i="63" s="1"/>
  <c r="M19" i="63"/>
  <c r="D36" i="63"/>
  <c r="E36" i="63"/>
  <c r="F36" i="63"/>
  <c r="H36" i="63"/>
  <c r="M36" i="63"/>
  <c r="D44" i="63"/>
  <c r="E44" i="63"/>
  <c r="E54" i="63" s="1"/>
  <c r="F44" i="63"/>
  <c r="H44" i="63"/>
  <c r="H54" i="63" s="1"/>
  <c r="M44" i="63"/>
  <c r="D50" i="63"/>
  <c r="E50" i="63"/>
  <c r="F50" i="63"/>
  <c r="H50" i="63"/>
  <c r="M50" i="63"/>
  <c r="D8" i="62"/>
  <c r="E8" i="62"/>
  <c r="D19" i="62"/>
  <c r="E19" i="62"/>
  <c r="F19" i="62"/>
  <c r="H19" i="62"/>
  <c r="J19" i="62"/>
  <c r="L19" i="62"/>
  <c r="M19" i="62"/>
  <c r="D36" i="62"/>
  <c r="E36" i="62"/>
  <c r="H36" i="62"/>
  <c r="D45" i="62"/>
  <c r="E45" i="62"/>
  <c r="D51" i="62"/>
  <c r="E51" i="62"/>
  <c r="F51" i="62"/>
  <c r="H51" i="62"/>
  <c r="M51" i="62"/>
  <c r="D8" i="61"/>
  <c r="E8" i="61"/>
  <c r="F9" i="61"/>
  <c r="F9" i="25" s="1"/>
  <c r="Y9" i="24" s="1"/>
  <c r="I9" i="61"/>
  <c r="K9" i="61"/>
  <c r="F10" i="61"/>
  <c r="J10" i="61"/>
  <c r="K10" i="61" s="1"/>
  <c r="M10" i="61"/>
  <c r="F11" i="61"/>
  <c r="H11" i="61"/>
  <c r="AC11" i="60" s="1"/>
  <c r="S11" i="60" s="1"/>
  <c r="J11" i="61"/>
  <c r="M11" i="61"/>
  <c r="AI11" i="60" s="1"/>
  <c r="Y11" i="60" s="1"/>
  <c r="F13" i="61"/>
  <c r="H13" i="61"/>
  <c r="J13" i="61"/>
  <c r="AE13" i="60" s="1"/>
  <c r="U13" i="60" s="1"/>
  <c r="M13" i="61"/>
  <c r="F14" i="61"/>
  <c r="Z14" i="60" s="1"/>
  <c r="Q14" i="60" s="1"/>
  <c r="H14" i="61"/>
  <c r="J14" i="61"/>
  <c r="M14" i="61"/>
  <c r="F15" i="61"/>
  <c r="H15" i="61"/>
  <c r="J15" i="61"/>
  <c r="AE15" i="60" s="1"/>
  <c r="U15" i="60" s="1"/>
  <c r="M15" i="61"/>
  <c r="M15" i="25" s="1"/>
  <c r="AF15" i="24" s="1"/>
  <c r="X15" i="24" s="1"/>
  <c r="F16" i="61"/>
  <c r="Z16" i="60" s="1"/>
  <c r="Q16" i="60" s="1"/>
  <c r="H16" i="61"/>
  <c r="J16" i="61"/>
  <c r="M16" i="61"/>
  <c r="F17" i="61"/>
  <c r="H17" i="61"/>
  <c r="J17" i="61"/>
  <c r="M17" i="61"/>
  <c r="F18" i="61"/>
  <c r="H18" i="61"/>
  <c r="J18" i="61"/>
  <c r="M18" i="61"/>
  <c r="D19" i="61"/>
  <c r="E19" i="61"/>
  <c r="L19" i="61"/>
  <c r="F20" i="61"/>
  <c r="Z20" i="60" s="1"/>
  <c r="H22" i="61"/>
  <c r="H20" i="61" s="1"/>
  <c r="AC20" i="60" s="1"/>
  <c r="J22" i="61"/>
  <c r="AE22" i="60" s="1"/>
  <c r="U22" i="60" s="1"/>
  <c r="M22" i="61"/>
  <c r="AI20" i="60"/>
  <c r="F23" i="61"/>
  <c r="H23" i="61"/>
  <c r="AC23" i="60" s="1"/>
  <c r="S23" i="60" s="1"/>
  <c r="J23" i="61"/>
  <c r="AE23" i="60" s="1"/>
  <c r="U23" i="60" s="1"/>
  <c r="M23" i="61"/>
  <c r="F24" i="61"/>
  <c r="Z24" i="60"/>
  <c r="Q24" i="60" s="1"/>
  <c r="H24" i="61"/>
  <c r="AC24" i="60" s="1"/>
  <c r="S24" i="60" s="1"/>
  <c r="J24" i="61"/>
  <c r="AE24" i="60" s="1"/>
  <c r="U24" i="60" s="1"/>
  <c r="M24" i="61"/>
  <c r="AI24" i="60" s="1"/>
  <c r="Y24" i="60" s="1"/>
  <c r="F25" i="61"/>
  <c r="H25" i="61"/>
  <c r="J25" i="61"/>
  <c r="AE25" i="60" s="1"/>
  <c r="U25" i="60" s="1"/>
  <c r="M25" i="61"/>
  <c r="AI25" i="60" s="1"/>
  <c r="Y25" i="60" s="1"/>
  <c r="H31" i="61"/>
  <c r="J31" i="61"/>
  <c r="J28" i="61" s="1"/>
  <c r="M31" i="61"/>
  <c r="M28" i="61" s="1"/>
  <c r="AI28" i="60" s="1"/>
  <c r="F32" i="61"/>
  <c r="Z32" i="60" s="1"/>
  <c r="H32" i="61"/>
  <c r="AC32" i="60" s="1"/>
  <c r="S32" i="60" s="1"/>
  <c r="J32" i="61"/>
  <c r="AE32" i="60" s="1"/>
  <c r="L32" i="61"/>
  <c r="F34" i="61"/>
  <c r="H34" i="61"/>
  <c r="J34" i="61"/>
  <c r="AE34" i="60" s="1"/>
  <c r="L34" i="61"/>
  <c r="AG34" i="60" s="1"/>
  <c r="W34" i="60" s="1"/>
  <c r="I35" i="61"/>
  <c r="K35" i="61"/>
  <c r="D36" i="61"/>
  <c r="E36" i="61"/>
  <c r="H37" i="61"/>
  <c r="J37" i="61"/>
  <c r="L37" i="61"/>
  <c r="M37" i="61"/>
  <c r="G38" i="61"/>
  <c r="I38" i="61"/>
  <c r="K38" i="61"/>
  <c r="H40" i="61"/>
  <c r="AC40" i="60" s="1"/>
  <c r="S40" i="60" s="1"/>
  <c r="L40" i="61"/>
  <c r="AG40" i="60" s="1"/>
  <c r="W40" i="60" s="1"/>
  <c r="H41" i="61"/>
  <c r="L41" i="61"/>
  <c r="AG41" i="60" s="1"/>
  <c r="W41" i="60" s="1"/>
  <c r="D45" i="61"/>
  <c r="E45" i="61"/>
  <c r="L46" i="61"/>
  <c r="F47" i="61"/>
  <c r="Z47" i="60" s="1"/>
  <c r="H47" i="61"/>
  <c r="I47" i="61" s="1"/>
  <c r="L47" i="61"/>
  <c r="L48" i="25" s="1"/>
  <c r="H48" i="61"/>
  <c r="L48" i="61"/>
  <c r="AG48" i="60" s="1"/>
  <c r="W48" i="60" s="1"/>
  <c r="F49" i="61"/>
  <c r="Z49" i="60" s="1"/>
  <c r="H49" i="61"/>
  <c r="J49" i="61"/>
  <c r="L49" i="61"/>
  <c r="M49" i="61"/>
  <c r="AI49" i="60" s="1"/>
  <c r="Y49" i="60" s="1"/>
  <c r="F50" i="61"/>
  <c r="H50" i="61"/>
  <c r="J50" i="61"/>
  <c r="L50" i="61"/>
  <c r="M50" i="61"/>
  <c r="AI50" i="60" s="1"/>
  <c r="Y50" i="60" s="1"/>
  <c r="D51" i="61"/>
  <c r="E51" i="61"/>
  <c r="F52" i="61"/>
  <c r="H52" i="61"/>
  <c r="AC52" i="60" s="1"/>
  <c r="S52" i="60" s="1"/>
  <c r="J52" i="61"/>
  <c r="L52" i="61"/>
  <c r="M52" i="61"/>
  <c r="AI52" i="60" s="1"/>
  <c r="Y52" i="60" s="1"/>
  <c r="F53" i="61"/>
  <c r="H53" i="61"/>
  <c r="J53" i="61"/>
  <c r="L53" i="61"/>
  <c r="F54" i="61"/>
  <c r="Z54" i="60" s="1"/>
  <c r="Q54" i="60" s="1"/>
  <c r="H54" i="61"/>
  <c r="J54" i="61"/>
  <c r="L54" i="61"/>
  <c r="F57" i="61"/>
  <c r="Z57" i="60" s="1"/>
  <c r="Q57" i="60" s="1"/>
  <c r="H57" i="61"/>
  <c r="J57" i="61"/>
  <c r="AE57" i="60" s="1"/>
  <c r="U57" i="60" s="1"/>
  <c r="L57" i="61"/>
  <c r="M57" i="61"/>
  <c r="AI57" i="60" s="1"/>
  <c r="Y57" i="60" s="1"/>
  <c r="D8" i="60"/>
  <c r="E8" i="60"/>
  <c r="F8" i="60"/>
  <c r="C27" i="126" s="1"/>
  <c r="C28" i="126" s="1"/>
  <c r="H8" i="60"/>
  <c r="E27" i="126" s="1"/>
  <c r="E28" i="126" s="1"/>
  <c r="G27" i="126"/>
  <c r="G28" i="126" s="1"/>
  <c r="L8" i="60"/>
  <c r="I27" i="126" s="1"/>
  <c r="M8" i="60"/>
  <c r="J27" i="126" s="1"/>
  <c r="J28" i="126" s="1"/>
  <c r="G9" i="60"/>
  <c r="I9" i="60"/>
  <c r="K9" i="60"/>
  <c r="AC9" i="60"/>
  <c r="S9" i="60" s="1"/>
  <c r="AE9" i="60"/>
  <c r="U9" i="60" s="1"/>
  <c r="AG9" i="60"/>
  <c r="W9" i="60" s="1"/>
  <c r="AI9" i="60"/>
  <c r="Y9" i="60" s="1"/>
  <c r="G10" i="60"/>
  <c r="I10" i="60"/>
  <c r="K10" i="60"/>
  <c r="AC10" i="60"/>
  <c r="S10" i="60" s="1"/>
  <c r="AG10" i="60"/>
  <c r="W10" i="60" s="1"/>
  <c r="G11" i="60"/>
  <c r="I11" i="60"/>
  <c r="K11" i="60"/>
  <c r="AG11" i="60"/>
  <c r="W11" i="60" s="1"/>
  <c r="G12" i="60"/>
  <c r="I12" i="60"/>
  <c r="G13" i="60"/>
  <c r="I13" i="60"/>
  <c r="K13" i="60"/>
  <c r="AG13" i="60"/>
  <c r="W13" i="60" s="1"/>
  <c r="G14" i="60"/>
  <c r="I14" i="60"/>
  <c r="K14" i="60"/>
  <c r="AG14" i="60"/>
  <c r="W14" i="60" s="1"/>
  <c r="G15" i="60"/>
  <c r="I15" i="60"/>
  <c r="K15" i="60"/>
  <c r="AG15" i="60"/>
  <c r="W15" i="60"/>
  <c r="G16" i="60"/>
  <c r="I16" i="60"/>
  <c r="K16" i="60"/>
  <c r="W16" i="60"/>
  <c r="G17" i="60"/>
  <c r="I17" i="60"/>
  <c r="K17" i="60"/>
  <c r="Q17" i="60"/>
  <c r="S17" i="60"/>
  <c r="Y17" i="60"/>
  <c r="AG17" i="60"/>
  <c r="W17" i="60" s="1"/>
  <c r="G18" i="60"/>
  <c r="Z18" i="60"/>
  <c r="Q18" i="60" s="1"/>
  <c r="AG18" i="60"/>
  <c r="W18" i="60" s="1"/>
  <c r="D19" i="60"/>
  <c r="E19" i="60"/>
  <c r="G30" i="126"/>
  <c r="G31" i="126" s="1"/>
  <c r="L19" i="60"/>
  <c r="I30" i="126" s="1"/>
  <c r="F20" i="60"/>
  <c r="F19" i="60" s="1"/>
  <c r="C30" i="126" s="1"/>
  <c r="H20" i="60"/>
  <c r="H19" i="60" s="1"/>
  <c r="E30" i="126" s="1"/>
  <c r="AG20" i="60"/>
  <c r="W20" i="60" s="1"/>
  <c r="Q21" i="60"/>
  <c r="S21" i="60"/>
  <c r="Y21" i="60"/>
  <c r="AE21" i="60"/>
  <c r="U21" i="60" s="1"/>
  <c r="AG21" i="60"/>
  <c r="W21" i="60"/>
  <c r="Z22" i="60"/>
  <c r="Q22" i="60" s="1"/>
  <c r="AG22" i="60"/>
  <c r="W22" i="60" s="1"/>
  <c r="Z23" i="60"/>
  <c r="Q23" i="60" s="1"/>
  <c r="AG23" i="60"/>
  <c r="W23" i="60" s="1"/>
  <c r="AG24" i="60"/>
  <c r="W24" i="60" s="1"/>
  <c r="AC25" i="60"/>
  <c r="S25" i="60" s="1"/>
  <c r="AG25" i="60"/>
  <c r="W25" i="60" s="1"/>
  <c r="F26" i="60"/>
  <c r="H26" i="60"/>
  <c r="L26" i="60"/>
  <c r="M26" i="60"/>
  <c r="Z26" i="60"/>
  <c r="AC26" i="60"/>
  <c r="AE26" i="60"/>
  <c r="U26" i="60" s="1"/>
  <c r="Z27" i="60"/>
  <c r="Q27" i="60" s="1"/>
  <c r="AC27" i="60"/>
  <c r="S27" i="60" s="1"/>
  <c r="AE27" i="60"/>
  <c r="U27" i="60" s="1"/>
  <c r="W27" i="60"/>
  <c r="Y27" i="60"/>
  <c r="F28" i="60"/>
  <c r="H28" i="60"/>
  <c r="L28" i="60"/>
  <c r="M28" i="60"/>
  <c r="J42" i="126"/>
  <c r="J43" i="126"/>
  <c r="Z28" i="60"/>
  <c r="AC28" i="60"/>
  <c r="AG28" i="60"/>
  <c r="Z29" i="60"/>
  <c r="Q29" i="60" s="1"/>
  <c r="AC29" i="60"/>
  <c r="S29" i="60" s="1"/>
  <c r="AE29" i="60"/>
  <c r="U29" i="60" s="1"/>
  <c r="AG29" i="60"/>
  <c r="W29" i="60" s="1"/>
  <c r="AI29" i="60"/>
  <c r="Y29" i="60" s="1"/>
  <c r="Z30" i="60"/>
  <c r="Q30" i="60" s="1"/>
  <c r="AC30" i="60"/>
  <c r="S30" i="60" s="1"/>
  <c r="AE30" i="60"/>
  <c r="U30" i="60"/>
  <c r="AG30" i="60"/>
  <c r="W30" i="60" s="1"/>
  <c r="AI30" i="60"/>
  <c r="Y30" i="60" s="1"/>
  <c r="I31" i="60"/>
  <c r="K31" i="60"/>
  <c r="Z31" i="60"/>
  <c r="Q31" i="60" s="1"/>
  <c r="AG31" i="60"/>
  <c r="W31" i="60" s="1"/>
  <c r="AI31" i="60"/>
  <c r="Y31" i="60" s="1"/>
  <c r="F32" i="60"/>
  <c r="H32" i="60"/>
  <c r="L32" i="60"/>
  <c r="AG32" i="60"/>
  <c r="AI32" i="60"/>
  <c r="Y32" i="60" s="1"/>
  <c r="Q33" i="60"/>
  <c r="S33" i="60"/>
  <c r="Y33" i="60"/>
  <c r="AE33" i="60"/>
  <c r="U33" i="60" s="1"/>
  <c r="AG33" i="60"/>
  <c r="W33" i="60" s="1"/>
  <c r="F34" i="60"/>
  <c r="Q34" i="60" s="1"/>
  <c r="H34" i="60"/>
  <c r="S34" i="60" s="1"/>
  <c r="U34" i="60"/>
  <c r="L34" i="60"/>
  <c r="M34" i="60"/>
  <c r="Y34" i="60" s="1"/>
  <c r="I35" i="60"/>
  <c r="K35" i="60"/>
  <c r="Q35" i="60"/>
  <c r="S35" i="60"/>
  <c r="Y35" i="60"/>
  <c r="AE35" i="60"/>
  <c r="U35" i="60" s="1"/>
  <c r="AG35" i="60"/>
  <c r="W35" i="60" s="1"/>
  <c r="D36" i="60"/>
  <c r="D42" i="60" s="1"/>
  <c r="E36" i="60"/>
  <c r="L36" i="60"/>
  <c r="I33" i="126" s="1"/>
  <c r="G37" i="60"/>
  <c r="I37" i="60"/>
  <c r="F39" i="126" s="1"/>
  <c r="K37" i="60"/>
  <c r="Z37" i="60"/>
  <c r="Q37" i="60" s="1"/>
  <c r="G38" i="60"/>
  <c r="I38" i="60"/>
  <c r="K38" i="60"/>
  <c r="Z38" i="60"/>
  <c r="Q38" i="60" s="1"/>
  <c r="AC38" i="60"/>
  <c r="S38" i="60" s="1"/>
  <c r="AE38" i="60"/>
  <c r="U38" i="60" s="1"/>
  <c r="AG38" i="60"/>
  <c r="W38" i="60" s="1"/>
  <c r="AI38" i="60"/>
  <c r="Y38" i="60"/>
  <c r="F39" i="60"/>
  <c r="H39" i="60"/>
  <c r="M39" i="60"/>
  <c r="M36" i="60" s="1"/>
  <c r="J33" i="126" s="1"/>
  <c r="G40" i="60"/>
  <c r="I40" i="60"/>
  <c r="F36" i="126" s="1"/>
  <c r="K40" i="60"/>
  <c r="H36" i="126" s="1"/>
  <c r="G41" i="60"/>
  <c r="I41" i="60"/>
  <c r="K41" i="60"/>
  <c r="Z43" i="60"/>
  <c r="Q43" i="60" s="1"/>
  <c r="AC43" i="60"/>
  <c r="S43" i="60"/>
  <c r="AE43" i="60"/>
  <c r="U43" i="60" s="1"/>
  <c r="AG43" i="60"/>
  <c r="W43" i="60" s="1"/>
  <c r="AI43" i="60"/>
  <c r="Y43" i="60" s="1"/>
  <c r="Z44" i="60"/>
  <c r="Q44" i="60" s="1"/>
  <c r="AC44" i="60"/>
  <c r="S44" i="60" s="1"/>
  <c r="AE44" i="60"/>
  <c r="U44" i="60"/>
  <c r="AG44" i="60"/>
  <c r="W44" i="60" s="1"/>
  <c r="AI44" i="60"/>
  <c r="Y44" i="60" s="1"/>
  <c r="D45" i="60"/>
  <c r="E45" i="60"/>
  <c r="F45" i="60"/>
  <c r="H45" i="60"/>
  <c r="L45" i="60"/>
  <c r="M45" i="60"/>
  <c r="G46" i="60"/>
  <c r="I46" i="60"/>
  <c r="V27" i="126" s="1"/>
  <c r="K46" i="60"/>
  <c r="X27" i="126" s="1"/>
  <c r="G47" i="60"/>
  <c r="I47" i="60"/>
  <c r="V30" i="126" s="1"/>
  <c r="V31" i="126" s="1"/>
  <c r="K47" i="60"/>
  <c r="X30" i="126" s="1"/>
  <c r="X31" i="126" s="1"/>
  <c r="Q47" i="60"/>
  <c r="G48" i="60"/>
  <c r="I48" i="60"/>
  <c r="V33" i="126"/>
  <c r="V34" i="126"/>
  <c r="K48" i="60"/>
  <c r="X33" i="126" s="1"/>
  <c r="X34" i="126" s="1"/>
  <c r="G49" i="60"/>
  <c r="I49" i="60"/>
  <c r="K49" i="60"/>
  <c r="Q49" i="60"/>
  <c r="G50" i="60"/>
  <c r="I50" i="60"/>
  <c r="K50" i="60"/>
  <c r="AE50" i="60"/>
  <c r="U50" i="60" s="1"/>
  <c r="D51" i="60"/>
  <c r="E51" i="60"/>
  <c r="E55" i="60" s="1"/>
  <c r="F51" i="60"/>
  <c r="H51" i="60"/>
  <c r="G51" i="60" s="1"/>
  <c r="L51" i="60"/>
  <c r="M51" i="60"/>
  <c r="G52" i="60"/>
  <c r="I52" i="60"/>
  <c r="V39" i="126" s="1"/>
  <c r="K52" i="60"/>
  <c r="X39" i="126"/>
  <c r="G53" i="60"/>
  <c r="I53" i="60"/>
  <c r="K53" i="60"/>
  <c r="AE53" i="60"/>
  <c r="U53" i="60" s="1"/>
  <c r="AI53" i="60"/>
  <c r="Y53" i="60"/>
  <c r="G54" i="60"/>
  <c r="I54" i="60"/>
  <c r="K54" i="60"/>
  <c r="AI54" i="60"/>
  <c r="Y54" i="60"/>
  <c r="Z56" i="60"/>
  <c r="Q56" i="60" s="1"/>
  <c r="AC56" i="60"/>
  <c r="S56" i="60"/>
  <c r="AE56" i="60"/>
  <c r="U56" i="60" s="1"/>
  <c r="AG56" i="60"/>
  <c r="W56" i="60" s="1"/>
  <c r="AI56" i="60"/>
  <c r="Y56" i="60" s="1"/>
  <c r="AG57" i="60"/>
  <c r="W57" i="60" s="1"/>
  <c r="Z58" i="60"/>
  <c r="Q58" i="60" s="1"/>
  <c r="AC58" i="60"/>
  <c r="S58" i="60" s="1"/>
  <c r="AE58" i="60"/>
  <c r="U58" i="60" s="1"/>
  <c r="AG58" i="60"/>
  <c r="W58" i="60" s="1"/>
  <c r="AI58" i="60"/>
  <c r="Y58" i="60"/>
  <c r="H66" i="60"/>
  <c r="M66" i="60"/>
  <c r="C7" i="127"/>
  <c r="AI26" i="181"/>
  <c r="E7" i="127"/>
  <c r="AK26" i="181" s="1"/>
  <c r="F7" i="127"/>
  <c r="H7" i="127"/>
  <c r="AN26" i="181" s="1"/>
  <c r="AN25" i="181" s="1"/>
  <c r="CZ25" i="181" s="1"/>
  <c r="I7" i="127"/>
  <c r="AO26" i="181" s="1"/>
  <c r="AO25" i="181" s="1"/>
  <c r="J7" i="127"/>
  <c r="C8" i="127"/>
  <c r="E8" i="127"/>
  <c r="F8" i="127"/>
  <c r="G8" i="127"/>
  <c r="H8" i="127"/>
  <c r="I8" i="127"/>
  <c r="J8" i="127"/>
  <c r="K9" i="127"/>
  <c r="L9" i="127"/>
  <c r="M9" i="127"/>
  <c r="N9" i="127"/>
  <c r="O9" i="127"/>
  <c r="P9" i="127"/>
  <c r="H9" i="127" s="1"/>
  <c r="Q9" i="127"/>
  <c r="I9" i="127" s="1"/>
  <c r="R9" i="127"/>
  <c r="S9" i="127"/>
  <c r="U9" i="127"/>
  <c r="AA9" i="127"/>
  <c r="AC9" i="127"/>
  <c r="AE9" i="127"/>
  <c r="AK9" i="127"/>
  <c r="C10" i="127"/>
  <c r="S26" i="181" s="1"/>
  <c r="E10" i="127"/>
  <c r="U26" i="181"/>
  <c r="F10" i="127"/>
  <c r="V26" i="181" s="1"/>
  <c r="G10" i="127"/>
  <c r="W26" i="181" s="1"/>
  <c r="H10" i="127"/>
  <c r="I10" i="127"/>
  <c r="Y26" i="181" s="1"/>
  <c r="Y25" i="181" s="1"/>
  <c r="J10" i="127"/>
  <c r="C11" i="127"/>
  <c r="E11" i="127"/>
  <c r="F11" i="127"/>
  <c r="G11" i="127"/>
  <c r="H11" i="127"/>
  <c r="I11" i="127"/>
  <c r="J11" i="127"/>
  <c r="K13" i="127"/>
  <c r="M13" i="127"/>
  <c r="N13" i="127"/>
  <c r="O13" i="127"/>
  <c r="P13" i="127"/>
  <c r="Q13" i="127"/>
  <c r="R13" i="127"/>
  <c r="S13" i="127"/>
  <c r="U13" i="127"/>
  <c r="V13" i="127"/>
  <c r="W13" i="127"/>
  <c r="X13" i="127"/>
  <c r="Y13" i="127"/>
  <c r="Z13" i="127"/>
  <c r="AA13" i="127"/>
  <c r="AC13" i="127"/>
  <c r="AD13" i="127"/>
  <c r="AE13" i="127"/>
  <c r="AF13" i="127"/>
  <c r="AF23" i="127" s="1"/>
  <c r="AG13" i="127"/>
  <c r="AH13" i="127"/>
  <c r="AI13" i="127"/>
  <c r="AJ13" i="127"/>
  <c r="AK13" i="127"/>
  <c r="AL13" i="127"/>
  <c r="AM13" i="127"/>
  <c r="AN13" i="127"/>
  <c r="C16" i="127"/>
  <c r="E16" i="127"/>
  <c r="F16" i="127"/>
  <c r="G16" i="127"/>
  <c r="H16" i="127"/>
  <c r="I16" i="127"/>
  <c r="J16" i="127"/>
  <c r="C17" i="127"/>
  <c r="E17" i="127"/>
  <c r="F17" i="127"/>
  <c r="G17" i="127"/>
  <c r="H17" i="127"/>
  <c r="I17" i="127"/>
  <c r="J17" i="127"/>
  <c r="C18" i="127"/>
  <c r="E18" i="127"/>
  <c r="F18" i="127"/>
  <c r="G18" i="127"/>
  <c r="H18" i="127"/>
  <c r="I18" i="127"/>
  <c r="J18" i="127"/>
  <c r="C19" i="127"/>
  <c r="E19" i="127"/>
  <c r="F19" i="127"/>
  <c r="G19" i="127"/>
  <c r="H19" i="127"/>
  <c r="I19" i="127"/>
  <c r="J19" i="127"/>
  <c r="C20" i="127"/>
  <c r="E20" i="127"/>
  <c r="F20" i="127"/>
  <c r="G20" i="127"/>
  <c r="H20" i="127"/>
  <c r="I20" i="127"/>
  <c r="J20" i="127"/>
  <c r="K21" i="127"/>
  <c r="K23" i="127" s="1"/>
  <c r="M21" i="127"/>
  <c r="N21" i="127"/>
  <c r="O21" i="127"/>
  <c r="O23" i="127" s="1"/>
  <c r="P21" i="127"/>
  <c r="P23" i="127" s="1"/>
  <c r="Q21" i="127"/>
  <c r="Q23" i="127"/>
  <c r="R21" i="127"/>
  <c r="S21" i="127"/>
  <c r="U21" i="127"/>
  <c r="V21" i="127"/>
  <c r="V23" i="127" s="1"/>
  <c r="W21" i="127"/>
  <c r="X21" i="127"/>
  <c r="Y21" i="127"/>
  <c r="Z21" i="127"/>
  <c r="AA21" i="127"/>
  <c r="AC21" i="127"/>
  <c r="AD21" i="127"/>
  <c r="AD23" i="127" s="1"/>
  <c r="AE21" i="127"/>
  <c r="AF21" i="127"/>
  <c r="AG21" i="127"/>
  <c r="AH21" i="127"/>
  <c r="AI21" i="127"/>
  <c r="AJ21" i="127"/>
  <c r="AK21" i="127"/>
  <c r="S29" i="127"/>
  <c r="S30" i="127"/>
  <c r="U29" i="127"/>
  <c r="U30" i="127" s="1"/>
  <c r="W29" i="127"/>
  <c r="Y29" i="127"/>
  <c r="Z29" i="127"/>
  <c r="Z30" i="127" s="1"/>
  <c r="C32" i="127"/>
  <c r="C33" i="127" s="1"/>
  <c r="E32" i="127"/>
  <c r="G32" i="127"/>
  <c r="G33" i="127" s="1"/>
  <c r="I32" i="127"/>
  <c r="J32" i="127"/>
  <c r="S32" i="127"/>
  <c r="S33" i="127" s="1"/>
  <c r="U32" i="127"/>
  <c r="U33" i="127" s="1"/>
  <c r="W32" i="127"/>
  <c r="W33" i="127" s="1"/>
  <c r="Y32" i="127"/>
  <c r="Z32" i="127"/>
  <c r="S35" i="127"/>
  <c r="S36" i="127" s="1"/>
  <c r="U35" i="127"/>
  <c r="W35" i="127"/>
  <c r="Y35" i="127"/>
  <c r="Z35" i="127"/>
  <c r="C38" i="127"/>
  <c r="E38" i="127"/>
  <c r="G38" i="127"/>
  <c r="I38" i="127"/>
  <c r="J38" i="127"/>
  <c r="J39" i="127" s="1"/>
  <c r="S38" i="127"/>
  <c r="S39" i="127" s="1"/>
  <c r="U38" i="127"/>
  <c r="U39" i="127" s="1"/>
  <c r="W38" i="127"/>
  <c r="Y38" i="127"/>
  <c r="Z38" i="127"/>
  <c r="C41" i="127"/>
  <c r="C42" i="127" s="1"/>
  <c r="E41" i="127"/>
  <c r="G41" i="127"/>
  <c r="G42" i="127" s="1"/>
  <c r="I41" i="127"/>
  <c r="J41" i="127"/>
  <c r="S41" i="127"/>
  <c r="U41" i="127"/>
  <c r="U42" i="127" s="1"/>
  <c r="W41" i="127"/>
  <c r="Y41" i="127"/>
  <c r="Y42" i="127" s="1"/>
  <c r="Z41" i="127"/>
  <c r="D8" i="59"/>
  <c r="E8" i="59"/>
  <c r="F8" i="59"/>
  <c r="H8" i="59"/>
  <c r="J8" i="59"/>
  <c r="L8" i="59"/>
  <c r="M8" i="59"/>
  <c r="D19" i="59"/>
  <c r="E19" i="59"/>
  <c r="F19" i="59"/>
  <c r="H19" i="59"/>
  <c r="J19" i="59"/>
  <c r="L19" i="59"/>
  <c r="M19" i="59"/>
  <c r="M40" i="59" s="1"/>
  <c r="D36" i="59"/>
  <c r="E36" i="59"/>
  <c r="F36" i="59"/>
  <c r="H36" i="59"/>
  <c r="J36" i="59"/>
  <c r="L36" i="59"/>
  <c r="M36" i="59"/>
  <c r="D43" i="59"/>
  <c r="D53" i="59" s="1"/>
  <c r="E43" i="59"/>
  <c r="F43" i="59"/>
  <c r="H43" i="59"/>
  <c r="J43" i="59"/>
  <c r="L43" i="59"/>
  <c r="M43" i="59"/>
  <c r="D49" i="59"/>
  <c r="E49" i="59"/>
  <c r="E53" i="59" s="1"/>
  <c r="F49" i="59"/>
  <c r="H49" i="59"/>
  <c r="J49" i="59"/>
  <c r="AC49" i="56" s="1"/>
  <c r="U49" i="56" s="1"/>
  <c r="L49" i="59"/>
  <c r="M49" i="59"/>
  <c r="D8" i="58"/>
  <c r="E8" i="58"/>
  <c r="E42" i="58" s="1"/>
  <c r="F8" i="58"/>
  <c r="F42" i="58" s="1"/>
  <c r="H8" i="58"/>
  <c r="J8" i="58"/>
  <c r="L8" i="58"/>
  <c r="M8" i="58"/>
  <c r="D19" i="58"/>
  <c r="E19" i="58"/>
  <c r="F19" i="58"/>
  <c r="H19" i="58"/>
  <c r="J19" i="58"/>
  <c r="L19" i="58"/>
  <c r="M19" i="58"/>
  <c r="D36" i="58"/>
  <c r="D42" i="58" s="1"/>
  <c r="E36" i="58"/>
  <c r="F36" i="58"/>
  <c r="H36" i="58"/>
  <c r="J36" i="58"/>
  <c r="L36" i="58"/>
  <c r="M36" i="58"/>
  <c r="D45" i="58"/>
  <c r="D55" i="58" s="1"/>
  <c r="E45" i="58"/>
  <c r="F45" i="58"/>
  <c r="H45" i="58"/>
  <c r="J45" i="58"/>
  <c r="L45" i="58"/>
  <c r="M45" i="58"/>
  <c r="D51" i="58"/>
  <c r="E51" i="58"/>
  <c r="E55" i="58" s="1"/>
  <c r="F51" i="58"/>
  <c r="H51" i="58"/>
  <c r="J51" i="58"/>
  <c r="L51" i="58"/>
  <c r="M51" i="58"/>
  <c r="D8" i="57"/>
  <c r="E8" i="57"/>
  <c r="F9" i="57"/>
  <c r="H9" i="57"/>
  <c r="AA9" i="56" s="1"/>
  <c r="S9" i="56" s="1"/>
  <c r="G9" i="57"/>
  <c r="J9" i="57"/>
  <c r="AC9" i="56" s="1"/>
  <c r="U9" i="56" s="1"/>
  <c r="L9" i="57"/>
  <c r="M9" i="57"/>
  <c r="AF9" i="56" s="1"/>
  <c r="X9" i="56" s="1"/>
  <c r="F10" i="57"/>
  <c r="M10" i="57"/>
  <c r="AF10" i="56" s="1"/>
  <c r="X10" i="56" s="1"/>
  <c r="F11" i="57"/>
  <c r="Y11" i="56" s="1"/>
  <c r="Q11" i="56" s="1"/>
  <c r="M11" i="57"/>
  <c r="AF11" i="56" s="1"/>
  <c r="X11" i="56" s="1"/>
  <c r="F12" i="57"/>
  <c r="Y12" i="56"/>
  <c r="Q12" i="56" s="1"/>
  <c r="H12" i="57"/>
  <c r="AA12" i="56" s="1"/>
  <c r="S12" i="56" s="1"/>
  <c r="J12" i="57"/>
  <c r="I12" i="57" s="1"/>
  <c r="L12" i="57"/>
  <c r="M12" i="57"/>
  <c r="AF12" i="56" s="1"/>
  <c r="X12" i="56" s="1"/>
  <c r="F13" i="57"/>
  <c r="H13" i="57"/>
  <c r="AA13" i="56" s="1"/>
  <c r="S13" i="56" s="1"/>
  <c r="J13" i="57"/>
  <c r="L13" i="57"/>
  <c r="M13" i="57"/>
  <c r="AF13" i="56" s="1"/>
  <c r="X13" i="56" s="1"/>
  <c r="F14" i="57"/>
  <c r="H14" i="57"/>
  <c r="J14" i="57"/>
  <c r="L14" i="57"/>
  <c r="M14" i="57"/>
  <c r="AF14" i="56" s="1"/>
  <c r="X14" i="56" s="1"/>
  <c r="F15" i="57"/>
  <c r="Y15" i="56"/>
  <c r="Q15" i="56" s="1"/>
  <c r="H15" i="57"/>
  <c r="G15" i="57" s="1"/>
  <c r="J15" i="57"/>
  <c r="AC15" i="56" s="1"/>
  <c r="U15" i="56" s="1"/>
  <c r="L15" i="57"/>
  <c r="M15" i="57"/>
  <c r="F16" i="57"/>
  <c r="Y16" i="56" s="1"/>
  <c r="Q16" i="56" s="1"/>
  <c r="H16" i="57"/>
  <c r="J16" i="57"/>
  <c r="AC16" i="56"/>
  <c r="U16" i="56" s="1"/>
  <c r="L16" i="57"/>
  <c r="M16" i="57"/>
  <c r="AF16" i="56"/>
  <c r="X16" i="56" s="1"/>
  <c r="F17" i="57"/>
  <c r="G17" i="57" s="1"/>
  <c r="J17" i="57"/>
  <c r="I17" i="57"/>
  <c r="M17" i="57"/>
  <c r="AF17" i="56" s="1"/>
  <c r="X17" i="56" s="1"/>
  <c r="F18" i="57"/>
  <c r="Y18" i="56" s="1"/>
  <c r="Q18" i="56" s="1"/>
  <c r="H18" i="57"/>
  <c r="AA18" i="56"/>
  <c r="S18" i="56" s="1"/>
  <c r="J18" i="57"/>
  <c r="AC18" i="56" s="1"/>
  <c r="U18" i="56" s="1"/>
  <c r="L18" i="57"/>
  <c r="AE18" i="56" s="1"/>
  <c r="W18" i="56" s="1"/>
  <c r="M18" i="57"/>
  <c r="AF18" i="56" s="1"/>
  <c r="X18" i="56" s="1"/>
  <c r="D19" i="57"/>
  <c r="E19" i="57"/>
  <c r="F20" i="57"/>
  <c r="Y20" i="56" s="1"/>
  <c r="Q20" i="56" s="1"/>
  <c r="H20" i="57"/>
  <c r="AA20" i="56" s="1"/>
  <c r="S20" i="56" s="1"/>
  <c r="L20" i="57"/>
  <c r="M20" i="57"/>
  <c r="J21" i="57"/>
  <c r="AC21" i="56" s="1"/>
  <c r="U21" i="56" s="1"/>
  <c r="L21" i="57"/>
  <c r="F22" i="57"/>
  <c r="Y22" i="56" s="1"/>
  <c r="Q22" i="56" s="1"/>
  <c r="H22" i="57"/>
  <c r="J22" i="57"/>
  <c r="AC22" i="56" s="1"/>
  <c r="U22" i="56" s="1"/>
  <c r="L22" i="57"/>
  <c r="AE22" i="56" s="1"/>
  <c r="W22" i="56" s="1"/>
  <c r="M22" i="57"/>
  <c r="F23" i="57"/>
  <c r="H23" i="57"/>
  <c r="AA23" i="56" s="1"/>
  <c r="S23" i="56" s="1"/>
  <c r="L23" i="57"/>
  <c r="AE23" i="56" s="1"/>
  <c r="W23" i="56" s="1"/>
  <c r="M23" i="57"/>
  <c r="J24" i="57"/>
  <c r="AC24" i="56" s="1"/>
  <c r="U24" i="56" s="1"/>
  <c r="F25" i="57"/>
  <c r="Y25" i="56" s="1"/>
  <c r="Q25" i="56" s="1"/>
  <c r="H25" i="57"/>
  <c r="AA25" i="56" s="1"/>
  <c r="S25" i="56" s="1"/>
  <c r="M25" i="57"/>
  <c r="M19" i="57" s="1"/>
  <c r="I35" i="57"/>
  <c r="K35" i="57"/>
  <c r="D36" i="57"/>
  <c r="E36" i="57"/>
  <c r="G37" i="57"/>
  <c r="M37" i="57"/>
  <c r="AF37" i="56" s="1"/>
  <c r="X37" i="56" s="1"/>
  <c r="G38" i="57"/>
  <c r="I38" i="57"/>
  <c r="H39" i="57"/>
  <c r="H36" i="57" s="1"/>
  <c r="F40" i="57"/>
  <c r="G40" i="57" s="1"/>
  <c r="M40" i="57"/>
  <c r="F41" i="57"/>
  <c r="M41" i="57"/>
  <c r="D45" i="57"/>
  <c r="E45" i="57"/>
  <c r="E55" i="57" s="1"/>
  <c r="F46" i="57"/>
  <c r="G46" i="57" s="1"/>
  <c r="M46" i="57"/>
  <c r="F47" i="57"/>
  <c r="M47" i="57"/>
  <c r="AF47" i="56" s="1"/>
  <c r="X47" i="56" s="1"/>
  <c r="F48" i="57"/>
  <c r="G48" i="57" s="1"/>
  <c r="M48" i="57"/>
  <c r="F49" i="57"/>
  <c r="Y49" i="56" s="1"/>
  <c r="Q49" i="56" s="1"/>
  <c r="M49" i="57"/>
  <c r="AF49" i="56" s="1"/>
  <c r="X49" i="56" s="1"/>
  <c r="F50" i="57"/>
  <c r="Y50" i="56" s="1"/>
  <c r="Q50" i="56" s="1"/>
  <c r="AE50" i="56"/>
  <c r="M50" i="57"/>
  <c r="AF50" i="56"/>
  <c r="X50" i="56" s="1"/>
  <c r="D51" i="57"/>
  <c r="E51" i="57"/>
  <c r="F52" i="57"/>
  <c r="M52" i="57"/>
  <c r="M51" i="57" s="1"/>
  <c r="F53" i="57"/>
  <c r="H53" i="57"/>
  <c r="G53" i="57" s="1"/>
  <c r="J53" i="57"/>
  <c r="L53" i="57"/>
  <c r="M53" i="57"/>
  <c r="F54" i="57"/>
  <c r="H54" i="57"/>
  <c r="G54" i="57" s="1"/>
  <c r="J54" i="57"/>
  <c r="I54" i="57" s="1"/>
  <c r="L54" i="57"/>
  <c r="K54" i="57" s="1"/>
  <c r="M54" i="57"/>
  <c r="AF54" i="56" s="1"/>
  <c r="X54" i="56" s="1"/>
  <c r="F57" i="57"/>
  <c r="H57" i="57"/>
  <c r="J57" i="57"/>
  <c r="L57" i="57"/>
  <c r="M57" i="57"/>
  <c r="D8" i="56"/>
  <c r="E8" i="56"/>
  <c r="F8" i="56"/>
  <c r="H8" i="56"/>
  <c r="E29" i="127"/>
  <c r="G29" i="127"/>
  <c r="G30" i="127" s="1"/>
  <c r="L8" i="56"/>
  <c r="I29" i="127" s="1"/>
  <c r="M8" i="56"/>
  <c r="J29" i="127"/>
  <c r="J30" i="127"/>
  <c r="G9" i="56"/>
  <c r="I9" i="56"/>
  <c r="K9" i="56"/>
  <c r="Y9" i="56"/>
  <c r="Q9" i="56" s="1"/>
  <c r="G10" i="56"/>
  <c r="I10" i="56"/>
  <c r="I10" i="57" s="1"/>
  <c r="K10" i="56"/>
  <c r="AA10" i="56"/>
  <c r="S10" i="56" s="1"/>
  <c r="AE10" i="56"/>
  <c r="W10" i="56" s="1"/>
  <c r="G11" i="56"/>
  <c r="I11" i="56"/>
  <c r="I11" i="57" s="1"/>
  <c r="K11" i="56"/>
  <c r="G12" i="56"/>
  <c r="I12" i="56"/>
  <c r="K12" i="56"/>
  <c r="G13" i="56"/>
  <c r="I13" i="56"/>
  <c r="K13" i="56"/>
  <c r="G14" i="56"/>
  <c r="I14" i="56"/>
  <c r="K14" i="56"/>
  <c r="AC14" i="56"/>
  <c r="U14" i="56" s="1"/>
  <c r="G15" i="56"/>
  <c r="I15" i="56"/>
  <c r="K15" i="56"/>
  <c r="AA15" i="56"/>
  <c r="S15" i="56" s="1"/>
  <c r="AF15" i="56"/>
  <c r="X15" i="56" s="1"/>
  <c r="G16" i="56"/>
  <c r="I16" i="56"/>
  <c r="K16" i="56"/>
  <c r="G17" i="56"/>
  <c r="I17" i="56"/>
  <c r="K17" i="56"/>
  <c r="Y17" i="56"/>
  <c r="Q17" i="56" s="1"/>
  <c r="AA17" i="56"/>
  <c r="S17" i="56" s="1"/>
  <c r="AC17" i="56"/>
  <c r="U17" i="56" s="1"/>
  <c r="G18" i="56"/>
  <c r="I18" i="56"/>
  <c r="K18" i="56"/>
  <c r="D19" i="56"/>
  <c r="E19" i="56"/>
  <c r="F19" i="56"/>
  <c r="H19" i="56"/>
  <c r="L19" i="56"/>
  <c r="M19" i="56"/>
  <c r="G20" i="56"/>
  <c r="I20" i="56"/>
  <c r="K20" i="56"/>
  <c r="AC20" i="56"/>
  <c r="U20" i="56" s="1"/>
  <c r="AE20" i="56"/>
  <c r="W20" i="56"/>
  <c r="AF20" i="56"/>
  <c r="X20" i="56" s="1"/>
  <c r="G21" i="56"/>
  <c r="I21" i="56"/>
  <c r="K21" i="56"/>
  <c r="Y21" i="56"/>
  <c r="Q21" i="56" s="1"/>
  <c r="AA21" i="56"/>
  <c r="S21" i="56" s="1"/>
  <c r="AE21" i="56"/>
  <c r="W21" i="56" s="1"/>
  <c r="AF21" i="56"/>
  <c r="X21" i="56" s="1"/>
  <c r="G22" i="56"/>
  <c r="I22" i="56"/>
  <c r="K22" i="56"/>
  <c r="AA22" i="56"/>
  <c r="S22" i="56" s="1"/>
  <c r="AF22" i="56"/>
  <c r="X22" i="56" s="1"/>
  <c r="G23" i="56"/>
  <c r="I23" i="56"/>
  <c r="K23" i="56"/>
  <c r="Y23" i="56"/>
  <c r="Q23" i="56" s="1"/>
  <c r="AC23" i="56"/>
  <c r="U23" i="56"/>
  <c r="AF23" i="56"/>
  <c r="X23" i="56" s="1"/>
  <c r="G24" i="56"/>
  <c r="I24" i="56"/>
  <c r="K24" i="56"/>
  <c r="Y24" i="56"/>
  <c r="Q24" i="56"/>
  <c r="AA24" i="56"/>
  <c r="S24" i="56" s="1"/>
  <c r="AE24" i="56"/>
  <c r="W24" i="56" s="1"/>
  <c r="AF24" i="56"/>
  <c r="X24" i="56" s="1"/>
  <c r="G25" i="56"/>
  <c r="I25" i="56"/>
  <c r="K25" i="56"/>
  <c r="AC25" i="56"/>
  <c r="U25" i="56" s="1"/>
  <c r="AE25" i="56"/>
  <c r="W25" i="56" s="1"/>
  <c r="F26" i="56"/>
  <c r="H26" i="56"/>
  <c r="S26" i="56" s="1"/>
  <c r="L26" i="56"/>
  <c r="Y26" i="56"/>
  <c r="Q26" i="56"/>
  <c r="AA26" i="56"/>
  <c r="AC26" i="56"/>
  <c r="AE26" i="56"/>
  <c r="AF26" i="56"/>
  <c r="X26" i="56" s="1"/>
  <c r="G27" i="56"/>
  <c r="I27" i="56"/>
  <c r="K27" i="56"/>
  <c r="Y27" i="56"/>
  <c r="Q27" i="56" s="1"/>
  <c r="AA27" i="56"/>
  <c r="S27" i="56" s="1"/>
  <c r="AC27" i="56"/>
  <c r="U27" i="56"/>
  <c r="AE27" i="56"/>
  <c r="W27" i="56" s="1"/>
  <c r="AF27" i="56"/>
  <c r="X27" i="56"/>
  <c r="F28" i="56"/>
  <c r="H28" i="56"/>
  <c r="S28" i="56" s="1"/>
  <c r="L28" i="56"/>
  <c r="Y28" i="56"/>
  <c r="AA28" i="56"/>
  <c r="AC28" i="56"/>
  <c r="AE28" i="56"/>
  <c r="AF28" i="56"/>
  <c r="X28" i="56" s="1"/>
  <c r="G29" i="56"/>
  <c r="I29" i="56"/>
  <c r="K29" i="56"/>
  <c r="Y29" i="56"/>
  <c r="Q29" i="56" s="1"/>
  <c r="AA29" i="56"/>
  <c r="S29" i="56"/>
  <c r="AC29" i="56"/>
  <c r="U29" i="56" s="1"/>
  <c r="AE29" i="56"/>
  <c r="W29" i="56"/>
  <c r="AF29" i="56"/>
  <c r="X29" i="56" s="1"/>
  <c r="G30" i="56"/>
  <c r="I30" i="56"/>
  <c r="K30" i="56"/>
  <c r="Y30" i="56"/>
  <c r="Q30" i="56" s="1"/>
  <c r="AA30" i="56"/>
  <c r="S30" i="56" s="1"/>
  <c r="AC30" i="56"/>
  <c r="U30" i="56" s="1"/>
  <c r="AE30" i="56"/>
  <c r="W30" i="56" s="1"/>
  <c r="AF30" i="56"/>
  <c r="X30" i="56" s="1"/>
  <c r="G31" i="56"/>
  <c r="I31" i="56"/>
  <c r="K31" i="56"/>
  <c r="Y31" i="56"/>
  <c r="Q31" i="56"/>
  <c r="AA31" i="56"/>
  <c r="S31" i="56" s="1"/>
  <c r="AC31" i="56"/>
  <c r="U31" i="56" s="1"/>
  <c r="AE31" i="56"/>
  <c r="W31" i="56" s="1"/>
  <c r="AF31" i="56"/>
  <c r="X31" i="56" s="1"/>
  <c r="F32" i="56"/>
  <c r="H32" i="56"/>
  <c r="L32" i="56"/>
  <c r="W32" i="56" s="1"/>
  <c r="Y32" i="56"/>
  <c r="AA32" i="56"/>
  <c r="AC32" i="56"/>
  <c r="AE32" i="56"/>
  <c r="AF32" i="56"/>
  <c r="X32" i="56" s="1"/>
  <c r="Y33" i="56"/>
  <c r="Q33" i="56" s="1"/>
  <c r="AA33" i="56"/>
  <c r="S33" i="56" s="1"/>
  <c r="AC33" i="56"/>
  <c r="U33" i="56"/>
  <c r="AE33" i="56"/>
  <c r="W33" i="56" s="1"/>
  <c r="AF33" i="56"/>
  <c r="X33" i="56"/>
  <c r="F34" i="56"/>
  <c r="Q34" i="56" s="1"/>
  <c r="G34" i="56"/>
  <c r="H34" i="56"/>
  <c r="L34" i="56"/>
  <c r="Y34" i="56"/>
  <c r="AA34" i="56"/>
  <c r="AC34" i="56"/>
  <c r="AF34" i="56"/>
  <c r="X34" i="56" s="1"/>
  <c r="I35" i="56"/>
  <c r="I34" i="56" s="1"/>
  <c r="K35" i="56"/>
  <c r="K34" i="56" s="1"/>
  <c r="Y35" i="56"/>
  <c r="Q35" i="56" s="1"/>
  <c r="AA35" i="56"/>
  <c r="S35" i="56" s="1"/>
  <c r="AC35" i="56"/>
  <c r="U35" i="56" s="1"/>
  <c r="AE35" i="56"/>
  <c r="W35" i="56" s="1"/>
  <c r="AF35" i="56"/>
  <c r="X35" i="56" s="1"/>
  <c r="D36" i="56"/>
  <c r="D42" i="56"/>
  <c r="E36" i="56"/>
  <c r="L36" i="56"/>
  <c r="I35" i="127" s="1"/>
  <c r="G37" i="56"/>
  <c r="I37" i="56"/>
  <c r="I37" i="57" s="1"/>
  <c r="K37" i="56"/>
  <c r="Y37" i="56"/>
  <c r="Q37" i="56"/>
  <c r="AA37" i="56"/>
  <c r="S37" i="56" s="1"/>
  <c r="AE37" i="56"/>
  <c r="W37" i="56"/>
  <c r="G38" i="56"/>
  <c r="I38" i="56"/>
  <c r="K38" i="56"/>
  <c r="Y38" i="56"/>
  <c r="Q38" i="56"/>
  <c r="AA38" i="56"/>
  <c r="S38" i="56" s="1"/>
  <c r="AC38" i="56"/>
  <c r="U38" i="56"/>
  <c r="AE38" i="56"/>
  <c r="W38" i="56" s="1"/>
  <c r="AF38" i="56"/>
  <c r="X38" i="56" s="1"/>
  <c r="F39" i="56"/>
  <c r="F36" i="56" s="1"/>
  <c r="H39" i="56"/>
  <c r="M39" i="56"/>
  <c r="M36" i="56" s="1"/>
  <c r="AA39" i="56"/>
  <c r="G40" i="56"/>
  <c r="I40" i="56"/>
  <c r="I40" i="57" s="1"/>
  <c r="K40" i="56"/>
  <c r="G41" i="56"/>
  <c r="I41" i="56"/>
  <c r="I41" i="57" s="1"/>
  <c r="K41" i="56"/>
  <c r="AA41" i="56"/>
  <c r="S41" i="56" s="1"/>
  <c r="AE41" i="56"/>
  <c r="W41" i="56" s="1"/>
  <c r="Y44" i="56"/>
  <c r="Q44" i="56"/>
  <c r="AA44" i="56"/>
  <c r="S44" i="56" s="1"/>
  <c r="AC44" i="56"/>
  <c r="U44" i="56"/>
  <c r="AE44" i="56"/>
  <c r="W44" i="56" s="1"/>
  <c r="AF44" i="56"/>
  <c r="X44" i="56" s="1"/>
  <c r="D45" i="56"/>
  <c r="E45" i="56"/>
  <c r="F45" i="56"/>
  <c r="H45" i="56"/>
  <c r="L45" i="56"/>
  <c r="M45" i="56"/>
  <c r="G46" i="56"/>
  <c r="I46" i="56"/>
  <c r="I46" i="57" s="1"/>
  <c r="K46" i="56"/>
  <c r="Y46" i="56"/>
  <c r="Q46" i="56" s="1"/>
  <c r="AA46" i="56"/>
  <c r="S46" i="56"/>
  <c r="AC46" i="56"/>
  <c r="U46" i="56" s="1"/>
  <c r="AE46" i="56"/>
  <c r="W46" i="56" s="1"/>
  <c r="AF46" i="56"/>
  <c r="X46" i="56" s="1"/>
  <c r="G47" i="56"/>
  <c r="I47" i="56"/>
  <c r="I47" i="57" s="1"/>
  <c r="K47" i="56"/>
  <c r="AA47" i="56"/>
  <c r="S47" i="56" s="1"/>
  <c r="AC47" i="56"/>
  <c r="U47" i="56" s="1"/>
  <c r="AE47" i="56"/>
  <c r="W47" i="56" s="1"/>
  <c r="G48" i="56"/>
  <c r="I48" i="56"/>
  <c r="I48" i="57" s="1"/>
  <c r="K48" i="56"/>
  <c r="Y48" i="56"/>
  <c r="Q48" i="56" s="1"/>
  <c r="AA48" i="56"/>
  <c r="S48" i="56"/>
  <c r="AE48" i="56"/>
  <c r="W48" i="56" s="1"/>
  <c r="G49" i="56"/>
  <c r="I49" i="56"/>
  <c r="I49" i="57" s="1"/>
  <c r="K49" i="56"/>
  <c r="AA49" i="56"/>
  <c r="S49" i="56" s="1"/>
  <c r="G50" i="56"/>
  <c r="I50" i="56"/>
  <c r="I50" i="57"/>
  <c r="K50" i="56"/>
  <c r="AC50" i="56"/>
  <c r="U50" i="56" s="1"/>
  <c r="W50" i="56"/>
  <c r="D51" i="56"/>
  <c r="E51" i="56"/>
  <c r="F51" i="56"/>
  <c r="H51" i="56"/>
  <c r="K51" i="56"/>
  <c r="L51" i="56"/>
  <c r="M51" i="56"/>
  <c r="G52" i="56"/>
  <c r="I52" i="56"/>
  <c r="I52" i="57" s="1"/>
  <c r="K52" i="56"/>
  <c r="AA52" i="56"/>
  <c r="S52" i="56" s="1"/>
  <c r="AC52" i="56"/>
  <c r="U52" i="56" s="1"/>
  <c r="AE52" i="56"/>
  <c r="W52" i="56"/>
  <c r="G53" i="56"/>
  <c r="I53" i="56"/>
  <c r="K53" i="56"/>
  <c r="G54" i="56"/>
  <c r="I54" i="56"/>
  <c r="K54" i="56"/>
  <c r="Y54" i="56"/>
  <c r="Q54" i="56"/>
  <c r="AA54" i="56"/>
  <c r="S54" i="56" s="1"/>
  <c r="AC54" i="56"/>
  <c r="U54" i="56"/>
  <c r="AE54" i="56"/>
  <c r="W54" i="56" s="1"/>
  <c r="H66" i="56"/>
  <c r="I66" i="56"/>
  <c r="J66" i="56"/>
  <c r="K66" i="56"/>
  <c r="L66" i="56"/>
  <c r="M66" i="56"/>
  <c r="H76" i="56"/>
  <c r="I76" i="56"/>
  <c r="J76" i="56"/>
  <c r="K76" i="56"/>
  <c r="L76" i="56"/>
  <c r="M76" i="56"/>
  <c r="C7" i="125"/>
  <c r="E7" i="125"/>
  <c r="J7" i="125"/>
  <c r="K8" i="125"/>
  <c r="M8" i="125"/>
  <c r="O8" i="125"/>
  <c r="Q8" i="125"/>
  <c r="R8" i="125"/>
  <c r="S8" i="125"/>
  <c r="U8" i="125"/>
  <c r="W8" i="125"/>
  <c r="G8" i="125" s="1"/>
  <c r="Y8" i="125"/>
  <c r="Z8" i="125"/>
  <c r="AA8" i="125"/>
  <c r="AC8" i="125"/>
  <c r="AE8" i="125"/>
  <c r="AG8" i="125"/>
  <c r="AH8" i="125"/>
  <c r="AI8" i="125"/>
  <c r="AK8" i="125"/>
  <c r="AO8" i="125"/>
  <c r="AP8" i="125"/>
  <c r="AR8" i="125"/>
  <c r="AT8" i="125"/>
  <c r="C9" i="125"/>
  <c r="E9" i="125"/>
  <c r="E35" i="125" s="1"/>
  <c r="C10" i="125"/>
  <c r="E10" i="125"/>
  <c r="C11" i="125"/>
  <c r="E11" i="125"/>
  <c r="G11" i="125"/>
  <c r="J11" i="125"/>
  <c r="C12" i="125"/>
  <c r="E12" i="125"/>
  <c r="K13" i="125"/>
  <c r="M13" i="125"/>
  <c r="O13" i="125"/>
  <c r="Q13" i="125"/>
  <c r="R13" i="125"/>
  <c r="S13" i="125"/>
  <c r="U13" i="125"/>
  <c r="W13" i="125"/>
  <c r="Y13" i="125"/>
  <c r="Z13" i="125"/>
  <c r="AA13" i="125"/>
  <c r="AC13" i="125"/>
  <c r="AE13" i="125"/>
  <c r="AG13" i="125"/>
  <c r="AH13" i="125"/>
  <c r="AI13" i="125"/>
  <c r="AI24" i="125" s="1"/>
  <c r="AP13" i="125"/>
  <c r="H13" i="125" s="1"/>
  <c r="AR13" i="125"/>
  <c r="AT13" i="125"/>
  <c r="F13" i="125" s="1"/>
  <c r="C16" i="125"/>
  <c r="E16" i="125"/>
  <c r="F16" i="125"/>
  <c r="W29" i="125"/>
  <c r="H16" i="125"/>
  <c r="H21" i="125" s="1"/>
  <c r="J16" i="125"/>
  <c r="C17" i="125"/>
  <c r="E17" i="125"/>
  <c r="U32" i="125"/>
  <c r="F17" i="125"/>
  <c r="G17" i="125"/>
  <c r="G21" i="125" s="1"/>
  <c r="H17" i="125"/>
  <c r="J17" i="125"/>
  <c r="C18" i="125"/>
  <c r="E18" i="125"/>
  <c r="F18" i="125"/>
  <c r="H18" i="125"/>
  <c r="Y35" i="125"/>
  <c r="C19" i="125"/>
  <c r="E19" i="125"/>
  <c r="F19" i="125"/>
  <c r="V38" i="125" s="1"/>
  <c r="H19" i="125"/>
  <c r="X38" i="125"/>
  <c r="J19" i="125"/>
  <c r="C20" i="125"/>
  <c r="E20" i="125"/>
  <c r="U47" i="125"/>
  <c r="F20" i="125"/>
  <c r="H20" i="125"/>
  <c r="J20" i="125"/>
  <c r="K21" i="125"/>
  <c r="M21" i="125"/>
  <c r="N21" i="125"/>
  <c r="O21" i="125"/>
  <c r="G34" i="181" s="1"/>
  <c r="O34" i="181" s="1"/>
  <c r="P21" i="125"/>
  <c r="P24" i="125"/>
  <c r="Q21" i="125"/>
  <c r="R21" i="125"/>
  <c r="S21" i="125"/>
  <c r="S24" i="125"/>
  <c r="U21" i="125"/>
  <c r="V21" i="125"/>
  <c r="V24" i="125"/>
  <c r="W21" i="125"/>
  <c r="W24" i="125" s="1"/>
  <c r="X21" i="125"/>
  <c r="X24" i="125" s="1"/>
  <c r="Y21" i="125"/>
  <c r="Z21" i="125"/>
  <c r="AA21" i="125"/>
  <c r="AC21" i="125"/>
  <c r="AD21" i="125"/>
  <c r="AD24" i="125" s="1"/>
  <c r="AE21" i="125"/>
  <c r="AF21" i="125"/>
  <c r="AF24" i="125" s="1"/>
  <c r="AG21" i="125"/>
  <c r="AG24" i="125" s="1"/>
  <c r="AH21" i="125"/>
  <c r="AP21" i="125"/>
  <c r="AR21" i="125"/>
  <c r="AT21" i="125"/>
  <c r="S28" i="125"/>
  <c r="Z28" i="125"/>
  <c r="S31" i="125"/>
  <c r="C34" i="125"/>
  <c r="C35" i="125" s="1"/>
  <c r="G35" i="125"/>
  <c r="I35" i="125"/>
  <c r="J34" i="125"/>
  <c r="J35" i="125" s="1"/>
  <c r="S34" i="125"/>
  <c r="S35" i="125" s="1"/>
  <c r="Z34" i="125"/>
  <c r="Z35" i="125" s="1"/>
  <c r="C37" i="125"/>
  <c r="J37" i="125"/>
  <c r="J38" i="125" s="1"/>
  <c r="S37" i="125"/>
  <c r="S38" i="125" s="1"/>
  <c r="U37" i="125"/>
  <c r="W37" i="125"/>
  <c r="W38" i="125" s="1"/>
  <c r="Y37" i="125"/>
  <c r="Y38" i="125" s="1"/>
  <c r="Z37" i="125"/>
  <c r="S46" i="125"/>
  <c r="Z46" i="125"/>
  <c r="Z47" i="125" s="1"/>
  <c r="D8" i="55"/>
  <c r="E8" i="55"/>
  <c r="F8" i="55"/>
  <c r="H8" i="55"/>
  <c r="M8" i="55"/>
  <c r="D19" i="55"/>
  <c r="E19" i="55"/>
  <c r="F19" i="55"/>
  <c r="H19" i="55"/>
  <c r="J19" i="55"/>
  <c r="J18" i="55" s="1"/>
  <c r="L19" i="55"/>
  <c r="L18" i="55" s="1"/>
  <c r="L8" i="55" s="1"/>
  <c r="M19" i="55"/>
  <c r="F28" i="55"/>
  <c r="H28" i="55"/>
  <c r="J28" i="55"/>
  <c r="L28" i="55"/>
  <c r="N29" i="55"/>
  <c r="J32" i="55"/>
  <c r="L32" i="55"/>
  <c r="D33" i="55"/>
  <c r="E33" i="55"/>
  <c r="F33" i="55"/>
  <c r="H33" i="55"/>
  <c r="M33" i="55"/>
  <c r="F36" i="55"/>
  <c r="H36" i="55"/>
  <c r="J36" i="55"/>
  <c r="L36" i="55"/>
  <c r="F38" i="55"/>
  <c r="H38" i="55"/>
  <c r="F40" i="55"/>
  <c r="H40" i="55"/>
  <c r="J40" i="55"/>
  <c r="J39" i="55" s="1"/>
  <c r="J38" i="55" s="1"/>
  <c r="L40" i="55"/>
  <c r="L39" i="55" s="1"/>
  <c r="M40" i="55"/>
  <c r="D48" i="55"/>
  <c r="F48" i="55"/>
  <c r="H48" i="55"/>
  <c r="M48" i="55"/>
  <c r="D55" i="55"/>
  <c r="E55" i="55"/>
  <c r="E63" i="55" s="1"/>
  <c r="F55" i="55"/>
  <c r="H55" i="55"/>
  <c r="J55" i="55"/>
  <c r="J54" i="55" s="1"/>
  <c r="L55" i="55"/>
  <c r="L54" i="55" s="1"/>
  <c r="M55" i="55"/>
  <c r="D8" i="54"/>
  <c r="E8" i="54"/>
  <c r="F8" i="54"/>
  <c r="H8" i="54"/>
  <c r="M8" i="54"/>
  <c r="J18" i="54"/>
  <c r="L18" i="54"/>
  <c r="D19" i="54"/>
  <c r="E19" i="54"/>
  <c r="F19" i="54"/>
  <c r="H19" i="54"/>
  <c r="M19" i="54"/>
  <c r="J32" i="54"/>
  <c r="L32" i="54"/>
  <c r="L45" i="54" s="1"/>
  <c r="L14" i="184" s="1"/>
  <c r="D33" i="54"/>
  <c r="E33" i="54"/>
  <c r="F33" i="54"/>
  <c r="H33" i="54"/>
  <c r="M33" i="54"/>
  <c r="J39" i="54"/>
  <c r="L39" i="54"/>
  <c r="F40" i="54"/>
  <c r="H40" i="54"/>
  <c r="M40" i="54"/>
  <c r="D48" i="54"/>
  <c r="E48" i="54"/>
  <c r="F48" i="54"/>
  <c r="F63" i="54" s="1"/>
  <c r="H48" i="54"/>
  <c r="M48" i="54"/>
  <c r="J54" i="54"/>
  <c r="J62" i="54" s="1"/>
  <c r="J63" i="54" s="1"/>
  <c r="L54" i="54"/>
  <c r="L62" i="54" s="1"/>
  <c r="L63" i="54" s="1"/>
  <c r="D55" i="54"/>
  <c r="D63" i="54" s="1"/>
  <c r="E55" i="54"/>
  <c r="F55" i="54"/>
  <c r="H55" i="54"/>
  <c r="M55" i="54"/>
  <c r="D8" i="53"/>
  <c r="E8" i="53"/>
  <c r="G9" i="53"/>
  <c r="J9" i="53"/>
  <c r="I9" i="53"/>
  <c r="L9" i="53"/>
  <c r="F10" i="53"/>
  <c r="H10" i="53"/>
  <c r="J10" i="53"/>
  <c r="L10" i="53"/>
  <c r="M10" i="53"/>
  <c r="F11" i="53"/>
  <c r="H11" i="53"/>
  <c r="J11" i="53"/>
  <c r="L11" i="53"/>
  <c r="M11" i="53"/>
  <c r="F12" i="53"/>
  <c r="H12" i="53"/>
  <c r="J12" i="53"/>
  <c r="L12" i="53"/>
  <c r="M12" i="53"/>
  <c r="F13" i="53"/>
  <c r="H13" i="53"/>
  <c r="J13" i="53"/>
  <c r="L13" i="53"/>
  <c r="M13" i="53"/>
  <c r="F14" i="53"/>
  <c r="H14" i="53"/>
  <c r="J14" i="53"/>
  <c r="L14" i="53"/>
  <c r="M14" i="53"/>
  <c r="F15" i="53"/>
  <c r="H15" i="53"/>
  <c r="J15" i="53"/>
  <c r="L15" i="53"/>
  <c r="M15" i="53"/>
  <c r="F16" i="53"/>
  <c r="H16" i="53"/>
  <c r="G16" i="53" s="1"/>
  <c r="J16" i="53"/>
  <c r="L16" i="53"/>
  <c r="M16" i="53"/>
  <c r="F17" i="53"/>
  <c r="H17" i="53"/>
  <c r="J17" i="53"/>
  <c r="L17" i="53"/>
  <c r="M17" i="53"/>
  <c r="F18" i="53"/>
  <c r="H18" i="53"/>
  <c r="J18" i="53"/>
  <c r="L18" i="53"/>
  <c r="M18" i="53"/>
  <c r="D19" i="53"/>
  <c r="E19" i="53"/>
  <c r="F21" i="53"/>
  <c r="H21" i="53"/>
  <c r="J21" i="53"/>
  <c r="L21" i="53"/>
  <c r="M21" i="53"/>
  <c r="F22" i="53"/>
  <c r="H22" i="53"/>
  <c r="J22" i="53"/>
  <c r="L22" i="53"/>
  <c r="M22" i="53"/>
  <c r="F23" i="53"/>
  <c r="H23" i="53"/>
  <c r="J23" i="53"/>
  <c r="L23" i="53"/>
  <c r="M23" i="53"/>
  <c r="F24" i="53"/>
  <c r="H24" i="53"/>
  <c r="J24" i="53"/>
  <c r="L24" i="53"/>
  <c r="M24" i="53"/>
  <c r="F25" i="53"/>
  <c r="H25" i="53"/>
  <c r="J25" i="53"/>
  <c r="L25" i="53"/>
  <c r="M25" i="53"/>
  <c r="H26" i="53"/>
  <c r="M26" i="53"/>
  <c r="J32" i="53"/>
  <c r="L32" i="53"/>
  <c r="D33" i="53"/>
  <c r="E33" i="53"/>
  <c r="F33" i="53"/>
  <c r="H33" i="53"/>
  <c r="M33" i="53"/>
  <c r="H41" i="53"/>
  <c r="J41" i="53"/>
  <c r="L41" i="53"/>
  <c r="M41" i="53"/>
  <c r="G42" i="53"/>
  <c r="I42" i="53"/>
  <c r="F44" i="53"/>
  <c r="H44" i="53"/>
  <c r="J44" i="53"/>
  <c r="L44" i="53"/>
  <c r="M44" i="53"/>
  <c r="F45" i="53"/>
  <c r="H45" i="53"/>
  <c r="G45" i="53" s="1"/>
  <c r="J45" i="53"/>
  <c r="L45" i="53"/>
  <c r="M45" i="53"/>
  <c r="H46" i="53"/>
  <c r="G46" i="53" s="1"/>
  <c r="M46" i="53"/>
  <c r="D50" i="53"/>
  <c r="E50" i="53"/>
  <c r="F51" i="53"/>
  <c r="H51" i="53"/>
  <c r="J51" i="53"/>
  <c r="L51" i="53"/>
  <c r="M51" i="53"/>
  <c r="F52" i="53"/>
  <c r="H52" i="53"/>
  <c r="J52" i="53"/>
  <c r="L52" i="53"/>
  <c r="K52" i="53" s="1"/>
  <c r="M52" i="53"/>
  <c r="F53" i="53"/>
  <c r="H53" i="53"/>
  <c r="J53" i="53"/>
  <c r="I53" i="53" s="1"/>
  <c r="L53" i="53"/>
  <c r="M53" i="53"/>
  <c r="F54" i="53"/>
  <c r="H54" i="53"/>
  <c r="J54" i="53"/>
  <c r="L54" i="53"/>
  <c r="M54" i="53"/>
  <c r="F55" i="53"/>
  <c r="H55" i="53"/>
  <c r="J55" i="53"/>
  <c r="L55" i="53"/>
  <c r="K55" i="53" s="1"/>
  <c r="M55" i="53"/>
  <c r="G56" i="53"/>
  <c r="I56" i="53"/>
  <c r="D57" i="53"/>
  <c r="E57" i="53"/>
  <c r="E65" i="53" s="1"/>
  <c r="F58" i="53"/>
  <c r="H58" i="53"/>
  <c r="J58" i="53"/>
  <c r="L58" i="53"/>
  <c r="M58" i="53"/>
  <c r="F59" i="53"/>
  <c r="H59" i="53"/>
  <c r="J59" i="53"/>
  <c r="L59" i="53"/>
  <c r="M59" i="53"/>
  <c r="F60" i="53"/>
  <c r="H60" i="53"/>
  <c r="J60" i="53"/>
  <c r="L60" i="53"/>
  <c r="M60" i="53"/>
  <c r="H61" i="53"/>
  <c r="G61" i="53" s="1"/>
  <c r="J61" i="53"/>
  <c r="L61" i="53"/>
  <c r="M61" i="53"/>
  <c r="H62" i="53"/>
  <c r="G62" i="53"/>
  <c r="J62" i="53"/>
  <c r="L62" i="53"/>
  <c r="M62" i="53"/>
  <c r="H63" i="53"/>
  <c r="G63" i="53" s="1"/>
  <c r="J63" i="53"/>
  <c r="L63" i="53"/>
  <c r="M63" i="53"/>
  <c r="H64" i="53"/>
  <c r="G64" i="53" s="1"/>
  <c r="M64" i="53"/>
  <c r="F67" i="53"/>
  <c r="H67" i="53"/>
  <c r="J67" i="53"/>
  <c r="L67" i="53"/>
  <c r="M67" i="53"/>
  <c r="D8" i="52"/>
  <c r="D47" i="52" s="1"/>
  <c r="E8" i="52"/>
  <c r="F8" i="52"/>
  <c r="C28" i="125" s="1"/>
  <c r="C29" i="125" s="1"/>
  <c r="H8" i="52"/>
  <c r="G28" i="125"/>
  <c r="G29" i="125" s="1"/>
  <c r="L8" i="52"/>
  <c r="I28" i="125" s="1"/>
  <c r="I29" i="125" s="1"/>
  <c r="G9" i="52"/>
  <c r="I9" i="52"/>
  <c r="K9" i="52"/>
  <c r="G10" i="52"/>
  <c r="I10" i="52"/>
  <c r="K10" i="52"/>
  <c r="G11" i="52"/>
  <c r="I11" i="52"/>
  <c r="K11" i="52"/>
  <c r="G12" i="52"/>
  <c r="I12" i="52"/>
  <c r="K12" i="52"/>
  <c r="G13" i="52"/>
  <c r="I13" i="52"/>
  <c r="K13" i="52"/>
  <c r="G14" i="52"/>
  <c r="I14" i="52"/>
  <c r="K14" i="52"/>
  <c r="G15" i="52"/>
  <c r="I15" i="52"/>
  <c r="K15" i="52"/>
  <c r="G16" i="52"/>
  <c r="I16" i="52"/>
  <c r="K16" i="52"/>
  <c r="G17" i="52"/>
  <c r="I17" i="52"/>
  <c r="K17" i="52"/>
  <c r="G18" i="52"/>
  <c r="I18" i="52"/>
  <c r="K18" i="52"/>
  <c r="D19" i="52"/>
  <c r="E19" i="52"/>
  <c r="F20" i="52"/>
  <c r="F20" i="53" s="1"/>
  <c r="H20" i="52"/>
  <c r="H19" i="52" s="1"/>
  <c r="J20" i="53"/>
  <c r="J19" i="53" s="1"/>
  <c r="L20" i="52"/>
  <c r="L20" i="53" s="1"/>
  <c r="L19" i="53" s="1"/>
  <c r="M20" i="52"/>
  <c r="M20" i="53" s="1"/>
  <c r="M19" i="53" s="1"/>
  <c r="G21" i="52"/>
  <c r="I21" i="52"/>
  <c r="K21" i="52"/>
  <c r="G22" i="52"/>
  <c r="I22" i="52"/>
  <c r="K22" i="52"/>
  <c r="G23" i="52"/>
  <c r="I23" i="52"/>
  <c r="K23" i="52"/>
  <c r="G24" i="52"/>
  <c r="I24" i="52"/>
  <c r="K24" i="52"/>
  <c r="G25" i="52"/>
  <c r="I25" i="52"/>
  <c r="K25" i="52"/>
  <c r="F26" i="52"/>
  <c r="H26" i="52"/>
  <c r="L26" i="52"/>
  <c r="M26" i="52"/>
  <c r="G27" i="52"/>
  <c r="D40" i="125" s="1"/>
  <c r="D41" i="125" s="1"/>
  <c r="I27" i="52"/>
  <c r="F40" i="125" s="1"/>
  <c r="F41" i="125" s="1"/>
  <c r="I27" i="53"/>
  <c r="K27" i="52"/>
  <c r="F28" i="52"/>
  <c r="H28" i="52"/>
  <c r="L28" i="52"/>
  <c r="K28" i="52" s="1"/>
  <c r="M28" i="52"/>
  <c r="D33" i="52"/>
  <c r="E33" i="52"/>
  <c r="F33" i="52"/>
  <c r="H33" i="52"/>
  <c r="L33" i="52"/>
  <c r="M33" i="52"/>
  <c r="F36" i="52"/>
  <c r="H36" i="52"/>
  <c r="L36" i="52"/>
  <c r="M36" i="52"/>
  <c r="F38" i="52"/>
  <c r="H38" i="52"/>
  <c r="L38" i="52"/>
  <c r="M38" i="52"/>
  <c r="I39" i="52"/>
  <c r="K39" i="52"/>
  <c r="G41" i="52"/>
  <c r="I41" i="52"/>
  <c r="K41" i="52"/>
  <c r="G42" i="52"/>
  <c r="I42" i="52"/>
  <c r="K42" i="52"/>
  <c r="F43" i="52"/>
  <c r="F40" i="52" s="1"/>
  <c r="H43" i="52"/>
  <c r="H40" i="52" s="1"/>
  <c r="E31" i="125" s="1"/>
  <c r="I43" i="52"/>
  <c r="L43" i="52"/>
  <c r="L40" i="52" s="1"/>
  <c r="M43" i="52"/>
  <c r="M40" i="52" s="1"/>
  <c r="J31" i="125" s="1"/>
  <c r="G44" i="52"/>
  <c r="D34" i="125" s="1"/>
  <c r="I44" i="52"/>
  <c r="F34" i="125" s="1"/>
  <c r="K44" i="52"/>
  <c r="G45" i="52"/>
  <c r="D37" i="125" s="1"/>
  <c r="I45" i="52"/>
  <c r="F37" i="125" s="1"/>
  <c r="K45" i="52"/>
  <c r="G46" i="52"/>
  <c r="I46" i="52"/>
  <c r="K46" i="52"/>
  <c r="D50" i="52"/>
  <c r="E50" i="52"/>
  <c r="F50" i="52"/>
  <c r="H50" i="52"/>
  <c r="I50" i="52"/>
  <c r="M50" i="52"/>
  <c r="G51" i="52"/>
  <c r="T28" i="125"/>
  <c r="I51" i="52"/>
  <c r="V28" i="125" s="1"/>
  <c r="K51" i="52"/>
  <c r="X28" i="125"/>
  <c r="G52" i="52"/>
  <c r="T31" i="125" s="1"/>
  <c r="I52" i="52"/>
  <c r="V31" i="125" s="1"/>
  <c r="K52" i="52"/>
  <c r="X31" i="125" s="1"/>
  <c r="G53" i="52"/>
  <c r="T34" i="125" s="1"/>
  <c r="I53" i="52"/>
  <c r="V34" i="125" s="1"/>
  <c r="K53" i="52"/>
  <c r="X34" i="125" s="1"/>
  <c r="G54" i="52"/>
  <c r="I54" i="52"/>
  <c r="K54" i="52"/>
  <c r="G55" i="52"/>
  <c r="I55" i="52"/>
  <c r="K55" i="52"/>
  <c r="G56" i="52"/>
  <c r="I56" i="52"/>
  <c r="K56" i="52"/>
  <c r="D57" i="52"/>
  <c r="E57" i="52"/>
  <c r="E66" i="52" s="1"/>
  <c r="F57" i="52"/>
  <c r="H57" i="52"/>
  <c r="L57" i="52"/>
  <c r="M57" i="52"/>
  <c r="G58" i="52"/>
  <c r="T46" i="125"/>
  <c r="I58" i="52"/>
  <c r="V46" i="125" s="1"/>
  <c r="K58" i="52"/>
  <c r="X46" i="125" s="1"/>
  <c r="G59" i="52"/>
  <c r="I59" i="52"/>
  <c r="K59" i="52"/>
  <c r="G60" i="52"/>
  <c r="I60" i="52"/>
  <c r="K60" i="52"/>
  <c r="G61" i="52"/>
  <c r="I61" i="52"/>
  <c r="K61" i="52"/>
  <c r="G62" i="52"/>
  <c r="I62" i="52"/>
  <c r="K62" i="52"/>
  <c r="G63" i="52"/>
  <c r="I63" i="52"/>
  <c r="K63" i="52"/>
  <c r="G64" i="52"/>
  <c r="I64" i="52"/>
  <c r="K64" i="52"/>
  <c r="G65" i="52"/>
  <c r="I65" i="52"/>
  <c r="K65" i="52"/>
  <c r="H76" i="52"/>
  <c r="H86" i="52"/>
  <c r="C7" i="124"/>
  <c r="E7" i="124"/>
  <c r="G7" i="124"/>
  <c r="I7" i="124"/>
  <c r="K8" i="124"/>
  <c r="M8" i="124"/>
  <c r="O8" i="124"/>
  <c r="Q8" i="124"/>
  <c r="R8" i="124"/>
  <c r="S8" i="124"/>
  <c r="U8" i="124"/>
  <c r="W8" i="124"/>
  <c r="Y8" i="124"/>
  <c r="AA8" i="124"/>
  <c r="AC8" i="124"/>
  <c r="AE8" i="124"/>
  <c r="AG8" i="124"/>
  <c r="AH8" i="124"/>
  <c r="C9" i="124"/>
  <c r="E9" i="124"/>
  <c r="E32" i="124" s="1"/>
  <c r="I9" i="124"/>
  <c r="J32" i="124"/>
  <c r="C10" i="124"/>
  <c r="E10" i="124"/>
  <c r="E35" i="124" s="1"/>
  <c r="G10" i="124"/>
  <c r="G35" i="124" s="1"/>
  <c r="I10" i="124"/>
  <c r="K11" i="124"/>
  <c r="M11" i="124"/>
  <c r="O11" i="124"/>
  <c r="Q11" i="124"/>
  <c r="R11" i="124"/>
  <c r="S11" i="124"/>
  <c r="U11" i="124"/>
  <c r="W11" i="124"/>
  <c r="Y11" i="124"/>
  <c r="Z11" i="124"/>
  <c r="AA11" i="124"/>
  <c r="AC11" i="124"/>
  <c r="AE11" i="124"/>
  <c r="AG11" i="124"/>
  <c r="AH11" i="124"/>
  <c r="C14" i="124"/>
  <c r="E14" i="124"/>
  <c r="G14" i="124"/>
  <c r="W26" i="124" s="1"/>
  <c r="I14" i="124"/>
  <c r="Y26" i="124" s="1"/>
  <c r="J14" i="124"/>
  <c r="Z26" i="124"/>
  <c r="C15" i="124"/>
  <c r="E15" i="124"/>
  <c r="U29" i="124" s="1"/>
  <c r="G15" i="124"/>
  <c r="I15" i="124"/>
  <c r="J15" i="124"/>
  <c r="C16" i="124"/>
  <c r="E16" i="124"/>
  <c r="U32" i="124" s="1"/>
  <c r="G16" i="124"/>
  <c r="I16" i="124"/>
  <c r="J16" i="124"/>
  <c r="C17" i="124"/>
  <c r="E17" i="124"/>
  <c r="U35" i="124" s="1"/>
  <c r="G17" i="124"/>
  <c r="I17" i="124"/>
  <c r="J17" i="124"/>
  <c r="C18" i="124"/>
  <c r="E18" i="124"/>
  <c r="G18" i="124"/>
  <c r="I18" i="124"/>
  <c r="J18" i="124"/>
  <c r="K19" i="124"/>
  <c r="C29" i="181" s="1"/>
  <c r="D29" i="181" s="1"/>
  <c r="L29" i="181" s="1"/>
  <c r="CV29" i="181" s="1"/>
  <c r="M19" i="124"/>
  <c r="E29" i="181"/>
  <c r="CH29" i="181" s="1"/>
  <c r="N19" i="124"/>
  <c r="F29" i="181"/>
  <c r="N29" i="181" s="1"/>
  <c r="O19" i="124"/>
  <c r="G29" i="181" s="1"/>
  <c r="O29" i="181" s="1"/>
  <c r="P19" i="124"/>
  <c r="Q19" i="124"/>
  <c r="I29" i="181" s="1"/>
  <c r="Q29" i="181" s="1"/>
  <c r="DA29" i="181" s="1"/>
  <c r="R19" i="124"/>
  <c r="S19" i="124"/>
  <c r="T19" i="124"/>
  <c r="U19" i="124"/>
  <c r="V19" i="124"/>
  <c r="W19" i="124"/>
  <c r="X19" i="124"/>
  <c r="Y19" i="124"/>
  <c r="Z19" i="124"/>
  <c r="AA19" i="124"/>
  <c r="AB19" i="124"/>
  <c r="AC19" i="124"/>
  <c r="AD19" i="124"/>
  <c r="AE19" i="124"/>
  <c r="AF19" i="124"/>
  <c r="AG19" i="124"/>
  <c r="AH19" i="124"/>
  <c r="S25" i="124"/>
  <c r="S28" i="124"/>
  <c r="S29" i="124" s="1"/>
  <c r="C31" i="124"/>
  <c r="C32" i="124" s="1"/>
  <c r="I32" i="124"/>
  <c r="S31" i="124"/>
  <c r="S32" i="124" s="1"/>
  <c r="Z31" i="124"/>
  <c r="C34" i="124"/>
  <c r="C35" i="124" s="1"/>
  <c r="J35" i="124"/>
  <c r="S34" i="124"/>
  <c r="W34" i="124"/>
  <c r="W35" i="124" s="1"/>
  <c r="Y34" i="124"/>
  <c r="Z34" i="124"/>
  <c r="Z35" i="124" s="1"/>
  <c r="S37" i="124"/>
  <c r="D8" i="51"/>
  <c r="E8" i="51"/>
  <c r="F8" i="51"/>
  <c r="H8" i="51"/>
  <c r="J8" i="51"/>
  <c r="L8" i="51"/>
  <c r="M8" i="51"/>
  <c r="D19" i="51"/>
  <c r="E19" i="51"/>
  <c r="M19" i="51"/>
  <c r="F20" i="51"/>
  <c r="F19" i="51" s="1"/>
  <c r="H20" i="51"/>
  <c r="H19" i="51" s="1"/>
  <c r="J20" i="51"/>
  <c r="J19" i="51"/>
  <c r="L20" i="51"/>
  <c r="L19" i="51" s="1"/>
  <c r="F26" i="51"/>
  <c r="H26" i="51"/>
  <c r="J26" i="51"/>
  <c r="L26" i="51"/>
  <c r="F28" i="51"/>
  <c r="H28" i="51"/>
  <c r="J28" i="51"/>
  <c r="L28" i="51"/>
  <c r="D33" i="51"/>
  <c r="E33" i="51"/>
  <c r="F33" i="51"/>
  <c r="H33" i="51"/>
  <c r="M33" i="51"/>
  <c r="F36" i="51"/>
  <c r="H36" i="51"/>
  <c r="J36" i="51"/>
  <c r="L36" i="51"/>
  <c r="F38" i="51"/>
  <c r="H38" i="51"/>
  <c r="J38" i="51"/>
  <c r="L38" i="51"/>
  <c r="F40" i="51"/>
  <c r="H40" i="51"/>
  <c r="J40" i="51"/>
  <c r="L40" i="51"/>
  <c r="M40" i="51"/>
  <c r="D48" i="51"/>
  <c r="E48" i="51"/>
  <c r="F48" i="51"/>
  <c r="H48" i="51"/>
  <c r="J48" i="51"/>
  <c r="J61" i="51"/>
  <c r="L48" i="51"/>
  <c r="M48" i="51"/>
  <c r="D54" i="51"/>
  <c r="E54" i="51"/>
  <c r="E61" i="51" s="1"/>
  <c r="F54" i="51"/>
  <c r="H54" i="51"/>
  <c r="J54" i="51"/>
  <c r="L54" i="51"/>
  <c r="M54" i="51"/>
  <c r="D8" i="50"/>
  <c r="E8" i="50"/>
  <c r="F8" i="50"/>
  <c r="G8" i="50" s="1"/>
  <c r="H8" i="50"/>
  <c r="J8" i="50"/>
  <c r="L8" i="50"/>
  <c r="M8" i="50"/>
  <c r="G9" i="50"/>
  <c r="I9" i="50"/>
  <c r="K9" i="50"/>
  <c r="G10" i="50"/>
  <c r="I10" i="50"/>
  <c r="K10" i="50"/>
  <c r="G11" i="50"/>
  <c r="I11" i="50"/>
  <c r="K11" i="50"/>
  <c r="G12" i="50"/>
  <c r="I12" i="50"/>
  <c r="K12" i="50"/>
  <c r="G13" i="50"/>
  <c r="I13" i="50"/>
  <c r="K13" i="50"/>
  <c r="G14" i="50"/>
  <c r="I14" i="50"/>
  <c r="K14" i="50"/>
  <c r="G15" i="50"/>
  <c r="I15" i="50"/>
  <c r="K15" i="50"/>
  <c r="G16" i="50"/>
  <c r="I16" i="50"/>
  <c r="K16" i="50"/>
  <c r="G17" i="50"/>
  <c r="I17" i="50"/>
  <c r="K17" i="50"/>
  <c r="G18" i="50"/>
  <c r="I18" i="50"/>
  <c r="K18" i="50"/>
  <c r="D19" i="50"/>
  <c r="E19" i="50"/>
  <c r="M19" i="50"/>
  <c r="F20" i="50"/>
  <c r="F19" i="50"/>
  <c r="H20" i="50"/>
  <c r="J20" i="50"/>
  <c r="L20" i="50"/>
  <c r="G21" i="50"/>
  <c r="I21" i="50"/>
  <c r="K21" i="50"/>
  <c r="G22" i="50"/>
  <c r="I22" i="50"/>
  <c r="K22" i="50"/>
  <c r="G23" i="50"/>
  <c r="I23" i="50"/>
  <c r="K23" i="50"/>
  <c r="G24" i="50"/>
  <c r="I24" i="50"/>
  <c r="K24" i="50"/>
  <c r="G25" i="50"/>
  <c r="I25" i="50"/>
  <c r="K25" i="50"/>
  <c r="G26" i="50"/>
  <c r="I26" i="50"/>
  <c r="K26" i="50"/>
  <c r="G27" i="50"/>
  <c r="I27" i="50"/>
  <c r="K27" i="50"/>
  <c r="G28" i="50"/>
  <c r="I28" i="50"/>
  <c r="K28" i="50"/>
  <c r="G29" i="50"/>
  <c r="I29" i="50"/>
  <c r="K29" i="50"/>
  <c r="G30" i="50"/>
  <c r="I30" i="50"/>
  <c r="K30" i="50"/>
  <c r="G31" i="50"/>
  <c r="I31" i="50"/>
  <c r="K31" i="50"/>
  <c r="G32" i="50"/>
  <c r="I32" i="50"/>
  <c r="K32" i="50"/>
  <c r="D33" i="50"/>
  <c r="E33" i="50"/>
  <c r="F33" i="50"/>
  <c r="H33" i="50"/>
  <c r="J33" i="50"/>
  <c r="I33" i="50" s="1"/>
  <c r="L33" i="50"/>
  <c r="M33" i="50"/>
  <c r="G34" i="50"/>
  <c r="I34" i="50"/>
  <c r="K34" i="50"/>
  <c r="G35" i="50"/>
  <c r="I35" i="50"/>
  <c r="K35" i="50"/>
  <c r="G36" i="50"/>
  <c r="I36" i="50"/>
  <c r="K36" i="50"/>
  <c r="G37" i="50"/>
  <c r="I37" i="50"/>
  <c r="K37" i="50"/>
  <c r="G38" i="50"/>
  <c r="I38" i="50"/>
  <c r="K38" i="50"/>
  <c r="G39" i="50"/>
  <c r="I39" i="50"/>
  <c r="K39" i="50"/>
  <c r="F40" i="50"/>
  <c r="H40" i="50"/>
  <c r="J40" i="50"/>
  <c r="L40" i="50"/>
  <c r="M40" i="50"/>
  <c r="G41" i="50"/>
  <c r="I41" i="50"/>
  <c r="K41" i="50"/>
  <c r="G42" i="50"/>
  <c r="I42" i="50"/>
  <c r="K42" i="50"/>
  <c r="G43" i="50"/>
  <c r="I43" i="50"/>
  <c r="K43" i="50"/>
  <c r="G44" i="50"/>
  <c r="I44" i="50"/>
  <c r="K44" i="50"/>
  <c r="D48" i="50"/>
  <c r="D61" i="50" s="1"/>
  <c r="E48" i="50"/>
  <c r="F48" i="50"/>
  <c r="H48" i="50"/>
  <c r="J48" i="50"/>
  <c r="L48" i="50"/>
  <c r="M48" i="50"/>
  <c r="G49" i="50"/>
  <c r="I49" i="50"/>
  <c r="K49" i="50"/>
  <c r="G50" i="50"/>
  <c r="I50" i="50"/>
  <c r="K50" i="50"/>
  <c r="G51" i="50"/>
  <c r="I51" i="50"/>
  <c r="K51" i="50"/>
  <c r="G52" i="50"/>
  <c r="I52" i="50"/>
  <c r="K52" i="50"/>
  <c r="G53" i="50"/>
  <c r="I53" i="50"/>
  <c r="K53" i="50"/>
  <c r="D54" i="50"/>
  <c r="E54" i="50"/>
  <c r="F54" i="50"/>
  <c r="F61" i="50"/>
  <c r="H54" i="50"/>
  <c r="I54" i="50" s="1"/>
  <c r="J54" i="50"/>
  <c r="L54" i="50"/>
  <c r="M54" i="50"/>
  <c r="G55" i="50"/>
  <c r="I55" i="50"/>
  <c r="K55" i="50"/>
  <c r="G56" i="50"/>
  <c r="I56" i="50"/>
  <c r="K56" i="50"/>
  <c r="G57" i="50"/>
  <c r="I57" i="50"/>
  <c r="K57" i="50"/>
  <c r="D8" i="49"/>
  <c r="E8" i="49"/>
  <c r="G9" i="49"/>
  <c r="I9" i="49"/>
  <c r="K9" i="49"/>
  <c r="F10" i="49"/>
  <c r="H10" i="49"/>
  <c r="J10" i="49"/>
  <c r="L10" i="49"/>
  <c r="M10" i="49"/>
  <c r="F11" i="49"/>
  <c r="H11" i="49"/>
  <c r="J11" i="49"/>
  <c r="I11" i="49" s="1"/>
  <c r="L11" i="49"/>
  <c r="M11" i="49"/>
  <c r="F12" i="49"/>
  <c r="H12" i="49"/>
  <c r="G12" i="49" s="1"/>
  <c r="J12" i="49"/>
  <c r="L12" i="49"/>
  <c r="M12" i="49"/>
  <c r="F13" i="49"/>
  <c r="H13" i="49"/>
  <c r="J13" i="49"/>
  <c r="L13" i="49"/>
  <c r="M13" i="49"/>
  <c r="F14" i="49"/>
  <c r="H14" i="49"/>
  <c r="J14" i="49"/>
  <c r="L14" i="49"/>
  <c r="M14" i="49"/>
  <c r="F15" i="49"/>
  <c r="H15" i="49"/>
  <c r="J15" i="49"/>
  <c r="L15" i="49"/>
  <c r="M15" i="49"/>
  <c r="F16" i="49"/>
  <c r="H16" i="49"/>
  <c r="J16" i="49"/>
  <c r="L16" i="49"/>
  <c r="M16" i="49"/>
  <c r="F17" i="49"/>
  <c r="H17" i="49"/>
  <c r="J17" i="49"/>
  <c r="L17" i="49"/>
  <c r="M17" i="49"/>
  <c r="F18" i="49"/>
  <c r="H18" i="49"/>
  <c r="J18" i="49"/>
  <c r="L18" i="49"/>
  <c r="M18" i="49"/>
  <c r="D19" i="49"/>
  <c r="E19" i="49"/>
  <c r="M19" i="49"/>
  <c r="F20" i="49"/>
  <c r="F19" i="49" s="1"/>
  <c r="H20" i="49"/>
  <c r="H19" i="49" s="1"/>
  <c r="I20" i="49"/>
  <c r="J20" i="49"/>
  <c r="L20" i="49"/>
  <c r="L19" i="49" s="1"/>
  <c r="G21" i="49"/>
  <c r="I21" i="49"/>
  <c r="K21" i="49"/>
  <c r="G22" i="49"/>
  <c r="I22" i="49"/>
  <c r="K22" i="49"/>
  <c r="G23" i="49"/>
  <c r="I23" i="49"/>
  <c r="K23" i="49"/>
  <c r="G24" i="49"/>
  <c r="I24" i="49"/>
  <c r="K24" i="49"/>
  <c r="G25" i="49"/>
  <c r="I25" i="49"/>
  <c r="K25" i="49"/>
  <c r="F26" i="49"/>
  <c r="G26" i="49" s="1"/>
  <c r="H26" i="49"/>
  <c r="J26" i="49"/>
  <c r="L26" i="49"/>
  <c r="G27" i="49"/>
  <c r="I27" i="49"/>
  <c r="K27" i="49"/>
  <c r="F28" i="49"/>
  <c r="H28" i="49"/>
  <c r="G28" i="49" s="1"/>
  <c r="J28" i="49"/>
  <c r="L28" i="49"/>
  <c r="G29" i="49"/>
  <c r="I29" i="49"/>
  <c r="K29" i="49"/>
  <c r="G30" i="49"/>
  <c r="I30" i="49"/>
  <c r="K30" i="49"/>
  <c r="G31" i="49"/>
  <c r="I31" i="49"/>
  <c r="K31" i="49"/>
  <c r="D33" i="49"/>
  <c r="E33" i="49"/>
  <c r="F33" i="49"/>
  <c r="H33" i="49"/>
  <c r="J33" i="49"/>
  <c r="L33" i="49"/>
  <c r="M33" i="49"/>
  <c r="F36" i="49"/>
  <c r="H36" i="49"/>
  <c r="G36" i="49" s="1"/>
  <c r="J36" i="49"/>
  <c r="L36" i="49"/>
  <c r="G37" i="49"/>
  <c r="I37" i="49"/>
  <c r="K37" i="49"/>
  <c r="F38" i="49"/>
  <c r="H38" i="49"/>
  <c r="J38" i="49"/>
  <c r="L38" i="49"/>
  <c r="G39" i="49"/>
  <c r="I39" i="49"/>
  <c r="K39" i="49"/>
  <c r="H41" i="49"/>
  <c r="J41" i="49"/>
  <c r="L41" i="49"/>
  <c r="M41" i="49"/>
  <c r="G42" i="49"/>
  <c r="J42" i="49"/>
  <c r="I42" i="49"/>
  <c r="L42" i="49"/>
  <c r="F44" i="49"/>
  <c r="H44" i="49"/>
  <c r="J44" i="49"/>
  <c r="L44" i="49"/>
  <c r="M44" i="49"/>
  <c r="F45" i="49"/>
  <c r="H45" i="49"/>
  <c r="J45" i="49"/>
  <c r="L45" i="49"/>
  <c r="M45" i="49"/>
  <c r="G46" i="49"/>
  <c r="I46" i="49"/>
  <c r="K46" i="49"/>
  <c r="D50" i="49"/>
  <c r="E50" i="49"/>
  <c r="F51" i="49"/>
  <c r="H51" i="49"/>
  <c r="J51" i="49"/>
  <c r="L51" i="49"/>
  <c r="M51" i="49"/>
  <c r="F52" i="49"/>
  <c r="H52" i="49"/>
  <c r="J52" i="49"/>
  <c r="L52" i="49"/>
  <c r="M52" i="49"/>
  <c r="F53" i="49"/>
  <c r="H53" i="49"/>
  <c r="J53" i="49"/>
  <c r="L53" i="49"/>
  <c r="M53" i="49"/>
  <c r="F54" i="49"/>
  <c r="H54" i="49"/>
  <c r="J54" i="49"/>
  <c r="L54" i="49"/>
  <c r="M54" i="49"/>
  <c r="F55" i="49"/>
  <c r="H55" i="49"/>
  <c r="J55" i="49"/>
  <c r="L55" i="49"/>
  <c r="M55" i="49"/>
  <c r="D56" i="49"/>
  <c r="E56" i="49"/>
  <c r="E63" i="49"/>
  <c r="F57" i="49"/>
  <c r="H57" i="49"/>
  <c r="J57" i="49"/>
  <c r="J56" i="49"/>
  <c r="L57" i="49"/>
  <c r="M57" i="49"/>
  <c r="F58" i="49"/>
  <c r="H58" i="49"/>
  <c r="J58" i="49"/>
  <c r="K58" i="49" s="1"/>
  <c r="L58" i="49"/>
  <c r="M58" i="49"/>
  <c r="F59" i="49"/>
  <c r="H59" i="49"/>
  <c r="J59" i="49"/>
  <c r="L59" i="49"/>
  <c r="M59" i="49"/>
  <c r="G60" i="49"/>
  <c r="I60" i="49"/>
  <c r="K60" i="49"/>
  <c r="G61" i="49"/>
  <c r="I61" i="49"/>
  <c r="K61" i="49"/>
  <c r="G62" i="49"/>
  <c r="I62" i="49"/>
  <c r="K62" i="49"/>
  <c r="F65" i="49"/>
  <c r="H65" i="49"/>
  <c r="J65" i="49"/>
  <c r="L65" i="49"/>
  <c r="M65" i="49"/>
  <c r="D8" i="48"/>
  <c r="E8" i="48"/>
  <c r="F8" i="48"/>
  <c r="C25" i="124" s="1"/>
  <c r="C26" i="124" s="1"/>
  <c r="H8" i="48"/>
  <c r="E25" i="124" s="1"/>
  <c r="G25" i="124"/>
  <c r="G26" i="124"/>
  <c r="L8" i="48"/>
  <c r="K8" i="48" s="1"/>
  <c r="H25" i="124" s="1"/>
  <c r="M8" i="48"/>
  <c r="J25" i="124" s="1"/>
  <c r="J26" i="124" s="1"/>
  <c r="G9" i="48"/>
  <c r="I9" i="48"/>
  <c r="K9" i="48"/>
  <c r="G10" i="48"/>
  <c r="I10" i="48"/>
  <c r="K10" i="48"/>
  <c r="G11" i="48"/>
  <c r="I11" i="48"/>
  <c r="K11" i="48"/>
  <c r="G12" i="48"/>
  <c r="I12" i="48"/>
  <c r="K12" i="48"/>
  <c r="G13" i="48"/>
  <c r="I13" i="48"/>
  <c r="K13" i="48"/>
  <c r="G14" i="48"/>
  <c r="I14" i="48"/>
  <c r="K14" i="48"/>
  <c r="G15" i="48"/>
  <c r="I15" i="48"/>
  <c r="K15" i="48"/>
  <c r="G16" i="48"/>
  <c r="I16" i="48"/>
  <c r="K16" i="48"/>
  <c r="G17" i="48"/>
  <c r="I17" i="48"/>
  <c r="K17" i="48"/>
  <c r="G18" i="48"/>
  <c r="I18" i="48"/>
  <c r="K18" i="48"/>
  <c r="D19" i="48"/>
  <c r="E19" i="48"/>
  <c r="M19" i="48"/>
  <c r="F20" i="48"/>
  <c r="H20" i="48"/>
  <c r="L20" i="48"/>
  <c r="K20" i="48"/>
  <c r="G21" i="48"/>
  <c r="I21" i="48"/>
  <c r="K21" i="48"/>
  <c r="G22" i="48"/>
  <c r="I22" i="48"/>
  <c r="K22" i="48"/>
  <c r="G23" i="48"/>
  <c r="I23" i="48"/>
  <c r="K23" i="48"/>
  <c r="G24" i="48"/>
  <c r="I24" i="48"/>
  <c r="K24" i="48"/>
  <c r="G25" i="48"/>
  <c r="I25" i="48"/>
  <c r="K25" i="48"/>
  <c r="F26" i="48"/>
  <c r="H26" i="48"/>
  <c r="L26" i="48"/>
  <c r="G27" i="48"/>
  <c r="I27" i="48"/>
  <c r="K27" i="48"/>
  <c r="F28" i="48"/>
  <c r="H28" i="48"/>
  <c r="L28" i="48"/>
  <c r="G29" i="48"/>
  <c r="I29" i="48"/>
  <c r="K29" i="48"/>
  <c r="G30" i="48"/>
  <c r="I30" i="48"/>
  <c r="K30" i="48"/>
  <c r="G31" i="48"/>
  <c r="I31" i="48"/>
  <c r="K31" i="48"/>
  <c r="G32" i="48"/>
  <c r="I32" i="48"/>
  <c r="K32" i="48"/>
  <c r="D33" i="48"/>
  <c r="E33" i="48"/>
  <c r="F33" i="48"/>
  <c r="H33" i="48"/>
  <c r="L33" i="48"/>
  <c r="K33" i="48" s="1"/>
  <c r="M33" i="48"/>
  <c r="G34" i="48"/>
  <c r="I34" i="48"/>
  <c r="K34" i="48"/>
  <c r="G35" i="48"/>
  <c r="I35" i="48"/>
  <c r="K35" i="48"/>
  <c r="G36" i="48"/>
  <c r="I36" i="48"/>
  <c r="K36" i="48"/>
  <c r="G37" i="48"/>
  <c r="I37" i="48"/>
  <c r="K37" i="48"/>
  <c r="G38" i="48"/>
  <c r="I38" i="48"/>
  <c r="K38" i="48"/>
  <c r="G39" i="48"/>
  <c r="I39" i="48"/>
  <c r="K39" i="48"/>
  <c r="G41" i="48"/>
  <c r="I41" i="48"/>
  <c r="K41" i="48"/>
  <c r="G42" i="48"/>
  <c r="I42" i="48"/>
  <c r="K42" i="48"/>
  <c r="F43" i="48"/>
  <c r="F40" i="48" s="1"/>
  <c r="C28" i="124" s="1"/>
  <c r="H43" i="48"/>
  <c r="H40" i="48" s="1"/>
  <c r="E28" i="124" s="1"/>
  <c r="L43" i="48"/>
  <c r="L40" i="24" s="1"/>
  <c r="M43" i="48"/>
  <c r="M40" i="48" s="1"/>
  <c r="G44" i="48"/>
  <c r="D31" i="124" s="1"/>
  <c r="I44" i="48"/>
  <c r="F31" i="124" s="1"/>
  <c r="K44" i="48"/>
  <c r="H31" i="124" s="1"/>
  <c r="G45" i="48"/>
  <c r="I45" i="48"/>
  <c r="F34" i="124"/>
  <c r="K45" i="48"/>
  <c r="H34" i="124" s="1"/>
  <c r="G46" i="48"/>
  <c r="I46" i="48"/>
  <c r="K46" i="48"/>
  <c r="D50" i="48"/>
  <c r="E50" i="48"/>
  <c r="F50" i="48"/>
  <c r="H50" i="48"/>
  <c r="L50" i="48"/>
  <c r="M50" i="48"/>
  <c r="G51" i="48"/>
  <c r="T25" i="124" s="1"/>
  <c r="I51" i="48"/>
  <c r="V25" i="124"/>
  <c r="K51" i="48"/>
  <c r="X25" i="124" s="1"/>
  <c r="G52" i="48"/>
  <c r="T28" i="124" s="1"/>
  <c r="I52" i="48"/>
  <c r="V28" i="124" s="1"/>
  <c r="K52" i="48"/>
  <c r="X28" i="124" s="1"/>
  <c r="G53" i="48"/>
  <c r="I53" i="48"/>
  <c r="V31" i="124" s="1"/>
  <c r="K53" i="48"/>
  <c r="X31" i="124" s="1"/>
  <c r="G54" i="48"/>
  <c r="I54" i="48"/>
  <c r="K54" i="48"/>
  <c r="G55" i="48"/>
  <c r="I55" i="48"/>
  <c r="K55" i="48"/>
  <c r="D56" i="48"/>
  <c r="D63" i="48"/>
  <c r="E56" i="48"/>
  <c r="F56" i="48"/>
  <c r="H56" i="48"/>
  <c r="I56" i="48"/>
  <c r="L56" i="48"/>
  <c r="M56" i="48"/>
  <c r="G57" i="48"/>
  <c r="T37" i="124" s="1"/>
  <c r="I57" i="48"/>
  <c r="V37" i="124" s="1"/>
  <c r="K57" i="48"/>
  <c r="X37" i="124" s="1"/>
  <c r="G58" i="48"/>
  <c r="I58" i="48"/>
  <c r="K58" i="48"/>
  <c r="G59" i="48"/>
  <c r="I59" i="48"/>
  <c r="K59" i="48"/>
  <c r="G60" i="48"/>
  <c r="I60" i="48"/>
  <c r="K60" i="48"/>
  <c r="G61" i="48"/>
  <c r="I61" i="48"/>
  <c r="K61" i="48"/>
  <c r="G62" i="48"/>
  <c r="I62" i="48"/>
  <c r="K62" i="48"/>
  <c r="H76" i="48"/>
  <c r="I76" i="48"/>
  <c r="J76" i="48"/>
  <c r="K76" i="48"/>
  <c r="L76" i="48"/>
  <c r="M76" i="48"/>
  <c r="H86" i="48"/>
  <c r="I86" i="48"/>
  <c r="J86" i="48"/>
  <c r="K86" i="48"/>
  <c r="L86" i="48"/>
  <c r="M86" i="48"/>
  <c r="C6" i="123"/>
  <c r="AI32" i="181" s="1"/>
  <c r="J6" i="123"/>
  <c r="K7" i="123"/>
  <c r="M7" i="123"/>
  <c r="O7" i="123"/>
  <c r="Q7" i="123"/>
  <c r="R7" i="123"/>
  <c r="U7" i="123"/>
  <c r="W7" i="123"/>
  <c r="Y7" i="123"/>
  <c r="Z7" i="123"/>
  <c r="AA7" i="123"/>
  <c r="AC7" i="123"/>
  <c r="AE7" i="123"/>
  <c r="AG7" i="123"/>
  <c r="AH7" i="123"/>
  <c r="AI7" i="123"/>
  <c r="AK7" i="123"/>
  <c r="AM7" i="123"/>
  <c r="AO7" i="123"/>
  <c r="AP7" i="123"/>
  <c r="AQ7" i="123"/>
  <c r="AS7" i="123"/>
  <c r="AU7" i="123"/>
  <c r="AW7" i="123"/>
  <c r="AX7" i="123"/>
  <c r="AY7" i="123"/>
  <c r="BA7" i="123"/>
  <c r="BC7" i="123"/>
  <c r="BE7" i="123"/>
  <c r="BF7" i="123"/>
  <c r="C8" i="123"/>
  <c r="S32" i="181" s="1"/>
  <c r="S28" i="181" s="1"/>
  <c r="E8" i="123"/>
  <c r="U32" i="181"/>
  <c r="C9" i="123"/>
  <c r="E37" i="123"/>
  <c r="K10" i="123"/>
  <c r="M10" i="123"/>
  <c r="O10" i="123"/>
  <c r="Q10" i="123"/>
  <c r="S10" i="123"/>
  <c r="U10" i="123"/>
  <c r="W10" i="123"/>
  <c r="Y10" i="123"/>
  <c r="Z10" i="123"/>
  <c r="AA10" i="123"/>
  <c r="AC10" i="123"/>
  <c r="AE10" i="123"/>
  <c r="AG10" i="123"/>
  <c r="AH10" i="123"/>
  <c r="AI10" i="123"/>
  <c r="AK10" i="123"/>
  <c r="AM10" i="123"/>
  <c r="AO10" i="123"/>
  <c r="AP10" i="123"/>
  <c r="AQ10" i="123"/>
  <c r="AS10" i="123"/>
  <c r="AU10" i="123"/>
  <c r="AW10" i="123"/>
  <c r="AX10" i="123"/>
  <c r="AY10" i="123"/>
  <c r="BA10" i="123"/>
  <c r="BC10" i="123"/>
  <c r="BE10" i="123"/>
  <c r="C13" i="123"/>
  <c r="E13" i="123"/>
  <c r="U28" i="123" s="1"/>
  <c r="F13" i="123"/>
  <c r="G13" i="123"/>
  <c r="H13" i="123"/>
  <c r="I13" i="123"/>
  <c r="J13" i="123"/>
  <c r="C14" i="123"/>
  <c r="E14" i="123"/>
  <c r="F14" i="123"/>
  <c r="G14" i="123"/>
  <c r="W31" i="123"/>
  <c r="H14" i="123"/>
  <c r="I14" i="123"/>
  <c r="J14" i="123"/>
  <c r="C15" i="123"/>
  <c r="U34" i="123"/>
  <c r="F15" i="123"/>
  <c r="H15" i="123"/>
  <c r="C16" i="123"/>
  <c r="E16" i="123"/>
  <c r="U37" i="123" s="1"/>
  <c r="F16" i="123"/>
  <c r="G16" i="123"/>
  <c r="H16" i="123"/>
  <c r="I16" i="123"/>
  <c r="Y37" i="123" s="1"/>
  <c r="J16" i="123"/>
  <c r="C17" i="123"/>
  <c r="E17" i="123"/>
  <c r="U40" i="123" s="1"/>
  <c r="F17" i="123"/>
  <c r="G17" i="123"/>
  <c r="H17" i="123"/>
  <c r="I17" i="123"/>
  <c r="Y40" i="123"/>
  <c r="J17" i="123"/>
  <c r="C18" i="123"/>
  <c r="E18" i="123"/>
  <c r="U43" i="123"/>
  <c r="F18" i="123"/>
  <c r="G18" i="123"/>
  <c r="H18" i="123"/>
  <c r="I18" i="123"/>
  <c r="Y43" i="123" s="1"/>
  <c r="J18" i="123"/>
  <c r="K19" i="123"/>
  <c r="K22" i="123"/>
  <c r="M19" i="123"/>
  <c r="N19" i="123"/>
  <c r="N22" i="123" s="1"/>
  <c r="O19" i="123"/>
  <c r="O22" i="123" s="1"/>
  <c r="P19" i="123"/>
  <c r="P22" i="123" s="1"/>
  <c r="Q19" i="123"/>
  <c r="R19" i="123"/>
  <c r="S19" i="123"/>
  <c r="U19" i="123"/>
  <c r="V19" i="123"/>
  <c r="V22" i="123" s="1"/>
  <c r="W19" i="123"/>
  <c r="X19" i="123"/>
  <c r="X22" i="123" s="1"/>
  <c r="Y19" i="123"/>
  <c r="Z19" i="123"/>
  <c r="AA19" i="123"/>
  <c r="AC19" i="123"/>
  <c r="AC22" i="123" s="1"/>
  <c r="AD19" i="123"/>
  <c r="AD22" i="123"/>
  <c r="AE19" i="123"/>
  <c r="AE22" i="123" s="1"/>
  <c r="AF19" i="123"/>
  <c r="AF22" i="123" s="1"/>
  <c r="AG19" i="123"/>
  <c r="AG22" i="123" s="1"/>
  <c r="AH19" i="123"/>
  <c r="AI19" i="123"/>
  <c r="AK19" i="123"/>
  <c r="AL19" i="123"/>
  <c r="AL22" i="123" s="1"/>
  <c r="AM19" i="123"/>
  <c r="AN19" i="123"/>
  <c r="AN22" i="123" s="1"/>
  <c r="AO19" i="123"/>
  <c r="AP19" i="123"/>
  <c r="AQ19" i="123"/>
  <c r="AQ22" i="123" s="1"/>
  <c r="AS19" i="123"/>
  <c r="AT19" i="123"/>
  <c r="AT22" i="123"/>
  <c r="AU19" i="123"/>
  <c r="AV19" i="123"/>
  <c r="AW19" i="123"/>
  <c r="AX19" i="123"/>
  <c r="AY19" i="123"/>
  <c r="AY22" i="123" s="1"/>
  <c r="BA19" i="123"/>
  <c r="BB19" i="123"/>
  <c r="BB22" i="123" s="1"/>
  <c r="BC19" i="123"/>
  <c r="BD19" i="123"/>
  <c r="BD22" i="123"/>
  <c r="BE19" i="123"/>
  <c r="BF19" i="123"/>
  <c r="BF22" i="123" s="1"/>
  <c r="F22" i="123"/>
  <c r="H22" i="123"/>
  <c r="AV22" i="123"/>
  <c r="S27" i="123"/>
  <c r="S28" i="123" s="1"/>
  <c r="Z27" i="123"/>
  <c r="AA27" i="123"/>
  <c r="AC27" i="123"/>
  <c r="AH27" i="123"/>
  <c r="S30" i="123"/>
  <c r="Z30" i="123"/>
  <c r="C33" i="123"/>
  <c r="C34" i="123" s="1"/>
  <c r="S33" i="123"/>
  <c r="S34" i="123"/>
  <c r="Z33" i="123"/>
  <c r="Z34" i="123" s="1"/>
  <c r="C36" i="123"/>
  <c r="J37" i="123"/>
  <c r="S36" i="123"/>
  <c r="S37" i="123" s="1"/>
  <c r="Z36" i="123"/>
  <c r="Z37" i="123"/>
  <c r="S39" i="123"/>
  <c r="S42" i="123"/>
  <c r="D8" i="47"/>
  <c r="E8" i="47"/>
  <c r="F8" i="47"/>
  <c r="H8" i="47"/>
  <c r="J8" i="47"/>
  <c r="L8" i="47"/>
  <c r="M8" i="47"/>
  <c r="G9" i="47"/>
  <c r="I9" i="47"/>
  <c r="K9" i="47"/>
  <c r="G10" i="47"/>
  <c r="I10" i="47"/>
  <c r="K10" i="47"/>
  <c r="G11" i="47"/>
  <c r="I11" i="47"/>
  <c r="K11" i="47"/>
  <c r="G12" i="47"/>
  <c r="I12" i="47"/>
  <c r="K12" i="47"/>
  <c r="G13" i="47"/>
  <c r="I13" i="47"/>
  <c r="K13" i="47"/>
  <c r="G14" i="47"/>
  <c r="I14" i="47"/>
  <c r="K14" i="47"/>
  <c r="G15" i="47"/>
  <c r="I15" i="47"/>
  <c r="K15" i="47"/>
  <c r="G16" i="47"/>
  <c r="I16" i="47"/>
  <c r="K16" i="47"/>
  <c r="G17" i="47"/>
  <c r="I17" i="47"/>
  <c r="K17" i="47"/>
  <c r="G18" i="47"/>
  <c r="I18" i="47"/>
  <c r="K18" i="47"/>
  <c r="D19" i="47"/>
  <c r="E19" i="47"/>
  <c r="M19" i="47"/>
  <c r="F20" i="47"/>
  <c r="H20" i="47"/>
  <c r="J20" i="47"/>
  <c r="L20" i="47"/>
  <c r="G21" i="47"/>
  <c r="I21" i="47"/>
  <c r="K21" i="47"/>
  <c r="G22" i="47"/>
  <c r="I22" i="47"/>
  <c r="K22" i="47"/>
  <c r="G23" i="47"/>
  <c r="I23" i="47"/>
  <c r="K23" i="47"/>
  <c r="G24" i="47"/>
  <c r="I24" i="47"/>
  <c r="K24" i="47"/>
  <c r="G25" i="47"/>
  <c r="I25" i="47"/>
  <c r="K25" i="47"/>
  <c r="F26" i="47"/>
  <c r="H26" i="47"/>
  <c r="J26" i="47"/>
  <c r="L26" i="47"/>
  <c r="G27" i="47"/>
  <c r="G26" i="47" s="1"/>
  <c r="I27" i="47"/>
  <c r="I26" i="47" s="1"/>
  <c r="K27" i="47"/>
  <c r="K26" i="47"/>
  <c r="F28" i="47"/>
  <c r="H28" i="47"/>
  <c r="J28" i="47"/>
  <c r="L28" i="47"/>
  <c r="G29" i="47"/>
  <c r="I29" i="47"/>
  <c r="K29" i="47"/>
  <c r="G30" i="47"/>
  <c r="G28" i="47" s="1"/>
  <c r="I30" i="47"/>
  <c r="K30" i="47"/>
  <c r="G31" i="47"/>
  <c r="I31" i="47"/>
  <c r="I28" i="47" s="1"/>
  <c r="K31" i="47"/>
  <c r="G32" i="47"/>
  <c r="I32" i="47"/>
  <c r="K32" i="47"/>
  <c r="D33" i="47"/>
  <c r="E33" i="47"/>
  <c r="F33" i="47"/>
  <c r="H33" i="47"/>
  <c r="J33" i="47"/>
  <c r="K33" i="47"/>
  <c r="L33" i="47"/>
  <c r="M33" i="47"/>
  <c r="G34" i="47"/>
  <c r="I34" i="47"/>
  <c r="K34" i="47"/>
  <c r="G35" i="47"/>
  <c r="I35" i="47"/>
  <c r="K35" i="47"/>
  <c r="F36" i="47"/>
  <c r="H36" i="47"/>
  <c r="G36" i="47" s="1"/>
  <c r="J36" i="47"/>
  <c r="L36" i="47"/>
  <c r="G37" i="47"/>
  <c r="I37" i="47"/>
  <c r="K37" i="47"/>
  <c r="G38" i="47"/>
  <c r="I38" i="47"/>
  <c r="K38" i="47"/>
  <c r="G39" i="47"/>
  <c r="I39" i="47"/>
  <c r="K39" i="47"/>
  <c r="F40" i="47"/>
  <c r="H40" i="47"/>
  <c r="G40" i="47" s="1"/>
  <c r="J40" i="47"/>
  <c r="L40" i="47"/>
  <c r="G41" i="47"/>
  <c r="I41" i="47"/>
  <c r="K41" i="47"/>
  <c r="G42" i="47"/>
  <c r="I42" i="47"/>
  <c r="K42" i="47"/>
  <c r="G43" i="47"/>
  <c r="I43" i="47"/>
  <c r="K43" i="47"/>
  <c r="G44" i="47"/>
  <c r="I44" i="47"/>
  <c r="K44" i="47"/>
  <c r="D48" i="47"/>
  <c r="D61" i="47" s="1"/>
  <c r="E48" i="47"/>
  <c r="F48" i="47"/>
  <c r="H48" i="47"/>
  <c r="J48" i="47"/>
  <c r="L48" i="47"/>
  <c r="M48" i="47"/>
  <c r="G49" i="47"/>
  <c r="I49" i="47"/>
  <c r="K49" i="47"/>
  <c r="G50" i="47"/>
  <c r="I50" i="47"/>
  <c r="K50" i="47"/>
  <c r="G51" i="47"/>
  <c r="I51" i="47"/>
  <c r="K51" i="47"/>
  <c r="G52" i="47"/>
  <c r="I52" i="47"/>
  <c r="K52" i="47"/>
  <c r="G53" i="47"/>
  <c r="I53" i="47"/>
  <c r="K53" i="47"/>
  <c r="D54" i="47"/>
  <c r="E54" i="47"/>
  <c r="E61" i="47"/>
  <c r="F54" i="47"/>
  <c r="F61" i="47" s="1"/>
  <c r="H54" i="47"/>
  <c r="I54" i="47" s="1"/>
  <c r="J54" i="47"/>
  <c r="L54" i="47"/>
  <c r="M54" i="47"/>
  <c r="G55" i="47"/>
  <c r="I55" i="47"/>
  <c r="K55" i="47"/>
  <c r="G56" i="47"/>
  <c r="I56" i="47"/>
  <c r="K56" i="47"/>
  <c r="G57" i="47"/>
  <c r="I57" i="47"/>
  <c r="K57" i="47"/>
  <c r="G58" i="47"/>
  <c r="I58" i="47"/>
  <c r="K58" i="47"/>
  <c r="G59" i="47"/>
  <c r="I59" i="47"/>
  <c r="K59" i="47"/>
  <c r="G60" i="47"/>
  <c r="I60" i="47"/>
  <c r="K60" i="47"/>
  <c r="H61" i="47"/>
  <c r="D8" i="46"/>
  <c r="E8" i="46"/>
  <c r="F8" i="46"/>
  <c r="H8" i="46"/>
  <c r="J8" i="46"/>
  <c r="L8" i="46"/>
  <c r="M8" i="46"/>
  <c r="G9" i="46"/>
  <c r="I9" i="46"/>
  <c r="K9" i="46"/>
  <c r="G10" i="46"/>
  <c r="I10" i="46"/>
  <c r="K10" i="46"/>
  <c r="G11" i="46"/>
  <c r="I11" i="46"/>
  <c r="K11" i="46"/>
  <c r="G12" i="46"/>
  <c r="I12" i="46"/>
  <c r="K12" i="46"/>
  <c r="G13" i="46"/>
  <c r="I13" i="46"/>
  <c r="K13" i="46"/>
  <c r="G14" i="46"/>
  <c r="I14" i="46"/>
  <c r="K14" i="46"/>
  <c r="G15" i="46"/>
  <c r="I15" i="46"/>
  <c r="K15" i="46"/>
  <c r="G16" i="46"/>
  <c r="I16" i="46"/>
  <c r="K16" i="46"/>
  <c r="G17" i="46"/>
  <c r="I17" i="46"/>
  <c r="K17" i="46"/>
  <c r="G18" i="46"/>
  <c r="I18" i="46"/>
  <c r="K18" i="46"/>
  <c r="D19" i="46"/>
  <c r="E19" i="46"/>
  <c r="M19" i="46"/>
  <c r="F20" i="46"/>
  <c r="F19" i="46" s="1"/>
  <c r="H20" i="46"/>
  <c r="J20" i="46"/>
  <c r="L20" i="46"/>
  <c r="L19" i="46" s="1"/>
  <c r="G21" i="46"/>
  <c r="I21" i="46"/>
  <c r="K21" i="46"/>
  <c r="G22" i="46"/>
  <c r="I22" i="46"/>
  <c r="K22" i="46"/>
  <c r="G23" i="46"/>
  <c r="I23" i="46"/>
  <c r="K23" i="46"/>
  <c r="G24" i="46"/>
  <c r="I24" i="46"/>
  <c r="K24" i="46"/>
  <c r="G25" i="46"/>
  <c r="I25" i="46"/>
  <c r="K25" i="46"/>
  <c r="G26" i="46"/>
  <c r="I26" i="46"/>
  <c r="K26" i="46"/>
  <c r="G27" i="46"/>
  <c r="I27" i="46"/>
  <c r="K27" i="46"/>
  <c r="G28" i="46"/>
  <c r="I28" i="46"/>
  <c r="K28" i="46"/>
  <c r="G29" i="46"/>
  <c r="I29" i="46"/>
  <c r="K29" i="46"/>
  <c r="G30" i="46"/>
  <c r="I30" i="46"/>
  <c r="K30" i="46"/>
  <c r="G31" i="46"/>
  <c r="I31" i="46"/>
  <c r="K31" i="46"/>
  <c r="G32" i="46"/>
  <c r="I32" i="46"/>
  <c r="K32" i="46"/>
  <c r="D33" i="46"/>
  <c r="E33" i="46"/>
  <c r="F33" i="46"/>
  <c r="H33" i="46"/>
  <c r="J33" i="46"/>
  <c r="L33" i="46"/>
  <c r="M33" i="46"/>
  <c r="G34" i="46"/>
  <c r="I34" i="46"/>
  <c r="K34" i="46"/>
  <c r="G35" i="46"/>
  <c r="I35" i="46"/>
  <c r="K35" i="46"/>
  <c r="G36" i="46"/>
  <c r="I36" i="46"/>
  <c r="K36" i="46"/>
  <c r="G37" i="46"/>
  <c r="I37" i="46"/>
  <c r="K37" i="46"/>
  <c r="G38" i="46"/>
  <c r="I38" i="46"/>
  <c r="K38" i="46"/>
  <c r="G39" i="46"/>
  <c r="I39" i="46"/>
  <c r="K39" i="46"/>
  <c r="F40" i="46"/>
  <c r="H40" i="46"/>
  <c r="G40" i="46" s="1"/>
  <c r="J40" i="46"/>
  <c r="L40" i="46"/>
  <c r="M40" i="46"/>
  <c r="G44" i="46"/>
  <c r="I44" i="46"/>
  <c r="K44" i="46"/>
  <c r="D48" i="46"/>
  <c r="E48" i="46"/>
  <c r="F48" i="46"/>
  <c r="H48" i="46"/>
  <c r="J48" i="46"/>
  <c r="J61" i="46"/>
  <c r="L48" i="46"/>
  <c r="M48" i="46"/>
  <c r="G49" i="46"/>
  <c r="I49" i="46"/>
  <c r="K49" i="46"/>
  <c r="G50" i="46"/>
  <c r="I50" i="46"/>
  <c r="K50" i="46"/>
  <c r="G51" i="46"/>
  <c r="I51" i="46"/>
  <c r="K51" i="46"/>
  <c r="G52" i="46"/>
  <c r="I52" i="46"/>
  <c r="K52" i="46"/>
  <c r="G53" i="46"/>
  <c r="I53" i="46"/>
  <c r="K53" i="46"/>
  <c r="D54" i="46"/>
  <c r="E54" i="46"/>
  <c r="E61" i="46"/>
  <c r="F54" i="46"/>
  <c r="H54" i="46"/>
  <c r="J54" i="46"/>
  <c r="I54" i="46"/>
  <c r="L54" i="46"/>
  <c r="M54" i="46"/>
  <c r="M61" i="46"/>
  <c r="G55" i="46"/>
  <c r="I55" i="46"/>
  <c r="K55" i="46"/>
  <c r="G56" i="46"/>
  <c r="I56" i="46"/>
  <c r="K56" i="46"/>
  <c r="G57" i="46"/>
  <c r="I57" i="46"/>
  <c r="K57" i="46"/>
  <c r="G58" i="46"/>
  <c r="I58" i="46"/>
  <c r="K58" i="46"/>
  <c r="G59" i="46"/>
  <c r="I59" i="46"/>
  <c r="K59" i="46"/>
  <c r="G60" i="46"/>
  <c r="I60" i="46"/>
  <c r="K60" i="46"/>
  <c r="D8" i="45"/>
  <c r="E8" i="45"/>
  <c r="E47" i="45"/>
  <c r="F9" i="45"/>
  <c r="Z9" i="44" s="1"/>
  <c r="R9" i="44" s="1"/>
  <c r="H9" i="45"/>
  <c r="J9" i="45"/>
  <c r="L9" i="45"/>
  <c r="F10" i="45"/>
  <c r="H10" i="45"/>
  <c r="AB10" i="44"/>
  <c r="T10" i="44" s="1"/>
  <c r="J10" i="45"/>
  <c r="AD10" i="44" s="1"/>
  <c r="V10" i="44" s="1"/>
  <c r="L10" i="45"/>
  <c r="M10" i="45"/>
  <c r="AG10" i="44" s="1"/>
  <c r="Y10" i="44" s="1"/>
  <c r="F11" i="45"/>
  <c r="H11" i="45"/>
  <c r="J11" i="45"/>
  <c r="L11" i="45"/>
  <c r="M11" i="45"/>
  <c r="AG11" i="44" s="1"/>
  <c r="Y11" i="44" s="1"/>
  <c r="F12" i="45"/>
  <c r="Z12" i="44"/>
  <c r="R12" i="44" s="1"/>
  <c r="H12" i="45"/>
  <c r="J12" i="45"/>
  <c r="L12" i="45"/>
  <c r="M12" i="45"/>
  <c r="AG12" i="44" s="1"/>
  <c r="Y12" i="44" s="1"/>
  <c r="F13" i="45"/>
  <c r="H13" i="45"/>
  <c r="J13" i="45"/>
  <c r="AD13" i="44" s="1"/>
  <c r="V13" i="44" s="1"/>
  <c r="L13" i="45"/>
  <c r="M13" i="45"/>
  <c r="AG13" i="44" s="1"/>
  <c r="Y13" i="44" s="1"/>
  <c r="F14" i="45"/>
  <c r="H14" i="45"/>
  <c r="J14" i="45"/>
  <c r="L14" i="45"/>
  <c r="K14" i="45"/>
  <c r="M14" i="45"/>
  <c r="AG14" i="44" s="1"/>
  <c r="Y14" i="44" s="1"/>
  <c r="F15" i="45"/>
  <c r="Z15" i="44" s="1"/>
  <c r="R15" i="44" s="1"/>
  <c r="H15" i="45"/>
  <c r="J15" i="45"/>
  <c r="AD15" i="44" s="1"/>
  <c r="V15" i="44" s="1"/>
  <c r="L15" i="45"/>
  <c r="K15" i="45" s="1"/>
  <c r="M15" i="45"/>
  <c r="F16" i="45"/>
  <c r="Z16" i="44" s="1"/>
  <c r="R16" i="44" s="1"/>
  <c r="H16" i="45"/>
  <c r="AB16" i="44"/>
  <c r="T16" i="44" s="1"/>
  <c r="J16" i="45"/>
  <c r="L16" i="45"/>
  <c r="M16" i="45"/>
  <c r="AG16" i="44"/>
  <c r="Y16" i="44" s="1"/>
  <c r="F17" i="45"/>
  <c r="H17" i="45"/>
  <c r="J17" i="45"/>
  <c r="L17" i="45"/>
  <c r="M17" i="45"/>
  <c r="AG17" i="44" s="1"/>
  <c r="Y17" i="44" s="1"/>
  <c r="F18" i="45"/>
  <c r="Z18" i="44" s="1"/>
  <c r="R18" i="44" s="1"/>
  <c r="H18" i="45"/>
  <c r="J18" i="45"/>
  <c r="AD18" i="44" s="1"/>
  <c r="V18" i="44" s="1"/>
  <c r="L18" i="45"/>
  <c r="M18" i="45"/>
  <c r="D19" i="45"/>
  <c r="E19" i="45"/>
  <c r="M19" i="45"/>
  <c r="AG19" i="44"/>
  <c r="Y19" i="44" s="1"/>
  <c r="F20" i="45"/>
  <c r="H20" i="45"/>
  <c r="H19" i="45" s="1"/>
  <c r="J20" i="45"/>
  <c r="AD20" i="44" s="1"/>
  <c r="L20" i="45"/>
  <c r="L19" i="45" s="1"/>
  <c r="G21" i="45"/>
  <c r="I21" i="45"/>
  <c r="K21" i="45"/>
  <c r="G22" i="45"/>
  <c r="I22" i="45"/>
  <c r="K22" i="45"/>
  <c r="G23" i="45"/>
  <c r="I23" i="45"/>
  <c r="K23" i="45"/>
  <c r="G24" i="45"/>
  <c r="I24" i="45"/>
  <c r="K24" i="45"/>
  <c r="G25" i="45"/>
  <c r="I25" i="45"/>
  <c r="K25" i="45"/>
  <c r="H26" i="45"/>
  <c r="J26" i="45"/>
  <c r="L26" i="45"/>
  <c r="AF26" i="44" s="1"/>
  <c r="G27" i="45"/>
  <c r="G28" i="45"/>
  <c r="I28" i="45"/>
  <c r="K28" i="45"/>
  <c r="G29" i="45"/>
  <c r="I29" i="45"/>
  <c r="K29" i="45"/>
  <c r="G30" i="45"/>
  <c r="I30" i="45"/>
  <c r="K30" i="45"/>
  <c r="G31" i="45"/>
  <c r="I31" i="45"/>
  <c r="K31" i="45"/>
  <c r="D33" i="45"/>
  <c r="E33" i="45"/>
  <c r="F33" i="45"/>
  <c r="Z33" i="44" s="1"/>
  <c r="R33" i="44" s="1"/>
  <c r="H33" i="45"/>
  <c r="AB33" i="44" s="1"/>
  <c r="J33" i="45"/>
  <c r="L33" i="45"/>
  <c r="AF33" i="44"/>
  <c r="M33" i="45"/>
  <c r="AG33" i="44" s="1"/>
  <c r="G36" i="45"/>
  <c r="I36" i="45"/>
  <c r="K36" i="45"/>
  <c r="G37" i="45"/>
  <c r="I37" i="45"/>
  <c r="K37" i="45"/>
  <c r="G38" i="45"/>
  <c r="I38" i="45"/>
  <c r="K38" i="45"/>
  <c r="G39" i="45"/>
  <c r="I39" i="45"/>
  <c r="K39" i="45"/>
  <c r="H41" i="45"/>
  <c r="AB41" i="44" s="1"/>
  <c r="T41" i="44" s="1"/>
  <c r="J41" i="45"/>
  <c r="AD41" i="44"/>
  <c r="V41" i="44" s="1"/>
  <c r="L41" i="45"/>
  <c r="M41" i="45"/>
  <c r="G42" i="45"/>
  <c r="I42" i="45"/>
  <c r="K42" i="45"/>
  <c r="F44" i="45"/>
  <c r="H44" i="45"/>
  <c r="I44" i="45"/>
  <c r="J44" i="45"/>
  <c r="AD44" i="44" s="1"/>
  <c r="V44" i="44" s="1"/>
  <c r="L44" i="45"/>
  <c r="AF44" i="44" s="1"/>
  <c r="X44" i="44" s="1"/>
  <c r="M44" i="45"/>
  <c r="AG44" i="44" s="1"/>
  <c r="F45" i="45"/>
  <c r="H45" i="45"/>
  <c r="J45" i="45"/>
  <c r="AD45" i="44"/>
  <c r="V45" i="44"/>
  <c r="L45" i="45"/>
  <c r="K45" i="45" s="1"/>
  <c r="M45" i="45"/>
  <c r="AG45" i="44" s="1"/>
  <c r="Y45" i="44" s="1"/>
  <c r="H46" i="45"/>
  <c r="J46" i="45"/>
  <c r="K46" i="45" s="1"/>
  <c r="L46" i="45"/>
  <c r="M46" i="45"/>
  <c r="AG46" i="44" s="1"/>
  <c r="Y46" i="44" s="1"/>
  <c r="D50" i="45"/>
  <c r="E50" i="45"/>
  <c r="F51" i="45"/>
  <c r="Z51" i="44" s="1"/>
  <c r="R51" i="44" s="1"/>
  <c r="H51" i="45"/>
  <c r="AB51" i="44"/>
  <c r="T51" i="44" s="1"/>
  <c r="J51" i="45"/>
  <c r="K51" i="45" s="1"/>
  <c r="L51" i="45"/>
  <c r="AF51" i="44" s="1"/>
  <c r="X51" i="44" s="1"/>
  <c r="M51" i="45"/>
  <c r="AG51" i="44" s="1"/>
  <c r="Y51" i="44" s="1"/>
  <c r="F52" i="45"/>
  <c r="Z52" i="44"/>
  <c r="R52" i="44"/>
  <c r="H52" i="45"/>
  <c r="AB52" i="44" s="1"/>
  <c r="T52" i="44" s="1"/>
  <c r="J52" i="45"/>
  <c r="AD52" i="44" s="1"/>
  <c r="V52" i="44" s="1"/>
  <c r="L52" i="45"/>
  <c r="AF52" i="44"/>
  <c r="M52" i="45"/>
  <c r="F53" i="45"/>
  <c r="Z53" i="44" s="1"/>
  <c r="R53" i="44" s="1"/>
  <c r="H53" i="45"/>
  <c r="AB53" i="44" s="1"/>
  <c r="J53" i="45"/>
  <c r="K53" i="45" s="1"/>
  <c r="L53" i="45"/>
  <c r="M53" i="45"/>
  <c r="AG53" i="44" s="1"/>
  <c r="Y53" i="44" s="1"/>
  <c r="H54" i="45"/>
  <c r="G54" i="45"/>
  <c r="J54" i="45"/>
  <c r="L54" i="45"/>
  <c r="M54" i="45"/>
  <c r="AG54" i="44"/>
  <c r="Y54" i="44" s="1"/>
  <c r="H55" i="45"/>
  <c r="J55" i="45"/>
  <c r="L55" i="45"/>
  <c r="M55" i="45"/>
  <c r="AG55" i="44" s="1"/>
  <c r="Y55" i="44" s="1"/>
  <c r="D56" i="45"/>
  <c r="E56" i="45"/>
  <c r="F57" i="45"/>
  <c r="Z57" i="44"/>
  <c r="R57" i="44" s="1"/>
  <c r="AE39" i="123" s="1"/>
  <c r="H57" i="45"/>
  <c r="J57" i="45"/>
  <c r="I57" i="45" s="1"/>
  <c r="L57" i="45"/>
  <c r="M57" i="45"/>
  <c r="AG57" i="44" s="1"/>
  <c r="Y57" i="44" s="1"/>
  <c r="H58" i="45"/>
  <c r="G58" i="45" s="1"/>
  <c r="J58" i="45"/>
  <c r="L58" i="45"/>
  <c r="M58" i="45"/>
  <c r="AG58" i="44" s="1"/>
  <c r="Y58" i="44" s="1"/>
  <c r="G59" i="45"/>
  <c r="I59" i="45"/>
  <c r="K59" i="45"/>
  <c r="G60" i="45"/>
  <c r="I60" i="45"/>
  <c r="K60" i="45"/>
  <c r="G61" i="45"/>
  <c r="I61" i="45"/>
  <c r="K61" i="45"/>
  <c r="G62" i="45"/>
  <c r="I62" i="45"/>
  <c r="K62" i="45"/>
  <c r="F65" i="45"/>
  <c r="L65" i="45"/>
  <c r="K65" i="45" s="1"/>
  <c r="D8" i="44"/>
  <c r="D47" i="44" s="1"/>
  <c r="E8" i="44"/>
  <c r="F8" i="44"/>
  <c r="H8" i="44"/>
  <c r="G8" i="44" s="1"/>
  <c r="D27" i="123" s="1"/>
  <c r="D28" i="123" s="1"/>
  <c r="E27" i="123"/>
  <c r="E28" i="123"/>
  <c r="L8" i="44"/>
  <c r="I27" i="123" s="1"/>
  <c r="I28" i="123" s="1"/>
  <c r="M8" i="44"/>
  <c r="J27" i="123"/>
  <c r="J28" i="123" s="1"/>
  <c r="G9" i="44"/>
  <c r="I9" i="44"/>
  <c r="K9" i="44"/>
  <c r="AD9" i="44"/>
  <c r="V9" i="44" s="1"/>
  <c r="AG9" i="44"/>
  <c r="Y9" i="44"/>
  <c r="G10" i="44"/>
  <c r="I10" i="44"/>
  <c r="K10" i="44"/>
  <c r="G11" i="44"/>
  <c r="I11" i="44"/>
  <c r="K11" i="44"/>
  <c r="G12" i="44"/>
  <c r="I12" i="44"/>
  <c r="K12" i="44"/>
  <c r="G13" i="44"/>
  <c r="I13" i="44"/>
  <c r="K13" i="44"/>
  <c r="Z13" i="44"/>
  <c r="R13" i="44"/>
  <c r="G14" i="44"/>
  <c r="I14" i="44"/>
  <c r="K14" i="44"/>
  <c r="G15" i="44"/>
  <c r="I15" i="44"/>
  <c r="K15" i="44"/>
  <c r="G16" i="44"/>
  <c r="I16" i="44"/>
  <c r="K16" i="44"/>
  <c r="AF16" i="44"/>
  <c r="X16" i="44" s="1"/>
  <c r="G17" i="44"/>
  <c r="I17" i="44"/>
  <c r="K17" i="44"/>
  <c r="G18" i="44"/>
  <c r="I18" i="44"/>
  <c r="K18" i="44"/>
  <c r="D19" i="44"/>
  <c r="E19" i="44"/>
  <c r="M19" i="44"/>
  <c r="F20" i="44"/>
  <c r="F19" i="44"/>
  <c r="H20" i="44"/>
  <c r="H19" i="44" s="1"/>
  <c r="L20" i="44"/>
  <c r="L19" i="44" s="1"/>
  <c r="AG20" i="44"/>
  <c r="Y20" i="44"/>
  <c r="Z21" i="44"/>
  <c r="R21" i="44"/>
  <c r="AB21" i="44"/>
  <c r="T21" i="44"/>
  <c r="AD21" i="44"/>
  <c r="V21" i="44"/>
  <c r="AF21" i="44"/>
  <c r="X21" i="44"/>
  <c r="AG21" i="44"/>
  <c r="Y21" i="44"/>
  <c r="Z22" i="44"/>
  <c r="R22" i="44"/>
  <c r="AB22" i="44"/>
  <c r="T22" i="44"/>
  <c r="AD22" i="44"/>
  <c r="V22" i="44"/>
  <c r="AF22" i="44"/>
  <c r="X22" i="44"/>
  <c r="AG22" i="44"/>
  <c r="Y22" i="44"/>
  <c r="Z23" i="44"/>
  <c r="R23" i="44"/>
  <c r="AB23" i="44"/>
  <c r="T23" i="44"/>
  <c r="AD23" i="44"/>
  <c r="V23" i="44"/>
  <c r="AF23" i="44"/>
  <c r="X23" i="44"/>
  <c r="AG23" i="44"/>
  <c r="Y23" i="44"/>
  <c r="Z24" i="44"/>
  <c r="R24" i="44"/>
  <c r="AB24" i="44"/>
  <c r="T24" i="44"/>
  <c r="AD24" i="44"/>
  <c r="V24" i="44"/>
  <c r="AF24" i="44"/>
  <c r="X24" i="44"/>
  <c r="AG24" i="44"/>
  <c r="Y24" i="44"/>
  <c r="Z25" i="44"/>
  <c r="R25" i="44"/>
  <c r="AB25" i="44"/>
  <c r="T25" i="44"/>
  <c r="AD25" i="44"/>
  <c r="V25" i="44"/>
  <c r="AF25" i="44"/>
  <c r="X25" i="44"/>
  <c r="AG25" i="44"/>
  <c r="Y25" i="44"/>
  <c r="F26" i="44"/>
  <c r="H26" i="44"/>
  <c r="L26" i="44"/>
  <c r="X26" i="44" s="1"/>
  <c r="Z26" i="44"/>
  <c r="AG26" i="44"/>
  <c r="Y26" i="44" s="1"/>
  <c r="Z27" i="44"/>
  <c r="R27" i="44"/>
  <c r="AB27" i="44"/>
  <c r="T27" i="44" s="1"/>
  <c r="AD27" i="44"/>
  <c r="V27" i="44"/>
  <c r="AF27" i="44"/>
  <c r="X27" i="44" s="1"/>
  <c r="AG27" i="44"/>
  <c r="Y27" i="44"/>
  <c r="F28" i="44"/>
  <c r="H28" i="44"/>
  <c r="L28" i="44"/>
  <c r="Z28" i="44"/>
  <c r="AB28" i="44"/>
  <c r="AD28" i="44"/>
  <c r="V28" i="44" s="1"/>
  <c r="AF28" i="44"/>
  <c r="X28" i="44"/>
  <c r="AG28" i="44"/>
  <c r="Y28" i="44" s="1"/>
  <c r="Z29" i="44"/>
  <c r="R29" i="44"/>
  <c r="AB29" i="44"/>
  <c r="T29" i="44" s="1"/>
  <c r="AD29" i="44"/>
  <c r="V29" i="44"/>
  <c r="AF29" i="44"/>
  <c r="X29" i="44" s="1"/>
  <c r="AG29" i="44"/>
  <c r="Y29" i="44" s="1"/>
  <c r="Z30" i="44"/>
  <c r="R30" i="44" s="1"/>
  <c r="AB30" i="44"/>
  <c r="T30" i="44"/>
  <c r="AD30" i="44"/>
  <c r="V30" i="44" s="1"/>
  <c r="AF30" i="44"/>
  <c r="X30" i="44"/>
  <c r="AG30" i="44"/>
  <c r="Y30" i="44" s="1"/>
  <c r="Z31" i="44"/>
  <c r="R31" i="44"/>
  <c r="AB31" i="44"/>
  <c r="T31" i="44" s="1"/>
  <c r="AD31" i="44"/>
  <c r="V31" i="44" s="1"/>
  <c r="AF31" i="44"/>
  <c r="X31" i="44" s="1"/>
  <c r="AG31" i="44"/>
  <c r="Y31" i="44"/>
  <c r="Z32" i="44"/>
  <c r="R32" i="44" s="1"/>
  <c r="AB32" i="44"/>
  <c r="T32" i="44"/>
  <c r="AD32" i="44"/>
  <c r="V32" i="44" s="1"/>
  <c r="AF32" i="44"/>
  <c r="X32" i="44"/>
  <c r="AG32" i="44"/>
  <c r="Y32" i="44" s="1"/>
  <c r="D33" i="44"/>
  <c r="E33" i="44"/>
  <c r="F33" i="44"/>
  <c r="H33" i="44"/>
  <c r="T33" i="44" s="1"/>
  <c r="L33" i="44"/>
  <c r="M33" i="44"/>
  <c r="Y33" i="44" s="1"/>
  <c r="AD33" i="44"/>
  <c r="Z34" i="44"/>
  <c r="R34" i="44" s="1"/>
  <c r="AB34" i="44"/>
  <c r="T34" i="44"/>
  <c r="AD34" i="44"/>
  <c r="V34" i="44" s="1"/>
  <c r="AF34" i="44"/>
  <c r="X34" i="44"/>
  <c r="AG34" i="44"/>
  <c r="Y34" i="44" s="1"/>
  <c r="Z35" i="44"/>
  <c r="R35" i="44" s="1"/>
  <c r="AB35" i="44"/>
  <c r="T35" i="44" s="1"/>
  <c r="AD35" i="44"/>
  <c r="V35" i="44"/>
  <c r="AF35" i="44"/>
  <c r="X35" i="44" s="1"/>
  <c r="AG35" i="44"/>
  <c r="Y35" i="44"/>
  <c r="F36" i="44"/>
  <c r="H36" i="44"/>
  <c r="L36" i="44"/>
  <c r="Z36" i="44"/>
  <c r="AB36" i="44"/>
  <c r="T36" i="44"/>
  <c r="AD36" i="44"/>
  <c r="V36" i="44" s="1"/>
  <c r="AF36" i="44"/>
  <c r="AG36" i="44"/>
  <c r="Y36" i="44"/>
  <c r="Z37" i="44"/>
  <c r="R37" i="44" s="1"/>
  <c r="AB37" i="44"/>
  <c r="T37" i="44"/>
  <c r="AD37" i="44"/>
  <c r="V37" i="44" s="1"/>
  <c r="AF37" i="44"/>
  <c r="X37" i="44" s="1"/>
  <c r="AG37" i="44"/>
  <c r="Y37" i="44" s="1"/>
  <c r="F38" i="44"/>
  <c r="H38" i="44"/>
  <c r="T38" i="44" s="1"/>
  <c r="L38" i="44"/>
  <c r="Z38" i="44"/>
  <c r="AB38" i="44"/>
  <c r="AD38" i="44"/>
  <c r="V38" i="44"/>
  <c r="AF38" i="44"/>
  <c r="X38" i="44" s="1"/>
  <c r="AG38" i="44"/>
  <c r="Y38" i="44"/>
  <c r="Z39" i="44"/>
  <c r="R39" i="44"/>
  <c r="AB39" i="44"/>
  <c r="T39" i="44"/>
  <c r="AD39" i="44"/>
  <c r="V39" i="44"/>
  <c r="AF39" i="44"/>
  <c r="X39" i="44"/>
  <c r="AG39" i="44"/>
  <c r="Y39" i="44"/>
  <c r="L40" i="44"/>
  <c r="I30" i="123" s="1"/>
  <c r="G41" i="44"/>
  <c r="I41" i="44"/>
  <c r="K41" i="44"/>
  <c r="Z41" i="44"/>
  <c r="R41" i="44"/>
  <c r="AG41" i="44"/>
  <c r="Y41" i="44" s="1"/>
  <c r="G42" i="44"/>
  <c r="I42" i="44"/>
  <c r="K42" i="44"/>
  <c r="Z42" i="44"/>
  <c r="R42" i="44"/>
  <c r="AB42" i="44"/>
  <c r="T42" i="44" s="1"/>
  <c r="AD42" i="44"/>
  <c r="V42" i="44" s="1"/>
  <c r="AF42" i="44"/>
  <c r="X42" i="44" s="1"/>
  <c r="AG42" i="44"/>
  <c r="Y42" i="44"/>
  <c r="F43" i="44"/>
  <c r="F40" i="44" s="1"/>
  <c r="H43" i="44"/>
  <c r="G30" i="123"/>
  <c r="G44" i="44"/>
  <c r="D33" i="123"/>
  <c r="I44" i="44"/>
  <c r="K44" i="44"/>
  <c r="Z44" i="44"/>
  <c r="R44" i="44"/>
  <c r="Y44" i="44"/>
  <c r="G45" i="44"/>
  <c r="D36" i="123" s="1"/>
  <c r="I45" i="44"/>
  <c r="I43" i="44" s="1"/>
  <c r="K45" i="44"/>
  <c r="Z45" i="44"/>
  <c r="R45" i="44" s="1"/>
  <c r="G46" i="44"/>
  <c r="I46" i="44"/>
  <c r="Z46" i="44"/>
  <c r="R46" i="44" s="1"/>
  <c r="Z48" i="44"/>
  <c r="R48" i="44" s="1"/>
  <c r="AB48" i="44"/>
  <c r="T48" i="44"/>
  <c r="AD48" i="44"/>
  <c r="V48" i="44" s="1"/>
  <c r="AF48" i="44"/>
  <c r="X48" i="44"/>
  <c r="AG48" i="44"/>
  <c r="Y48" i="44" s="1"/>
  <c r="Z49" i="44"/>
  <c r="R49" i="44"/>
  <c r="AB49" i="44"/>
  <c r="T49" i="44" s="1"/>
  <c r="AD49" i="44"/>
  <c r="V49" i="44" s="1"/>
  <c r="AF49" i="44"/>
  <c r="X49" i="44" s="1"/>
  <c r="AG49" i="44"/>
  <c r="Y49" i="44"/>
  <c r="D50" i="44"/>
  <c r="E50" i="44"/>
  <c r="F50" i="44"/>
  <c r="H50" i="44"/>
  <c r="G50" i="44" s="1"/>
  <c r="L50" i="44"/>
  <c r="M50" i="44"/>
  <c r="G51" i="44"/>
  <c r="T27" i="123" s="1"/>
  <c r="I51" i="44"/>
  <c r="V27" i="123"/>
  <c r="K51" i="44"/>
  <c r="X27" i="123" s="1"/>
  <c r="G52" i="44"/>
  <c r="T30" i="123" s="1"/>
  <c r="I52" i="44"/>
  <c r="V30" i="123" s="1"/>
  <c r="K52" i="44"/>
  <c r="X30" i="123" s="1"/>
  <c r="X52" i="44"/>
  <c r="G53" i="44"/>
  <c r="T33" i="123" s="1"/>
  <c r="I53" i="44"/>
  <c r="V33" i="123"/>
  <c r="K53" i="44"/>
  <c r="X33" i="123" s="1"/>
  <c r="T53" i="44"/>
  <c r="AF53" i="44"/>
  <c r="X53" i="44" s="1"/>
  <c r="G54" i="44"/>
  <c r="I54" i="44"/>
  <c r="K54" i="44"/>
  <c r="Z54" i="44"/>
  <c r="R54" i="44"/>
  <c r="G55" i="44"/>
  <c r="T36" i="123"/>
  <c r="I55" i="44"/>
  <c r="V36" i="123"/>
  <c r="K55" i="44"/>
  <c r="X36" i="123" s="1"/>
  <c r="Z55" i="44"/>
  <c r="R55" i="44"/>
  <c r="D56" i="44"/>
  <c r="E56" i="44"/>
  <c r="F56" i="44"/>
  <c r="H56" i="44"/>
  <c r="L56" i="44"/>
  <c r="M56" i="44"/>
  <c r="G57" i="44"/>
  <c r="T39" i="123"/>
  <c r="I57" i="44"/>
  <c r="V39" i="123" s="1"/>
  <c r="K57" i="44"/>
  <c r="X39" i="123"/>
  <c r="AB57" i="44"/>
  <c r="T57" i="44" s="1"/>
  <c r="AG39" i="123" s="1"/>
  <c r="AD57" i="44"/>
  <c r="V57" i="44" s="1"/>
  <c r="G58" i="44"/>
  <c r="T42" i="123" s="1"/>
  <c r="T43" i="123" s="1"/>
  <c r="I58" i="44"/>
  <c r="V42" i="123"/>
  <c r="V43" i="123" s="1"/>
  <c r="K58" i="44"/>
  <c r="X42" i="123"/>
  <c r="X43" i="123" s="1"/>
  <c r="Z58" i="44"/>
  <c r="R58" i="44" s="1"/>
  <c r="AE42" i="123"/>
  <c r="AB58" i="44"/>
  <c r="T58" i="44" s="1"/>
  <c r="AG42" i="123" s="1"/>
  <c r="G59" i="44"/>
  <c r="I59" i="44"/>
  <c r="K59" i="44"/>
  <c r="Z59" i="44"/>
  <c r="R59" i="44" s="1"/>
  <c r="AB59" i="44"/>
  <c r="T59" i="44"/>
  <c r="AD59" i="44"/>
  <c r="V59" i="44" s="1"/>
  <c r="AF59" i="44"/>
  <c r="X59" i="44"/>
  <c r="AG59" i="44"/>
  <c r="Y59" i="44" s="1"/>
  <c r="G60" i="44"/>
  <c r="I60" i="44"/>
  <c r="K60" i="44"/>
  <c r="Z60" i="44"/>
  <c r="R60" i="44" s="1"/>
  <c r="AB60" i="44"/>
  <c r="T60" i="44" s="1"/>
  <c r="AD60" i="44"/>
  <c r="V60" i="44" s="1"/>
  <c r="AF60" i="44"/>
  <c r="X60" i="44"/>
  <c r="AG60" i="44"/>
  <c r="Y60" i="44" s="1"/>
  <c r="G61" i="44"/>
  <c r="I61" i="44"/>
  <c r="K61" i="44"/>
  <c r="Z61" i="44"/>
  <c r="R61" i="44"/>
  <c r="AB61" i="44"/>
  <c r="T61" i="44" s="1"/>
  <c r="AD61" i="44"/>
  <c r="V61" i="44" s="1"/>
  <c r="AF61" i="44"/>
  <c r="X61" i="44" s="1"/>
  <c r="AG61" i="44"/>
  <c r="Y61" i="44"/>
  <c r="G62" i="44"/>
  <c r="I62" i="44"/>
  <c r="K62" i="44"/>
  <c r="Z62" i="44"/>
  <c r="R62" i="44" s="1"/>
  <c r="AB62" i="44"/>
  <c r="T62" i="44" s="1"/>
  <c r="AD62" i="44"/>
  <c r="V62" i="44"/>
  <c r="AF62" i="44"/>
  <c r="X62" i="44" s="1"/>
  <c r="AG62" i="44"/>
  <c r="Y62" i="44"/>
  <c r="Z64" i="44"/>
  <c r="R64" i="44" s="1"/>
  <c r="AB64" i="44"/>
  <c r="T64" i="44"/>
  <c r="AD64" i="44"/>
  <c r="V64" i="44" s="1"/>
  <c r="AF64" i="44"/>
  <c r="X64" i="44" s="1"/>
  <c r="AG64" i="44"/>
  <c r="Y64" i="44" s="1"/>
  <c r="AB65" i="44"/>
  <c r="T65" i="44"/>
  <c r="AD65" i="44"/>
  <c r="V65" i="44" s="1"/>
  <c r="AF65" i="44"/>
  <c r="X65" i="44"/>
  <c r="AG65" i="44"/>
  <c r="Y65" i="44" s="1"/>
  <c r="Z66" i="44"/>
  <c r="R66" i="44"/>
  <c r="AB66" i="44"/>
  <c r="T66" i="44" s="1"/>
  <c r="AD66" i="44"/>
  <c r="V66" i="44" s="1"/>
  <c r="AF66" i="44"/>
  <c r="X66" i="44" s="1"/>
  <c r="AG66" i="44"/>
  <c r="Y66" i="44"/>
  <c r="H73" i="44"/>
  <c r="I73" i="44"/>
  <c r="J73" i="44"/>
  <c r="K73" i="44"/>
  <c r="L73" i="44"/>
  <c r="M73" i="44"/>
  <c r="H83" i="44"/>
  <c r="I83" i="44"/>
  <c r="J83" i="44"/>
  <c r="K83" i="44"/>
  <c r="L83" i="44"/>
  <c r="M83" i="44"/>
  <c r="C7" i="107"/>
  <c r="E7" i="107"/>
  <c r="G7" i="107"/>
  <c r="I7" i="107"/>
  <c r="J7" i="107"/>
  <c r="K8" i="107"/>
  <c r="M8" i="107"/>
  <c r="O8" i="107"/>
  <c r="Q8" i="107"/>
  <c r="R8" i="107"/>
  <c r="S8" i="107"/>
  <c r="U8" i="107"/>
  <c r="AA8" i="107"/>
  <c r="AC8" i="107"/>
  <c r="AE8" i="107"/>
  <c r="AG8" i="107"/>
  <c r="AH8" i="107"/>
  <c r="AI8" i="107"/>
  <c r="AK8" i="107"/>
  <c r="AM8" i="107"/>
  <c r="AO8" i="107"/>
  <c r="AP8" i="107"/>
  <c r="AQ8" i="107"/>
  <c r="AR8" i="107"/>
  <c r="AS8" i="107"/>
  <c r="C9" i="107"/>
  <c r="E9" i="107"/>
  <c r="G9" i="107"/>
  <c r="I9" i="107"/>
  <c r="J9" i="107"/>
  <c r="J33" i="107"/>
  <c r="C10" i="107"/>
  <c r="E10" i="107"/>
  <c r="E36" i="107" s="1"/>
  <c r="G10" i="107"/>
  <c r="I10" i="107"/>
  <c r="I36" i="107" s="1"/>
  <c r="J10" i="107"/>
  <c r="K11" i="107"/>
  <c r="M11" i="107"/>
  <c r="O11" i="107"/>
  <c r="Q11" i="107"/>
  <c r="S11" i="107"/>
  <c r="U11" i="107"/>
  <c r="W11" i="107"/>
  <c r="Y11" i="107"/>
  <c r="Z11" i="107"/>
  <c r="AA11" i="107"/>
  <c r="AC11" i="107"/>
  <c r="AE11" i="107"/>
  <c r="AG11" i="107"/>
  <c r="AH11" i="107"/>
  <c r="AI11" i="107"/>
  <c r="AK11" i="107"/>
  <c r="AM11" i="107"/>
  <c r="AO11" i="107"/>
  <c r="AP11" i="107"/>
  <c r="AQ11" i="107"/>
  <c r="AR11" i="107"/>
  <c r="AS11" i="107"/>
  <c r="C14" i="107"/>
  <c r="E14" i="107"/>
  <c r="G14" i="107"/>
  <c r="I14" i="107"/>
  <c r="C15" i="107"/>
  <c r="S30" i="107" s="1"/>
  <c r="E15" i="107"/>
  <c r="G15" i="107"/>
  <c r="I15" i="107"/>
  <c r="J15" i="107"/>
  <c r="C16" i="107"/>
  <c r="E16" i="107"/>
  <c r="U33" i="107"/>
  <c r="G16" i="107"/>
  <c r="I16" i="107"/>
  <c r="Y33" i="107" s="1"/>
  <c r="J16" i="107"/>
  <c r="C17" i="107"/>
  <c r="E17" i="107"/>
  <c r="G17" i="107"/>
  <c r="I17" i="107"/>
  <c r="J17" i="107"/>
  <c r="K18" i="107"/>
  <c r="M18" i="107"/>
  <c r="O18" i="107"/>
  <c r="Q18" i="107"/>
  <c r="Q21" i="107" s="1"/>
  <c r="R18" i="107"/>
  <c r="S18" i="107"/>
  <c r="S21" i="107" s="1"/>
  <c r="U18" i="107"/>
  <c r="U21" i="107" s="1"/>
  <c r="W18" i="107"/>
  <c r="Y18" i="107"/>
  <c r="Z18" i="107"/>
  <c r="AA18" i="107"/>
  <c r="AC18" i="107"/>
  <c r="AE18" i="107"/>
  <c r="AG18" i="107"/>
  <c r="AH18" i="107"/>
  <c r="AI18" i="107"/>
  <c r="AK18" i="107"/>
  <c r="AM18" i="107"/>
  <c r="AO18" i="107"/>
  <c r="AP18" i="107"/>
  <c r="AQ18" i="107"/>
  <c r="AR18" i="107"/>
  <c r="AS18" i="107"/>
  <c r="N21" i="107"/>
  <c r="P21" i="107"/>
  <c r="V21" i="107"/>
  <c r="X21" i="107"/>
  <c r="AD21" i="107"/>
  <c r="AF21" i="107"/>
  <c r="AL21" i="107"/>
  <c r="AN21" i="107"/>
  <c r="S26" i="107"/>
  <c r="S27" i="107" s="1"/>
  <c r="Z26" i="107"/>
  <c r="S29" i="107"/>
  <c r="U30" i="107"/>
  <c r="Z29" i="107"/>
  <c r="C32" i="107"/>
  <c r="S32" i="107"/>
  <c r="S33" i="107" s="1"/>
  <c r="Z32" i="107"/>
  <c r="Z33" i="107" s="1"/>
  <c r="C35" i="107"/>
  <c r="D8" i="43"/>
  <c r="E8" i="43"/>
  <c r="F8" i="43"/>
  <c r="H8" i="43"/>
  <c r="J8" i="43"/>
  <c r="L8" i="43"/>
  <c r="M8" i="43"/>
  <c r="D19" i="43"/>
  <c r="E19" i="43"/>
  <c r="E41" i="43"/>
  <c r="F19" i="43"/>
  <c r="H19" i="43"/>
  <c r="J19" i="43"/>
  <c r="L19" i="43"/>
  <c r="M19" i="43"/>
  <c r="F28" i="43"/>
  <c r="H28" i="43"/>
  <c r="J28" i="43"/>
  <c r="L28" i="43"/>
  <c r="M28" i="43"/>
  <c r="F32" i="43"/>
  <c r="H32" i="43"/>
  <c r="J32" i="43"/>
  <c r="L32" i="43"/>
  <c r="M32" i="43"/>
  <c r="D36" i="43"/>
  <c r="E36" i="43"/>
  <c r="F36" i="43"/>
  <c r="H36" i="43"/>
  <c r="J36" i="43"/>
  <c r="L36" i="43"/>
  <c r="M36" i="43"/>
  <c r="D44" i="43"/>
  <c r="E44" i="43"/>
  <c r="E57" i="43" s="1"/>
  <c r="F44" i="43"/>
  <c r="H44" i="43"/>
  <c r="J44" i="43"/>
  <c r="J57" i="43" s="1"/>
  <c r="L44" i="43"/>
  <c r="M44" i="43"/>
  <c r="D50" i="43"/>
  <c r="D57" i="43" s="1"/>
  <c r="E50" i="43"/>
  <c r="F50" i="43"/>
  <c r="H50" i="43"/>
  <c r="H57" i="43" s="1"/>
  <c r="J50" i="43"/>
  <c r="L50" i="43"/>
  <c r="L57" i="43" s="1"/>
  <c r="M50" i="43"/>
  <c r="D8" i="42"/>
  <c r="E8" i="42"/>
  <c r="F8" i="42"/>
  <c r="H8" i="42"/>
  <c r="J8" i="42"/>
  <c r="L8" i="42"/>
  <c r="M8" i="42"/>
  <c r="D19" i="42"/>
  <c r="D41" i="42" s="1"/>
  <c r="E19" i="42"/>
  <c r="F19" i="42"/>
  <c r="H19" i="42"/>
  <c r="J19" i="42"/>
  <c r="L19" i="42"/>
  <c r="M19" i="42"/>
  <c r="F28" i="42"/>
  <c r="H28" i="42"/>
  <c r="J28" i="42"/>
  <c r="L28" i="42"/>
  <c r="M28" i="42"/>
  <c r="F32" i="42"/>
  <c r="H32" i="42"/>
  <c r="J32" i="42"/>
  <c r="L32" i="42"/>
  <c r="M32" i="42"/>
  <c r="D36" i="42"/>
  <c r="E36" i="42"/>
  <c r="F36" i="42"/>
  <c r="F41" i="42"/>
  <c r="H36" i="42"/>
  <c r="J36" i="42"/>
  <c r="L36" i="42"/>
  <c r="M36" i="42"/>
  <c r="D44" i="42"/>
  <c r="E44" i="42"/>
  <c r="F44" i="42"/>
  <c r="H44" i="42"/>
  <c r="J44" i="42"/>
  <c r="L44" i="42"/>
  <c r="M44" i="42"/>
  <c r="D50" i="42"/>
  <c r="E50" i="42"/>
  <c r="E57" i="42" s="1"/>
  <c r="F50" i="42"/>
  <c r="F57" i="42" s="1"/>
  <c r="H50" i="42"/>
  <c r="H57" i="42" s="1"/>
  <c r="J50" i="42"/>
  <c r="J57" i="42" s="1"/>
  <c r="L50" i="42"/>
  <c r="M50" i="42"/>
  <c r="D8" i="41"/>
  <c r="E8" i="41"/>
  <c r="H9" i="41"/>
  <c r="AB9" i="40" s="1"/>
  <c r="T9" i="40" s="1"/>
  <c r="J9" i="41"/>
  <c r="L9" i="41"/>
  <c r="M9" i="41"/>
  <c r="AG9" i="40"/>
  <c r="Y9" i="40" s="1"/>
  <c r="H10" i="41"/>
  <c r="AB10" i="40"/>
  <c r="T10" i="40" s="1"/>
  <c r="J10" i="41"/>
  <c r="L10" i="41"/>
  <c r="M10" i="41"/>
  <c r="AG10" i="40" s="1"/>
  <c r="Y10" i="40" s="1"/>
  <c r="H11" i="41"/>
  <c r="AB11" i="40"/>
  <c r="T11" i="40"/>
  <c r="J11" i="41"/>
  <c r="AD11" i="40" s="1"/>
  <c r="V11" i="40" s="1"/>
  <c r="L11" i="41"/>
  <c r="M11" i="41"/>
  <c r="H12" i="41"/>
  <c r="AB12" i="40" s="1"/>
  <c r="T12" i="40" s="1"/>
  <c r="J12" i="41"/>
  <c r="AD12" i="40" s="1"/>
  <c r="V12" i="40" s="1"/>
  <c r="L12" i="41"/>
  <c r="AF12" i="40" s="1"/>
  <c r="X12" i="40" s="1"/>
  <c r="M12" i="41"/>
  <c r="H13" i="41"/>
  <c r="AB13" i="40" s="1"/>
  <c r="T13" i="40" s="1"/>
  <c r="J13" i="41"/>
  <c r="AD13" i="40" s="1"/>
  <c r="V13" i="40" s="1"/>
  <c r="L13" i="41"/>
  <c r="AF13" i="40"/>
  <c r="X13" i="40"/>
  <c r="M13" i="41"/>
  <c r="AG13" i="40" s="1"/>
  <c r="Y13" i="40" s="1"/>
  <c r="H14" i="41"/>
  <c r="AB14" i="40"/>
  <c r="T14" i="40" s="1"/>
  <c r="J14" i="41"/>
  <c r="AD14" i="40" s="1"/>
  <c r="V14" i="40" s="1"/>
  <c r="L14" i="41"/>
  <c r="AF14" i="40" s="1"/>
  <c r="X14" i="40" s="1"/>
  <c r="M14" i="41"/>
  <c r="AG14" i="40"/>
  <c r="Y14" i="40" s="1"/>
  <c r="H15" i="41"/>
  <c r="AB15" i="40" s="1"/>
  <c r="T15" i="40" s="1"/>
  <c r="J15" i="41"/>
  <c r="AD15" i="40" s="1"/>
  <c r="V15" i="40" s="1"/>
  <c r="L15" i="41"/>
  <c r="AF15" i="40" s="1"/>
  <c r="X15" i="40" s="1"/>
  <c r="M15" i="41"/>
  <c r="AG15" i="40"/>
  <c r="Y15" i="40" s="1"/>
  <c r="H16" i="41"/>
  <c r="AB16" i="40" s="1"/>
  <c r="T16" i="40" s="1"/>
  <c r="J16" i="41"/>
  <c r="AD16" i="40" s="1"/>
  <c r="V16" i="40" s="1"/>
  <c r="L16" i="41"/>
  <c r="AF16" i="40"/>
  <c r="X16" i="40"/>
  <c r="M16" i="41"/>
  <c r="AG16" i="40" s="1"/>
  <c r="Y16" i="40" s="1"/>
  <c r="H17" i="41"/>
  <c r="AB17" i="40" s="1"/>
  <c r="T17" i="40" s="1"/>
  <c r="J17" i="41"/>
  <c r="AD17" i="40"/>
  <c r="V17" i="40" s="1"/>
  <c r="L17" i="41"/>
  <c r="AF17" i="40" s="1"/>
  <c r="X17" i="40" s="1"/>
  <c r="M17" i="41"/>
  <c r="AG17" i="40" s="1"/>
  <c r="Y17" i="40" s="1"/>
  <c r="F18" i="41"/>
  <c r="F8" i="41" s="1"/>
  <c r="Z8" i="40" s="1"/>
  <c r="H18" i="41"/>
  <c r="AB18" i="40"/>
  <c r="T18" i="40"/>
  <c r="J18" i="41"/>
  <c r="AD18" i="40" s="1"/>
  <c r="V18" i="40" s="1"/>
  <c r="L18" i="41"/>
  <c r="K18" i="41" s="1"/>
  <c r="AF18" i="40"/>
  <c r="X18" i="40" s="1"/>
  <c r="M18" i="41"/>
  <c r="D19" i="41"/>
  <c r="E19" i="41"/>
  <c r="F19" i="41"/>
  <c r="Z19" i="40" s="1"/>
  <c r="H19" i="41"/>
  <c r="AB19" i="40" s="1"/>
  <c r="T19" i="40" s="1"/>
  <c r="J19" i="41"/>
  <c r="AD19" i="40" s="1"/>
  <c r="L19" i="41"/>
  <c r="AF19" i="40"/>
  <c r="M19" i="41"/>
  <c r="AG19" i="40" s="1"/>
  <c r="F26" i="41"/>
  <c r="Z26" i="40"/>
  <c r="R26" i="40" s="1"/>
  <c r="H26" i="41"/>
  <c r="AB26" i="40" s="1"/>
  <c r="T26" i="40" s="1"/>
  <c r="J26" i="41"/>
  <c r="AD26" i="40" s="1"/>
  <c r="V26" i="40" s="1"/>
  <c r="L26" i="41"/>
  <c r="AF26" i="40" s="1"/>
  <c r="X26" i="40" s="1"/>
  <c r="M26" i="41"/>
  <c r="AG26" i="40" s="1"/>
  <c r="Y26" i="40" s="1"/>
  <c r="F28" i="41"/>
  <c r="Z28" i="40" s="1"/>
  <c r="H28" i="41"/>
  <c r="J28" i="41"/>
  <c r="AD28" i="40" s="1"/>
  <c r="L28" i="41"/>
  <c r="AF28" i="40"/>
  <c r="M28" i="41"/>
  <c r="AG28" i="40" s="1"/>
  <c r="F32" i="41"/>
  <c r="Z32" i="40" s="1"/>
  <c r="H32" i="41"/>
  <c r="AB32" i="40" s="1"/>
  <c r="J32" i="41"/>
  <c r="AD32" i="40" s="1"/>
  <c r="V32" i="40" s="1"/>
  <c r="L32" i="41"/>
  <c r="AF32" i="40" s="1"/>
  <c r="M32" i="41"/>
  <c r="AG32" i="40"/>
  <c r="F34" i="41"/>
  <c r="Z34" i="40" s="1"/>
  <c r="H34" i="41"/>
  <c r="J34" i="41"/>
  <c r="AD34" i="40"/>
  <c r="L34" i="41"/>
  <c r="AF34" i="40" s="1"/>
  <c r="M34" i="41"/>
  <c r="D36" i="41"/>
  <c r="E36" i="41"/>
  <c r="H37" i="41"/>
  <c r="G37" i="41" s="1"/>
  <c r="J37" i="41"/>
  <c r="L37" i="41"/>
  <c r="AF37" i="40" s="1"/>
  <c r="X37" i="40" s="1"/>
  <c r="M37" i="41"/>
  <c r="AG37" i="40" s="1"/>
  <c r="Y37" i="40" s="1"/>
  <c r="G38" i="41"/>
  <c r="I38" i="41"/>
  <c r="K38" i="41"/>
  <c r="F40" i="41"/>
  <c r="Z40" i="40"/>
  <c r="R40" i="40" s="1"/>
  <c r="H40" i="41"/>
  <c r="AB40" i="40" s="1"/>
  <c r="T40" i="40" s="1"/>
  <c r="J40" i="41"/>
  <c r="L40" i="41"/>
  <c r="M40" i="41"/>
  <c r="F41" i="41"/>
  <c r="Z41" i="40" s="1"/>
  <c r="R41" i="40" s="1"/>
  <c r="H41" i="41"/>
  <c r="J41" i="41"/>
  <c r="I41" i="41" s="1"/>
  <c r="L41" i="41"/>
  <c r="M41" i="41"/>
  <c r="G42" i="41"/>
  <c r="I42" i="41"/>
  <c r="K42" i="41"/>
  <c r="D46" i="41"/>
  <c r="E46" i="41"/>
  <c r="F47" i="41"/>
  <c r="H47" i="41"/>
  <c r="AB47" i="40" s="1"/>
  <c r="T47" i="40" s="1"/>
  <c r="J47" i="41"/>
  <c r="L47" i="41"/>
  <c r="M47" i="41"/>
  <c r="AG47" i="40" s="1"/>
  <c r="Y47" i="40" s="1"/>
  <c r="F48" i="41"/>
  <c r="H48" i="41"/>
  <c r="I48" i="41" s="1"/>
  <c r="J48" i="41"/>
  <c r="L48" i="41"/>
  <c r="M48" i="41"/>
  <c r="F49" i="41"/>
  <c r="Z49" i="40"/>
  <c r="R49" i="40"/>
  <c r="H49" i="41"/>
  <c r="J49" i="41"/>
  <c r="L49" i="41"/>
  <c r="AF49" i="40"/>
  <c r="X49" i="40" s="1"/>
  <c r="M49" i="41"/>
  <c r="H50" i="41"/>
  <c r="G50" i="41"/>
  <c r="J50" i="41"/>
  <c r="L50" i="41"/>
  <c r="M50" i="41"/>
  <c r="AG50" i="40" s="1"/>
  <c r="Y50" i="40" s="1"/>
  <c r="H51" i="41"/>
  <c r="J51" i="41"/>
  <c r="L51" i="41"/>
  <c r="M51" i="41"/>
  <c r="AG51" i="40" s="1"/>
  <c r="Y51" i="40" s="1"/>
  <c r="D52" i="41"/>
  <c r="E52" i="41"/>
  <c r="F53" i="41"/>
  <c r="Z53" i="40" s="1"/>
  <c r="R53" i="40" s="1"/>
  <c r="H53" i="41"/>
  <c r="AB53" i="40" s="1"/>
  <c r="T53" i="40" s="1"/>
  <c r="J53" i="41"/>
  <c r="AD53" i="40"/>
  <c r="V53" i="40" s="1"/>
  <c r="L53" i="41"/>
  <c r="M53" i="41"/>
  <c r="AG53" i="40"/>
  <c r="Y53" i="40"/>
  <c r="F54" i="41"/>
  <c r="H54" i="41"/>
  <c r="J54" i="41"/>
  <c r="L54" i="41"/>
  <c r="M54" i="41"/>
  <c r="AG54" i="40" s="1"/>
  <c r="Y54" i="40" s="1"/>
  <c r="H55" i="41"/>
  <c r="AB55" i="40" s="1"/>
  <c r="T55" i="40" s="1"/>
  <c r="J55" i="41"/>
  <c r="L55" i="41"/>
  <c r="AF55" i="40" s="1"/>
  <c r="X55" i="40" s="1"/>
  <c r="M55" i="41"/>
  <c r="AG55" i="40" s="1"/>
  <c r="Y55" i="40" s="1"/>
  <c r="G56" i="41"/>
  <c r="I56" i="41"/>
  <c r="K56" i="41"/>
  <c r="G57" i="41"/>
  <c r="I57" i="41"/>
  <c r="K57" i="41"/>
  <c r="G58" i="41"/>
  <c r="I58" i="41"/>
  <c r="K58" i="41"/>
  <c r="F61" i="41"/>
  <c r="D8" i="40"/>
  <c r="E8" i="40"/>
  <c r="F8" i="40"/>
  <c r="C26" i="107"/>
  <c r="C27" i="107" s="1"/>
  <c r="H8" i="40"/>
  <c r="E26" i="107" s="1"/>
  <c r="E27" i="107" s="1"/>
  <c r="G26" i="107"/>
  <c r="G27" i="107" s="1"/>
  <c r="L8" i="40"/>
  <c r="K8" i="40" s="1"/>
  <c r="H26" i="107" s="1"/>
  <c r="M8" i="40"/>
  <c r="J26" i="107"/>
  <c r="J27" i="107" s="1"/>
  <c r="Z9" i="40"/>
  <c r="R9" i="40"/>
  <c r="Z10" i="40"/>
  <c r="R10" i="40" s="1"/>
  <c r="Z11" i="40"/>
  <c r="R11" i="40"/>
  <c r="Z12" i="40"/>
  <c r="R12" i="40" s="1"/>
  <c r="Z13" i="40"/>
  <c r="R13" i="40"/>
  <c r="Z14" i="40"/>
  <c r="R14" i="40" s="1"/>
  <c r="Z15" i="40"/>
  <c r="R15" i="40" s="1"/>
  <c r="Z16" i="40"/>
  <c r="R16" i="40"/>
  <c r="Z17" i="40"/>
  <c r="R17" i="40" s="1"/>
  <c r="D19" i="40"/>
  <c r="E19" i="40"/>
  <c r="F19" i="40"/>
  <c r="H19" i="40"/>
  <c r="V19" i="40"/>
  <c r="L19" i="40"/>
  <c r="X19" i="40" s="1"/>
  <c r="M19" i="40"/>
  <c r="Z20" i="40"/>
  <c r="R20" i="40"/>
  <c r="AB20" i="40"/>
  <c r="T20" i="40" s="1"/>
  <c r="AD20" i="40"/>
  <c r="V20" i="40"/>
  <c r="AF20" i="40"/>
  <c r="X20" i="40" s="1"/>
  <c r="AG20" i="40"/>
  <c r="Y20" i="40"/>
  <c r="Z21" i="40"/>
  <c r="R21" i="40" s="1"/>
  <c r="AB21" i="40"/>
  <c r="T21" i="40" s="1"/>
  <c r="AD21" i="40"/>
  <c r="V21" i="40" s="1"/>
  <c r="AF21" i="40"/>
  <c r="X21" i="40"/>
  <c r="AG21" i="40"/>
  <c r="Y21" i="40" s="1"/>
  <c r="Z22" i="40"/>
  <c r="R22" i="40"/>
  <c r="AB22" i="40"/>
  <c r="T22" i="40" s="1"/>
  <c r="AD22" i="40"/>
  <c r="V22" i="40"/>
  <c r="AF22" i="40"/>
  <c r="X22" i="40" s="1"/>
  <c r="AG22" i="40"/>
  <c r="Y22" i="40" s="1"/>
  <c r="Z23" i="40"/>
  <c r="R23" i="40" s="1"/>
  <c r="AB23" i="40"/>
  <c r="T23" i="40"/>
  <c r="AD23" i="40"/>
  <c r="V23" i="40" s="1"/>
  <c r="AF23" i="40"/>
  <c r="X23" i="40"/>
  <c r="AG23" i="40"/>
  <c r="Y23" i="40" s="1"/>
  <c r="Z24" i="40"/>
  <c r="R24" i="40"/>
  <c r="AB24" i="40"/>
  <c r="T24" i="40" s="1"/>
  <c r="AD24" i="40"/>
  <c r="V24" i="40" s="1"/>
  <c r="AF24" i="40"/>
  <c r="X24" i="40" s="1"/>
  <c r="AG24" i="40"/>
  <c r="Y24" i="40"/>
  <c r="Z25" i="40"/>
  <c r="R25" i="40" s="1"/>
  <c r="AB25" i="40"/>
  <c r="T25" i="40"/>
  <c r="AD25" i="40"/>
  <c r="V25" i="40" s="1"/>
  <c r="AF25" i="40"/>
  <c r="X25" i="40"/>
  <c r="AG25" i="40"/>
  <c r="Y25" i="40" s="1"/>
  <c r="Z27" i="40"/>
  <c r="R27" i="40" s="1"/>
  <c r="AB27" i="40"/>
  <c r="T27" i="40" s="1"/>
  <c r="AD27" i="40"/>
  <c r="V27" i="40"/>
  <c r="AF27" i="40"/>
  <c r="X27" i="40" s="1"/>
  <c r="AG27" i="40"/>
  <c r="Y27" i="40"/>
  <c r="F28" i="40"/>
  <c r="R28" i="40" s="1"/>
  <c r="H28" i="40"/>
  <c r="L28" i="40"/>
  <c r="M28" i="40"/>
  <c r="AB28" i="40"/>
  <c r="Z29" i="40"/>
  <c r="R29" i="40"/>
  <c r="AB29" i="40"/>
  <c r="T29" i="40" s="1"/>
  <c r="AD29" i="40"/>
  <c r="V29" i="40"/>
  <c r="AF29" i="40"/>
  <c r="X29" i="40" s="1"/>
  <c r="AG29" i="40"/>
  <c r="Y29" i="40" s="1"/>
  <c r="Z30" i="40"/>
  <c r="R30" i="40" s="1"/>
  <c r="AB30" i="40"/>
  <c r="T30" i="40"/>
  <c r="AD30" i="40"/>
  <c r="V30" i="40" s="1"/>
  <c r="AF30" i="40"/>
  <c r="X30" i="40"/>
  <c r="AG30" i="40"/>
  <c r="Y30" i="40" s="1"/>
  <c r="Z31" i="40"/>
  <c r="R31" i="40"/>
  <c r="AB31" i="40"/>
  <c r="T31" i="40" s="1"/>
  <c r="AD31" i="40"/>
  <c r="V31" i="40" s="1"/>
  <c r="AF31" i="40"/>
  <c r="X31" i="40" s="1"/>
  <c r="AG31" i="40"/>
  <c r="Y31" i="40"/>
  <c r="F32" i="40"/>
  <c r="R32" i="40" s="1"/>
  <c r="H32" i="40"/>
  <c r="L32" i="40"/>
  <c r="X32" i="40" s="1"/>
  <c r="M32" i="40"/>
  <c r="Z33" i="40"/>
  <c r="R33" i="40"/>
  <c r="AB33" i="40"/>
  <c r="T33" i="40" s="1"/>
  <c r="AD33" i="40"/>
  <c r="V33" i="40"/>
  <c r="AF33" i="40"/>
  <c r="X33" i="40" s="1"/>
  <c r="AG33" i="40"/>
  <c r="Y33" i="40" s="1"/>
  <c r="F34" i="40"/>
  <c r="H34" i="40"/>
  <c r="V34" i="40"/>
  <c r="L34" i="40"/>
  <c r="M34" i="40"/>
  <c r="Y34" i="40" s="1"/>
  <c r="AB34" i="40"/>
  <c r="AG34" i="40"/>
  <c r="Z35" i="40"/>
  <c r="R35" i="40" s="1"/>
  <c r="AB35" i="40"/>
  <c r="T35" i="40" s="1"/>
  <c r="AD35" i="40"/>
  <c r="V35" i="40"/>
  <c r="AF35" i="40"/>
  <c r="X35" i="40" s="1"/>
  <c r="AG35" i="40"/>
  <c r="Y35" i="40"/>
  <c r="D36" i="40"/>
  <c r="E36" i="40"/>
  <c r="L36" i="40"/>
  <c r="I29" i="107" s="1"/>
  <c r="G37" i="40"/>
  <c r="I37" i="40"/>
  <c r="K37" i="40"/>
  <c r="Z37" i="40"/>
  <c r="R37" i="40" s="1"/>
  <c r="G38" i="40"/>
  <c r="I38" i="40"/>
  <c r="K38" i="40"/>
  <c r="Z38" i="40"/>
  <c r="R38" i="40"/>
  <c r="AB38" i="40"/>
  <c r="T38" i="40" s="1"/>
  <c r="AD38" i="40"/>
  <c r="V38" i="40"/>
  <c r="AF38" i="40"/>
  <c r="X38" i="40" s="1"/>
  <c r="AG38" i="40"/>
  <c r="Y38" i="40"/>
  <c r="F39" i="40"/>
  <c r="H39" i="40"/>
  <c r="K39" i="40"/>
  <c r="M39" i="40"/>
  <c r="P41" i="40" s="1"/>
  <c r="G40" i="40"/>
  <c r="D32" i="107" s="1"/>
  <c r="I40" i="40"/>
  <c r="F32" i="107" s="1"/>
  <c r="K40" i="40"/>
  <c r="H32" i="107" s="1"/>
  <c r="G41" i="40"/>
  <c r="D35" i="107"/>
  <c r="I41" i="40"/>
  <c r="F35" i="107" s="1"/>
  <c r="K41" i="40"/>
  <c r="H35" i="107" s="1"/>
  <c r="G42" i="40"/>
  <c r="I42" i="40"/>
  <c r="K42" i="40"/>
  <c r="Z42" i="40"/>
  <c r="R42" i="40" s="1"/>
  <c r="AB42" i="40"/>
  <c r="T42" i="40"/>
  <c r="AD42" i="40"/>
  <c r="V42" i="40" s="1"/>
  <c r="AF42" i="40"/>
  <c r="X42" i="40"/>
  <c r="AG42" i="40"/>
  <c r="Y42" i="40" s="1"/>
  <c r="Z44" i="40"/>
  <c r="R44" i="40"/>
  <c r="AB44" i="40"/>
  <c r="T44" i="40" s="1"/>
  <c r="AD44" i="40"/>
  <c r="V44" i="40"/>
  <c r="AF44" i="40"/>
  <c r="X44" i="40" s="1"/>
  <c r="AG44" i="40"/>
  <c r="Y44" i="40"/>
  <c r="Z45" i="40"/>
  <c r="R45" i="40" s="1"/>
  <c r="AB45" i="40"/>
  <c r="T45" i="40"/>
  <c r="AD45" i="40"/>
  <c r="V45" i="40" s="1"/>
  <c r="AF45" i="40"/>
  <c r="X45" i="40"/>
  <c r="AG45" i="40"/>
  <c r="Y45" i="40" s="1"/>
  <c r="D46" i="40"/>
  <c r="E46" i="40"/>
  <c r="F46" i="40"/>
  <c r="H46" i="40"/>
  <c r="L46" i="40"/>
  <c r="M46" i="40"/>
  <c r="G47" i="40"/>
  <c r="T26" i="107"/>
  <c r="I47" i="40"/>
  <c r="V26" i="107" s="1"/>
  <c r="K47" i="40"/>
  <c r="X26" i="107" s="1"/>
  <c r="AF47" i="40"/>
  <c r="X47" i="40" s="1"/>
  <c r="G48" i="40"/>
  <c r="T29" i="107" s="1"/>
  <c r="I48" i="40"/>
  <c r="V29" i="107" s="1"/>
  <c r="K48" i="40"/>
  <c r="X29" i="107" s="1"/>
  <c r="G49" i="40"/>
  <c r="T32" i="107" s="1"/>
  <c r="I49" i="40"/>
  <c r="V32" i="107"/>
  <c r="K49" i="40"/>
  <c r="X32" i="107" s="1"/>
  <c r="G50" i="40"/>
  <c r="I50" i="40"/>
  <c r="K50" i="40"/>
  <c r="Z50" i="40"/>
  <c r="R50" i="40" s="1"/>
  <c r="G51" i="40"/>
  <c r="I51" i="40"/>
  <c r="K51" i="40"/>
  <c r="Z51" i="40"/>
  <c r="R51" i="40" s="1"/>
  <c r="D52" i="40"/>
  <c r="E52" i="40"/>
  <c r="F52" i="40"/>
  <c r="H52" i="40"/>
  <c r="U38" i="107" s="1"/>
  <c r="W38" i="107"/>
  <c r="L52" i="40"/>
  <c r="M52" i="40"/>
  <c r="G53" i="40"/>
  <c r="I53" i="40"/>
  <c r="K53" i="40"/>
  <c r="G54" i="40"/>
  <c r="I54" i="40"/>
  <c r="K54" i="40"/>
  <c r="G55" i="40"/>
  <c r="I55" i="40"/>
  <c r="K55" i="40"/>
  <c r="Z55" i="40"/>
  <c r="R55" i="40" s="1"/>
  <c r="G56" i="40"/>
  <c r="I56" i="40"/>
  <c r="K56" i="40"/>
  <c r="Z56" i="40"/>
  <c r="R56" i="40"/>
  <c r="AB56" i="40"/>
  <c r="T56" i="40" s="1"/>
  <c r="AD56" i="40"/>
  <c r="V56" i="40"/>
  <c r="AF56" i="40"/>
  <c r="X56" i="40" s="1"/>
  <c r="AG56" i="40"/>
  <c r="Y56" i="40" s="1"/>
  <c r="G57" i="40"/>
  <c r="I57" i="40"/>
  <c r="K57" i="40"/>
  <c r="Z57" i="40"/>
  <c r="R57" i="40"/>
  <c r="AB57" i="40"/>
  <c r="T57" i="40" s="1"/>
  <c r="AD57" i="40"/>
  <c r="V57" i="40"/>
  <c r="AF57" i="40"/>
  <c r="X57" i="40" s="1"/>
  <c r="AG57" i="40"/>
  <c r="Y57" i="40"/>
  <c r="G58" i="40"/>
  <c r="I58" i="40"/>
  <c r="K58" i="40"/>
  <c r="Z58" i="40"/>
  <c r="R58" i="40" s="1"/>
  <c r="AB58" i="40"/>
  <c r="T58" i="40" s="1"/>
  <c r="AD58" i="40"/>
  <c r="V58" i="40" s="1"/>
  <c r="AF58" i="40"/>
  <c r="X58" i="40"/>
  <c r="AG58" i="40"/>
  <c r="Y58" i="40" s="1"/>
  <c r="Z60" i="40"/>
  <c r="R60" i="40"/>
  <c r="AB60" i="40"/>
  <c r="T60" i="40" s="1"/>
  <c r="AD60" i="40"/>
  <c r="V60" i="40" s="1"/>
  <c r="AF60" i="40"/>
  <c r="X60" i="40" s="1"/>
  <c r="AG60" i="40"/>
  <c r="Y60" i="40" s="1"/>
  <c r="AB61" i="40"/>
  <c r="T61" i="40" s="1"/>
  <c r="AD61" i="40"/>
  <c r="V61" i="40" s="1"/>
  <c r="AF61" i="40"/>
  <c r="X61" i="40" s="1"/>
  <c r="AG61" i="40"/>
  <c r="Y61" i="40"/>
  <c r="Z62" i="40"/>
  <c r="R62" i="40" s="1"/>
  <c r="AB62" i="40"/>
  <c r="T62" i="40" s="1"/>
  <c r="AD62" i="40"/>
  <c r="V62" i="40" s="1"/>
  <c r="AF62" i="40"/>
  <c r="X62" i="40" s="1"/>
  <c r="AG62" i="40"/>
  <c r="Y62" i="40" s="1"/>
  <c r="H70" i="40"/>
  <c r="I70" i="40"/>
  <c r="J70" i="40"/>
  <c r="K70" i="40"/>
  <c r="L70" i="40"/>
  <c r="M70" i="40"/>
  <c r="H80" i="40"/>
  <c r="I80" i="40"/>
  <c r="J80" i="40"/>
  <c r="L80" i="40"/>
  <c r="M80" i="40"/>
  <c r="C7" i="104"/>
  <c r="E7" i="104"/>
  <c r="G7" i="104"/>
  <c r="I7" i="104"/>
  <c r="J7" i="104"/>
  <c r="K8" i="104"/>
  <c r="M8" i="104"/>
  <c r="Q8" i="104"/>
  <c r="S8" i="104"/>
  <c r="U8" i="104"/>
  <c r="W8" i="104"/>
  <c r="Y8" i="104"/>
  <c r="Z8" i="104"/>
  <c r="AA8" i="104"/>
  <c r="AC8" i="104"/>
  <c r="AE8" i="104"/>
  <c r="AG8" i="104"/>
  <c r="AH8" i="104"/>
  <c r="AI8" i="104"/>
  <c r="AK8" i="104"/>
  <c r="AM8" i="104"/>
  <c r="AO8" i="104"/>
  <c r="AP8" i="104"/>
  <c r="C9" i="104"/>
  <c r="E9" i="104"/>
  <c r="G9" i="104"/>
  <c r="G35" i="104"/>
  <c r="I9" i="104"/>
  <c r="I35" i="104" s="1"/>
  <c r="J9" i="104"/>
  <c r="C10" i="104"/>
  <c r="E10" i="104"/>
  <c r="G10" i="104"/>
  <c r="J10" i="104"/>
  <c r="J38" i="104" s="1"/>
  <c r="K11" i="104"/>
  <c r="M11" i="104"/>
  <c r="O11" i="104"/>
  <c r="Q11" i="104"/>
  <c r="R11" i="104"/>
  <c r="S11" i="104"/>
  <c r="U11" i="104"/>
  <c r="W11" i="104"/>
  <c r="Y11" i="104"/>
  <c r="Y22" i="104" s="1"/>
  <c r="Z11" i="104"/>
  <c r="AA11" i="104"/>
  <c r="AC11" i="104"/>
  <c r="AE11" i="104"/>
  <c r="AG11" i="104"/>
  <c r="AH11" i="104"/>
  <c r="AI11" i="104"/>
  <c r="AK11" i="104"/>
  <c r="AM11" i="104"/>
  <c r="AO11" i="104"/>
  <c r="AP11" i="104"/>
  <c r="C14" i="104"/>
  <c r="E14" i="104"/>
  <c r="E46" i="104" s="1"/>
  <c r="F14" i="104"/>
  <c r="G14" i="104"/>
  <c r="H14" i="104"/>
  <c r="I14" i="104"/>
  <c r="I46" i="104" s="1"/>
  <c r="J14" i="104"/>
  <c r="C15" i="104"/>
  <c r="E15" i="104"/>
  <c r="E49" i="104" s="1"/>
  <c r="F15" i="104"/>
  <c r="G15" i="104"/>
  <c r="G49" i="104" s="1"/>
  <c r="H15" i="104"/>
  <c r="I15" i="104"/>
  <c r="J15" i="104"/>
  <c r="C16" i="104"/>
  <c r="E16" i="104"/>
  <c r="E52" i="104"/>
  <c r="F16" i="104"/>
  <c r="G16" i="104"/>
  <c r="G52" i="104"/>
  <c r="H16" i="104"/>
  <c r="I16" i="104"/>
  <c r="I52" i="104" s="1"/>
  <c r="J16" i="104"/>
  <c r="E17" i="104"/>
  <c r="F17" i="104"/>
  <c r="G17" i="104"/>
  <c r="H17" i="104"/>
  <c r="I17" i="104"/>
  <c r="J17" i="104"/>
  <c r="C18" i="104"/>
  <c r="E18" i="104"/>
  <c r="E58" i="104"/>
  <c r="F18" i="104"/>
  <c r="G18" i="104"/>
  <c r="H18" i="104"/>
  <c r="I18" i="104"/>
  <c r="J18" i="104"/>
  <c r="K19" i="104"/>
  <c r="K22" i="104"/>
  <c r="M19" i="104"/>
  <c r="M22" i="104" s="1"/>
  <c r="N19" i="104"/>
  <c r="N22" i="104" s="1"/>
  <c r="O19" i="104"/>
  <c r="P19" i="104"/>
  <c r="P22" i="104" s="1"/>
  <c r="Q19" i="104"/>
  <c r="R19" i="104"/>
  <c r="S19" i="104"/>
  <c r="U19" i="104"/>
  <c r="U22" i="104" s="1"/>
  <c r="V19" i="104"/>
  <c r="V22" i="104" s="1"/>
  <c r="W19" i="104"/>
  <c r="X19" i="104"/>
  <c r="X22" i="104" s="1"/>
  <c r="Y19" i="104"/>
  <c r="Z19" i="104"/>
  <c r="AA19" i="104"/>
  <c r="AC19" i="104"/>
  <c r="AD19" i="104"/>
  <c r="AD22" i="104"/>
  <c r="AE19" i="104"/>
  <c r="AE22" i="104" s="1"/>
  <c r="AF19" i="104"/>
  <c r="AF22" i="104" s="1"/>
  <c r="AG19" i="104"/>
  <c r="AH19" i="104"/>
  <c r="AI19" i="104"/>
  <c r="AI22" i="104" s="1"/>
  <c r="AK19" i="104"/>
  <c r="AK22" i="104" s="1"/>
  <c r="AL19" i="104"/>
  <c r="AL22" i="104" s="1"/>
  <c r="AM19" i="104"/>
  <c r="AN19" i="104"/>
  <c r="AN22" i="104"/>
  <c r="AO19" i="104"/>
  <c r="AP19" i="104"/>
  <c r="C34" i="104"/>
  <c r="C37" i="104"/>
  <c r="C38" i="104" s="1"/>
  <c r="C45" i="104"/>
  <c r="C48" i="104"/>
  <c r="C51" i="104"/>
  <c r="J51" i="104"/>
  <c r="C54" i="104"/>
  <c r="C55" i="104"/>
  <c r="E54" i="104"/>
  <c r="E55" i="104" s="1"/>
  <c r="G54" i="104"/>
  <c r="G55" i="104" s="1"/>
  <c r="I54" i="104"/>
  <c r="J54" i="104"/>
  <c r="J55" i="104" s="1"/>
  <c r="C57" i="104"/>
  <c r="J57" i="104"/>
  <c r="D8" i="39"/>
  <c r="D41" i="39" s="1"/>
  <c r="E8" i="39"/>
  <c r="F8" i="39"/>
  <c r="H8" i="39"/>
  <c r="H41" i="39" s="1"/>
  <c r="J8" i="39"/>
  <c r="L8" i="39"/>
  <c r="M8" i="39"/>
  <c r="D19" i="39"/>
  <c r="E19" i="39"/>
  <c r="F19" i="39"/>
  <c r="H19" i="39"/>
  <c r="J19" i="39"/>
  <c r="L19" i="39"/>
  <c r="L41" i="39" s="1"/>
  <c r="M19" i="39"/>
  <c r="M41" i="39" s="1"/>
  <c r="F32" i="39"/>
  <c r="H32" i="39"/>
  <c r="J32" i="39"/>
  <c r="L32" i="39"/>
  <c r="M32" i="39"/>
  <c r="F34" i="39"/>
  <c r="H34" i="39"/>
  <c r="J34" i="39"/>
  <c r="L34" i="39"/>
  <c r="M34" i="39"/>
  <c r="D36" i="39"/>
  <c r="E36" i="39"/>
  <c r="F36" i="39"/>
  <c r="H36" i="39"/>
  <c r="J36" i="39"/>
  <c r="L36" i="39"/>
  <c r="M36" i="39"/>
  <c r="D44" i="39"/>
  <c r="D57" i="39"/>
  <c r="E44" i="39"/>
  <c r="F44" i="39"/>
  <c r="H44" i="39"/>
  <c r="H57" i="39"/>
  <c r="J44" i="39"/>
  <c r="L44" i="39"/>
  <c r="M44" i="39"/>
  <c r="E50" i="39"/>
  <c r="F50" i="39"/>
  <c r="H50" i="39"/>
  <c r="J50" i="39"/>
  <c r="L50" i="39"/>
  <c r="M50" i="39"/>
  <c r="D8" i="38"/>
  <c r="E8" i="38"/>
  <c r="F8" i="38"/>
  <c r="H8" i="38"/>
  <c r="J8" i="38"/>
  <c r="L8" i="38"/>
  <c r="M8" i="38"/>
  <c r="D19" i="38"/>
  <c r="E19" i="38"/>
  <c r="F19" i="38"/>
  <c r="H19" i="38"/>
  <c r="J19" i="38"/>
  <c r="L19" i="38"/>
  <c r="M19" i="38"/>
  <c r="F26" i="38"/>
  <c r="H26" i="38"/>
  <c r="J26" i="38"/>
  <c r="AD26" i="36"/>
  <c r="V26" i="36"/>
  <c r="L26" i="38"/>
  <c r="AF26" i="36" s="1"/>
  <c r="X26" i="36" s="1"/>
  <c r="M26" i="38"/>
  <c r="F28" i="38"/>
  <c r="H28" i="38"/>
  <c r="J28" i="38"/>
  <c r="AD28" i="36"/>
  <c r="L28" i="38"/>
  <c r="AF28" i="36" s="1"/>
  <c r="X28" i="36" s="1"/>
  <c r="M28" i="38"/>
  <c r="AG28" i="36" s="1"/>
  <c r="Y28" i="36" s="1"/>
  <c r="F32" i="38"/>
  <c r="H32" i="38"/>
  <c r="AB32" i="36" s="1"/>
  <c r="T32" i="36" s="1"/>
  <c r="J32" i="38"/>
  <c r="AD32" i="36"/>
  <c r="V32" i="36" s="1"/>
  <c r="L32" i="38"/>
  <c r="AF32" i="36" s="1"/>
  <c r="X32" i="36" s="1"/>
  <c r="M32" i="38"/>
  <c r="F34" i="38"/>
  <c r="Z34" i="36" s="1"/>
  <c r="R34" i="36" s="1"/>
  <c r="H34" i="38"/>
  <c r="J34" i="38"/>
  <c r="L34" i="38"/>
  <c r="AF34" i="36" s="1"/>
  <c r="X34" i="36" s="1"/>
  <c r="M34" i="38"/>
  <c r="AG34" i="36" s="1"/>
  <c r="Y34" i="36" s="1"/>
  <c r="D36" i="38"/>
  <c r="E36" i="38"/>
  <c r="E41" i="38" s="1"/>
  <c r="F36" i="38"/>
  <c r="H36" i="38"/>
  <c r="J36" i="38"/>
  <c r="L36" i="38"/>
  <c r="M36" i="38"/>
  <c r="D44" i="38"/>
  <c r="D57" i="38" s="1"/>
  <c r="E44" i="38"/>
  <c r="F44" i="38"/>
  <c r="H44" i="38"/>
  <c r="J44" i="38"/>
  <c r="J57" i="38"/>
  <c r="L44" i="38"/>
  <c r="M44" i="38"/>
  <c r="E50" i="38"/>
  <c r="F50" i="38"/>
  <c r="H50" i="38"/>
  <c r="J50" i="38"/>
  <c r="L50" i="38"/>
  <c r="M50" i="38"/>
  <c r="D8" i="37"/>
  <c r="E8" i="37"/>
  <c r="F8" i="37"/>
  <c r="H9" i="37"/>
  <c r="J9" i="37"/>
  <c r="AD9" i="36" s="1"/>
  <c r="V9" i="36" s="1"/>
  <c r="L9" i="37"/>
  <c r="M9" i="37"/>
  <c r="AG9" i="36" s="1"/>
  <c r="Y9" i="36" s="1"/>
  <c r="H10" i="37"/>
  <c r="J10" i="37"/>
  <c r="AD10" i="36" s="1"/>
  <c r="V10" i="36" s="1"/>
  <c r="L10" i="37"/>
  <c r="AF10" i="36" s="1"/>
  <c r="X10" i="36" s="1"/>
  <c r="M10" i="37"/>
  <c r="AG10" i="36"/>
  <c r="Y10" i="36" s="1"/>
  <c r="H11" i="37"/>
  <c r="AB11" i="36" s="1"/>
  <c r="T11" i="36" s="1"/>
  <c r="J11" i="37"/>
  <c r="AD11" i="36"/>
  <c r="V11" i="36" s="1"/>
  <c r="L11" i="37"/>
  <c r="AF11" i="36"/>
  <c r="X11" i="36"/>
  <c r="M11" i="37"/>
  <c r="AG11" i="36" s="1"/>
  <c r="Y11" i="36" s="1"/>
  <c r="H12" i="37"/>
  <c r="AB12" i="36" s="1"/>
  <c r="T12" i="36" s="1"/>
  <c r="J12" i="37"/>
  <c r="AD12" i="36" s="1"/>
  <c r="V12" i="36" s="1"/>
  <c r="L12" i="37"/>
  <c r="AF12" i="36"/>
  <c r="X12" i="36"/>
  <c r="M12" i="37"/>
  <c r="AG12" i="36"/>
  <c r="Y12" i="36"/>
  <c r="H13" i="37"/>
  <c r="AB13" i="36" s="1"/>
  <c r="T13" i="36" s="1"/>
  <c r="J13" i="37"/>
  <c r="AD13" i="36" s="1"/>
  <c r="V13" i="36" s="1"/>
  <c r="L13" i="37"/>
  <c r="AF13" i="36"/>
  <c r="X13" i="36" s="1"/>
  <c r="M13" i="37"/>
  <c r="AG13" i="36"/>
  <c r="Y13" i="36"/>
  <c r="H14" i="37"/>
  <c r="AB14" i="36" s="1"/>
  <c r="T14" i="36" s="1"/>
  <c r="J14" i="37"/>
  <c r="AD14" i="36" s="1"/>
  <c r="V14" i="36" s="1"/>
  <c r="L14" i="37"/>
  <c r="AF14" i="36" s="1"/>
  <c r="X14" i="36" s="1"/>
  <c r="M14" i="37"/>
  <c r="AG14" i="36"/>
  <c r="Y14" i="36" s="1"/>
  <c r="H15" i="37"/>
  <c r="AB15" i="36" s="1"/>
  <c r="T15" i="36" s="1"/>
  <c r="J15" i="37"/>
  <c r="AD15" i="36" s="1"/>
  <c r="V15" i="36" s="1"/>
  <c r="L15" i="37"/>
  <c r="AF15" i="36"/>
  <c r="X15" i="36"/>
  <c r="M15" i="37"/>
  <c r="AG15" i="36" s="1"/>
  <c r="Y15" i="36" s="1"/>
  <c r="H16" i="37"/>
  <c r="J16" i="37"/>
  <c r="AD16" i="36" s="1"/>
  <c r="V16" i="36" s="1"/>
  <c r="L16" i="37"/>
  <c r="M16" i="37"/>
  <c r="AG16" i="36" s="1"/>
  <c r="Y16" i="36" s="1"/>
  <c r="H17" i="37"/>
  <c r="AB17" i="36" s="1"/>
  <c r="T17" i="36" s="1"/>
  <c r="J17" i="37"/>
  <c r="AD17" i="36" s="1"/>
  <c r="V17" i="36" s="1"/>
  <c r="L17" i="37"/>
  <c r="AF17" i="36"/>
  <c r="X17" i="36"/>
  <c r="M17" i="37"/>
  <c r="AG17" i="36"/>
  <c r="Y17" i="36"/>
  <c r="H18" i="37"/>
  <c r="AB18" i="36" s="1"/>
  <c r="T18" i="36" s="1"/>
  <c r="J18" i="37"/>
  <c r="AD18" i="36" s="1"/>
  <c r="V18" i="36" s="1"/>
  <c r="L18" i="37"/>
  <c r="M18" i="37"/>
  <c r="AG18" i="36" s="1"/>
  <c r="Y18" i="36" s="1"/>
  <c r="D19" i="37"/>
  <c r="E19" i="37"/>
  <c r="F19" i="37"/>
  <c r="H19" i="37"/>
  <c r="J19" i="37"/>
  <c r="AD19" i="36"/>
  <c r="L19" i="37"/>
  <c r="M19" i="37"/>
  <c r="D36" i="37"/>
  <c r="D43" i="37" s="1"/>
  <c r="E36" i="37"/>
  <c r="H37" i="37"/>
  <c r="J37" i="37"/>
  <c r="I37" i="37" s="1"/>
  <c r="L37" i="37"/>
  <c r="AF37" i="36"/>
  <c r="X37" i="36" s="1"/>
  <c r="M37" i="37"/>
  <c r="AG37" i="36"/>
  <c r="Y37" i="36"/>
  <c r="G38" i="37"/>
  <c r="I38" i="37"/>
  <c r="K38" i="37"/>
  <c r="F40" i="37"/>
  <c r="H40" i="37"/>
  <c r="J40" i="37"/>
  <c r="AD40" i="36"/>
  <c r="V40" i="36" s="1"/>
  <c r="L40" i="37"/>
  <c r="M40" i="37"/>
  <c r="F41" i="37"/>
  <c r="H41" i="37"/>
  <c r="J41" i="37"/>
  <c r="L41" i="37"/>
  <c r="M41" i="37"/>
  <c r="G42" i="37"/>
  <c r="I42" i="37"/>
  <c r="K42" i="37"/>
  <c r="D46" i="37"/>
  <c r="D59" i="37"/>
  <c r="E46" i="37"/>
  <c r="F47" i="37"/>
  <c r="Z47" i="36"/>
  <c r="R47" i="36"/>
  <c r="H47" i="37"/>
  <c r="J47" i="37"/>
  <c r="AD47" i="36"/>
  <c r="V47" i="36" s="1"/>
  <c r="L47" i="37"/>
  <c r="M47" i="37"/>
  <c r="F48" i="37"/>
  <c r="Z48" i="36"/>
  <c r="R48" i="36" s="1"/>
  <c r="H48" i="37"/>
  <c r="J48" i="37"/>
  <c r="AD48" i="36"/>
  <c r="V48" i="36" s="1"/>
  <c r="L48" i="37"/>
  <c r="AF48" i="36" s="1"/>
  <c r="M48" i="37"/>
  <c r="AG48" i="36" s="1"/>
  <c r="Y48" i="36" s="1"/>
  <c r="F49" i="37"/>
  <c r="Z49" i="36"/>
  <c r="H49" i="37"/>
  <c r="AB49" i="36"/>
  <c r="T49" i="36"/>
  <c r="J49" i="37"/>
  <c r="L49" i="37"/>
  <c r="M49" i="37"/>
  <c r="AG49" i="36"/>
  <c r="Y49" i="36"/>
  <c r="H50" i="37"/>
  <c r="J50" i="37"/>
  <c r="L50" i="37"/>
  <c r="AF50" i="36"/>
  <c r="X50" i="36" s="1"/>
  <c r="M50" i="37"/>
  <c r="H51" i="37"/>
  <c r="J51" i="37"/>
  <c r="L51" i="37"/>
  <c r="AF51" i="36" s="1"/>
  <c r="X51" i="36" s="1"/>
  <c r="M51" i="37"/>
  <c r="AG51" i="36" s="1"/>
  <c r="Y51" i="36" s="1"/>
  <c r="E52" i="37"/>
  <c r="E59" i="37" s="1"/>
  <c r="F53" i="37"/>
  <c r="Z53" i="36"/>
  <c r="R53" i="36" s="1"/>
  <c r="H53" i="37"/>
  <c r="G53" i="37" s="1"/>
  <c r="J53" i="37"/>
  <c r="AD53" i="36" s="1"/>
  <c r="V53" i="36" s="1"/>
  <c r="L53" i="37"/>
  <c r="AF53" i="36"/>
  <c r="M53" i="37"/>
  <c r="AG53" i="36" s="1"/>
  <c r="Y53" i="36" s="1"/>
  <c r="H54" i="37"/>
  <c r="AB54" i="36"/>
  <c r="T54" i="36" s="1"/>
  <c r="J54" i="37"/>
  <c r="L54" i="37"/>
  <c r="AF54" i="36"/>
  <c r="X54" i="36" s="1"/>
  <c r="M54" i="37"/>
  <c r="AG54" i="36"/>
  <c r="Y54" i="36" s="1"/>
  <c r="H55" i="37"/>
  <c r="G55" i="37"/>
  <c r="J55" i="37"/>
  <c r="AD55" i="36" s="1"/>
  <c r="V55" i="36" s="1"/>
  <c r="L55" i="37"/>
  <c r="M55" i="37"/>
  <c r="AG55" i="36"/>
  <c r="Y55" i="36" s="1"/>
  <c r="G56" i="37"/>
  <c r="I56" i="37"/>
  <c r="K56" i="37"/>
  <c r="G57" i="37"/>
  <c r="I57" i="37"/>
  <c r="K57" i="37"/>
  <c r="G58" i="37"/>
  <c r="I58" i="37"/>
  <c r="K58" i="37"/>
  <c r="H69" i="37"/>
  <c r="M69" i="37"/>
  <c r="H79" i="37"/>
  <c r="M79" i="37"/>
  <c r="D8" i="36"/>
  <c r="E8" i="36"/>
  <c r="F8" i="36"/>
  <c r="H8" i="36"/>
  <c r="E28" i="104"/>
  <c r="E29" i="104" s="1"/>
  <c r="G28" i="104"/>
  <c r="L8" i="36"/>
  <c r="K8" i="36" s="1"/>
  <c r="H28" i="104" s="1"/>
  <c r="M8" i="36"/>
  <c r="J28" i="104"/>
  <c r="J29" i="104"/>
  <c r="Z9" i="36"/>
  <c r="R9" i="36"/>
  <c r="Z10" i="36"/>
  <c r="R10" i="36" s="1"/>
  <c r="Z11" i="36"/>
  <c r="R11" i="36" s="1"/>
  <c r="Z12" i="36"/>
  <c r="R12" i="36"/>
  <c r="Z13" i="36"/>
  <c r="R13" i="36" s="1"/>
  <c r="Z14" i="36"/>
  <c r="R14" i="36"/>
  <c r="Z15" i="36"/>
  <c r="R15" i="36" s="1"/>
  <c r="Z16" i="36"/>
  <c r="R16" i="36" s="1"/>
  <c r="AF16" i="36"/>
  <c r="X16" i="36" s="1"/>
  <c r="Z17" i="36"/>
  <c r="R17" i="36"/>
  <c r="Z18" i="36"/>
  <c r="R18" i="36" s="1"/>
  <c r="D19" i="36"/>
  <c r="E19" i="36"/>
  <c r="F19" i="36"/>
  <c r="H19" i="36"/>
  <c r="L19" i="36"/>
  <c r="M19" i="36"/>
  <c r="AF19" i="36"/>
  <c r="Z20" i="36"/>
  <c r="R20" i="36"/>
  <c r="AB20" i="36"/>
  <c r="T20" i="36" s="1"/>
  <c r="AD20" i="36"/>
  <c r="V20" i="36"/>
  <c r="AF20" i="36"/>
  <c r="X20" i="36" s="1"/>
  <c r="AG20" i="36"/>
  <c r="Y20" i="36"/>
  <c r="Z21" i="36"/>
  <c r="R21" i="36" s="1"/>
  <c r="AB21" i="36"/>
  <c r="T21" i="36"/>
  <c r="AD21" i="36"/>
  <c r="V21" i="36" s="1"/>
  <c r="AF21" i="36"/>
  <c r="X21" i="36"/>
  <c r="AG21" i="36"/>
  <c r="Y21" i="36" s="1"/>
  <c r="Z22" i="36"/>
  <c r="R22" i="36"/>
  <c r="AB22" i="36"/>
  <c r="T22" i="36" s="1"/>
  <c r="AD22" i="36"/>
  <c r="V22" i="36"/>
  <c r="AF22" i="36"/>
  <c r="X22" i="36" s="1"/>
  <c r="AG22" i="36"/>
  <c r="Y22" i="36"/>
  <c r="Z23" i="36"/>
  <c r="R23" i="36" s="1"/>
  <c r="AB23" i="36"/>
  <c r="T23" i="36"/>
  <c r="AD23" i="36"/>
  <c r="V23" i="36" s="1"/>
  <c r="AF23" i="36"/>
  <c r="X23" i="36"/>
  <c r="AG23" i="36"/>
  <c r="Y23" i="36" s="1"/>
  <c r="Z24" i="36"/>
  <c r="R24" i="36"/>
  <c r="AB24" i="36"/>
  <c r="T24" i="36" s="1"/>
  <c r="AD24" i="36"/>
  <c r="V24" i="36"/>
  <c r="AF24" i="36"/>
  <c r="X24" i="36" s="1"/>
  <c r="AG24" i="36"/>
  <c r="Y24" i="36"/>
  <c r="Z25" i="36"/>
  <c r="R25" i="36" s="1"/>
  <c r="AB25" i="36"/>
  <c r="T25" i="36"/>
  <c r="AD25" i="36"/>
  <c r="V25" i="36" s="1"/>
  <c r="AF25" i="36"/>
  <c r="X25" i="36"/>
  <c r="AG25" i="36"/>
  <c r="Y25" i="36" s="1"/>
  <c r="Z26" i="36"/>
  <c r="R26" i="36"/>
  <c r="AB26" i="36"/>
  <c r="T26" i="36" s="1"/>
  <c r="AG26" i="36"/>
  <c r="Y26" i="36"/>
  <c r="Z27" i="36"/>
  <c r="R27" i="36" s="1"/>
  <c r="AB27" i="36"/>
  <c r="T27" i="36"/>
  <c r="AD27" i="36"/>
  <c r="V27" i="36" s="1"/>
  <c r="AF27" i="36"/>
  <c r="X27" i="36"/>
  <c r="AG27" i="36"/>
  <c r="Y27" i="36" s="1"/>
  <c r="Z28" i="36"/>
  <c r="R28" i="36"/>
  <c r="AB28" i="36"/>
  <c r="T28" i="36" s="1"/>
  <c r="V28" i="36"/>
  <c r="Z29" i="36"/>
  <c r="R29" i="36"/>
  <c r="AB29" i="36"/>
  <c r="T29" i="36"/>
  <c r="AD29" i="36"/>
  <c r="V29" i="36"/>
  <c r="AF29" i="36"/>
  <c r="X29" i="36"/>
  <c r="AG29" i="36"/>
  <c r="Y29" i="36"/>
  <c r="Z30" i="36"/>
  <c r="R30" i="36"/>
  <c r="AB30" i="36"/>
  <c r="T30" i="36"/>
  <c r="AD30" i="36"/>
  <c r="V30" i="36"/>
  <c r="AF30" i="36"/>
  <c r="X30" i="36"/>
  <c r="AG30" i="36"/>
  <c r="Y30" i="36"/>
  <c r="Z31" i="36"/>
  <c r="R31" i="36"/>
  <c r="AB31" i="36"/>
  <c r="T31" i="36"/>
  <c r="AD31" i="36"/>
  <c r="V31" i="36"/>
  <c r="AF31" i="36"/>
  <c r="X31" i="36"/>
  <c r="AG31" i="36"/>
  <c r="Y31" i="36"/>
  <c r="Z33" i="36"/>
  <c r="R33" i="36" s="1"/>
  <c r="AB33" i="36"/>
  <c r="T33" i="36"/>
  <c r="AD33" i="36"/>
  <c r="V33" i="36" s="1"/>
  <c r="AF33" i="36"/>
  <c r="X33" i="36"/>
  <c r="AG33" i="36"/>
  <c r="Y33" i="36" s="1"/>
  <c r="Z35" i="36"/>
  <c r="R35" i="36" s="1"/>
  <c r="AB35" i="36"/>
  <c r="T35" i="36" s="1"/>
  <c r="AD35" i="36"/>
  <c r="V35" i="36"/>
  <c r="AF35" i="36"/>
  <c r="X35" i="36" s="1"/>
  <c r="AG35" i="36"/>
  <c r="Y35" i="36"/>
  <c r="D36" i="36"/>
  <c r="D43" i="36" s="1"/>
  <c r="E36" i="36"/>
  <c r="L36" i="36"/>
  <c r="I31" i="104" s="1"/>
  <c r="G37" i="36"/>
  <c r="I37" i="36"/>
  <c r="K37" i="36"/>
  <c r="Z37" i="36"/>
  <c r="R37" i="36"/>
  <c r="AB37" i="36"/>
  <c r="T37" i="36" s="1"/>
  <c r="G38" i="36"/>
  <c r="I38" i="36"/>
  <c r="K38" i="36"/>
  <c r="Z38" i="36"/>
  <c r="R38" i="36"/>
  <c r="AB38" i="36"/>
  <c r="T38" i="36" s="1"/>
  <c r="AD38" i="36"/>
  <c r="V38" i="36" s="1"/>
  <c r="AF38" i="36"/>
  <c r="X38" i="36" s="1"/>
  <c r="AG38" i="36"/>
  <c r="Y38" i="36"/>
  <c r="F39" i="36"/>
  <c r="H39" i="36"/>
  <c r="I39" i="36"/>
  <c r="M39" i="36"/>
  <c r="M36" i="36" s="1"/>
  <c r="G40" i="36"/>
  <c r="D34" i="104"/>
  <c r="D35" i="104"/>
  <c r="I40" i="36"/>
  <c r="F34" i="104"/>
  <c r="F35" i="104" s="1"/>
  <c r="K40" i="36"/>
  <c r="H34" i="104" s="1"/>
  <c r="H35" i="104" s="1"/>
  <c r="Z40" i="36"/>
  <c r="R40" i="36"/>
  <c r="G41" i="36"/>
  <c r="I41" i="36"/>
  <c r="K41" i="36"/>
  <c r="G42" i="36"/>
  <c r="I42" i="36"/>
  <c r="K42" i="36"/>
  <c r="Z42" i="36"/>
  <c r="R42" i="36"/>
  <c r="AB42" i="36"/>
  <c r="T42" i="36"/>
  <c r="AD42" i="36"/>
  <c r="V42" i="36"/>
  <c r="AF42" i="36"/>
  <c r="X42" i="36"/>
  <c r="AG42" i="36"/>
  <c r="Y42" i="36"/>
  <c r="AB44" i="36"/>
  <c r="T44" i="36"/>
  <c r="AD44" i="36"/>
  <c r="V44" i="36"/>
  <c r="Z45" i="36"/>
  <c r="R45" i="36"/>
  <c r="AB45" i="36"/>
  <c r="T45" i="36"/>
  <c r="AD45" i="36"/>
  <c r="V45" i="36"/>
  <c r="AF45" i="36"/>
  <c r="X45" i="36"/>
  <c r="AG45" i="36"/>
  <c r="Y45" i="36"/>
  <c r="D46" i="36"/>
  <c r="E46" i="36"/>
  <c r="F46" i="36"/>
  <c r="H46" i="36"/>
  <c r="H59" i="36" s="1"/>
  <c r="E60" i="104" s="1"/>
  <c r="L46" i="36"/>
  <c r="M46" i="36"/>
  <c r="G47" i="36"/>
  <c r="D45" i="104"/>
  <c r="I47" i="36"/>
  <c r="F45" i="104"/>
  <c r="K47" i="36"/>
  <c r="H45" i="104"/>
  <c r="AG47" i="36"/>
  <c r="Y47" i="36"/>
  <c r="G48" i="36"/>
  <c r="D48" i="104"/>
  <c r="I48" i="36"/>
  <c r="F48" i="104"/>
  <c r="K48" i="36"/>
  <c r="H48" i="104"/>
  <c r="AB48" i="36"/>
  <c r="T48" i="36"/>
  <c r="X48" i="36"/>
  <c r="G49" i="36"/>
  <c r="D51" i="104" s="1"/>
  <c r="I49" i="36"/>
  <c r="F51" i="104" s="1"/>
  <c r="K49" i="36"/>
  <c r="H51" i="104" s="1"/>
  <c r="R49" i="36"/>
  <c r="AF49" i="36"/>
  <c r="X49" i="36"/>
  <c r="G50" i="36"/>
  <c r="I50" i="36"/>
  <c r="K50" i="36"/>
  <c r="G51" i="36"/>
  <c r="I51" i="36"/>
  <c r="K51" i="36"/>
  <c r="Z51" i="36"/>
  <c r="R51" i="36"/>
  <c r="AB51" i="36"/>
  <c r="T51" i="36" s="1"/>
  <c r="E52" i="36"/>
  <c r="F52" i="36"/>
  <c r="H52" i="36"/>
  <c r="L52" i="36"/>
  <c r="M52" i="36"/>
  <c r="G53" i="36"/>
  <c r="D57" i="104" s="1"/>
  <c r="I53" i="36"/>
  <c r="F57" i="104" s="1"/>
  <c r="K53" i="36"/>
  <c r="H57" i="104" s="1"/>
  <c r="AB53" i="36"/>
  <c r="T53" i="36"/>
  <c r="X53" i="36"/>
  <c r="G54" i="36"/>
  <c r="I54" i="36"/>
  <c r="K54" i="36"/>
  <c r="Z54" i="36"/>
  <c r="R54" i="36" s="1"/>
  <c r="AD54" i="36"/>
  <c r="V54" i="36" s="1"/>
  <c r="G55" i="36"/>
  <c r="I55" i="36"/>
  <c r="K55" i="36"/>
  <c r="Z55" i="36"/>
  <c r="R55" i="36"/>
  <c r="AF55" i="36"/>
  <c r="X55" i="36" s="1"/>
  <c r="G56" i="36"/>
  <c r="I56" i="36"/>
  <c r="K56" i="36"/>
  <c r="Z56" i="36"/>
  <c r="R56" i="36" s="1"/>
  <c r="AB56" i="36"/>
  <c r="T56" i="36"/>
  <c r="AD56" i="36"/>
  <c r="V56" i="36" s="1"/>
  <c r="AF56" i="36"/>
  <c r="X56" i="36"/>
  <c r="AG56" i="36"/>
  <c r="Y56" i="36" s="1"/>
  <c r="G57" i="36"/>
  <c r="I57" i="36"/>
  <c r="K57" i="36"/>
  <c r="G58" i="36"/>
  <c r="I58" i="36"/>
  <c r="K58" i="36"/>
  <c r="Z58" i="36"/>
  <c r="R58" i="36" s="1"/>
  <c r="AB58" i="36"/>
  <c r="T58" i="36"/>
  <c r="AD58" i="36"/>
  <c r="V58" i="36" s="1"/>
  <c r="AF58" i="36"/>
  <c r="X58" i="36" s="1"/>
  <c r="AG58" i="36"/>
  <c r="Y58" i="36" s="1"/>
  <c r="D59" i="36"/>
  <c r="E59" i="36"/>
  <c r="Z60" i="36"/>
  <c r="R60" i="36" s="1"/>
  <c r="AB60" i="36"/>
  <c r="T60" i="36"/>
  <c r="AD60" i="36"/>
  <c r="V60" i="36" s="1"/>
  <c r="AF60" i="36"/>
  <c r="X60" i="36"/>
  <c r="AG60" i="36"/>
  <c r="Y60" i="36" s="1"/>
  <c r="Z61" i="36"/>
  <c r="R61" i="36" s="1"/>
  <c r="AB61" i="36"/>
  <c r="T61" i="36" s="1"/>
  <c r="AD61" i="36"/>
  <c r="V61" i="36" s="1"/>
  <c r="AF61" i="36"/>
  <c r="X61" i="36" s="1"/>
  <c r="AG61" i="36"/>
  <c r="Y61" i="36" s="1"/>
  <c r="Z62" i="36"/>
  <c r="R62" i="36"/>
  <c r="AB62" i="36"/>
  <c r="T62" i="36" s="1"/>
  <c r="AD62" i="36"/>
  <c r="V62" i="36" s="1"/>
  <c r="AF62" i="36"/>
  <c r="X62" i="36"/>
  <c r="AG62" i="36"/>
  <c r="Y62" i="36" s="1"/>
  <c r="Z63" i="36"/>
  <c r="AB63" i="36"/>
  <c r="AD63" i="36"/>
  <c r="AF63" i="36"/>
  <c r="AG63" i="36"/>
  <c r="Z64" i="36"/>
  <c r="AB64" i="36"/>
  <c r="AD64" i="36"/>
  <c r="AF64" i="36"/>
  <c r="AG64" i="36"/>
  <c r="H69" i="36"/>
  <c r="J69" i="36"/>
  <c r="K69" i="36"/>
  <c r="L69" i="36"/>
  <c r="M69" i="36"/>
  <c r="H77" i="36"/>
  <c r="I77" i="36"/>
  <c r="J77" i="36"/>
  <c r="K77" i="36"/>
  <c r="L77" i="36"/>
  <c r="M77" i="36"/>
  <c r="C7" i="106"/>
  <c r="E7" i="106"/>
  <c r="G7" i="106"/>
  <c r="I7" i="106"/>
  <c r="J7" i="106"/>
  <c r="K8" i="106"/>
  <c r="M8" i="106"/>
  <c r="O8" i="106"/>
  <c r="Q8" i="106"/>
  <c r="R8" i="106"/>
  <c r="S8" i="106"/>
  <c r="U8" i="106"/>
  <c r="W8" i="106"/>
  <c r="Y8" i="106"/>
  <c r="I8" i="106" s="1"/>
  <c r="Z8" i="106"/>
  <c r="AA8" i="106"/>
  <c r="AC8" i="106"/>
  <c r="AE8" i="106"/>
  <c r="AG8" i="106"/>
  <c r="AH8" i="106"/>
  <c r="AI8" i="106"/>
  <c r="AP8" i="106"/>
  <c r="C9" i="106"/>
  <c r="E9" i="106"/>
  <c r="E36" i="106" s="1"/>
  <c r="I9" i="106"/>
  <c r="I36" i="106"/>
  <c r="C10" i="106"/>
  <c r="I10" i="106"/>
  <c r="J10" i="106"/>
  <c r="C11" i="106"/>
  <c r="E11" i="106"/>
  <c r="G11" i="106"/>
  <c r="I11" i="106"/>
  <c r="J11" i="106"/>
  <c r="K12" i="106"/>
  <c r="M12" i="106"/>
  <c r="O12" i="106"/>
  <c r="O23" i="106" s="1"/>
  <c r="Q12" i="106"/>
  <c r="Q23" i="106" s="1"/>
  <c r="R12" i="106"/>
  <c r="S12" i="106"/>
  <c r="U12" i="106"/>
  <c r="W12" i="106"/>
  <c r="Y12" i="106"/>
  <c r="Z12" i="106"/>
  <c r="AA12" i="106"/>
  <c r="AC12" i="106"/>
  <c r="AE12" i="106"/>
  <c r="AG12" i="106"/>
  <c r="AH12" i="106"/>
  <c r="AI12" i="106"/>
  <c r="AI23" i="106" s="1"/>
  <c r="AK12" i="106"/>
  <c r="AM12" i="106"/>
  <c r="AO12" i="106"/>
  <c r="AP12" i="106"/>
  <c r="C15" i="106"/>
  <c r="E15" i="106"/>
  <c r="U30" i="106"/>
  <c r="F15" i="106"/>
  <c r="G15" i="106"/>
  <c r="W30" i="106" s="1"/>
  <c r="H15" i="106"/>
  <c r="I15" i="106"/>
  <c r="J15" i="106"/>
  <c r="C16" i="106"/>
  <c r="E16" i="106"/>
  <c r="U33" i="106"/>
  <c r="F16" i="106"/>
  <c r="G16" i="106"/>
  <c r="W33" i="106"/>
  <c r="H16" i="106"/>
  <c r="I16" i="106"/>
  <c r="Z33" i="106"/>
  <c r="C17" i="106"/>
  <c r="E17" i="106"/>
  <c r="U36" i="106" s="1"/>
  <c r="F17" i="106"/>
  <c r="G17" i="106"/>
  <c r="H17" i="106"/>
  <c r="I17" i="106"/>
  <c r="Y36" i="106" s="1"/>
  <c r="E18" i="106"/>
  <c r="F18" i="106"/>
  <c r="G18" i="106"/>
  <c r="H18" i="106"/>
  <c r="I18" i="106"/>
  <c r="J18" i="106"/>
  <c r="C19" i="106"/>
  <c r="E19" i="106"/>
  <c r="F19" i="106"/>
  <c r="G19" i="106"/>
  <c r="H19" i="106"/>
  <c r="H21" i="106"/>
  <c r="H23" i="106" s="1"/>
  <c r="I19" i="106"/>
  <c r="J19" i="106"/>
  <c r="C20" i="106"/>
  <c r="E20" i="106"/>
  <c r="F20" i="106"/>
  <c r="G20" i="106"/>
  <c r="H20" i="106"/>
  <c r="I20" i="106"/>
  <c r="J20" i="106"/>
  <c r="K21" i="106"/>
  <c r="M21" i="106"/>
  <c r="N21" i="106"/>
  <c r="N23" i="106"/>
  <c r="O21" i="106"/>
  <c r="P21" i="106"/>
  <c r="P23" i="106"/>
  <c r="Q21" i="106"/>
  <c r="R21" i="106"/>
  <c r="S21" i="106"/>
  <c r="U21" i="106"/>
  <c r="U23" i="106" s="1"/>
  <c r="V21" i="106"/>
  <c r="V23" i="106"/>
  <c r="W21" i="106"/>
  <c r="X21" i="106"/>
  <c r="X23" i="106" s="1"/>
  <c r="Y21" i="106"/>
  <c r="Z21" i="106"/>
  <c r="AA21" i="106"/>
  <c r="AC21" i="106"/>
  <c r="AD21" i="106"/>
  <c r="AD23" i="106"/>
  <c r="AE21" i="106"/>
  <c r="AE23" i="106" s="1"/>
  <c r="AF21" i="106"/>
  <c r="AF23" i="106"/>
  <c r="AG21" i="106"/>
  <c r="AH21" i="106"/>
  <c r="AI21" i="106"/>
  <c r="AK21" i="106"/>
  <c r="AK23" i="106" s="1"/>
  <c r="AL21" i="106"/>
  <c r="AL23" i="106"/>
  <c r="AM21" i="106"/>
  <c r="AM23" i="106" s="1"/>
  <c r="AN21" i="106"/>
  <c r="AN23" i="106" s="1"/>
  <c r="AO21" i="106"/>
  <c r="AP21" i="106"/>
  <c r="S29" i="106"/>
  <c r="S30" i="106"/>
  <c r="S32" i="106"/>
  <c r="S33" i="106" s="1"/>
  <c r="C35" i="106"/>
  <c r="S35" i="106"/>
  <c r="S36" i="106" s="1"/>
  <c r="C38" i="106"/>
  <c r="E39" i="106"/>
  <c r="J38" i="106"/>
  <c r="S38" i="106"/>
  <c r="S39" i="106"/>
  <c r="U38" i="106"/>
  <c r="W38" i="106"/>
  <c r="Y38" i="106"/>
  <c r="Z38" i="106"/>
  <c r="Z39" i="106"/>
  <c r="I41" i="106"/>
  <c r="D8" i="35"/>
  <c r="E8" i="35"/>
  <c r="F8" i="35"/>
  <c r="H8" i="35"/>
  <c r="J8" i="35"/>
  <c r="L8" i="35"/>
  <c r="M8" i="35"/>
  <c r="D19" i="35"/>
  <c r="D42" i="35"/>
  <c r="E19" i="35"/>
  <c r="E42" i="35"/>
  <c r="F19" i="35"/>
  <c r="AA19" i="32" s="1"/>
  <c r="H19" i="35"/>
  <c r="J19" i="35"/>
  <c r="L19" i="35"/>
  <c r="M19" i="35"/>
  <c r="F29" i="35"/>
  <c r="AA29" i="32" s="1"/>
  <c r="S29" i="32" s="1"/>
  <c r="H29" i="35"/>
  <c r="AC29" i="32"/>
  <c r="U29" i="32" s="1"/>
  <c r="J29" i="35"/>
  <c r="L29" i="35"/>
  <c r="AG29" i="32" s="1"/>
  <c r="Y29" i="32" s="1"/>
  <c r="M29" i="35"/>
  <c r="AH29" i="32"/>
  <c r="Z29" i="32"/>
  <c r="E33" i="35"/>
  <c r="F33" i="35"/>
  <c r="H33" i="35"/>
  <c r="J33" i="35"/>
  <c r="L33" i="35"/>
  <c r="M33" i="35"/>
  <c r="F36" i="35"/>
  <c r="H36" i="35"/>
  <c r="AC36" i="32" s="1"/>
  <c r="U36" i="32" s="1"/>
  <c r="J36" i="35"/>
  <c r="AE36" i="32"/>
  <c r="W36" i="32" s="1"/>
  <c r="L36" i="35"/>
  <c r="M36" i="35"/>
  <c r="AH36" i="32"/>
  <c r="Z36" i="32" s="1"/>
  <c r="F38" i="35"/>
  <c r="H38" i="35"/>
  <c r="J38" i="35"/>
  <c r="L38" i="35"/>
  <c r="M38" i="35"/>
  <c r="D45" i="35"/>
  <c r="E45" i="35"/>
  <c r="F45" i="35"/>
  <c r="H45" i="35"/>
  <c r="J45" i="35"/>
  <c r="L45" i="35"/>
  <c r="M45" i="35"/>
  <c r="D54" i="35"/>
  <c r="E54" i="35"/>
  <c r="F54" i="35"/>
  <c r="H54" i="35"/>
  <c r="AC54" i="32" s="1"/>
  <c r="U54" i="32" s="1"/>
  <c r="J54" i="35"/>
  <c r="J61" i="35"/>
  <c r="L54" i="35"/>
  <c r="M54" i="35"/>
  <c r="M61" i="35" s="1"/>
  <c r="D62" i="35"/>
  <c r="E62" i="35"/>
  <c r="H62" i="35"/>
  <c r="J62" i="35"/>
  <c r="L62" i="35"/>
  <c r="M62" i="35"/>
  <c r="D8" i="34"/>
  <c r="D42" i="34"/>
  <c r="E8" i="34"/>
  <c r="F8" i="34"/>
  <c r="H8" i="34"/>
  <c r="J8" i="34"/>
  <c r="J42" i="34" s="1"/>
  <c r="J9" i="184" s="1"/>
  <c r="L8" i="34"/>
  <c r="M8" i="34"/>
  <c r="D19" i="34"/>
  <c r="E19" i="34"/>
  <c r="F19" i="34"/>
  <c r="H19" i="34"/>
  <c r="J19" i="34"/>
  <c r="L19" i="34"/>
  <c r="M19" i="34"/>
  <c r="E33" i="34"/>
  <c r="F33" i="34"/>
  <c r="H33" i="34"/>
  <c r="J33" i="34"/>
  <c r="L33" i="34"/>
  <c r="M33" i="34"/>
  <c r="D45" i="34"/>
  <c r="E45" i="34"/>
  <c r="E61" i="34"/>
  <c r="F45" i="34"/>
  <c r="H45" i="34"/>
  <c r="AC45" i="32" s="1"/>
  <c r="U45" i="32" s="1"/>
  <c r="J45" i="34"/>
  <c r="L45" i="34"/>
  <c r="M45" i="34"/>
  <c r="D54" i="34"/>
  <c r="D61" i="34" s="1"/>
  <c r="E54" i="34"/>
  <c r="F54" i="34"/>
  <c r="H54" i="34"/>
  <c r="H61" i="34"/>
  <c r="J54" i="34"/>
  <c r="L54" i="34"/>
  <c r="M54" i="34"/>
  <c r="D62" i="34"/>
  <c r="E62" i="34"/>
  <c r="H62" i="34"/>
  <c r="J62" i="34"/>
  <c r="L62" i="34"/>
  <c r="M62" i="34"/>
  <c r="AH62" i="32"/>
  <c r="Z62" i="32"/>
  <c r="D8" i="33"/>
  <c r="E8" i="33"/>
  <c r="F8" i="33"/>
  <c r="AA8" i="32" s="1"/>
  <c r="H8" i="33"/>
  <c r="L8" i="33"/>
  <c r="J9" i="33"/>
  <c r="AE9" i="32"/>
  <c r="W9" i="32" s="1"/>
  <c r="M9" i="33"/>
  <c r="J10" i="33"/>
  <c r="AE10" i="32" s="1"/>
  <c r="W10" i="32" s="1"/>
  <c r="M10" i="33"/>
  <c r="J11" i="33"/>
  <c r="AE11" i="32" s="1"/>
  <c r="W11" i="32" s="1"/>
  <c r="M11" i="33"/>
  <c r="AH11" i="32"/>
  <c r="Z11" i="32"/>
  <c r="J12" i="33"/>
  <c r="M12" i="33"/>
  <c r="J13" i="33"/>
  <c r="M13" i="33"/>
  <c r="AH13" i="32" s="1"/>
  <c r="Z13" i="32" s="1"/>
  <c r="J14" i="33"/>
  <c r="AE14" i="32" s="1"/>
  <c r="W14" i="32" s="1"/>
  <c r="M14" i="33"/>
  <c r="AH14" i="32"/>
  <c r="Z14" i="32"/>
  <c r="J15" i="33"/>
  <c r="M15" i="33"/>
  <c r="J16" i="33"/>
  <c r="K16" i="33" s="1"/>
  <c r="AE16" i="32"/>
  <c r="W16" i="32" s="1"/>
  <c r="M16" i="33"/>
  <c r="J17" i="33"/>
  <c r="K17" i="33" s="1"/>
  <c r="M17" i="33"/>
  <c r="AH17" i="32" s="1"/>
  <c r="Z17" i="32" s="1"/>
  <c r="J18" i="33"/>
  <c r="K18" i="33" s="1"/>
  <c r="M18" i="33"/>
  <c r="AH18" i="32" s="1"/>
  <c r="Z18" i="32" s="1"/>
  <c r="D19" i="33"/>
  <c r="E19" i="33"/>
  <c r="E44" i="33" s="1"/>
  <c r="F19" i="33"/>
  <c r="H23" i="33"/>
  <c r="J23" i="33"/>
  <c r="L23" i="33"/>
  <c r="AG23" i="32"/>
  <c r="Y23" i="32"/>
  <c r="M23" i="33"/>
  <c r="E33" i="33"/>
  <c r="F33" i="33"/>
  <c r="AA33" i="32"/>
  <c r="H33" i="33"/>
  <c r="AC33" i="32" s="1"/>
  <c r="J33" i="33"/>
  <c r="L33" i="33"/>
  <c r="M33" i="33"/>
  <c r="H39" i="33"/>
  <c r="AC39" i="32" s="1"/>
  <c r="U39" i="32" s="1"/>
  <c r="J39" i="33"/>
  <c r="L39" i="33"/>
  <c r="AG39" i="32"/>
  <c r="Y39" i="32" s="1"/>
  <c r="M39" i="33"/>
  <c r="AH39" i="32"/>
  <c r="G40" i="33"/>
  <c r="J40" i="33"/>
  <c r="AE40" i="32" s="1"/>
  <c r="W40" i="32" s="1"/>
  <c r="F42" i="33"/>
  <c r="H42" i="33"/>
  <c r="G42" i="33" s="1"/>
  <c r="J42" i="33"/>
  <c r="L42" i="33"/>
  <c r="M42" i="33"/>
  <c r="F43" i="33"/>
  <c r="AA43" i="32"/>
  <c r="S43" i="32"/>
  <c r="H43" i="33"/>
  <c r="AC43" i="32" s="1"/>
  <c r="U43" i="32" s="1"/>
  <c r="J43" i="33"/>
  <c r="L43" i="33"/>
  <c r="M43" i="33"/>
  <c r="AH43" i="32" s="1"/>
  <c r="Z43" i="32" s="1"/>
  <c r="D47" i="33"/>
  <c r="E47" i="33"/>
  <c r="F48" i="33"/>
  <c r="AA48" i="32"/>
  <c r="S48" i="32" s="1"/>
  <c r="H48" i="33"/>
  <c r="AC48" i="32" s="1"/>
  <c r="U48" i="32" s="1"/>
  <c r="J48" i="33"/>
  <c r="AE48" i="32"/>
  <c r="W48" i="32" s="1"/>
  <c r="L48" i="33"/>
  <c r="AG48" i="32"/>
  <c r="Y48" i="32"/>
  <c r="M48" i="33"/>
  <c r="AH48" i="32" s="1"/>
  <c r="Z48" i="32" s="1"/>
  <c r="F49" i="33"/>
  <c r="H49" i="33"/>
  <c r="AC49" i="32" s="1"/>
  <c r="U49" i="32" s="1"/>
  <c r="J49" i="33"/>
  <c r="L49" i="33"/>
  <c r="M49" i="33"/>
  <c r="F50" i="33"/>
  <c r="H50" i="33"/>
  <c r="AC50" i="32"/>
  <c r="U50" i="32" s="1"/>
  <c r="J50" i="33"/>
  <c r="L50" i="33"/>
  <c r="AG50" i="32"/>
  <c r="Y50" i="32" s="1"/>
  <c r="M50" i="33"/>
  <c r="F51" i="33"/>
  <c r="AA51" i="32" s="1"/>
  <c r="S51" i="32" s="1"/>
  <c r="H51" i="33"/>
  <c r="J51" i="33"/>
  <c r="L51" i="33"/>
  <c r="M51" i="33"/>
  <c r="AH51" i="32"/>
  <c r="Z51" i="32"/>
  <c r="F52" i="33"/>
  <c r="H52" i="33"/>
  <c r="AC52" i="32"/>
  <c r="U52" i="32"/>
  <c r="J52" i="33"/>
  <c r="AE52" i="32" s="1"/>
  <c r="W52" i="32" s="1"/>
  <c r="L52" i="33"/>
  <c r="M52" i="33"/>
  <c r="AH52" i="32"/>
  <c r="Z52" i="32"/>
  <c r="F53" i="33"/>
  <c r="AA53" i="32"/>
  <c r="H53" i="33"/>
  <c r="AC53" i="32" s="1"/>
  <c r="U53" i="32" s="1"/>
  <c r="I53" i="33"/>
  <c r="J53" i="33"/>
  <c r="L53" i="33"/>
  <c r="M53" i="33"/>
  <c r="F54" i="33"/>
  <c r="H54" i="33"/>
  <c r="J54" i="33"/>
  <c r="L54" i="33"/>
  <c r="M54" i="33"/>
  <c r="AH54" i="32" s="1"/>
  <c r="Z54" i="32" s="1"/>
  <c r="F55" i="33"/>
  <c r="H55" i="33"/>
  <c r="J55" i="33"/>
  <c r="L55" i="33"/>
  <c r="AG55" i="32" s="1"/>
  <c r="Y55" i="32" s="1"/>
  <c r="M55" i="33"/>
  <c r="D56" i="33"/>
  <c r="D63" i="33" s="1"/>
  <c r="E56" i="33"/>
  <c r="F57" i="33"/>
  <c r="H57" i="33"/>
  <c r="J57" i="33"/>
  <c r="AE57" i="32"/>
  <c r="W57" i="32" s="1"/>
  <c r="L57" i="33"/>
  <c r="M57" i="33"/>
  <c r="F58" i="33"/>
  <c r="H58" i="33"/>
  <c r="J58" i="33"/>
  <c r="AE58" i="32" s="1"/>
  <c r="W58" i="32" s="1"/>
  <c r="L58" i="33"/>
  <c r="M58" i="33"/>
  <c r="M56" i="33" s="1"/>
  <c r="F59" i="33"/>
  <c r="H59" i="33"/>
  <c r="AC59" i="32"/>
  <c r="U59" i="32" s="1"/>
  <c r="J59" i="33"/>
  <c r="L59" i="33"/>
  <c r="M59" i="33"/>
  <c r="AH59" i="32" s="1"/>
  <c r="Z59" i="32" s="1"/>
  <c r="H60" i="33"/>
  <c r="J60" i="33"/>
  <c r="L60" i="33"/>
  <c r="AG60" i="32"/>
  <c r="Y60" i="32" s="1"/>
  <c r="H61" i="33"/>
  <c r="J61" i="33"/>
  <c r="K61" i="33" s="1"/>
  <c r="L61" i="33"/>
  <c r="H62" i="33"/>
  <c r="J62" i="33"/>
  <c r="L62" i="33"/>
  <c r="AG62" i="32" s="1"/>
  <c r="Y62" i="32" s="1"/>
  <c r="D64" i="33"/>
  <c r="E64" i="33"/>
  <c r="D8" i="32"/>
  <c r="E8" i="32"/>
  <c r="F8" i="32"/>
  <c r="H8" i="32"/>
  <c r="E29" i="106" s="1"/>
  <c r="E30" i="106" s="1"/>
  <c r="G29" i="106"/>
  <c r="G30" i="106" s="1"/>
  <c r="L8" i="32"/>
  <c r="M8" i="32"/>
  <c r="J29" i="106"/>
  <c r="J30" i="106" s="1"/>
  <c r="AA9" i="32"/>
  <c r="S9" i="32"/>
  <c r="AC9" i="32"/>
  <c r="U9" i="32" s="1"/>
  <c r="AG9" i="32"/>
  <c r="Y9" i="32"/>
  <c r="AH9" i="32"/>
  <c r="Z9" i="32" s="1"/>
  <c r="AA10" i="32"/>
  <c r="S10" i="32" s="1"/>
  <c r="AC10" i="32"/>
  <c r="U10" i="32" s="1"/>
  <c r="AG10" i="32"/>
  <c r="Y10" i="32"/>
  <c r="AH10" i="32"/>
  <c r="Z10" i="32" s="1"/>
  <c r="AA11" i="32"/>
  <c r="S11" i="32"/>
  <c r="AC11" i="32"/>
  <c r="U11" i="32" s="1"/>
  <c r="AG11" i="32"/>
  <c r="Y11" i="32"/>
  <c r="AA12" i="32"/>
  <c r="S12" i="32" s="1"/>
  <c r="AC12" i="32"/>
  <c r="U12" i="32" s="1"/>
  <c r="AG12" i="32"/>
  <c r="Y12" i="32" s="1"/>
  <c r="AH12" i="32"/>
  <c r="Z12" i="32"/>
  <c r="AA13" i="32"/>
  <c r="S13" i="32" s="1"/>
  <c r="AC13" i="32"/>
  <c r="U13" i="32" s="1"/>
  <c r="AG13" i="32"/>
  <c r="Y13" i="32" s="1"/>
  <c r="AA14" i="32"/>
  <c r="S14" i="32" s="1"/>
  <c r="AC14" i="32"/>
  <c r="U14" i="32" s="1"/>
  <c r="AG14" i="32"/>
  <c r="Y14" i="32" s="1"/>
  <c r="AA15" i="32"/>
  <c r="S15" i="32" s="1"/>
  <c r="AC15" i="32"/>
  <c r="U15" i="32" s="1"/>
  <c r="AE15" i="32"/>
  <c r="W15" i="32" s="1"/>
  <c r="AG15" i="32"/>
  <c r="Y15" i="32" s="1"/>
  <c r="AH15" i="32"/>
  <c r="Z15" i="32" s="1"/>
  <c r="AA16" i="32"/>
  <c r="S16" i="32" s="1"/>
  <c r="AC16" i="32"/>
  <c r="U16" i="32" s="1"/>
  <c r="AG16" i="32"/>
  <c r="Y16" i="32" s="1"/>
  <c r="AH16" i="32"/>
  <c r="Z16" i="32" s="1"/>
  <c r="AA17" i="32"/>
  <c r="S17" i="32" s="1"/>
  <c r="AC17" i="32"/>
  <c r="U17" i="32" s="1"/>
  <c r="AG17" i="32"/>
  <c r="Y17" i="32" s="1"/>
  <c r="AA18" i="32"/>
  <c r="S18" i="32" s="1"/>
  <c r="AC18" i="32"/>
  <c r="U18" i="32" s="1"/>
  <c r="AG18" i="32"/>
  <c r="Y18" i="32" s="1"/>
  <c r="D19" i="32"/>
  <c r="D44" i="32" s="1"/>
  <c r="E19" i="32"/>
  <c r="F19" i="32"/>
  <c r="H20" i="32"/>
  <c r="H19" i="32" s="1"/>
  <c r="E41" i="106"/>
  <c r="E42" i="106" s="1"/>
  <c r="L20" i="32"/>
  <c r="L19" i="32" s="1"/>
  <c r="M20" i="32"/>
  <c r="M19" i="32" s="1"/>
  <c r="AA20" i="32"/>
  <c r="S20" i="32" s="1"/>
  <c r="AA21" i="32"/>
  <c r="S21" i="32" s="1"/>
  <c r="AC21" i="32"/>
  <c r="U21" i="32" s="1"/>
  <c r="AE21" i="32"/>
  <c r="W21" i="32" s="1"/>
  <c r="AG21" i="32"/>
  <c r="Y21" i="32" s="1"/>
  <c r="AH21" i="32"/>
  <c r="Z21" i="32" s="1"/>
  <c r="AA22" i="32"/>
  <c r="S22" i="32" s="1"/>
  <c r="AC22" i="32"/>
  <c r="U22" i="32" s="1"/>
  <c r="AE22" i="32"/>
  <c r="W22" i="32" s="1"/>
  <c r="AG22" i="32"/>
  <c r="Y22" i="32" s="1"/>
  <c r="AH22" i="32"/>
  <c r="Z22" i="32" s="1"/>
  <c r="AA23" i="32"/>
  <c r="S23" i="32" s="1"/>
  <c r="AA24" i="32"/>
  <c r="S24" i="32" s="1"/>
  <c r="AC24" i="32"/>
  <c r="U24" i="32" s="1"/>
  <c r="AE24" i="32"/>
  <c r="W24" i="32" s="1"/>
  <c r="AG24" i="32"/>
  <c r="Y24" i="32" s="1"/>
  <c r="AH24" i="32"/>
  <c r="Z24" i="32" s="1"/>
  <c r="AA25" i="32"/>
  <c r="S25" i="32" s="1"/>
  <c r="AC25" i="32"/>
  <c r="U25" i="32" s="1"/>
  <c r="AE25" i="32"/>
  <c r="W25" i="32" s="1"/>
  <c r="AG25" i="32"/>
  <c r="Y25" i="32" s="1"/>
  <c r="AH25" i="32"/>
  <c r="Z25" i="32" s="1"/>
  <c r="AA26" i="32"/>
  <c r="S26" i="32" s="1"/>
  <c r="AC26" i="32"/>
  <c r="U26" i="32" s="1"/>
  <c r="AE26" i="32"/>
  <c r="W26" i="32" s="1"/>
  <c r="AG26" i="32"/>
  <c r="Y26" i="32" s="1"/>
  <c r="AH26" i="32"/>
  <c r="Z26" i="32" s="1"/>
  <c r="AA27" i="32"/>
  <c r="S27" i="32" s="1"/>
  <c r="AC27" i="32"/>
  <c r="U27" i="32" s="1"/>
  <c r="AE27" i="32"/>
  <c r="W27" i="32" s="1"/>
  <c r="AG27" i="32"/>
  <c r="Y27" i="32" s="1"/>
  <c r="AH27" i="32"/>
  <c r="Z27" i="32" s="1"/>
  <c r="AA28" i="32"/>
  <c r="S28" i="32" s="1"/>
  <c r="AC28" i="32"/>
  <c r="U28" i="32" s="1"/>
  <c r="AE28" i="32"/>
  <c r="W28" i="32" s="1"/>
  <c r="AG28" i="32"/>
  <c r="Y28" i="32" s="1"/>
  <c r="AH28" i="32"/>
  <c r="Z28" i="32" s="1"/>
  <c r="AE29" i="32"/>
  <c r="W29" i="32" s="1"/>
  <c r="AA30" i="32"/>
  <c r="S30" i="32" s="1"/>
  <c r="AC30" i="32"/>
  <c r="U30" i="32" s="1"/>
  <c r="AE30" i="32"/>
  <c r="W30" i="32" s="1"/>
  <c r="AG30" i="32"/>
  <c r="Y30" i="32" s="1"/>
  <c r="AH30" i="32"/>
  <c r="Z30" i="32" s="1"/>
  <c r="AA31" i="32"/>
  <c r="S31" i="32" s="1"/>
  <c r="AC31" i="32"/>
  <c r="U31" i="32" s="1"/>
  <c r="AE31" i="32"/>
  <c r="W31" i="32" s="1"/>
  <c r="AG31" i="32"/>
  <c r="Y31" i="32" s="1"/>
  <c r="AH31" i="32"/>
  <c r="Z31" i="32" s="1"/>
  <c r="AA32" i="32"/>
  <c r="S32" i="32" s="1"/>
  <c r="AC32" i="32"/>
  <c r="U32" i="32" s="1"/>
  <c r="AE32" i="32"/>
  <c r="W32" i="32" s="1"/>
  <c r="AG32" i="32"/>
  <c r="Y32" i="32" s="1"/>
  <c r="AH32" i="32"/>
  <c r="Z32" i="32" s="1"/>
  <c r="E33" i="32"/>
  <c r="F33" i="32"/>
  <c r="S33" i="32" s="1"/>
  <c r="H33" i="32"/>
  <c r="L33" i="32"/>
  <c r="M33" i="32"/>
  <c r="AA34" i="32"/>
  <c r="S34" i="32" s="1"/>
  <c r="AC34" i="32"/>
  <c r="U34" i="32" s="1"/>
  <c r="AE34" i="32"/>
  <c r="W34" i="32" s="1"/>
  <c r="AG34" i="32"/>
  <c r="Y34" i="32" s="1"/>
  <c r="AH34" i="32"/>
  <c r="Z34" i="32" s="1"/>
  <c r="AA35" i="32"/>
  <c r="S35" i="32" s="1"/>
  <c r="AC35" i="32"/>
  <c r="U35" i="32" s="1"/>
  <c r="AE35" i="32"/>
  <c r="W35" i="32" s="1"/>
  <c r="AG35" i="32"/>
  <c r="Y35" i="32" s="1"/>
  <c r="AH35" i="32"/>
  <c r="Z35" i="32" s="1"/>
  <c r="AA36" i="32"/>
  <c r="S36" i="32" s="1"/>
  <c r="AG36" i="32"/>
  <c r="Y36" i="32" s="1"/>
  <c r="AA37" i="32"/>
  <c r="S37" i="32"/>
  <c r="AC37" i="32"/>
  <c r="U37" i="32" s="1"/>
  <c r="AE37" i="32"/>
  <c r="W37" i="32"/>
  <c r="AG37" i="32"/>
  <c r="Y37" i="32" s="1"/>
  <c r="AH37" i="32"/>
  <c r="Z37" i="32"/>
  <c r="L38" i="32"/>
  <c r="I32" i="106" s="1"/>
  <c r="G39" i="32"/>
  <c r="I39" i="32"/>
  <c r="K39" i="32"/>
  <c r="H38" i="106" s="1"/>
  <c r="AA39" i="32"/>
  <c r="S39" i="32" s="1"/>
  <c r="AE39" i="32"/>
  <c r="W39" i="32" s="1"/>
  <c r="Z39" i="32"/>
  <c r="G40" i="32"/>
  <c r="I40" i="32"/>
  <c r="K40" i="32"/>
  <c r="AA40" i="32"/>
  <c r="S40" i="32" s="1"/>
  <c r="AC40" i="32"/>
  <c r="U40" i="32" s="1"/>
  <c r="AG40" i="32"/>
  <c r="Y40" i="32" s="1"/>
  <c r="AH40" i="32"/>
  <c r="Z40" i="32" s="1"/>
  <c r="F41" i="32"/>
  <c r="F38" i="32" s="1"/>
  <c r="H41" i="32"/>
  <c r="H38" i="32" s="1"/>
  <c r="E32" i="106" s="1"/>
  <c r="K41" i="32"/>
  <c r="M41" i="32"/>
  <c r="M38" i="32" s="1"/>
  <c r="G42" i="32"/>
  <c r="D35" i="106"/>
  <c r="I42" i="32"/>
  <c r="F35" i="106" s="1"/>
  <c r="K42" i="32"/>
  <c r="H35" i="106"/>
  <c r="G43" i="32"/>
  <c r="I43" i="32"/>
  <c r="K43" i="32"/>
  <c r="AE43" i="32"/>
  <c r="W43" i="32"/>
  <c r="AE45" i="32"/>
  <c r="W45" i="32"/>
  <c r="AA46" i="32"/>
  <c r="S46" i="32"/>
  <c r="AC46" i="32"/>
  <c r="U46" i="32"/>
  <c r="AE46" i="32"/>
  <c r="W46" i="32"/>
  <c r="AG46" i="32"/>
  <c r="Y46" i="32"/>
  <c r="AH46" i="32"/>
  <c r="Z46" i="32"/>
  <c r="D47" i="32"/>
  <c r="E47" i="32"/>
  <c r="F47" i="32"/>
  <c r="L47" i="32"/>
  <c r="M47" i="32"/>
  <c r="G48" i="32"/>
  <c r="T29" i="106"/>
  <c r="I48" i="32"/>
  <c r="V29" i="106" s="1"/>
  <c r="K48" i="32"/>
  <c r="X29" i="106"/>
  <c r="G49" i="32"/>
  <c r="I49" i="32"/>
  <c r="K49" i="32"/>
  <c r="AA49" i="32"/>
  <c r="S49" i="32" s="1"/>
  <c r="G50" i="32"/>
  <c r="T32" i="106" s="1"/>
  <c r="I50" i="32"/>
  <c r="V32" i="106"/>
  <c r="V33" i="106" s="1"/>
  <c r="K50" i="32"/>
  <c r="X32" i="106" s="1"/>
  <c r="X33" i="106" s="1"/>
  <c r="G51" i="32"/>
  <c r="I51" i="32"/>
  <c r="K51" i="32"/>
  <c r="AG51" i="32"/>
  <c r="Y51" i="32" s="1"/>
  <c r="G52" i="32"/>
  <c r="T35" i="106" s="1"/>
  <c r="I52" i="32"/>
  <c r="V35" i="106" s="1"/>
  <c r="K52" i="32"/>
  <c r="X35" i="106" s="1"/>
  <c r="AA52" i="32"/>
  <c r="S52" i="32" s="1"/>
  <c r="G53" i="32"/>
  <c r="I53" i="32"/>
  <c r="K53" i="32"/>
  <c r="S53" i="32"/>
  <c r="AE53" i="32"/>
  <c r="W53" i="32" s="1"/>
  <c r="AG53" i="32"/>
  <c r="Y53" i="32" s="1"/>
  <c r="G54" i="32"/>
  <c r="I54" i="32"/>
  <c r="K54" i="32"/>
  <c r="G55" i="32"/>
  <c r="I55" i="32"/>
  <c r="K55" i="32"/>
  <c r="AA55" i="32"/>
  <c r="S55" i="32"/>
  <c r="AH55" i="32"/>
  <c r="Z55" i="32"/>
  <c r="D56" i="32"/>
  <c r="E56" i="32"/>
  <c r="F56" i="32"/>
  <c r="H56" i="32"/>
  <c r="U41" i="106"/>
  <c r="U42" i="106" s="1"/>
  <c r="W41" i="106"/>
  <c r="W42" i="106" s="1"/>
  <c r="L56" i="32"/>
  <c r="Y41" i="106"/>
  <c r="Y42" i="106" s="1"/>
  <c r="M56" i="32"/>
  <c r="Z41" i="106" s="1"/>
  <c r="Z42" i="106" s="1"/>
  <c r="G57" i="32"/>
  <c r="I57" i="32"/>
  <c r="K57" i="32"/>
  <c r="AC57" i="32"/>
  <c r="U57" i="32" s="1"/>
  <c r="AH57" i="32"/>
  <c r="Z57" i="32" s="1"/>
  <c r="G58" i="32"/>
  <c r="I58" i="32"/>
  <c r="K58" i="32"/>
  <c r="AA58" i="32"/>
  <c r="S58" i="32" s="1"/>
  <c r="AG58" i="32"/>
  <c r="Y58" i="32"/>
  <c r="AH58" i="32"/>
  <c r="Z58" i="32" s="1"/>
  <c r="G59" i="32"/>
  <c r="I59" i="32"/>
  <c r="K59" i="32"/>
  <c r="AA59" i="32"/>
  <c r="S59" i="32" s="1"/>
  <c r="AG59" i="32"/>
  <c r="Y59" i="32" s="1"/>
  <c r="G60" i="32"/>
  <c r="I60" i="32"/>
  <c r="K60" i="32"/>
  <c r="AA60" i="32"/>
  <c r="S60" i="32"/>
  <c r="AH60" i="32"/>
  <c r="Z60" i="32" s="1"/>
  <c r="G61" i="32"/>
  <c r="I61" i="32"/>
  <c r="K61" i="32"/>
  <c r="G62" i="32"/>
  <c r="I62" i="32"/>
  <c r="K62" i="32"/>
  <c r="AA62" i="32"/>
  <c r="S62" i="32" s="1"/>
  <c r="AE62" i="32"/>
  <c r="W62" i="32" s="1"/>
  <c r="D64" i="32"/>
  <c r="E64" i="32"/>
  <c r="AA64" i="32"/>
  <c r="S64" i="32" s="1"/>
  <c r="AA65" i="32"/>
  <c r="S65" i="32" s="1"/>
  <c r="AC65" i="32"/>
  <c r="U65" i="32" s="1"/>
  <c r="AE65" i="32"/>
  <c r="W65" i="32" s="1"/>
  <c r="AG65" i="32"/>
  <c r="Y65" i="32" s="1"/>
  <c r="AH65" i="32"/>
  <c r="Z65" i="32" s="1"/>
  <c r="AA66" i="32"/>
  <c r="S66" i="32" s="1"/>
  <c r="AC66" i="32"/>
  <c r="U66" i="32" s="1"/>
  <c r="AE66" i="32"/>
  <c r="W66" i="32" s="1"/>
  <c r="AG66" i="32"/>
  <c r="Y66" i="32" s="1"/>
  <c r="AH66" i="32"/>
  <c r="Z66" i="32" s="1"/>
  <c r="H75" i="32"/>
  <c r="J75" i="32"/>
  <c r="K75" i="32"/>
  <c r="L75" i="32"/>
  <c r="M75" i="32"/>
  <c r="H85" i="32"/>
  <c r="J85" i="32"/>
  <c r="K85" i="32"/>
  <c r="L85" i="32"/>
  <c r="M85" i="32"/>
  <c r="C7" i="105"/>
  <c r="E7" i="105"/>
  <c r="G7" i="105"/>
  <c r="I7" i="105"/>
  <c r="J7" i="105"/>
  <c r="K8" i="105"/>
  <c r="M8" i="105"/>
  <c r="O8" i="105"/>
  <c r="Q8" i="105"/>
  <c r="S8" i="105"/>
  <c r="U8" i="105"/>
  <c r="W8" i="105"/>
  <c r="Y8" i="105"/>
  <c r="Z8" i="105"/>
  <c r="J8" i="105" s="1"/>
  <c r="AA8" i="105"/>
  <c r="AC8" i="105"/>
  <c r="AE8" i="105"/>
  <c r="AG8" i="105"/>
  <c r="I8" i="105" s="1"/>
  <c r="AH8" i="105"/>
  <c r="AI8" i="105"/>
  <c r="AK8" i="105"/>
  <c r="AM8" i="105"/>
  <c r="AO8" i="105"/>
  <c r="AP8" i="105"/>
  <c r="C9" i="105"/>
  <c r="E9" i="105"/>
  <c r="E35" i="105" s="1"/>
  <c r="I9" i="105"/>
  <c r="I35" i="105" s="1"/>
  <c r="J9" i="105"/>
  <c r="C10" i="105"/>
  <c r="E10" i="105"/>
  <c r="I38" i="105"/>
  <c r="J38" i="105"/>
  <c r="C11" i="105"/>
  <c r="E11" i="105"/>
  <c r="G11" i="105"/>
  <c r="I11" i="105"/>
  <c r="J11" i="105"/>
  <c r="K12" i="105"/>
  <c r="L12" i="105"/>
  <c r="M12" i="105"/>
  <c r="O12" i="105"/>
  <c r="Q12" i="105"/>
  <c r="R12" i="105"/>
  <c r="S12" i="105"/>
  <c r="U12" i="105"/>
  <c r="W12" i="105"/>
  <c r="Y12" i="105"/>
  <c r="Z12" i="105"/>
  <c r="Z23" i="105" s="1"/>
  <c r="AA12" i="105"/>
  <c r="AC12" i="105"/>
  <c r="AE12" i="105"/>
  <c r="AG12" i="105"/>
  <c r="I12" i="105" s="1"/>
  <c r="AH12" i="105"/>
  <c r="AI12" i="105"/>
  <c r="AK12" i="105"/>
  <c r="AM12" i="105"/>
  <c r="AO12" i="105"/>
  <c r="AP12" i="105"/>
  <c r="C15" i="105"/>
  <c r="R29" i="105" s="1"/>
  <c r="E15" i="105"/>
  <c r="U29" i="105"/>
  <c r="F15" i="105"/>
  <c r="H15" i="105"/>
  <c r="I15" i="105"/>
  <c r="J15" i="105"/>
  <c r="Y29" i="105" s="1"/>
  <c r="C16" i="105"/>
  <c r="R32" i="105" s="1"/>
  <c r="E16" i="105"/>
  <c r="F16" i="105"/>
  <c r="H16" i="105"/>
  <c r="I16" i="105"/>
  <c r="J16" i="105"/>
  <c r="C17" i="105"/>
  <c r="E17" i="105"/>
  <c r="U35" i="105" s="1"/>
  <c r="F17" i="105"/>
  <c r="H17" i="105"/>
  <c r="I17" i="105"/>
  <c r="J17" i="105"/>
  <c r="C18" i="105"/>
  <c r="E18" i="105"/>
  <c r="T38" i="105" s="1"/>
  <c r="F18" i="105"/>
  <c r="G18" i="105"/>
  <c r="V38" i="105" s="1"/>
  <c r="H18" i="105"/>
  <c r="I18" i="105"/>
  <c r="X38" i="105"/>
  <c r="J18" i="105"/>
  <c r="C19" i="105"/>
  <c r="F19" i="105"/>
  <c r="H19" i="105"/>
  <c r="I19" i="105"/>
  <c r="C20" i="105"/>
  <c r="E20" i="105"/>
  <c r="F20" i="105"/>
  <c r="G20" i="105"/>
  <c r="H20" i="105"/>
  <c r="I20" i="105"/>
  <c r="J20" i="105"/>
  <c r="K21" i="105"/>
  <c r="K23" i="105" s="1"/>
  <c r="L21" i="105"/>
  <c r="L23" i="105" s="1"/>
  <c r="M21" i="105"/>
  <c r="N21" i="105"/>
  <c r="O21" i="105"/>
  <c r="P21" i="105"/>
  <c r="P23" i="105" s="1"/>
  <c r="Q21" i="105"/>
  <c r="R21" i="105"/>
  <c r="S21" i="105"/>
  <c r="S23" i="105" s="1"/>
  <c r="U21" i="105"/>
  <c r="U23" i="105" s="1"/>
  <c r="V21" i="105"/>
  <c r="V23" i="105" s="1"/>
  <c r="W21" i="105"/>
  <c r="G24" i="181" s="1"/>
  <c r="O24" i="181" s="1"/>
  <c r="CY24" i="181" s="1"/>
  <c r="X21" i="105"/>
  <c r="X23" i="105" s="1"/>
  <c r="Y21" i="105"/>
  <c r="Z21" i="105"/>
  <c r="AA21" i="105"/>
  <c r="AC21" i="105"/>
  <c r="AD21" i="105"/>
  <c r="AD23" i="105" s="1"/>
  <c r="AE21" i="105"/>
  <c r="AF21" i="105"/>
  <c r="AG21" i="105"/>
  <c r="AH21" i="105"/>
  <c r="AI21" i="105"/>
  <c r="AI23" i="105"/>
  <c r="AK21" i="105"/>
  <c r="AL21" i="105"/>
  <c r="AL23" i="105" s="1"/>
  <c r="AM21" i="105"/>
  <c r="AN21" i="105"/>
  <c r="AN23" i="105" s="1"/>
  <c r="AO21" i="105"/>
  <c r="AO23" i="105" s="1"/>
  <c r="AP21" i="105"/>
  <c r="AF23" i="105"/>
  <c r="R28" i="105"/>
  <c r="C34" i="105"/>
  <c r="C35" i="105"/>
  <c r="R34" i="105"/>
  <c r="C37" i="105"/>
  <c r="R37" i="105"/>
  <c r="D8" i="31"/>
  <c r="E8" i="31"/>
  <c r="F8" i="31"/>
  <c r="H8" i="31"/>
  <c r="H42" i="31" s="1"/>
  <c r="J8" i="31"/>
  <c r="L8" i="31"/>
  <c r="M8" i="31"/>
  <c r="D19" i="31"/>
  <c r="E19" i="31"/>
  <c r="F19" i="31"/>
  <c r="H19" i="31"/>
  <c r="J19" i="31"/>
  <c r="L19" i="31"/>
  <c r="M19" i="31"/>
  <c r="D33" i="31"/>
  <c r="E33" i="31"/>
  <c r="F33" i="31"/>
  <c r="H33" i="31"/>
  <c r="J33" i="31"/>
  <c r="L33" i="31"/>
  <c r="M33" i="31"/>
  <c r="F38" i="31"/>
  <c r="H38" i="31"/>
  <c r="J38" i="31"/>
  <c r="L38" i="31"/>
  <c r="M38" i="31"/>
  <c r="D45" i="31"/>
  <c r="E45" i="31"/>
  <c r="F45" i="31"/>
  <c r="H45" i="31"/>
  <c r="J45" i="31"/>
  <c r="L45" i="31"/>
  <c r="M45" i="31"/>
  <c r="D54" i="31"/>
  <c r="E54" i="31"/>
  <c r="E61" i="31"/>
  <c r="F54" i="31"/>
  <c r="H54" i="31"/>
  <c r="J54" i="31"/>
  <c r="J61" i="31"/>
  <c r="L54" i="31"/>
  <c r="M54" i="31"/>
  <c r="D62" i="31"/>
  <c r="E62" i="31"/>
  <c r="H62" i="31"/>
  <c r="J62" i="31"/>
  <c r="L62" i="31"/>
  <c r="AF62" i="28" s="1"/>
  <c r="X62" i="28" s="1"/>
  <c r="M62" i="31"/>
  <c r="D8" i="30"/>
  <c r="E8" i="30"/>
  <c r="F8" i="30"/>
  <c r="H8" i="30"/>
  <c r="J8" i="30"/>
  <c r="L8" i="30"/>
  <c r="M8" i="30"/>
  <c r="D19" i="30"/>
  <c r="E19" i="30"/>
  <c r="F19" i="30"/>
  <c r="H19" i="30"/>
  <c r="J19" i="30"/>
  <c r="L19" i="30"/>
  <c r="M19" i="30"/>
  <c r="D29" i="30"/>
  <c r="E29" i="30"/>
  <c r="F29" i="30"/>
  <c r="H29" i="30"/>
  <c r="AB29" i="28"/>
  <c r="T29" i="28" s="1"/>
  <c r="J29" i="30"/>
  <c r="AD29" i="28" s="1"/>
  <c r="V29" i="28" s="1"/>
  <c r="L29" i="30"/>
  <c r="L42" i="30" s="1"/>
  <c r="P8" i="184" s="1"/>
  <c r="M29" i="30"/>
  <c r="F38" i="30"/>
  <c r="H38" i="30"/>
  <c r="J38" i="30"/>
  <c r="L38" i="30"/>
  <c r="M38" i="30"/>
  <c r="D45" i="30"/>
  <c r="E45" i="30"/>
  <c r="F45" i="30"/>
  <c r="H45" i="30"/>
  <c r="AB45" i="28" s="1"/>
  <c r="T45" i="28" s="1"/>
  <c r="J45" i="30"/>
  <c r="L45" i="30"/>
  <c r="M45" i="30"/>
  <c r="D54" i="30"/>
  <c r="E54" i="30"/>
  <c r="E61" i="30"/>
  <c r="F54" i="30"/>
  <c r="F61" i="30"/>
  <c r="H54" i="30"/>
  <c r="J54" i="30"/>
  <c r="AD54" i="28" s="1"/>
  <c r="V54" i="28" s="1"/>
  <c r="L54" i="30"/>
  <c r="M54" i="30"/>
  <c r="D62" i="30"/>
  <c r="E62" i="30"/>
  <c r="H62" i="30"/>
  <c r="AB62" i="28" s="1"/>
  <c r="T62" i="28" s="1"/>
  <c r="J62" i="30"/>
  <c r="L62" i="30"/>
  <c r="M62" i="30"/>
  <c r="D8" i="29"/>
  <c r="E8" i="29"/>
  <c r="F8" i="29"/>
  <c r="H9" i="29"/>
  <c r="J9" i="29"/>
  <c r="L9" i="29"/>
  <c r="M9" i="29"/>
  <c r="H10" i="29"/>
  <c r="AB10" i="28" s="1"/>
  <c r="T10" i="28" s="1"/>
  <c r="J10" i="29"/>
  <c r="L10" i="29"/>
  <c r="M10" i="29"/>
  <c r="AG10" i="28" s="1"/>
  <c r="Y10" i="28" s="1"/>
  <c r="H11" i="29"/>
  <c r="AB11" i="28" s="1"/>
  <c r="T11" i="28" s="1"/>
  <c r="J11" i="29"/>
  <c r="L11" i="29"/>
  <c r="L11" i="25" s="1"/>
  <c r="M11" i="29"/>
  <c r="AG11" i="28" s="1"/>
  <c r="Y11" i="28" s="1"/>
  <c r="H12" i="29"/>
  <c r="J12" i="29"/>
  <c r="AD12" i="28" s="1"/>
  <c r="V12" i="28" s="1"/>
  <c r="L12" i="29"/>
  <c r="M12" i="29"/>
  <c r="AG12" i="28" s="1"/>
  <c r="Y12" i="28" s="1"/>
  <c r="H13" i="29"/>
  <c r="J13" i="29"/>
  <c r="AD13" i="28" s="1"/>
  <c r="V13" i="28" s="1"/>
  <c r="L13" i="29"/>
  <c r="M13" i="29"/>
  <c r="H14" i="29"/>
  <c r="AB14" i="28" s="1"/>
  <c r="T14" i="28" s="1"/>
  <c r="J14" i="29"/>
  <c r="J14" i="25" s="1"/>
  <c r="L14" i="29"/>
  <c r="M14" i="29"/>
  <c r="H15" i="29"/>
  <c r="J15" i="29"/>
  <c r="AD15" i="28" s="1"/>
  <c r="V15" i="28" s="1"/>
  <c r="L15" i="29"/>
  <c r="M15" i="29"/>
  <c r="AG15" i="28"/>
  <c r="Y15" i="28" s="1"/>
  <c r="J16" i="29"/>
  <c r="AD16" i="28" s="1"/>
  <c r="V16" i="28" s="1"/>
  <c r="M16" i="29"/>
  <c r="AG16" i="28" s="1"/>
  <c r="Y16" i="28" s="1"/>
  <c r="H17" i="29"/>
  <c r="AB17" i="28" s="1"/>
  <c r="T17" i="28" s="1"/>
  <c r="J17" i="29"/>
  <c r="AD17" i="28" s="1"/>
  <c r="V17" i="28" s="1"/>
  <c r="L17" i="29"/>
  <c r="AF17" i="28" s="1"/>
  <c r="X17" i="28" s="1"/>
  <c r="M17" i="29"/>
  <c r="AG17" i="28"/>
  <c r="Y17" i="28" s="1"/>
  <c r="J18" i="29"/>
  <c r="M18" i="29"/>
  <c r="AG18" i="28"/>
  <c r="Y18" i="28" s="1"/>
  <c r="D19" i="29"/>
  <c r="E19" i="29"/>
  <c r="F19" i="29"/>
  <c r="Z19" i="28" s="1"/>
  <c r="H23" i="29"/>
  <c r="AB23" i="28" s="1"/>
  <c r="J23" i="29"/>
  <c r="L23" i="29"/>
  <c r="AF23" i="28" s="1"/>
  <c r="X23" i="28" s="1"/>
  <c r="M23" i="29"/>
  <c r="H24" i="29"/>
  <c r="J24" i="29"/>
  <c r="L24" i="29"/>
  <c r="M24" i="29"/>
  <c r="AG24" i="28" s="1"/>
  <c r="Y24" i="28" s="1"/>
  <c r="D33" i="29"/>
  <c r="E33" i="29"/>
  <c r="F33" i="29"/>
  <c r="Z33" i="28" s="1"/>
  <c r="H33" i="29"/>
  <c r="AB33" i="28"/>
  <c r="J33" i="29"/>
  <c r="L33" i="29"/>
  <c r="M33" i="29"/>
  <c r="H39" i="29"/>
  <c r="J39" i="29"/>
  <c r="AD39" i="28" s="1"/>
  <c r="V39" i="28" s="1"/>
  <c r="L39" i="29"/>
  <c r="M39" i="29"/>
  <c r="AG39" i="28" s="1"/>
  <c r="Y39" i="28" s="1"/>
  <c r="F42" i="29"/>
  <c r="H42" i="29"/>
  <c r="J42" i="29"/>
  <c r="L42" i="29"/>
  <c r="M42" i="29"/>
  <c r="F41" i="29"/>
  <c r="H43" i="29"/>
  <c r="AB43" i="28"/>
  <c r="T43" i="28" s="1"/>
  <c r="J43" i="29"/>
  <c r="L43" i="29"/>
  <c r="M43" i="29"/>
  <c r="D47" i="29"/>
  <c r="D63" i="29"/>
  <c r="E47" i="29"/>
  <c r="F48" i="29"/>
  <c r="Z48" i="28" s="1"/>
  <c r="R48" i="28" s="1"/>
  <c r="H48" i="29"/>
  <c r="AB48" i="28" s="1"/>
  <c r="T48" i="28" s="1"/>
  <c r="J48" i="29"/>
  <c r="AD48" i="28" s="1"/>
  <c r="V48" i="28" s="1"/>
  <c r="L48" i="29"/>
  <c r="M48" i="29"/>
  <c r="AG48" i="28" s="1"/>
  <c r="Y48" i="28" s="1"/>
  <c r="F49" i="29"/>
  <c r="Z49" i="28"/>
  <c r="R49" i="28" s="1"/>
  <c r="I49" i="29"/>
  <c r="K49" i="29"/>
  <c r="F50" i="29"/>
  <c r="H50" i="29"/>
  <c r="AB50" i="28" s="1"/>
  <c r="T50" i="28" s="1"/>
  <c r="J50" i="29"/>
  <c r="L50" i="29"/>
  <c r="M50" i="29"/>
  <c r="AG50" i="28" s="1"/>
  <c r="Y50" i="28" s="1"/>
  <c r="F51" i="29"/>
  <c r="Z51" i="28"/>
  <c r="R51" i="28" s="1"/>
  <c r="G51" i="29"/>
  <c r="I51" i="29"/>
  <c r="K51" i="29"/>
  <c r="F52" i="29"/>
  <c r="H52" i="29"/>
  <c r="AB52" i="28" s="1"/>
  <c r="T52" i="28" s="1"/>
  <c r="J52" i="29"/>
  <c r="L52" i="29"/>
  <c r="AF52" i="28" s="1"/>
  <c r="X52" i="28" s="1"/>
  <c r="M52" i="29"/>
  <c r="G53" i="29"/>
  <c r="I53" i="29"/>
  <c r="K53" i="29"/>
  <c r="G54" i="29"/>
  <c r="I54" i="29"/>
  <c r="K54" i="29"/>
  <c r="H55" i="29"/>
  <c r="AB55" i="28" s="1"/>
  <c r="T55" i="28" s="1"/>
  <c r="J55" i="29"/>
  <c r="L55" i="29"/>
  <c r="AF55" i="28" s="1"/>
  <c r="X55" i="28" s="1"/>
  <c r="M55" i="29"/>
  <c r="M51" i="25"/>
  <c r="AG55" i="28"/>
  <c r="Y55" i="28"/>
  <c r="D56" i="29"/>
  <c r="E56" i="29"/>
  <c r="H57" i="29"/>
  <c r="J57" i="29"/>
  <c r="AD57" i="28" s="1"/>
  <c r="V57" i="28" s="1"/>
  <c r="L57" i="29"/>
  <c r="M57" i="29"/>
  <c r="F58" i="29"/>
  <c r="H58" i="29"/>
  <c r="J58" i="29"/>
  <c r="L58" i="29"/>
  <c r="M58" i="29"/>
  <c r="F59" i="29"/>
  <c r="Z59" i="28" s="1"/>
  <c r="R59" i="28" s="1"/>
  <c r="H59" i="29"/>
  <c r="J59" i="29"/>
  <c r="I59" i="29" s="1"/>
  <c r="L59" i="29"/>
  <c r="K59" i="29" s="1"/>
  <c r="M59" i="29"/>
  <c r="AG59" i="28" s="1"/>
  <c r="Y59" i="28" s="1"/>
  <c r="F64" i="29"/>
  <c r="F59" i="25" s="1"/>
  <c r="H64" i="29"/>
  <c r="J64" i="29"/>
  <c r="K64" i="29" s="1"/>
  <c r="M64" i="29"/>
  <c r="D8" i="28"/>
  <c r="E8" i="28"/>
  <c r="F8" i="28"/>
  <c r="H8" i="28"/>
  <c r="E28" i="105" s="1"/>
  <c r="G28" i="105"/>
  <c r="L8" i="28"/>
  <c r="M8" i="28"/>
  <c r="J28" i="105" s="1"/>
  <c r="Z9" i="28"/>
  <c r="R9" i="28" s="1"/>
  <c r="AG9" i="28"/>
  <c r="Y9" i="28" s="1"/>
  <c r="Z10" i="28"/>
  <c r="R10" i="28" s="1"/>
  <c r="Z11" i="28"/>
  <c r="R11" i="28"/>
  <c r="Z12" i="28"/>
  <c r="R12" i="28"/>
  <c r="Z13" i="28"/>
  <c r="R13" i="28"/>
  <c r="Z14" i="28"/>
  <c r="R14" i="28"/>
  <c r="AF14" i="28"/>
  <c r="X14" i="28"/>
  <c r="Z15" i="28"/>
  <c r="R15" i="28"/>
  <c r="Z16" i="28"/>
  <c r="R16" i="28"/>
  <c r="AB16" i="28"/>
  <c r="T16" i="28"/>
  <c r="AF16" i="28"/>
  <c r="X16" i="28"/>
  <c r="Z17" i="28"/>
  <c r="R17" i="28"/>
  <c r="Z18" i="28"/>
  <c r="R18" i="28"/>
  <c r="AB18" i="28"/>
  <c r="T18" i="28"/>
  <c r="AF18" i="28"/>
  <c r="X18" i="28" s="1"/>
  <c r="D19" i="28"/>
  <c r="D23" i="27" s="1"/>
  <c r="E19" i="28"/>
  <c r="F19" i="28"/>
  <c r="C40" i="105"/>
  <c r="C41" i="105" s="1"/>
  <c r="H20" i="28"/>
  <c r="H19" i="28" s="1"/>
  <c r="E40" i="105" s="1"/>
  <c r="E41" i="105" s="1"/>
  <c r="L20" i="28"/>
  <c r="L19" i="28"/>
  <c r="M20" i="28"/>
  <c r="M19" i="28"/>
  <c r="Z20" i="28"/>
  <c r="R20" i="28"/>
  <c r="Z21" i="28"/>
  <c r="R21" i="28"/>
  <c r="AB21" i="28"/>
  <c r="T21" i="28"/>
  <c r="AD21" i="28"/>
  <c r="V21" i="28"/>
  <c r="AF21" i="28"/>
  <c r="X21" i="28"/>
  <c r="AG21" i="28"/>
  <c r="Y21" i="28"/>
  <c r="Z22" i="28"/>
  <c r="R22" i="28"/>
  <c r="AB22" i="28"/>
  <c r="T22" i="28"/>
  <c r="AD22" i="28"/>
  <c r="V22" i="28"/>
  <c r="AF22" i="28"/>
  <c r="X22" i="28"/>
  <c r="AG22" i="28"/>
  <c r="Y22" i="28"/>
  <c r="Z23" i="28"/>
  <c r="R23" i="28"/>
  <c r="T23" i="28"/>
  <c r="Z24" i="28"/>
  <c r="R24" i="28" s="1"/>
  <c r="AD24" i="28"/>
  <c r="V24" i="28" s="1"/>
  <c r="AF24" i="28"/>
  <c r="X24" i="28" s="1"/>
  <c r="Z25" i="28"/>
  <c r="R25" i="28"/>
  <c r="AB25" i="28"/>
  <c r="T25" i="28" s="1"/>
  <c r="AD25" i="28"/>
  <c r="V25" i="28"/>
  <c r="AF25" i="28"/>
  <c r="X25" i="28" s="1"/>
  <c r="AG25" i="28"/>
  <c r="Y25" i="28"/>
  <c r="Z26" i="28"/>
  <c r="R26" i="28" s="1"/>
  <c r="AB26" i="28"/>
  <c r="T26" i="28"/>
  <c r="AD26" i="28"/>
  <c r="V26" i="28" s="1"/>
  <c r="AF26" i="28"/>
  <c r="X26" i="28"/>
  <c r="AG26" i="28"/>
  <c r="Y26" i="28" s="1"/>
  <c r="Z27" i="28"/>
  <c r="R27" i="28"/>
  <c r="AB27" i="28"/>
  <c r="T27" i="28" s="1"/>
  <c r="AD27" i="28"/>
  <c r="V27" i="28"/>
  <c r="AF27" i="28"/>
  <c r="X27" i="28" s="1"/>
  <c r="AG27" i="28"/>
  <c r="Y27" i="28"/>
  <c r="Z28" i="28"/>
  <c r="R28" i="28" s="1"/>
  <c r="AB28" i="28"/>
  <c r="T28" i="28"/>
  <c r="AD28" i="28"/>
  <c r="V28" i="28" s="1"/>
  <c r="AF28" i="28"/>
  <c r="X28" i="28"/>
  <c r="AG28" i="28"/>
  <c r="Y28" i="28" s="1"/>
  <c r="Z29" i="28"/>
  <c r="R29" i="28"/>
  <c r="AF29" i="28"/>
  <c r="X29" i="28" s="1"/>
  <c r="AG29" i="28"/>
  <c r="Y29" i="28"/>
  <c r="Z30" i="28"/>
  <c r="R30" i="28" s="1"/>
  <c r="AB30" i="28"/>
  <c r="T30" i="28"/>
  <c r="AD30" i="28"/>
  <c r="V30" i="28" s="1"/>
  <c r="AF30" i="28"/>
  <c r="X30" i="28"/>
  <c r="AG30" i="28"/>
  <c r="Y30" i="28" s="1"/>
  <c r="Z31" i="28"/>
  <c r="R31" i="28"/>
  <c r="AB31" i="28"/>
  <c r="T31" i="28" s="1"/>
  <c r="AD31" i="28"/>
  <c r="V31" i="28"/>
  <c r="AF31" i="28"/>
  <c r="X31" i="28" s="1"/>
  <c r="AG31" i="28"/>
  <c r="Y31" i="28"/>
  <c r="Z32" i="28"/>
  <c r="R32" i="28" s="1"/>
  <c r="AB32" i="28"/>
  <c r="T32" i="28"/>
  <c r="AD32" i="28"/>
  <c r="V32" i="28" s="1"/>
  <c r="AF32" i="28"/>
  <c r="X32" i="28"/>
  <c r="AG32" i="28"/>
  <c r="Y32" i="28" s="1"/>
  <c r="D33" i="28"/>
  <c r="E33" i="28"/>
  <c r="F33" i="28"/>
  <c r="H33" i="28"/>
  <c r="T33" i="28" s="1"/>
  <c r="L33" i="28"/>
  <c r="X33" i="28" s="1"/>
  <c r="M33" i="28"/>
  <c r="AF33" i="28"/>
  <c r="Z34" i="28"/>
  <c r="R34" i="28" s="1"/>
  <c r="AB34" i="28"/>
  <c r="T34" i="28"/>
  <c r="AD34" i="28"/>
  <c r="V34" i="28" s="1"/>
  <c r="AF34" i="28"/>
  <c r="X34" i="28"/>
  <c r="AG34" i="28"/>
  <c r="Y34" i="28" s="1"/>
  <c r="Z35" i="28"/>
  <c r="R35" i="28"/>
  <c r="AB35" i="28"/>
  <c r="T35" i="28" s="1"/>
  <c r="AD35" i="28"/>
  <c r="V35" i="28"/>
  <c r="AF35" i="28"/>
  <c r="X35" i="28" s="1"/>
  <c r="AG35" i="28"/>
  <c r="Y35" i="28"/>
  <c r="Z36" i="28"/>
  <c r="R36" i="28" s="1"/>
  <c r="AB36" i="28"/>
  <c r="T36" i="28"/>
  <c r="AD36" i="28"/>
  <c r="V36" i="28" s="1"/>
  <c r="AF36" i="28"/>
  <c r="X36" i="28"/>
  <c r="AG36" i="28"/>
  <c r="Y36" i="28" s="1"/>
  <c r="Z37" i="28"/>
  <c r="R37" i="28"/>
  <c r="AB37" i="28"/>
  <c r="T37" i="28" s="1"/>
  <c r="AD37" i="28"/>
  <c r="V37" i="28"/>
  <c r="AF37" i="28"/>
  <c r="X37" i="28" s="1"/>
  <c r="AG37" i="28"/>
  <c r="Y37" i="28"/>
  <c r="G39" i="28"/>
  <c r="I39" i="28"/>
  <c r="K39" i="28"/>
  <c r="Z39" i="28"/>
  <c r="R39" i="28" s="1"/>
  <c r="AB39" i="28"/>
  <c r="T39" i="28" s="1"/>
  <c r="AF39" i="28"/>
  <c r="X39" i="28" s="1"/>
  <c r="G40" i="28"/>
  <c r="I40" i="28"/>
  <c r="K40" i="28"/>
  <c r="Z40" i="28"/>
  <c r="R40" i="28" s="1"/>
  <c r="AB40" i="28"/>
  <c r="T40" i="28" s="1"/>
  <c r="AD40" i="28"/>
  <c r="V40" i="28" s="1"/>
  <c r="AF40" i="28"/>
  <c r="X40" i="28" s="1"/>
  <c r="AG40" i="28"/>
  <c r="Y40" i="28" s="1"/>
  <c r="F41" i="28"/>
  <c r="H41" i="28"/>
  <c r="M41" i="28"/>
  <c r="M38" i="28" s="1"/>
  <c r="M44" i="28"/>
  <c r="G42" i="28"/>
  <c r="D34" i="105"/>
  <c r="D35" i="105" s="1"/>
  <c r="I42" i="28"/>
  <c r="F34" i="105" s="1"/>
  <c r="F35" i="105" s="1"/>
  <c r="K42" i="28"/>
  <c r="H34" i="105" s="1"/>
  <c r="H35" i="105" s="1"/>
  <c r="G43" i="28"/>
  <c r="I43" i="28"/>
  <c r="F37" i="105" s="1"/>
  <c r="F38" i="105" s="1"/>
  <c r="K43" i="28"/>
  <c r="H37" i="105" s="1"/>
  <c r="H38" i="105" s="1"/>
  <c r="Z43" i="28"/>
  <c r="R43" i="28"/>
  <c r="Z46" i="28"/>
  <c r="R46" i="28"/>
  <c r="AB46" i="28"/>
  <c r="T46" i="28"/>
  <c r="AD46" i="28"/>
  <c r="V46" i="28"/>
  <c r="AF46" i="28"/>
  <c r="X46" i="28"/>
  <c r="AG46" i="28"/>
  <c r="Y46" i="28"/>
  <c r="D47" i="28"/>
  <c r="E47" i="28"/>
  <c r="F47" i="28"/>
  <c r="H47" i="28"/>
  <c r="G47" i="28" s="1"/>
  <c r="L47" i="28"/>
  <c r="K47" i="28" s="1"/>
  <c r="M47" i="28"/>
  <c r="G48" i="28"/>
  <c r="I48" i="28"/>
  <c r="K48" i="28"/>
  <c r="AF48" i="28"/>
  <c r="X48" i="28" s="1"/>
  <c r="G49" i="28"/>
  <c r="I49" i="28"/>
  <c r="K49" i="28"/>
  <c r="AB49" i="28"/>
  <c r="T49" i="28" s="1"/>
  <c r="AD49" i="28"/>
  <c r="V49" i="28" s="1"/>
  <c r="AF49" i="28"/>
  <c r="X49" i="28" s="1"/>
  <c r="AG49" i="28"/>
  <c r="Y49" i="28" s="1"/>
  <c r="G50" i="28"/>
  <c r="I50" i="28"/>
  <c r="V31" i="105" s="1"/>
  <c r="K50" i="28"/>
  <c r="X31" i="105" s="1"/>
  <c r="X32" i="105" s="1"/>
  <c r="Z50" i="28"/>
  <c r="R50" i="28"/>
  <c r="AD50" i="28"/>
  <c r="V50" i="28" s="1"/>
  <c r="AF50" i="28"/>
  <c r="X50" i="28"/>
  <c r="G51" i="28"/>
  <c r="I51" i="28"/>
  <c r="K51" i="28"/>
  <c r="AB51" i="28"/>
  <c r="T51" i="28" s="1"/>
  <c r="AD51" i="28"/>
  <c r="V51" i="28" s="1"/>
  <c r="AF51" i="28"/>
  <c r="X51" i="28" s="1"/>
  <c r="AG51" i="28"/>
  <c r="Y51" i="28" s="1"/>
  <c r="G52" i="28"/>
  <c r="I52" i="28"/>
  <c r="V34" i="105" s="1"/>
  <c r="V35" i="105" s="1"/>
  <c r="K52" i="28"/>
  <c r="X34" i="105" s="1"/>
  <c r="Z52" i="28"/>
  <c r="R52" i="28" s="1"/>
  <c r="Z53" i="28"/>
  <c r="R53" i="28"/>
  <c r="AB53" i="28"/>
  <c r="T53" i="28" s="1"/>
  <c r="AD53" i="28"/>
  <c r="V53" i="28" s="1"/>
  <c r="AF53" i="28"/>
  <c r="X53" i="28" s="1"/>
  <c r="AG53" i="28"/>
  <c r="Y53" i="28"/>
  <c r="Z54" i="28"/>
  <c r="R54" i="28" s="1"/>
  <c r="AB54" i="28"/>
  <c r="T54" i="28" s="1"/>
  <c r="AG54" i="28"/>
  <c r="Y54" i="28" s="1"/>
  <c r="Z55" i="28"/>
  <c r="R55" i="28" s="1"/>
  <c r="AD55" i="28"/>
  <c r="V55" i="28" s="1"/>
  <c r="D56" i="28"/>
  <c r="D63" i="28" s="1"/>
  <c r="E56" i="28"/>
  <c r="E63" i="28" s="1"/>
  <c r="F56" i="28"/>
  <c r="R40" i="105" s="1"/>
  <c r="R41" i="105" s="1"/>
  <c r="H56" i="28"/>
  <c r="T40" i="105"/>
  <c r="T41" i="105" s="1"/>
  <c r="L56" i="28"/>
  <c r="X40" i="105" s="1"/>
  <c r="X41" i="105" s="1"/>
  <c r="M56" i="28"/>
  <c r="Z40" i="105" s="1"/>
  <c r="Z41" i="105" s="1"/>
  <c r="G57" i="28"/>
  <c r="I57" i="28"/>
  <c r="K57" i="28"/>
  <c r="Z57" i="28"/>
  <c r="R57" i="28"/>
  <c r="AF57" i="28"/>
  <c r="X57" i="28"/>
  <c r="G58" i="28"/>
  <c r="I58" i="28"/>
  <c r="K58" i="28"/>
  <c r="Z58" i="28"/>
  <c r="R58" i="28" s="1"/>
  <c r="AD58" i="28"/>
  <c r="V58" i="28" s="1"/>
  <c r="AF58" i="28"/>
  <c r="X58" i="28" s="1"/>
  <c r="AG58" i="28"/>
  <c r="Y58" i="28" s="1"/>
  <c r="G59" i="28"/>
  <c r="I59" i="28"/>
  <c r="K59" i="28"/>
  <c r="AB59" i="28"/>
  <c r="T59" i="28" s="1"/>
  <c r="AD59" i="28"/>
  <c r="V59" i="28" s="1"/>
  <c r="G60" i="28"/>
  <c r="I60" i="28"/>
  <c r="K60" i="28"/>
  <c r="Z60" i="28"/>
  <c r="R60" i="28"/>
  <c r="AB60" i="28"/>
  <c r="T60" i="28"/>
  <c r="AD60" i="28"/>
  <c r="V60" i="28"/>
  <c r="AF60" i="28"/>
  <c r="X60" i="28"/>
  <c r="AG60" i="28"/>
  <c r="Y60" i="28"/>
  <c r="G61" i="28"/>
  <c r="I61" i="28"/>
  <c r="K61" i="28"/>
  <c r="G62" i="28"/>
  <c r="I62" i="28"/>
  <c r="K62" i="28"/>
  <c r="Z62" i="28"/>
  <c r="R62" i="28"/>
  <c r="V64" i="28"/>
  <c r="Z64" i="28"/>
  <c r="R64" i="28" s="1"/>
  <c r="AB64" i="28"/>
  <c r="T64" i="28" s="1"/>
  <c r="AF64" i="28"/>
  <c r="X64" i="28" s="1"/>
  <c r="AG64" i="28"/>
  <c r="Y64" i="28" s="1"/>
  <c r="H74" i="28"/>
  <c r="J74" i="28"/>
  <c r="K74" i="28"/>
  <c r="L74" i="28"/>
  <c r="M74" i="28"/>
  <c r="H82" i="28"/>
  <c r="J82" i="28"/>
  <c r="K82" i="28"/>
  <c r="L82" i="28"/>
  <c r="M82" i="28"/>
  <c r="M8" i="27"/>
  <c r="D9" i="27"/>
  <c r="D8" i="27" s="1"/>
  <c r="D40" i="27" s="1"/>
  <c r="E9" i="27"/>
  <c r="E8" i="27" s="1"/>
  <c r="E40" i="27" s="1"/>
  <c r="F9" i="27"/>
  <c r="F8" i="27"/>
  <c r="H9" i="27"/>
  <c r="H8" i="27" s="1"/>
  <c r="J9" i="27"/>
  <c r="J8" i="27" s="1"/>
  <c r="L9" i="27"/>
  <c r="L8" i="27" s="1"/>
  <c r="D11" i="27"/>
  <c r="E11" i="27"/>
  <c r="D12" i="27"/>
  <c r="E12" i="27"/>
  <c r="D13" i="27"/>
  <c r="E13" i="27"/>
  <c r="D14" i="27"/>
  <c r="E14" i="27"/>
  <c r="D15" i="27"/>
  <c r="E15" i="27"/>
  <c r="D18" i="27"/>
  <c r="E18" i="27"/>
  <c r="F19" i="27"/>
  <c r="H19" i="27"/>
  <c r="J19" i="27"/>
  <c r="L19" i="27"/>
  <c r="M19" i="27"/>
  <c r="E21" i="27"/>
  <c r="D22" i="27"/>
  <c r="E22" i="27"/>
  <c r="E24" i="27"/>
  <c r="D25" i="27"/>
  <c r="E25" i="27"/>
  <c r="F26" i="27"/>
  <c r="H26" i="27"/>
  <c r="J26" i="27"/>
  <c r="L26" i="27"/>
  <c r="M26" i="27"/>
  <c r="D27" i="27"/>
  <c r="D26" i="27" s="1"/>
  <c r="E27" i="27"/>
  <c r="E26" i="27" s="1"/>
  <c r="D35" i="27"/>
  <c r="E36" i="27"/>
  <c r="F36" i="27"/>
  <c r="E37" i="27"/>
  <c r="F37" i="27"/>
  <c r="F35" i="27" s="1"/>
  <c r="H37" i="27"/>
  <c r="H35" i="27" s="1"/>
  <c r="J37" i="27"/>
  <c r="J35" i="27" s="1"/>
  <c r="L37" i="27"/>
  <c r="L35" i="27" s="1"/>
  <c r="M37" i="27"/>
  <c r="M35" i="27"/>
  <c r="D38" i="27"/>
  <c r="E38" i="27"/>
  <c r="D44" i="27"/>
  <c r="E45" i="27"/>
  <c r="E46" i="27"/>
  <c r="D48" i="27"/>
  <c r="E48" i="27"/>
  <c r="M48" i="27"/>
  <c r="M43" i="27" s="1"/>
  <c r="D49" i="27"/>
  <c r="M49" i="27"/>
  <c r="E50" i="27"/>
  <c r="E49" i="27" s="1"/>
  <c r="E55" i="27" s="1"/>
  <c r="D9" i="26"/>
  <c r="D8" i="26" s="1"/>
  <c r="D44" i="26" s="1"/>
  <c r="E9" i="26"/>
  <c r="E8" i="26" s="1"/>
  <c r="E44" i="26" s="1"/>
  <c r="F10" i="26"/>
  <c r="H10" i="26"/>
  <c r="J10" i="26"/>
  <c r="L10" i="26"/>
  <c r="D11" i="26"/>
  <c r="E11" i="26"/>
  <c r="F11" i="26"/>
  <c r="H11" i="26"/>
  <c r="G11" i="26" s="1"/>
  <c r="J11" i="26"/>
  <c r="L11" i="26"/>
  <c r="M11" i="26"/>
  <c r="D12" i="26"/>
  <c r="E12" i="26"/>
  <c r="D13" i="26"/>
  <c r="E13" i="26"/>
  <c r="F13" i="26"/>
  <c r="H13" i="26"/>
  <c r="J13" i="26"/>
  <c r="I13" i="26"/>
  <c r="L13" i="26"/>
  <c r="M13" i="26"/>
  <c r="D14" i="26"/>
  <c r="E14" i="26"/>
  <c r="F14" i="26"/>
  <c r="H14" i="26"/>
  <c r="J14" i="26"/>
  <c r="L14" i="26"/>
  <c r="M14" i="26"/>
  <c r="D15" i="26"/>
  <c r="E15" i="26"/>
  <c r="F15" i="26"/>
  <c r="H15" i="26"/>
  <c r="J15" i="26"/>
  <c r="I15" i="26" s="1"/>
  <c r="L15" i="26"/>
  <c r="M15" i="26"/>
  <c r="F16" i="26"/>
  <c r="H16" i="26"/>
  <c r="G16" i="26" s="1"/>
  <c r="J16" i="26"/>
  <c r="L16" i="26"/>
  <c r="M16" i="26"/>
  <c r="F17" i="26"/>
  <c r="H17" i="26"/>
  <c r="G17" i="26" s="1"/>
  <c r="J17" i="26"/>
  <c r="L17" i="26"/>
  <c r="M17" i="26"/>
  <c r="D18" i="26"/>
  <c r="E18" i="26"/>
  <c r="F18" i="26"/>
  <c r="H18" i="26"/>
  <c r="J18" i="26"/>
  <c r="L18" i="26"/>
  <c r="M18" i="26"/>
  <c r="H19" i="26"/>
  <c r="G19" i="26"/>
  <c r="J19" i="26"/>
  <c r="L19" i="26"/>
  <c r="M19" i="26"/>
  <c r="E22" i="26"/>
  <c r="F22" i="26"/>
  <c r="H22" i="26"/>
  <c r="J22" i="26"/>
  <c r="L22" i="26"/>
  <c r="D23" i="26"/>
  <c r="E23" i="26"/>
  <c r="F23" i="26"/>
  <c r="H23" i="26"/>
  <c r="J23" i="26"/>
  <c r="L23" i="26"/>
  <c r="M23" i="26"/>
  <c r="D24" i="26"/>
  <c r="H24" i="26"/>
  <c r="J24" i="26"/>
  <c r="L24" i="26"/>
  <c r="AE24" i="24"/>
  <c r="M24" i="26"/>
  <c r="E25" i="26"/>
  <c r="H25" i="26"/>
  <c r="J25" i="26"/>
  <c r="K25" i="26" s="1"/>
  <c r="L25" i="26"/>
  <c r="M25" i="26"/>
  <c r="AF25" i="24" s="1"/>
  <c r="D26" i="26"/>
  <c r="E26" i="26"/>
  <c r="H26" i="26"/>
  <c r="J26" i="26"/>
  <c r="AC26" i="24" s="1"/>
  <c r="L26" i="26"/>
  <c r="M26" i="26"/>
  <c r="F27" i="26"/>
  <c r="W27" i="6" s="1"/>
  <c r="D28" i="26"/>
  <c r="D27" i="26" s="1"/>
  <c r="E28" i="26"/>
  <c r="E27" i="26" s="1"/>
  <c r="F29" i="26"/>
  <c r="H29" i="26"/>
  <c r="J29" i="26"/>
  <c r="K29" i="26" s="1"/>
  <c r="L29" i="26"/>
  <c r="M29" i="26"/>
  <c r="F33" i="26"/>
  <c r="H34" i="26"/>
  <c r="J34" i="26"/>
  <c r="I34" i="26" s="1"/>
  <c r="L34" i="26"/>
  <c r="M34" i="26"/>
  <c r="M33" i="26" s="1"/>
  <c r="K30" i="6" s="1"/>
  <c r="J35" i="26"/>
  <c r="AC35" i="24" s="1"/>
  <c r="H36" i="26"/>
  <c r="J36" i="26"/>
  <c r="AC36" i="24" s="1"/>
  <c r="L36" i="26"/>
  <c r="AE36" i="24" s="1"/>
  <c r="D37" i="26"/>
  <c r="E38" i="26"/>
  <c r="E37" i="26" s="1"/>
  <c r="G39" i="26"/>
  <c r="I39" i="26"/>
  <c r="K39" i="26"/>
  <c r="D40" i="26"/>
  <c r="E40" i="26"/>
  <c r="H40" i="26"/>
  <c r="H41" i="26"/>
  <c r="J41" i="26"/>
  <c r="L41" i="26"/>
  <c r="H42" i="26"/>
  <c r="L42" i="26"/>
  <c r="D48" i="26"/>
  <c r="L48" i="26"/>
  <c r="E49" i="26"/>
  <c r="F49" i="26"/>
  <c r="W48" i="6" s="1"/>
  <c r="H49" i="26"/>
  <c r="L49" i="26"/>
  <c r="E50" i="26"/>
  <c r="H50" i="26"/>
  <c r="L50" i="26"/>
  <c r="F51" i="26"/>
  <c r="H51" i="26"/>
  <c r="G51" i="26" s="1"/>
  <c r="J51" i="26"/>
  <c r="L51" i="26"/>
  <c r="M51" i="26"/>
  <c r="K50" i="6" s="1"/>
  <c r="U50" i="6" s="1"/>
  <c r="D52" i="26"/>
  <c r="E52" i="26"/>
  <c r="F52" i="26"/>
  <c r="H52" i="26"/>
  <c r="J52" i="26"/>
  <c r="I52" i="26" s="1"/>
  <c r="L52" i="26"/>
  <c r="K52" i="26"/>
  <c r="M52" i="26"/>
  <c r="D53" i="26"/>
  <c r="F54" i="26"/>
  <c r="H54" i="26"/>
  <c r="J54" i="26"/>
  <c r="L54" i="26"/>
  <c r="E55" i="26"/>
  <c r="L55" i="26"/>
  <c r="M55" i="26"/>
  <c r="D9" i="25"/>
  <c r="D8" i="25" s="1"/>
  <c r="D43" i="25" s="1"/>
  <c r="E9" i="25"/>
  <c r="E8" i="25"/>
  <c r="E43" i="25" s="1"/>
  <c r="M9" i="25"/>
  <c r="AF9" i="24" s="1"/>
  <c r="H10" i="25"/>
  <c r="D11" i="25"/>
  <c r="E11" i="25"/>
  <c r="M11" i="25"/>
  <c r="AF11" i="24" s="1"/>
  <c r="X11" i="24" s="1"/>
  <c r="D12" i="25"/>
  <c r="E12" i="25"/>
  <c r="D13" i="25"/>
  <c r="E13" i="25"/>
  <c r="D14" i="25"/>
  <c r="E14" i="25"/>
  <c r="D15" i="25"/>
  <c r="E15" i="25"/>
  <c r="D18" i="25"/>
  <c r="E18" i="25"/>
  <c r="F18" i="25"/>
  <c r="Y18" i="24" s="1"/>
  <c r="E21" i="25"/>
  <c r="F21" i="25"/>
  <c r="Y22" i="24" s="1"/>
  <c r="H21" i="25"/>
  <c r="J21" i="25"/>
  <c r="L21" i="25"/>
  <c r="D22" i="25"/>
  <c r="E22" i="25"/>
  <c r="F22" i="25"/>
  <c r="Y23" i="24" s="1"/>
  <c r="L22" i="25"/>
  <c r="AE23" i="24" s="1"/>
  <c r="D23" i="25"/>
  <c r="J23" i="25"/>
  <c r="L23" i="25"/>
  <c r="E24" i="25"/>
  <c r="F24" i="25"/>
  <c r="Y25" i="24"/>
  <c r="D25" i="25"/>
  <c r="E25" i="25"/>
  <c r="F25" i="25"/>
  <c r="Y26" i="24" s="1"/>
  <c r="D27" i="25"/>
  <c r="D26" i="25" s="1"/>
  <c r="E27" i="25"/>
  <c r="E26" i="25" s="1"/>
  <c r="F27" i="25"/>
  <c r="Y28" i="24" s="1"/>
  <c r="Q28" i="24" s="1"/>
  <c r="H27" i="25"/>
  <c r="H26" i="25"/>
  <c r="J27" i="25"/>
  <c r="M27" i="25"/>
  <c r="AF28" i="24" s="1"/>
  <c r="X28" i="24" s="1"/>
  <c r="J31" i="25"/>
  <c r="J28" i="25"/>
  <c r="L31" i="25"/>
  <c r="L28" i="25"/>
  <c r="M31" i="25"/>
  <c r="D36" i="25"/>
  <c r="E37" i="25"/>
  <c r="E38" i="25"/>
  <c r="E36" i="25" s="1"/>
  <c r="F38" i="25"/>
  <c r="Y39" i="24" s="1"/>
  <c r="H38" i="25"/>
  <c r="J38" i="25"/>
  <c r="M38" i="25"/>
  <c r="M39" i="5" s="1"/>
  <c r="D39" i="25"/>
  <c r="E39" i="25"/>
  <c r="D47" i="25"/>
  <c r="E48" i="25"/>
  <c r="E49" i="25"/>
  <c r="D51" i="25"/>
  <c r="E51" i="25"/>
  <c r="D52" i="25"/>
  <c r="E54" i="25"/>
  <c r="D9" i="24"/>
  <c r="D8" i="24" s="1"/>
  <c r="D44" i="24" s="1"/>
  <c r="E9" i="24"/>
  <c r="E8" i="24" s="1"/>
  <c r="E44" i="24" s="1"/>
  <c r="F9" i="24"/>
  <c r="G9" i="24" s="1"/>
  <c r="H9" i="24"/>
  <c r="J9" i="24"/>
  <c r="L9" i="24"/>
  <c r="M9" i="24"/>
  <c r="F10" i="24"/>
  <c r="H10" i="24"/>
  <c r="J10" i="24"/>
  <c r="D11" i="24"/>
  <c r="E11" i="24"/>
  <c r="F11" i="24"/>
  <c r="H11" i="24"/>
  <c r="J11" i="24"/>
  <c r="K11" i="24" s="1"/>
  <c r="L11" i="24"/>
  <c r="M11" i="24"/>
  <c r="D12" i="24"/>
  <c r="E12" i="24"/>
  <c r="F12" i="24"/>
  <c r="H12" i="24"/>
  <c r="J12" i="24"/>
  <c r="L12" i="24"/>
  <c r="M12" i="24"/>
  <c r="D13" i="24"/>
  <c r="E13" i="24"/>
  <c r="F13" i="24"/>
  <c r="D14" i="24"/>
  <c r="E14" i="24"/>
  <c r="F14" i="24"/>
  <c r="H14" i="24"/>
  <c r="G14" i="24" s="1"/>
  <c r="J14" i="24"/>
  <c r="L14" i="24"/>
  <c r="M14" i="24"/>
  <c r="D15" i="24"/>
  <c r="E15" i="24"/>
  <c r="F15" i="24"/>
  <c r="H15" i="24"/>
  <c r="J15" i="24"/>
  <c r="K15" i="24" s="1"/>
  <c r="L15" i="24"/>
  <c r="M15" i="24"/>
  <c r="F16" i="24"/>
  <c r="H16" i="24"/>
  <c r="L16" i="24"/>
  <c r="M16" i="24"/>
  <c r="Y16" i="24"/>
  <c r="F17" i="24"/>
  <c r="G17" i="24" s="1"/>
  <c r="H17" i="24"/>
  <c r="J17" i="24"/>
  <c r="U17" i="24" s="1"/>
  <c r="L17" i="24"/>
  <c r="M17" i="24"/>
  <c r="D18" i="24"/>
  <c r="E18" i="24"/>
  <c r="F18" i="24"/>
  <c r="H18" i="24"/>
  <c r="G18" i="24" s="1"/>
  <c r="L18" i="24"/>
  <c r="E22" i="24"/>
  <c r="F22" i="24"/>
  <c r="D23" i="24"/>
  <c r="E23" i="24"/>
  <c r="F23" i="24"/>
  <c r="H23" i="24"/>
  <c r="J23" i="24"/>
  <c r="L23" i="24"/>
  <c r="M23" i="24"/>
  <c r="D24" i="24"/>
  <c r="H24" i="24"/>
  <c r="N24" i="24" s="1"/>
  <c r="J24" i="24"/>
  <c r="L24" i="24"/>
  <c r="M24" i="24"/>
  <c r="Y24" i="24"/>
  <c r="Q24" i="24"/>
  <c r="E25" i="24"/>
  <c r="F25" i="24"/>
  <c r="Q25" i="24" s="1"/>
  <c r="H25" i="24"/>
  <c r="S25" i="24" s="1"/>
  <c r="J25" i="24"/>
  <c r="L25" i="24"/>
  <c r="M25" i="24"/>
  <c r="AA25" i="24"/>
  <c r="AC25" i="24"/>
  <c r="AE25" i="24"/>
  <c r="D26" i="24"/>
  <c r="E26" i="24"/>
  <c r="F26" i="24"/>
  <c r="H26" i="24"/>
  <c r="S26" i="24" s="1"/>
  <c r="J26" i="24"/>
  <c r="L26" i="24"/>
  <c r="M26" i="24"/>
  <c r="AA26" i="24"/>
  <c r="AE26" i="24"/>
  <c r="AF26" i="24"/>
  <c r="F27" i="24"/>
  <c r="D28" i="24"/>
  <c r="D27" i="24" s="1"/>
  <c r="E28" i="24"/>
  <c r="E27" i="24" s="1"/>
  <c r="L28" i="24"/>
  <c r="AA28" i="24"/>
  <c r="L29" i="24"/>
  <c r="L29" i="4" s="1"/>
  <c r="Y29" i="24"/>
  <c r="Q29" i="24"/>
  <c r="AA29" i="24"/>
  <c r="S29" i="24"/>
  <c r="N30" i="24"/>
  <c r="Y30" i="24"/>
  <c r="Q30" i="24" s="1"/>
  <c r="AA30" i="24"/>
  <c r="S30" i="24" s="1"/>
  <c r="AC30" i="24"/>
  <c r="U30" i="24" s="1"/>
  <c r="AE30" i="24"/>
  <c r="W30" i="24" s="1"/>
  <c r="AF30" i="24"/>
  <c r="X30" i="24" s="1"/>
  <c r="N31" i="24"/>
  <c r="Y31" i="24"/>
  <c r="Q31" i="24" s="1"/>
  <c r="AA31" i="24"/>
  <c r="S31" i="24" s="1"/>
  <c r="AC31" i="24"/>
  <c r="U31" i="24" s="1"/>
  <c r="AE31" i="24"/>
  <c r="W31" i="24" s="1"/>
  <c r="AF31" i="24"/>
  <c r="X31" i="24" s="1"/>
  <c r="J32" i="24"/>
  <c r="J29" i="24" s="1"/>
  <c r="J29" i="4" s="1"/>
  <c r="I7" i="3" s="1"/>
  <c r="M32" i="24"/>
  <c r="Y32" i="24"/>
  <c r="Q32" i="24" s="1"/>
  <c r="AA32" i="24"/>
  <c r="S32" i="24" s="1"/>
  <c r="Y33" i="24"/>
  <c r="F34" i="24"/>
  <c r="H34" i="24"/>
  <c r="H33" i="24" s="1"/>
  <c r="H30" i="4" s="1"/>
  <c r="L43" i="182" s="1"/>
  <c r="J34" i="24"/>
  <c r="L34" i="24"/>
  <c r="M34" i="24"/>
  <c r="M33" i="24" s="1"/>
  <c r="M30" i="4" s="1"/>
  <c r="Y34" i="24"/>
  <c r="AC34" i="24"/>
  <c r="AF34" i="24"/>
  <c r="X35" i="24"/>
  <c r="Y35" i="24"/>
  <c r="F36" i="24"/>
  <c r="H36" i="24"/>
  <c r="H35" i="24" s="1"/>
  <c r="J36" i="24"/>
  <c r="J35" i="24" s="1"/>
  <c r="U35" i="24" s="1"/>
  <c r="L36" i="24"/>
  <c r="X36" i="24"/>
  <c r="Y36" i="24"/>
  <c r="AA36" i="24"/>
  <c r="D37" i="24"/>
  <c r="E38" i="24"/>
  <c r="F38" i="24"/>
  <c r="G38" i="24" s="1"/>
  <c r="E39" i="24"/>
  <c r="F39" i="24"/>
  <c r="H39" i="24"/>
  <c r="J39" i="24"/>
  <c r="L39" i="24"/>
  <c r="M39" i="24"/>
  <c r="D40" i="24"/>
  <c r="E40" i="24"/>
  <c r="F41" i="24"/>
  <c r="H41" i="24"/>
  <c r="J41" i="24"/>
  <c r="L41" i="24"/>
  <c r="M41" i="24"/>
  <c r="F42" i="24"/>
  <c r="J42" i="24"/>
  <c r="L42" i="24"/>
  <c r="N43" i="24"/>
  <c r="Y43" i="24"/>
  <c r="Q43" i="24" s="1"/>
  <c r="AA43" i="24"/>
  <c r="S43" i="24" s="1"/>
  <c r="AC43" i="24"/>
  <c r="U43" i="24" s="1"/>
  <c r="AE43" i="24"/>
  <c r="W43" i="24" s="1"/>
  <c r="AF43" i="24"/>
  <c r="X43" i="24" s="1"/>
  <c r="N45" i="24"/>
  <c r="Y45" i="24"/>
  <c r="Q45" i="24" s="1"/>
  <c r="AA45" i="24"/>
  <c r="S45" i="24" s="1"/>
  <c r="AC45" i="24"/>
  <c r="U45" i="24" s="1"/>
  <c r="AE45" i="24"/>
  <c r="W45" i="24" s="1"/>
  <c r="AF45" i="24"/>
  <c r="X45" i="24" s="1"/>
  <c r="N46" i="24"/>
  <c r="Y46" i="24"/>
  <c r="Q46" i="24" s="1"/>
  <c r="AA46" i="24"/>
  <c r="S46" i="24" s="1"/>
  <c r="AC46" i="24"/>
  <c r="U46" i="24" s="1"/>
  <c r="AE46" i="24"/>
  <c r="W46" i="24" s="1"/>
  <c r="AF46" i="24"/>
  <c r="X46" i="24" s="1"/>
  <c r="D48" i="24"/>
  <c r="F48" i="24"/>
  <c r="L48" i="24"/>
  <c r="E49" i="24"/>
  <c r="F49" i="24"/>
  <c r="H49" i="24"/>
  <c r="G49" i="24" s="1"/>
  <c r="J49" i="24"/>
  <c r="E50" i="24"/>
  <c r="F50" i="24"/>
  <c r="H50" i="24"/>
  <c r="H54" i="4" s="1"/>
  <c r="L50" i="24"/>
  <c r="F51" i="24"/>
  <c r="H51" i="24"/>
  <c r="J51" i="24"/>
  <c r="L51" i="24"/>
  <c r="M51" i="24"/>
  <c r="N51" i="24"/>
  <c r="D52" i="24"/>
  <c r="E52" i="24"/>
  <c r="F52" i="24"/>
  <c r="H52" i="24"/>
  <c r="J52" i="24"/>
  <c r="L52" i="24"/>
  <c r="M52" i="24"/>
  <c r="Y52" i="24"/>
  <c r="D53" i="24"/>
  <c r="F54" i="24"/>
  <c r="L54" i="24"/>
  <c r="E55" i="24"/>
  <c r="M55" i="24"/>
  <c r="N56" i="24"/>
  <c r="Y56" i="24"/>
  <c r="Q56" i="24"/>
  <c r="AF56" i="24"/>
  <c r="X56" i="24"/>
  <c r="N57" i="24"/>
  <c r="Y57" i="24"/>
  <c r="Q57" i="24" s="1"/>
  <c r="AA57" i="24"/>
  <c r="S57" i="24" s="1"/>
  <c r="AC57" i="24"/>
  <c r="U57" i="24" s="1"/>
  <c r="AE57" i="24"/>
  <c r="W57" i="24" s="1"/>
  <c r="AF57" i="24"/>
  <c r="X57" i="24" s="1"/>
  <c r="N58" i="24"/>
  <c r="Y58" i="24"/>
  <c r="Q58" i="24" s="1"/>
  <c r="AA58" i="24"/>
  <c r="S58" i="24" s="1"/>
  <c r="AC58" i="24"/>
  <c r="U58" i="24" s="1"/>
  <c r="AE58" i="24"/>
  <c r="W58" i="24" s="1"/>
  <c r="AF58" i="24"/>
  <c r="X58" i="24" s="1"/>
  <c r="H60" i="24"/>
  <c r="L60" i="24"/>
  <c r="F68" i="24"/>
  <c r="H68" i="24"/>
  <c r="I68" i="24"/>
  <c r="J68" i="24"/>
  <c r="K68" i="24"/>
  <c r="L68" i="24"/>
  <c r="M68" i="24"/>
  <c r="F78" i="24"/>
  <c r="H78" i="24"/>
  <c r="I78" i="24"/>
  <c r="J78" i="24"/>
  <c r="K78" i="24"/>
  <c r="L78" i="24"/>
  <c r="M78" i="24"/>
  <c r="K8" i="158"/>
  <c r="K11" i="158" s="1"/>
  <c r="M8" i="158"/>
  <c r="M11" i="158" s="1"/>
  <c r="O8" i="158"/>
  <c r="O11" i="158" s="1"/>
  <c r="Q8" i="158"/>
  <c r="Q11" i="158" s="1"/>
  <c r="R8" i="158"/>
  <c r="R11" i="158" s="1"/>
  <c r="S8" i="158"/>
  <c r="S11" i="158" s="1"/>
  <c r="S22" i="158" s="1"/>
  <c r="U8" i="158"/>
  <c r="U11" i="158" s="1"/>
  <c r="W8" i="158"/>
  <c r="W11" i="158" s="1"/>
  <c r="Y8" i="158"/>
  <c r="Y11" i="158" s="1"/>
  <c r="Z8" i="158"/>
  <c r="Z11" i="158" s="1"/>
  <c r="AA8" i="158"/>
  <c r="AA11" i="158" s="1"/>
  <c r="AC8" i="158"/>
  <c r="AC11" i="158" s="1"/>
  <c r="AC22" i="158" s="1"/>
  <c r="AE8" i="158"/>
  <c r="AE11" i="158" s="1"/>
  <c r="AG8" i="158"/>
  <c r="AG11" i="158" s="1"/>
  <c r="AH8" i="158"/>
  <c r="AH11" i="158" s="1"/>
  <c r="C9" i="158"/>
  <c r="C8" i="158" s="1"/>
  <c r="C11" i="158" s="1"/>
  <c r="E9" i="158"/>
  <c r="G9" i="158"/>
  <c r="G8" i="158" s="1"/>
  <c r="G11" i="158" s="1"/>
  <c r="I9" i="158"/>
  <c r="J9" i="158"/>
  <c r="C10" i="158"/>
  <c r="E10" i="158"/>
  <c r="G10" i="158"/>
  <c r="I10" i="158"/>
  <c r="J10" i="158"/>
  <c r="C16" i="158"/>
  <c r="C17" i="158"/>
  <c r="E20" i="158"/>
  <c r="G20" i="158"/>
  <c r="I20" i="158"/>
  <c r="J20" i="158"/>
  <c r="K20" i="158"/>
  <c r="M20" i="158"/>
  <c r="O20" i="158"/>
  <c r="Q20" i="158"/>
  <c r="R20" i="158"/>
  <c r="S20" i="158"/>
  <c r="U20" i="158"/>
  <c r="W20" i="158"/>
  <c r="Y20" i="158"/>
  <c r="Z20" i="158"/>
  <c r="AA20" i="158"/>
  <c r="AC20" i="158"/>
  <c r="AE20" i="158"/>
  <c r="AG20" i="158"/>
  <c r="AH20" i="158"/>
  <c r="AH22" i="158" s="1"/>
  <c r="F22" i="158"/>
  <c r="H22" i="158"/>
  <c r="N22" i="158"/>
  <c r="P22" i="158"/>
  <c r="V22" i="158"/>
  <c r="X22" i="158"/>
  <c r="AD22" i="158"/>
  <c r="AF22" i="158"/>
  <c r="H27" i="158"/>
  <c r="H28" i="158"/>
  <c r="S27" i="158"/>
  <c r="U27" i="158"/>
  <c r="U28" i="158" s="1"/>
  <c r="W27" i="158"/>
  <c r="W28" i="158" s="1"/>
  <c r="Y27" i="158"/>
  <c r="Y28" i="158" s="1"/>
  <c r="Z27" i="158"/>
  <c r="Z28" i="158" s="1"/>
  <c r="I30" i="158"/>
  <c r="S30" i="158"/>
  <c r="S31" i="158"/>
  <c r="U30" i="158"/>
  <c r="U31" i="158"/>
  <c r="W30" i="158"/>
  <c r="W31" i="158"/>
  <c r="Y30" i="158"/>
  <c r="Y31" i="158"/>
  <c r="Z30" i="158"/>
  <c r="Z31" i="158"/>
  <c r="C33" i="158"/>
  <c r="E33" i="158"/>
  <c r="G33" i="158"/>
  <c r="H33" i="158"/>
  <c r="H34" i="158" s="1"/>
  <c r="I33" i="158"/>
  <c r="J33" i="158"/>
  <c r="S33" i="158"/>
  <c r="U33" i="158"/>
  <c r="W33" i="158"/>
  <c r="W34" i="158" s="1"/>
  <c r="Y33" i="158"/>
  <c r="Z33" i="158"/>
  <c r="Z34" i="158" s="1"/>
  <c r="C36" i="158"/>
  <c r="E36" i="158"/>
  <c r="G36" i="158"/>
  <c r="H36" i="158"/>
  <c r="H37" i="158" s="1"/>
  <c r="I36" i="158"/>
  <c r="I37" i="158" s="1"/>
  <c r="J36" i="158"/>
  <c r="J37" i="158" s="1"/>
  <c r="S36" i="158"/>
  <c r="S37" i="158" s="1"/>
  <c r="U36" i="158"/>
  <c r="U37" i="158" s="1"/>
  <c r="W36" i="158"/>
  <c r="W37" i="158" s="1"/>
  <c r="Y36" i="158"/>
  <c r="Y37" i="158" s="1"/>
  <c r="Z36" i="158"/>
  <c r="Z37" i="158"/>
  <c r="D8" i="159"/>
  <c r="E8" i="159"/>
  <c r="E42" i="159" s="1"/>
  <c r="F8" i="159"/>
  <c r="H8" i="159"/>
  <c r="E27" i="158" s="1"/>
  <c r="E28" i="158" s="1"/>
  <c r="J8" i="159"/>
  <c r="G27" i="158" s="1"/>
  <c r="G28" i="158" s="1"/>
  <c r="L8" i="159"/>
  <c r="M8" i="159"/>
  <c r="J27" i="158" s="1"/>
  <c r="J28" i="158" s="1"/>
  <c r="D19" i="159"/>
  <c r="E19" i="159"/>
  <c r="F19" i="159"/>
  <c r="H19" i="159"/>
  <c r="J19" i="159"/>
  <c r="L19" i="159"/>
  <c r="M19" i="159"/>
  <c r="D36" i="159"/>
  <c r="E36" i="159"/>
  <c r="F39" i="159"/>
  <c r="C30" i="158" s="1"/>
  <c r="H39" i="159"/>
  <c r="J39" i="159"/>
  <c r="J36" i="159" s="1"/>
  <c r="L39" i="159"/>
  <c r="K39" i="159" s="1"/>
  <c r="M39" i="159"/>
  <c r="M36" i="159" s="1"/>
  <c r="G40" i="159"/>
  <c r="I40" i="159"/>
  <c r="K40" i="159"/>
  <c r="G41" i="159"/>
  <c r="I41" i="159"/>
  <c r="K41" i="159"/>
  <c r="D46" i="159"/>
  <c r="E46" i="159"/>
  <c r="E59" i="159"/>
  <c r="F46" i="159"/>
  <c r="H46" i="159"/>
  <c r="J46" i="159"/>
  <c r="L46" i="159"/>
  <c r="M46" i="159"/>
  <c r="G47" i="159"/>
  <c r="I47" i="159"/>
  <c r="K47" i="159"/>
  <c r="G48" i="159"/>
  <c r="I48" i="159"/>
  <c r="K48" i="159"/>
  <c r="D52" i="159"/>
  <c r="E52" i="159"/>
  <c r="F52" i="159"/>
  <c r="F59" i="159" s="1"/>
  <c r="S42" i="158" s="1"/>
  <c r="H52" i="159"/>
  <c r="U39" i="158"/>
  <c r="U40" i="158" s="1"/>
  <c r="J52" i="159"/>
  <c r="W39" i="158" s="1"/>
  <c r="W40" i="158" s="1"/>
  <c r="L52" i="159"/>
  <c r="Y39" i="158" s="1"/>
  <c r="Y40" i="158" s="1"/>
  <c r="M52" i="159"/>
  <c r="Z39" i="158" s="1"/>
  <c r="Z40" i="158" s="1"/>
  <c r="D8" i="22"/>
  <c r="E8" i="22"/>
  <c r="F8" i="22"/>
  <c r="H8" i="22"/>
  <c r="J8" i="22"/>
  <c r="L8" i="22"/>
  <c r="M8" i="22"/>
  <c r="D19" i="22"/>
  <c r="D43" i="22" s="1"/>
  <c r="E19" i="22"/>
  <c r="F19" i="22"/>
  <c r="H19" i="22"/>
  <c r="J19" i="22"/>
  <c r="L19" i="22"/>
  <c r="M19" i="22"/>
  <c r="D37" i="22"/>
  <c r="E37" i="22"/>
  <c r="F37" i="22"/>
  <c r="F40" i="22"/>
  <c r="H40" i="22"/>
  <c r="J40" i="22"/>
  <c r="J37" i="22" s="1"/>
  <c r="L40" i="22"/>
  <c r="M40" i="22"/>
  <c r="M37" i="22" s="1"/>
  <c r="G41" i="22"/>
  <c r="I41" i="22"/>
  <c r="K41" i="22"/>
  <c r="G42" i="22"/>
  <c r="I42" i="22"/>
  <c r="K42" i="22"/>
  <c r="D46" i="22"/>
  <c r="D59" i="22" s="1"/>
  <c r="E46" i="22"/>
  <c r="E59" i="22"/>
  <c r="F46" i="22"/>
  <c r="H46" i="22"/>
  <c r="J46" i="22"/>
  <c r="L46" i="22"/>
  <c r="M46" i="22"/>
  <c r="G47" i="22"/>
  <c r="I47" i="22"/>
  <c r="K47" i="22"/>
  <c r="G48" i="22"/>
  <c r="I48" i="22"/>
  <c r="K48" i="22"/>
  <c r="G49" i="22"/>
  <c r="I49" i="22"/>
  <c r="K49" i="22"/>
  <c r="D52" i="22"/>
  <c r="E52" i="22"/>
  <c r="F52" i="22"/>
  <c r="H52" i="22"/>
  <c r="J52" i="22"/>
  <c r="L52" i="22"/>
  <c r="M52" i="22"/>
  <c r="D8" i="21"/>
  <c r="E8" i="21"/>
  <c r="F8" i="21"/>
  <c r="H8" i="21"/>
  <c r="J8" i="21"/>
  <c r="L8" i="21"/>
  <c r="M8" i="21"/>
  <c r="D19" i="21"/>
  <c r="E19" i="21"/>
  <c r="F19" i="21"/>
  <c r="H19" i="21"/>
  <c r="J19" i="21"/>
  <c r="L19" i="21"/>
  <c r="M19" i="21"/>
  <c r="D36" i="21"/>
  <c r="D42" i="21" s="1"/>
  <c r="E36" i="21"/>
  <c r="F36" i="21"/>
  <c r="H36" i="21"/>
  <c r="J36" i="21"/>
  <c r="L36" i="21"/>
  <c r="M36" i="21"/>
  <c r="F39" i="21"/>
  <c r="H39" i="21"/>
  <c r="J39" i="21"/>
  <c r="L39" i="21"/>
  <c r="L42" i="21" s="1"/>
  <c r="M39" i="21"/>
  <c r="G40" i="21"/>
  <c r="I40" i="21"/>
  <c r="K40" i="21"/>
  <c r="G41" i="21"/>
  <c r="I41" i="21"/>
  <c r="K41" i="21"/>
  <c r="D45" i="21"/>
  <c r="E45" i="21"/>
  <c r="F45" i="21"/>
  <c r="H45" i="21"/>
  <c r="H58" i="21"/>
  <c r="J45" i="21"/>
  <c r="L45" i="21"/>
  <c r="M45" i="21"/>
  <c r="G46" i="21"/>
  <c r="I46" i="21"/>
  <c r="K46" i="21"/>
  <c r="G47" i="21"/>
  <c r="I47" i="21"/>
  <c r="K47" i="21"/>
  <c r="G48" i="21"/>
  <c r="I48" i="21"/>
  <c r="K48" i="21"/>
  <c r="D51" i="21"/>
  <c r="D58" i="21"/>
  <c r="E51" i="21"/>
  <c r="F51" i="21"/>
  <c r="H51" i="21"/>
  <c r="J51" i="21"/>
  <c r="L51" i="21"/>
  <c r="M51" i="21"/>
  <c r="G52" i="21"/>
  <c r="I52" i="21"/>
  <c r="K52" i="21"/>
  <c r="D8" i="20"/>
  <c r="E8" i="20"/>
  <c r="F8" i="20"/>
  <c r="H8" i="20"/>
  <c r="M8" i="20"/>
  <c r="D19" i="20"/>
  <c r="E19" i="20"/>
  <c r="F19" i="20"/>
  <c r="H19" i="20"/>
  <c r="J19" i="20"/>
  <c r="L19" i="20"/>
  <c r="M19" i="20"/>
  <c r="D36" i="20"/>
  <c r="E36" i="20"/>
  <c r="F39" i="20"/>
  <c r="F36" i="20" s="1"/>
  <c r="H39" i="20"/>
  <c r="J39" i="20"/>
  <c r="L39" i="20"/>
  <c r="M39" i="20"/>
  <c r="M36" i="20" s="1"/>
  <c r="G41" i="20"/>
  <c r="I41" i="20"/>
  <c r="K41" i="20"/>
  <c r="D46" i="20"/>
  <c r="E46" i="20"/>
  <c r="E59" i="20" s="1"/>
  <c r="F46" i="20"/>
  <c r="H46" i="20"/>
  <c r="J46" i="20"/>
  <c r="L46" i="20"/>
  <c r="M46" i="20"/>
  <c r="G47" i="20"/>
  <c r="I47" i="20"/>
  <c r="K47" i="20"/>
  <c r="G48" i="20"/>
  <c r="I48" i="20"/>
  <c r="K48" i="20"/>
  <c r="G49" i="20"/>
  <c r="I49" i="20"/>
  <c r="K49" i="20"/>
  <c r="G50" i="20"/>
  <c r="I50" i="20"/>
  <c r="K50" i="20"/>
  <c r="G51" i="20"/>
  <c r="I51" i="20"/>
  <c r="K51" i="20"/>
  <c r="D52" i="20"/>
  <c r="D59" i="20" s="1"/>
  <c r="E52" i="20"/>
  <c r="F52" i="20"/>
  <c r="H52" i="20"/>
  <c r="J52" i="20"/>
  <c r="L52" i="20"/>
  <c r="M52" i="20"/>
  <c r="G53" i="20"/>
  <c r="I53" i="20"/>
  <c r="K53" i="20"/>
  <c r="D8" i="18"/>
  <c r="E8" i="18"/>
  <c r="F8" i="18"/>
  <c r="H8" i="18"/>
  <c r="J8" i="18"/>
  <c r="K8" i="18" s="1"/>
  <c r="L8" i="18"/>
  <c r="L46" i="18" s="1"/>
  <c r="G10" i="18"/>
  <c r="I10" i="18"/>
  <c r="K10" i="18"/>
  <c r="G11" i="18"/>
  <c r="I11" i="18"/>
  <c r="K11" i="18"/>
  <c r="G12" i="18"/>
  <c r="I12" i="18"/>
  <c r="K12" i="18"/>
  <c r="G13" i="18"/>
  <c r="I13" i="18"/>
  <c r="K13" i="18"/>
  <c r="G14" i="18"/>
  <c r="I14" i="18"/>
  <c r="K14" i="18"/>
  <c r="G15" i="18"/>
  <c r="I15" i="18"/>
  <c r="K15" i="18"/>
  <c r="G16" i="18"/>
  <c r="I16" i="18"/>
  <c r="K16" i="18"/>
  <c r="G17" i="18"/>
  <c r="I17" i="18"/>
  <c r="K17" i="18"/>
  <c r="G18" i="18"/>
  <c r="I18" i="18"/>
  <c r="K18" i="18"/>
  <c r="D20" i="18"/>
  <c r="D19" i="18" s="1"/>
  <c r="E20" i="18"/>
  <c r="F21" i="18"/>
  <c r="F20" i="18" s="1"/>
  <c r="H20" i="18"/>
  <c r="I20" i="18" s="1"/>
  <c r="I18" i="14" s="1"/>
  <c r="L20" i="18"/>
  <c r="H31" i="18"/>
  <c r="G31" i="18" s="1"/>
  <c r="J31" i="18"/>
  <c r="I31" i="18" s="1"/>
  <c r="L31" i="18"/>
  <c r="K31" i="18" s="1"/>
  <c r="M31" i="18"/>
  <c r="G34" i="18"/>
  <c r="I34" i="18"/>
  <c r="K34" i="18"/>
  <c r="H37" i="18"/>
  <c r="G37" i="18" s="1"/>
  <c r="J37" i="18"/>
  <c r="I37" i="18" s="1"/>
  <c r="L37" i="18"/>
  <c r="M37" i="18"/>
  <c r="G38" i="18"/>
  <c r="I38" i="18"/>
  <c r="K38" i="18"/>
  <c r="D39" i="18"/>
  <c r="E39" i="18"/>
  <c r="F39" i="18"/>
  <c r="L39" i="18"/>
  <c r="G40" i="18"/>
  <c r="I40" i="18"/>
  <c r="K40" i="18"/>
  <c r="G41" i="18"/>
  <c r="I41" i="18"/>
  <c r="K41" i="18"/>
  <c r="F42" i="18"/>
  <c r="H42" i="18"/>
  <c r="J39" i="14"/>
  <c r="I57" i="177" s="1"/>
  <c r="M42" i="18"/>
  <c r="M39" i="18" s="1"/>
  <c r="M46" i="18" s="1"/>
  <c r="G43" i="18"/>
  <c r="I43" i="18"/>
  <c r="K43" i="18"/>
  <c r="P43" i="18"/>
  <c r="Q43" i="18"/>
  <c r="R43" i="18"/>
  <c r="R44" i="18"/>
  <c r="G44" i="18"/>
  <c r="I44" i="18"/>
  <c r="K44" i="18"/>
  <c r="D49" i="18"/>
  <c r="E49" i="18"/>
  <c r="F49" i="18"/>
  <c r="H49" i="18"/>
  <c r="D8" i="183" s="1"/>
  <c r="D13" i="183" s="1"/>
  <c r="AR33" i="184" s="1"/>
  <c r="H70" i="11"/>
  <c r="J49" i="18"/>
  <c r="I49" i="18" s="1"/>
  <c r="L49" i="18"/>
  <c r="H8" i="183" s="1"/>
  <c r="M49" i="18"/>
  <c r="M70" i="11" s="1"/>
  <c r="G50" i="18"/>
  <c r="I50" i="18"/>
  <c r="I47" i="17" s="1"/>
  <c r="I47" i="7" s="1"/>
  <c r="K50" i="18"/>
  <c r="K47" i="17" s="1"/>
  <c r="G51" i="18"/>
  <c r="I51" i="18"/>
  <c r="I48" i="17" s="1"/>
  <c r="I48" i="7" s="1"/>
  <c r="K51" i="18"/>
  <c r="K48" i="17" s="1"/>
  <c r="G52" i="18"/>
  <c r="I52" i="18"/>
  <c r="I49" i="17" s="1"/>
  <c r="I49" i="7" s="1"/>
  <c r="K52" i="18"/>
  <c r="K49" i="17" s="1"/>
  <c r="G53" i="18"/>
  <c r="I53" i="18"/>
  <c r="K53" i="18"/>
  <c r="D55" i="18"/>
  <c r="E55" i="18"/>
  <c r="F55" i="18"/>
  <c r="H55" i="18"/>
  <c r="J55" i="18"/>
  <c r="K55" i="18" s="1"/>
  <c r="L55" i="18"/>
  <c r="M55" i="18"/>
  <c r="G56" i="18"/>
  <c r="I56" i="18"/>
  <c r="K56" i="18"/>
  <c r="I57" i="18"/>
  <c r="K57" i="18"/>
  <c r="I58" i="18"/>
  <c r="K58" i="18"/>
  <c r="D9" i="17"/>
  <c r="D8" i="17"/>
  <c r="D43" i="17" s="1"/>
  <c r="E9" i="17"/>
  <c r="E8" i="17" s="1"/>
  <c r="E43" i="17" s="1"/>
  <c r="D10" i="17"/>
  <c r="E10" i="17"/>
  <c r="D11" i="17"/>
  <c r="E11" i="17"/>
  <c r="D12" i="17"/>
  <c r="E12" i="17"/>
  <c r="D13" i="17"/>
  <c r="E13" i="17"/>
  <c r="D14" i="17"/>
  <c r="E14" i="17"/>
  <c r="D15" i="17"/>
  <c r="E15" i="17"/>
  <c r="D18" i="17"/>
  <c r="E18" i="17"/>
  <c r="D21" i="17"/>
  <c r="D20" i="17" s="1"/>
  <c r="E21" i="17"/>
  <c r="E20" i="17" s="1"/>
  <c r="D24" i="17"/>
  <c r="E24" i="17"/>
  <c r="D25" i="17"/>
  <c r="E25" i="17"/>
  <c r="D26" i="17"/>
  <c r="E26" i="17"/>
  <c r="D29" i="17"/>
  <c r="E29" i="17"/>
  <c r="D33" i="17"/>
  <c r="E33" i="17"/>
  <c r="D36" i="17"/>
  <c r="E36" i="17"/>
  <c r="D38" i="17"/>
  <c r="D37" i="17" s="1"/>
  <c r="E38" i="17"/>
  <c r="E37" i="17" s="1"/>
  <c r="D39" i="17"/>
  <c r="E39" i="17"/>
  <c r="D40" i="17"/>
  <c r="E40" i="17"/>
  <c r="F40" i="17"/>
  <c r="F37" i="17" s="1"/>
  <c r="F46" i="17"/>
  <c r="F61" i="17" s="1"/>
  <c r="AP7" i="184" s="1"/>
  <c r="G46" i="17"/>
  <c r="G61" i="17" s="1"/>
  <c r="AQ7" i="184" s="1"/>
  <c r="D47" i="17"/>
  <c r="D46" i="17"/>
  <c r="E47" i="17"/>
  <c r="E46" i="17"/>
  <c r="D48" i="17"/>
  <c r="E48" i="17"/>
  <c r="D49" i="17"/>
  <c r="E49" i="17"/>
  <c r="D50" i="17"/>
  <c r="E50" i="17"/>
  <c r="D51" i="17"/>
  <c r="E51" i="17"/>
  <c r="E55" i="17"/>
  <c r="D57" i="17"/>
  <c r="E57" i="17"/>
  <c r="E54" i="17"/>
  <c r="D58" i="17"/>
  <c r="E58" i="17"/>
  <c r="D59" i="17"/>
  <c r="E59" i="17"/>
  <c r="D63" i="17"/>
  <c r="D64" i="17"/>
  <c r="E64" i="17"/>
  <c r="F64" i="17"/>
  <c r="G64" i="17"/>
  <c r="M64" i="17"/>
  <c r="D41" i="16"/>
  <c r="F41" i="16"/>
  <c r="G41" i="16" s="1"/>
  <c r="H41" i="16"/>
  <c r="J41" i="16"/>
  <c r="K41" i="16"/>
  <c r="F45" i="16"/>
  <c r="H45" i="16"/>
  <c r="J45" i="16"/>
  <c r="K45" i="16"/>
  <c r="D50" i="16"/>
  <c r="D45" i="16" s="1"/>
  <c r="D54" i="16"/>
  <c r="F54" i="16"/>
  <c r="AA54" i="14"/>
  <c r="H54" i="16"/>
  <c r="J54" i="16"/>
  <c r="AE54" i="14" s="1"/>
  <c r="K54" i="16"/>
  <c r="AF54" i="14" s="1"/>
  <c r="D56" i="16"/>
  <c r="F56" i="16"/>
  <c r="H56" i="16"/>
  <c r="J56" i="16"/>
  <c r="AC66" i="6" s="1"/>
  <c r="K56" i="16"/>
  <c r="D58" i="16"/>
  <c r="Y57" i="14"/>
  <c r="P57" i="14" s="1"/>
  <c r="F58" i="16"/>
  <c r="H58" i="16"/>
  <c r="J58" i="16"/>
  <c r="K58" i="16"/>
  <c r="AF57" i="14" s="1"/>
  <c r="D59" i="16"/>
  <c r="F59" i="16"/>
  <c r="H59" i="16"/>
  <c r="J59" i="16"/>
  <c r="K59" i="16"/>
  <c r="D63" i="16"/>
  <c r="F63" i="16"/>
  <c r="H63" i="16"/>
  <c r="J63" i="16"/>
  <c r="K63" i="16"/>
  <c r="D9" i="15"/>
  <c r="F9" i="15"/>
  <c r="AA7" i="14" s="1"/>
  <c r="H9" i="15"/>
  <c r="AC7" i="14" s="1"/>
  <c r="J9" i="15"/>
  <c r="K9" i="15"/>
  <c r="D10" i="15"/>
  <c r="Y8" i="14" s="1"/>
  <c r="F10" i="15"/>
  <c r="AA8" i="14" s="1"/>
  <c r="H10" i="15"/>
  <c r="J10" i="15"/>
  <c r="K10" i="15"/>
  <c r="D11" i="15"/>
  <c r="F11" i="15"/>
  <c r="AA9" i="14" s="1"/>
  <c r="H11" i="15"/>
  <c r="J11" i="15"/>
  <c r="K11" i="15"/>
  <c r="AF9" i="14" s="1"/>
  <c r="D12" i="15"/>
  <c r="F12" i="15"/>
  <c r="AA10" i="14" s="1"/>
  <c r="H12" i="15"/>
  <c r="J12" i="15"/>
  <c r="K12" i="15"/>
  <c r="AF10" i="14" s="1"/>
  <c r="D13" i="15"/>
  <c r="F13" i="15"/>
  <c r="AA11" i="14"/>
  <c r="H13" i="15"/>
  <c r="AC11" i="14"/>
  <c r="J13" i="15"/>
  <c r="K13" i="15"/>
  <c r="AF11" i="14" s="1"/>
  <c r="W11" i="14" s="1"/>
  <c r="D14" i="15"/>
  <c r="F14" i="15"/>
  <c r="H14" i="15"/>
  <c r="J14" i="15"/>
  <c r="AE12" i="14" s="1"/>
  <c r="K14" i="15"/>
  <c r="AF12" i="14" s="1"/>
  <c r="D15" i="15"/>
  <c r="F15" i="15"/>
  <c r="AA13" i="14"/>
  <c r="H15" i="15"/>
  <c r="J15" i="15"/>
  <c r="I15" i="15" s="1"/>
  <c r="K15" i="15"/>
  <c r="AF13" i="14" s="1"/>
  <c r="F16" i="15"/>
  <c r="E16" i="15" s="1"/>
  <c r="H16" i="15"/>
  <c r="J16" i="15"/>
  <c r="AE14" i="14" s="1"/>
  <c r="K16" i="15"/>
  <c r="AF14" i="14" s="1"/>
  <c r="F17" i="15"/>
  <c r="H17" i="15"/>
  <c r="AC15" i="14" s="1"/>
  <c r="T15" i="14" s="1"/>
  <c r="J17" i="15"/>
  <c r="K17" i="15"/>
  <c r="AF15" i="14" s="1"/>
  <c r="W15" i="14" s="1"/>
  <c r="D18" i="15"/>
  <c r="F18" i="15"/>
  <c r="G18" i="15"/>
  <c r="AF16" i="14"/>
  <c r="W16" i="14" s="1"/>
  <c r="D19" i="15"/>
  <c r="Y17" i="14" s="1"/>
  <c r="F19" i="15"/>
  <c r="AA17" i="14" s="1"/>
  <c r="H19" i="15"/>
  <c r="AC17" i="14" s="1"/>
  <c r="T17" i="14" s="1"/>
  <c r="J19" i="15"/>
  <c r="K19" i="15"/>
  <c r="AF17" i="14" s="1"/>
  <c r="W17" i="14" s="1"/>
  <c r="F23" i="15"/>
  <c r="AA21" i="14" s="1"/>
  <c r="H23" i="15"/>
  <c r="G23" i="15"/>
  <c r="J23" i="15"/>
  <c r="I23" i="15" s="1"/>
  <c r="K23" i="15"/>
  <c r="D24" i="15"/>
  <c r="F24" i="15"/>
  <c r="H24" i="15"/>
  <c r="Y30" i="5" s="1"/>
  <c r="J24" i="15"/>
  <c r="K24" i="15"/>
  <c r="AF22" i="14" s="1"/>
  <c r="D26" i="15"/>
  <c r="Y24" i="14" s="1"/>
  <c r="D27" i="15"/>
  <c r="Y25" i="14" s="1"/>
  <c r="F27" i="15"/>
  <c r="AA25" i="14" s="1"/>
  <c r="H27" i="15"/>
  <c r="AC25" i="14" s="1"/>
  <c r="J27" i="15"/>
  <c r="I27" i="15" s="1"/>
  <c r="K27" i="15"/>
  <c r="AF25" i="14" s="1"/>
  <c r="D30" i="15"/>
  <c r="F30" i="15"/>
  <c r="AA28" i="14" s="1"/>
  <c r="K33" i="15"/>
  <c r="K30" i="15" s="1"/>
  <c r="D34" i="15"/>
  <c r="Y32" i="14" s="1"/>
  <c r="F34" i="15"/>
  <c r="H34" i="15"/>
  <c r="AC32" i="14" s="1"/>
  <c r="J34" i="15"/>
  <c r="D37" i="15"/>
  <c r="F37" i="15"/>
  <c r="F36" i="15" s="1"/>
  <c r="AA34" i="14" s="1"/>
  <c r="H37" i="15"/>
  <c r="J37" i="15"/>
  <c r="J36" i="15"/>
  <c r="K37" i="15"/>
  <c r="K36" i="15" s="1"/>
  <c r="F39" i="15"/>
  <c r="AA37" i="14" s="1"/>
  <c r="H39" i="15"/>
  <c r="G39" i="15" s="1"/>
  <c r="J39" i="15"/>
  <c r="K39" i="15"/>
  <c r="AF37" i="14"/>
  <c r="E40" i="15"/>
  <c r="G40" i="15"/>
  <c r="D42" i="15"/>
  <c r="Y40" i="14" s="1"/>
  <c r="F42" i="15"/>
  <c r="H42" i="15"/>
  <c r="AC40" i="14" s="1"/>
  <c r="T40" i="14" s="1"/>
  <c r="J42" i="15"/>
  <c r="K42" i="15"/>
  <c r="AF40" i="14" s="1"/>
  <c r="F51" i="15"/>
  <c r="H51" i="15"/>
  <c r="J51" i="15"/>
  <c r="K51" i="15"/>
  <c r="AF49" i="14" s="1"/>
  <c r="D58" i="15"/>
  <c r="F58" i="15"/>
  <c r="AA56" i="14" s="1"/>
  <c r="J58" i="15"/>
  <c r="F59" i="15"/>
  <c r="H59" i="15"/>
  <c r="J59" i="15"/>
  <c r="K59" i="15"/>
  <c r="D60" i="15"/>
  <c r="Y58" i="14" s="1"/>
  <c r="F60" i="15"/>
  <c r="H60" i="15"/>
  <c r="J60" i="15"/>
  <c r="I60" i="15" s="1"/>
  <c r="AE58" i="14"/>
  <c r="K60" i="15"/>
  <c r="D61" i="15"/>
  <c r="F61" i="15"/>
  <c r="H61" i="15"/>
  <c r="AC59" i="14" s="1"/>
  <c r="J61" i="15"/>
  <c r="K61" i="15"/>
  <c r="AF59" i="14" s="1"/>
  <c r="D65" i="15"/>
  <c r="F65" i="15"/>
  <c r="H65" i="15"/>
  <c r="J65" i="15"/>
  <c r="K65" i="15"/>
  <c r="D7" i="14"/>
  <c r="D6" i="14" s="1"/>
  <c r="D42" i="14" s="1"/>
  <c r="E7" i="14"/>
  <c r="E6" i="14" s="1"/>
  <c r="E42" i="14" s="1"/>
  <c r="F7" i="14"/>
  <c r="H7" i="14"/>
  <c r="J7" i="14"/>
  <c r="T7" i="14" s="1"/>
  <c r="L7" i="14"/>
  <c r="M7" i="14"/>
  <c r="AF7" i="14"/>
  <c r="D8" i="14"/>
  <c r="E8" i="14"/>
  <c r="F8" i="14"/>
  <c r="H8" i="14"/>
  <c r="J8" i="14"/>
  <c r="T8" i="14" s="1"/>
  <c r="AC8" i="14"/>
  <c r="D9" i="14"/>
  <c r="E9" i="14"/>
  <c r="F9" i="14"/>
  <c r="H9" i="14"/>
  <c r="J9" i="14"/>
  <c r="L9" i="14"/>
  <c r="M9" i="14"/>
  <c r="D10" i="14"/>
  <c r="E10" i="14"/>
  <c r="F10" i="14"/>
  <c r="P10" i="14" s="1"/>
  <c r="H10" i="14"/>
  <c r="J10" i="14"/>
  <c r="L10" i="14"/>
  <c r="K10" i="14" s="1"/>
  <c r="M10" i="14"/>
  <c r="W10" i="14" s="1"/>
  <c r="Y10" i="14"/>
  <c r="D11" i="14"/>
  <c r="E11" i="14"/>
  <c r="F11" i="14"/>
  <c r="H11" i="14"/>
  <c r="J11" i="14"/>
  <c r="AE11" i="14"/>
  <c r="V11" i="14" s="1"/>
  <c r="D12" i="14"/>
  <c r="E12" i="14"/>
  <c r="F12" i="14"/>
  <c r="H12" i="14"/>
  <c r="J12" i="14"/>
  <c r="L12" i="14"/>
  <c r="M12" i="14"/>
  <c r="D13" i="14"/>
  <c r="E13" i="14"/>
  <c r="F13" i="14"/>
  <c r="H13" i="14"/>
  <c r="J13" i="14"/>
  <c r="L13" i="14"/>
  <c r="K13" i="14" s="1"/>
  <c r="M13" i="14"/>
  <c r="F14" i="14"/>
  <c r="H14" i="14"/>
  <c r="R14" i="14"/>
  <c r="J14" i="14"/>
  <c r="L14" i="14"/>
  <c r="M14" i="14"/>
  <c r="Y14" i="14"/>
  <c r="AA14" i="14"/>
  <c r="G15" i="14"/>
  <c r="I15" i="14"/>
  <c r="Y15" i="14"/>
  <c r="P15" i="14" s="1"/>
  <c r="D16" i="14"/>
  <c r="E16" i="14"/>
  <c r="F16" i="14"/>
  <c r="H16" i="14"/>
  <c r="J16" i="14"/>
  <c r="I16" i="14" s="1"/>
  <c r="Y16" i="14"/>
  <c r="F17" i="14"/>
  <c r="P17" i="14" s="1"/>
  <c r="H17" i="14"/>
  <c r="D19" i="14"/>
  <c r="D18" i="14" s="1"/>
  <c r="D17" i="14" s="1"/>
  <c r="E19" i="14"/>
  <c r="E18" i="14" s="1"/>
  <c r="E17" i="14" s="1"/>
  <c r="Y20" i="14"/>
  <c r="P20" i="14" s="1"/>
  <c r="AA20" i="14"/>
  <c r="R20" i="14" s="1"/>
  <c r="AC20" i="14"/>
  <c r="T20" i="14" s="1"/>
  <c r="AE20" i="14"/>
  <c r="V20" i="14" s="1"/>
  <c r="AF20" i="14"/>
  <c r="W20" i="14" s="1"/>
  <c r="F21" i="14"/>
  <c r="H21" i="14"/>
  <c r="H19" i="14" s="1"/>
  <c r="J21" i="14"/>
  <c r="L21" i="14"/>
  <c r="K21" i="14" s="1"/>
  <c r="M21" i="14"/>
  <c r="Y21" i="14"/>
  <c r="AE21" i="14"/>
  <c r="AF21" i="14"/>
  <c r="D22" i="14"/>
  <c r="E22" i="14"/>
  <c r="F22" i="14"/>
  <c r="H22" i="14"/>
  <c r="J22" i="14"/>
  <c r="T22" i="14" s="1"/>
  <c r="L22" i="14"/>
  <c r="K22" i="14" s="1"/>
  <c r="M22" i="14"/>
  <c r="Y22" i="14"/>
  <c r="AC22" i="14"/>
  <c r="D24" i="14"/>
  <c r="E24" i="14"/>
  <c r="F24" i="14"/>
  <c r="H24" i="14"/>
  <c r="J24" i="14"/>
  <c r="I24" i="14"/>
  <c r="L24" i="14"/>
  <c r="M24" i="14"/>
  <c r="D25" i="14"/>
  <c r="E25" i="14"/>
  <c r="F25" i="14"/>
  <c r="H25" i="14"/>
  <c r="J25" i="14"/>
  <c r="I25" i="14"/>
  <c r="L25" i="14"/>
  <c r="M25" i="14"/>
  <c r="Y26" i="14"/>
  <c r="P26" i="14"/>
  <c r="AA26" i="14"/>
  <c r="R26" i="14"/>
  <c r="AC26" i="14"/>
  <c r="T26" i="14"/>
  <c r="AE26" i="14"/>
  <c r="V26" i="14"/>
  <c r="AF26" i="14"/>
  <c r="W26" i="14"/>
  <c r="Y27" i="14"/>
  <c r="P27" i="14"/>
  <c r="AA27" i="14"/>
  <c r="R27" i="14"/>
  <c r="AC27" i="14"/>
  <c r="T27" i="14"/>
  <c r="AE27" i="14"/>
  <c r="V27" i="14"/>
  <c r="AF27" i="14"/>
  <c r="W27" i="14"/>
  <c r="D28" i="14"/>
  <c r="E28" i="14"/>
  <c r="F28" i="14"/>
  <c r="H28" i="14"/>
  <c r="J28" i="14"/>
  <c r="L28" i="14"/>
  <c r="M28" i="14"/>
  <c r="Y28" i="14"/>
  <c r="P28" i="14" s="1"/>
  <c r="AC28" i="14"/>
  <c r="AE28" i="14"/>
  <c r="Y29" i="14"/>
  <c r="P29" i="14" s="1"/>
  <c r="AA29" i="14"/>
  <c r="R29" i="14" s="1"/>
  <c r="AC29" i="14"/>
  <c r="T29" i="14" s="1"/>
  <c r="AE29" i="14"/>
  <c r="V29" i="14" s="1"/>
  <c r="AF29" i="14"/>
  <c r="W29" i="14" s="1"/>
  <c r="Y30" i="14"/>
  <c r="P30" i="14" s="1"/>
  <c r="AA30" i="14"/>
  <c r="R30" i="14" s="1"/>
  <c r="AC30" i="14"/>
  <c r="T30" i="14" s="1"/>
  <c r="AE30" i="14"/>
  <c r="V30" i="14" s="1"/>
  <c r="AF30" i="14"/>
  <c r="W30" i="14" s="1"/>
  <c r="M31" i="14"/>
  <c r="W31" i="14" s="1"/>
  <c r="Y31" i="14"/>
  <c r="P31" i="14"/>
  <c r="AA31" i="14"/>
  <c r="R31" i="14"/>
  <c r="AC31" i="14"/>
  <c r="T31" i="14"/>
  <c r="AE31" i="14"/>
  <c r="V31" i="14"/>
  <c r="AF31" i="14"/>
  <c r="D32" i="14"/>
  <c r="E32" i="14"/>
  <c r="F32" i="14"/>
  <c r="H32" i="14"/>
  <c r="J32" i="14"/>
  <c r="L32" i="14"/>
  <c r="M32" i="14"/>
  <c r="AA32" i="14"/>
  <c r="AF32" i="14"/>
  <c r="Y33" i="14"/>
  <c r="P33" i="14" s="1"/>
  <c r="AA33" i="14"/>
  <c r="R33" i="14"/>
  <c r="AC33" i="14"/>
  <c r="T33" i="14" s="1"/>
  <c r="AE33" i="14"/>
  <c r="V33" i="14"/>
  <c r="AF33" i="14"/>
  <c r="W33" i="14" s="1"/>
  <c r="Y34" i="14"/>
  <c r="D35" i="14"/>
  <c r="E35" i="14"/>
  <c r="F35" i="14"/>
  <c r="H35" i="14"/>
  <c r="J35" i="14"/>
  <c r="M34" i="14"/>
  <c r="Y35" i="14"/>
  <c r="AA35" i="14"/>
  <c r="D37" i="14"/>
  <c r="D36" i="14"/>
  <c r="E37" i="14"/>
  <c r="F37" i="14"/>
  <c r="H37" i="14"/>
  <c r="J37" i="14"/>
  <c r="L37" i="14"/>
  <c r="M37" i="14"/>
  <c r="Y37" i="14"/>
  <c r="AC37" i="14"/>
  <c r="D38" i="14"/>
  <c r="E38" i="14"/>
  <c r="E36" i="14"/>
  <c r="F38" i="14"/>
  <c r="P38" i="14" s="1"/>
  <c r="H38" i="14"/>
  <c r="J38" i="14"/>
  <c r="L38" i="14"/>
  <c r="M38" i="14"/>
  <c r="W38" i="14" s="1"/>
  <c r="Y38" i="14"/>
  <c r="AC38" i="14"/>
  <c r="AE38" i="14"/>
  <c r="AF38" i="14"/>
  <c r="D39" i="14"/>
  <c r="E39" i="14"/>
  <c r="F40" i="14"/>
  <c r="P40" i="14" s="1"/>
  <c r="H40" i="14"/>
  <c r="G40" i="14"/>
  <c r="J40" i="14"/>
  <c r="F41" i="14"/>
  <c r="Q44" i="18"/>
  <c r="J41" i="14"/>
  <c r="Y43" i="14"/>
  <c r="P43" i="14" s="1"/>
  <c r="AA43" i="14"/>
  <c r="R43" i="14" s="1"/>
  <c r="AC43" i="14"/>
  <c r="T43" i="14" s="1"/>
  <c r="AE43" i="14"/>
  <c r="V43" i="14" s="1"/>
  <c r="AF43" i="14"/>
  <c r="W43" i="14" s="1"/>
  <c r="AA44" i="14"/>
  <c r="R44" i="14" s="1"/>
  <c r="AC44" i="14"/>
  <c r="T44" i="14" s="1"/>
  <c r="AE44" i="14"/>
  <c r="V44" i="14" s="1"/>
  <c r="AF44" i="14"/>
  <c r="W44" i="14" s="1"/>
  <c r="D46" i="14"/>
  <c r="D45" i="14" s="1"/>
  <c r="E46" i="14"/>
  <c r="E45" i="14" s="1"/>
  <c r="F46" i="14"/>
  <c r="H46" i="14"/>
  <c r="F48" i="15"/>
  <c r="AA46" i="14" s="1"/>
  <c r="J46" i="14"/>
  <c r="L46" i="14"/>
  <c r="J48" i="15" s="1"/>
  <c r="M46" i="14"/>
  <c r="K48" i="15"/>
  <c r="D47" i="14"/>
  <c r="E47" i="14"/>
  <c r="F47" i="14"/>
  <c r="H47" i="14"/>
  <c r="J47" i="14"/>
  <c r="H49" i="15" s="1"/>
  <c r="AC47" i="14" s="1"/>
  <c r="L47" i="14"/>
  <c r="M47" i="14"/>
  <c r="K49" i="15"/>
  <c r="D48" i="14"/>
  <c r="E48" i="14"/>
  <c r="F48" i="14"/>
  <c r="H48" i="14"/>
  <c r="J48" i="14"/>
  <c r="H50" i="15" s="1"/>
  <c r="L48" i="14"/>
  <c r="J50" i="15" s="1"/>
  <c r="M48" i="14"/>
  <c r="D49" i="14"/>
  <c r="E49" i="14"/>
  <c r="F49" i="14"/>
  <c r="H49" i="14"/>
  <c r="J49" i="14"/>
  <c r="L49" i="14"/>
  <c r="M49" i="14"/>
  <c r="W49" i="14" s="1"/>
  <c r="AC49" i="14"/>
  <c r="D50" i="14"/>
  <c r="E50" i="14"/>
  <c r="F50" i="14"/>
  <c r="D52" i="15" s="1"/>
  <c r="H50" i="14"/>
  <c r="J50" i="14"/>
  <c r="L50" i="14"/>
  <c r="K50" i="14" s="1"/>
  <c r="M50" i="14"/>
  <c r="G51" i="14"/>
  <c r="I51" i="14"/>
  <c r="N51" i="14"/>
  <c r="Y51" i="14"/>
  <c r="P51" i="14"/>
  <c r="AA51" i="14"/>
  <c r="R51" i="14"/>
  <c r="AC51" i="14"/>
  <c r="T51" i="14"/>
  <c r="AE51" i="14"/>
  <c r="V51" i="14"/>
  <c r="AF51" i="14"/>
  <c r="W51" i="14"/>
  <c r="G52" i="14"/>
  <c r="I52" i="14"/>
  <c r="N52" i="14"/>
  <c r="E54" i="14"/>
  <c r="F54" i="14"/>
  <c r="H206" i="70"/>
  <c r="H207" i="70" s="1"/>
  <c r="H54" i="14"/>
  <c r="J206" i="70" s="1"/>
  <c r="J54" i="14"/>
  <c r="L54" i="14"/>
  <c r="M54" i="14"/>
  <c r="O206" i="70" s="1"/>
  <c r="H55" i="14"/>
  <c r="R55" i="14" s="1"/>
  <c r="J55" i="14"/>
  <c r="L55" i="14"/>
  <c r="M55" i="14"/>
  <c r="Y55" i="14"/>
  <c r="P55" i="14"/>
  <c r="AC55" i="14"/>
  <c r="AE55" i="14"/>
  <c r="AF55" i="14"/>
  <c r="D56" i="14"/>
  <c r="E56" i="14"/>
  <c r="F56" i="14"/>
  <c r="H56" i="14"/>
  <c r="J56" i="14"/>
  <c r="T56" i="14" s="1"/>
  <c r="L56" i="14"/>
  <c r="M56" i="14"/>
  <c r="AC56" i="14"/>
  <c r="AF56" i="14"/>
  <c r="D57" i="14"/>
  <c r="E57" i="14"/>
  <c r="H57" i="14"/>
  <c r="J57" i="14"/>
  <c r="L57" i="14"/>
  <c r="M57" i="14"/>
  <c r="D58" i="14"/>
  <c r="E58" i="14"/>
  <c r="F58" i="14"/>
  <c r="P58" i="14" s="1"/>
  <c r="H58" i="14"/>
  <c r="J58" i="14"/>
  <c r="L58" i="14"/>
  <c r="V58" i="14"/>
  <c r="M58" i="14"/>
  <c r="F59" i="14"/>
  <c r="H59" i="14"/>
  <c r="J59" i="14"/>
  <c r="T59" i="14" s="1"/>
  <c r="L59" i="14"/>
  <c r="M59" i="14"/>
  <c r="D61" i="14"/>
  <c r="F61" i="14"/>
  <c r="H61" i="14"/>
  <c r="F64" i="15" s="1"/>
  <c r="H101" i="4"/>
  <c r="J61" i="14"/>
  <c r="M61" i="14"/>
  <c r="K64" i="15" s="1"/>
  <c r="D62" i="14"/>
  <c r="E62" i="14"/>
  <c r="F62" i="14"/>
  <c r="H62" i="14"/>
  <c r="M62" i="14"/>
  <c r="H69" i="14"/>
  <c r="K69" i="14"/>
  <c r="L69" i="14"/>
  <c r="M69" i="14"/>
  <c r="H79" i="14"/>
  <c r="E60" i="177"/>
  <c r="G60" i="177"/>
  <c r="F61" i="177"/>
  <c r="M61" i="177"/>
  <c r="F62" i="177"/>
  <c r="M62" i="177"/>
  <c r="F63" i="177"/>
  <c r="M63" i="177"/>
  <c r="E65" i="177"/>
  <c r="F64" i="177"/>
  <c r="K65" i="177"/>
  <c r="J65" i="177" s="1"/>
  <c r="I82" i="9"/>
  <c r="M66" i="177"/>
  <c r="M67" i="177"/>
  <c r="F71" i="177"/>
  <c r="H71" i="177"/>
  <c r="M71" i="177"/>
  <c r="H73" i="177"/>
  <c r="M73" i="177"/>
  <c r="M74" i="177"/>
  <c r="E75" i="177"/>
  <c r="G75" i="177"/>
  <c r="G77" i="177"/>
  <c r="M77" i="177" s="1"/>
  <c r="F76" i="177"/>
  <c r="H76" i="177"/>
  <c r="H75" i="177" s="1"/>
  <c r="M76" i="177"/>
  <c r="H78" i="177"/>
  <c r="M78" i="177"/>
  <c r="M79" i="177"/>
  <c r="E80" i="177"/>
  <c r="G80" i="177"/>
  <c r="F81" i="177"/>
  <c r="M81" i="177"/>
  <c r="M87" i="177"/>
  <c r="E88" i="177"/>
  <c r="G88" i="177"/>
  <c r="E13" i="181"/>
  <c r="M13" i="181" s="1"/>
  <c r="F89" i="177"/>
  <c r="H89" i="177"/>
  <c r="H88" i="177" s="1"/>
  <c r="M89" i="177"/>
  <c r="H90" i="177"/>
  <c r="M90" i="177"/>
  <c r="H92" i="177"/>
  <c r="M92" i="177"/>
  <c r="M93" i="177"/>
  <c r="F95" i="177"/>
  <c r="H95" i="177"/>
  <c r="M95" i="177"/>
  <c r="F96" i="177"/>
  <c r="H96" i="177"/>
  <c r="M96" i="177"/>
  <c r="F102" i="177"/>
  <c r="H102" i="177"/>
  <c r="M102" i="177"/>
  <c r="M105" i="177"/>
  <c r="E106" i="177"/>
  <c r="C45" i="181" s="1"/>
  <c r="K45" i="181" s="1"/>
  <c r="CU45" i="181" s="1"/>
  <c r="G106" i="177"/>
  <c r="F107" i="177"/>
  <c r="M107" i="177"/>
  <c r="F108" i="177"/>
  <c r="H108" i="177"/>
  <c r="M108" i="177"/>
  <c r="F109" i="177"/>
  <c r="H109" i="177"/>
  <c r="M109" i="177"/>
  <c r="E110" i="177"/>
  <c r="F111" i="177"/>
  <c r="H111" i="177"/>
  <c r="M111" i="177"/>
  <c r="F113" i="177"/>
  <c r="H113" i="177"/>
  <c r="M113" i="177"/>
  <c r="M205" i="177"/>
  <c r="G206" i="177"/>
  <c r="F207" i="177"/>
  <c r="H207" i="177"/>
  <c r="H208" i="177"/>
  <c r="E11" i="182" s="1"/>
  <c r="M11" i="182" s="1"/>
  <c r="CO11" i="182" s="1"/>
  <c r="M207" i="177"/>
  <c r="G208" i="177"/>
  <c r="M274" i="177"/>
  <c r="E280" i="177"/>
  <c r="M281" i="177"/>
  <c r="M282" i="177"/>
  <c r="M283" i="177"/>
  <c r="F7" i="11"/>
  <c r="D9" i="11"/>
  <c r="D8" i="11" s="1"/>
  <c r="E9" i="11"/>
  <c r="E8" i="11" s="1"/>
  <c r="M9" i="11"/>
  <c r="M9" i="9"/>
  <c r="AF9" i="8" s="1"/>
  <c r="W9" i="8" s="1"/>
  <c r="M10" i="11"/>
  <c r="D11" i="11"/>
  <c r="E11" i="11"/>
  <c r="M11" i="11"/>
  <c r="D12" i="11"/>
  <c r="E12" i="11"/>
  <c r="M12" i="11"/>
  <c r="M12" i="9" s="1"/>
  <c r="AF12" i="8"/>
  <c r="M13" i="11"/>
  <c r="M14" i="11"/>
  <c r="M15" i="11"/>
  <c r="M15" i="9"/>
  <c r="AF15" i="8" s="1"/>
  <c r="W15" i="8" s="1"/>
  <c r="M17" i="11"/>
  <c r="M17" i="9"/>
  <c r="AF17" i="8" s="1"/>
  <c r="W17" i="8" s="1"/>
  <c r="M18" i="11"/>
  <c r="M19" i="11"/>
  <c r="M20" i="11"/>
  <c r="M20" i="9"/>
  <c r="AF20" i="8" s="1"/>
  <c r="W20" i="8" s="1"/>
  <c r="M21" i="11"/>
  <c r="M21" i="7" s="1"/>
  <c r="AF21" i="4" s="1"/>
  <c r="W21" i="4" s="1"/>
  <c r="D22" i="11"/>
  <c r="E22" i="11"/>
  <c r="M22" i="11"/>
  <c r="D23" i="11"/>
  <c r="E23" i="11"/>
  <c r="M23" i="11"/>
  <c r="M24" i="11"/>
  <c r="M25" i="11"/>
  <c r="M25" i="9" s="1"/>
  <c r="AF25" i="8" s="1"/>
  <c r="W25" i="8" s="1"/>
  <c r="D26" i="11"/>
  <c r="E26" i="11"/>
  <c r="F31" i="11"/>
  <c r="H31" i="11"/>
  <c r="J31" i="11"/>
  <c r="L31" i="11"/>
  <c r="M31" i="11"/>
  <c r="D33" i="11"/>
  <c r="E33" i="11"/>
  <c r="D37" i="11"/>
  <c r="E37" i="11"/>
  <c r="D38" i="11"/>
  <c r="E38" i="11"/>
  <c r="D39" i="11"/>
  <c r="E39" i="11"/>
  <c r="D40" i="11"/>
  <c r="E40" i="11"/>
  <c r="F41" i="11"/>
  <c r="H41" i="11"/>
  <c r="H36" i="11" s="1"/>
  <c r="J41" i="11"/>
  <c r="J36" i="11" s="1"/>
  <c r="L41" i="11"/>
  <c r="L36" i="11" s="1"/>
  <c r="M41" i="11"/>
  <c r="M36" i="11" s="1"/>
  <c r="D46" i="11"/>
  <c r="D41" i="11"/>
  <c r="E46" i="11"/>
  <c r="E41" i="11"/>
  <c r="E47" i="11"/>
  <c r="D49" i="11"/>
  <c r="E49" i="11"/>
  <c r="D51" i="11"/>
  <c r="D36" i="11" s="1"/>
  <c r="E51" i="11"/>
  <c r="D53" i="11"/>
  <c r="D52" i="11" s="1"/>
  <c r="E53" i="11"/>
  <c r="E52" i="11" s="1"/>
  <c r="D54" i="11"/>
  <c r="E54" i="11"/>
  <c r="F55" i="11"/>
  <c r="F52" i="11" s="1"/>
  <c r="H55" i="11"/>
  <c r="H52" i="11" s="1"/>
  <c r="J55" i="11"/>
  <c r="J52" i="11" s="1"/>
  <c r="L55" i="11"/>
  <c r="L52" i="11" s="1"/>
  <c r="M55" i="11"/>
  <c r="M52" i="11" s="1"/>
  <c r="D57" i="11"/>
  <c r="E57" i="11"/>
  <c r="D59" i="11"/>
  <c r="D58" i="11" s="1"/>
  <c r="E59" i="11"/>
  <c r="E58" i="11" s="1"/>
  <c r="E55" i="11" s="1"/>
  <c r="F61" i="11"/>
  <c r="H61" i="11"/>
  <c r="J61" i="11"/>
  <c r="L61" i="11"/>
  <c r="M61" i="11"/>
  <c r="E62" i="11"/>
  <c r="D64" i="11"/>
  <c r="F64" i="11"/>
  <c r="F63" i="11" s="1"/>
  <c r="H64" i="11"/>
  <c r="H63" i="11" s="1"/>
  <c r="J64" i="11"/>
  <c r="L64" i="11"/>
  <c r="L63" i="11" s="1"/>
  <c r="M64" i="11"/>
  <c r="M63" i="11" s="1"/>
  <c r="AF65" i="8" s="1"/>
  <c r="W65" i="8" s="1"/>
  <c r="D66" i="11"/>
  <c r="E66" i="11"/>
  <c r="E63" i="11" s="1"/>
  <c r="D67" i="11"/>
  <c r="E67" i="11"/>
  <c r="F69" i="11"/>
  <c r="D71" i="11"/>
  <c r="D69" i="11"/>
  <c r="E71" i="11"/>
  <c r="E69" i="11"/>
  <c r="F74" i="11"/>
  <c r="D76" i="11"/>
  <c r="E76" i="11"/>
  <c r="G8" i="10"/>
  <c r="I8" i="10"/>
  <c r="D9" i="10"/>
  <c r="D8" i="10" s="1"/>
  <c r="E9" i="10"/>
  <c r="E8" i="10" s="1"/>
  <c r="E7" i="10" s="1"/>
  <c r="G9" i="10"/>
  <c r="I9" i="10"/>
  <c r="G10" i="10"/>
  <c r="I10" i="10"/>
  <c r="D11" i="10"/>
  <c r="E11" i="10"/>
  <c r="G11" i="10"/>
  <c r="I11" i="10"/>
  <c r="D12" i="10"/>
  <c r="E12" i="10"/>
  <c r="G12" i="10"/>
  <c r="I12" i="10"/>
  <c r="G13" i="10"/>
  <c r="I13" i="10"/>
  <c r="G14" i="10"/>
  <c r="I14" i="10"/>
  <c r="G15" i="10"/>
  <c r="I15" i="10"/>
  <c r="G16" i="10"/>
  <c r="I16" i="10"/>
  <c r="G17" i="10"/>
  <c r="I17" i="10"/>
  <c r="G18" i="10"/>
  <c r="I18" i="10"/>
  <c r="G19" i="10"/>
  <c r="I19" i="10"/>
  <c r="G20" i="10"/>
  <c r="I20" i="10"/>
  <c r="G21" i="10"/>
  <c r="I21" i="10"/>
  <c r="D22" i="10"/>
  <c r="E22" i="10"/>
  <c r="G22" i="10"/>
  <c r="I22" i="10"/>
  <c r="D23" i="10"/>
  <c r="E23" i="10"/>
  <c r="G23" i="10"/>
  <c r="I23" i="10"/>
  <c r="G24" i="10"/>
  <c r="I24" i="10"/>
  <c r="G25" i="10"/>
  <c r="I25" i="10"/>
  <c r="D26" i="10"/>
  <c r="E26" i="10"/>
  <c r="F7" i="10"/>
  <c r="I26" i="10"/>
  <c r="G30" i="10"/>
  <c r="D34" i="10"/>
  <c r="E34" i="10"/>
  <c r="D38" i="10"/>
  <c r="E38" i="10"/>
  <c r="D39" i="10"/>
  <c r="E39" i="10"/>
  <c r="G39" i="10"/>
  <c r="D40" i="10"/>
  <c r="E40" i="10"/>
  <c r="D41" i="10"/>
  <c r="E41" i="10"/>
  <c r="G45" i="10"/>
  <c r="D47" i="10"/>
  <c r="D42" i="10" s="1"/>
  <c r="E47" i="10"/>
  <c r="E42" i="10" s="1"/>
  <c r="G47" i="10"/>
  <c r="I47" i="10"/>
  <c r="E48" i="10"/>
  <c r="G48" i="10"/>
  <c r="I48" i="10"/>
  <c r="G49" i="10"/>
  <c r="I49" i="10"/>
  <c r="D50" i="10"/>
  <c r="E50" i="10"/>
  <c r="G50" i="10"/>
  <c r="I50" i="10"/>
  <c r="G51" i="10"/>
  <c r="I51" i="10"/>
  <c r="D52" i="10"/>
  <c r="E52" i="10"/>
  <c r="E37" i="10"/>
  <c r="D54" i="10"/>
  <c r="E54" i="10"/>
  <c r="E53" i="10" s="1"/>
  <c r="D55" i="10"/>
  <c r="E55" i="10"/>
  <c r="D58" i="10"/>
  <c r="E58" i="10"/>
  <c r="G58" i="10"/>
  <c r="AA67" i="6"/>
  <c r="D60" i="10"/>
  <c r="D59" i="10" s="1"/>
  <c r="D56" i="10" s="1"/>
  <c r="E60" i="10"/>
  <c r="E59" i="10" s="1"/>
  <c r="G60" i="10"/>
  <c r="I60" i="10"/>
  <c r="G61" i="10"/>
  <c r="I61" i="10"/>
  <c r="F62" i="10"/>
  <c r="G62" i="10" s="1"/>
  <c r="J62" i="10"/>
  <c r="L62" i="10"/>
  <c r="K62" i="10" s="1"/>
  <c r="E63" i="10"/>
  <c r="D65" i="10"/>
  <c r="F65" i="10"/>
  <c r="J65" i="10"/>
  <c r="L65" i="10"/>
  <c r="K65" i="10" s="1"/>
  <c r="G66" i="10"/>
  <c r="I66" i="10"/>
  <c r="D67" i="10"/>
  <c r="D64" i="10" s="1"/>
  <c r="E67" i="10"/>
  <c r="E64" i="10" s="1"/>
  <c r="G67" i="10"/>
  <c r="I67" i="10"/>
  <c r="D68" i="10"/>
  <c r="E68" i="10"/>
  <c r="G68" i="10"/>
  <c r="I68" i="10"/>
  <c r="D72" i="10"/>
  <c r="D70" i="10"/>
  <c r="E72" i="10"/>
  <c r="E70" i="10" s="1"/>
  <c r="D77" i="10"/>
  <c r="E77" i="10"/>
  <c r="D9" i="9"/>
  <c r="D8" i="9" s="1"/>
  <c r="E9" i="9"/>
  <c r="E8" i="9" s="1"/>
  <c r="F9" i="9"/>
  <c r="Y9" i="8" s="1"/>
  <c r="P9" i="8" s="1"/>
  <c r="L9" i="9" s="1"/>
  <c r="H9" i="9"/>
  <c r="J9" i="9"/>
  <c r="F10" i="9"/>
  <c r="Y10" i="8" s="1"/>
  <c r="P10" i="8" s="1"/>
  <c r="L10" i="9" s="1"/>
  <c r="H10" i="9"/>
  <c r="J10" i="9"/>
  <c r="AC10" i="8" s="1"/>
  <c r="T10" i="8" s="1"/>
  <c r="M10" i="9"/>
  <c r="AF10" i="8" s="1"/>
  <c r="W10" i="8" s="1"/>
  <c r="D11" i="9"/>
  <c r="E11" i="9"/>
  <c r="D12" i="9"/>
  <c r="E12" i="9"/>
  <c r="F13" i="9"/>
  <c r="Y13" i="8" s="1"/>
  <c r="P13" i="8" s="1"/>
  <c r="L13" i="9" s="1"/>
  <c r="H13" i="9"/>
  <c r="G13" i="9" s="1"/>
  <c r="J13" i="9"/>
  <c r="AC13" i="8"/>
  <c r="T13" i="8" s="1"/>
  <c r="M13" i="9"/>
  <c r="AF13" i="8" s="1"/>
  <c r="W13" i="8" s="1"/>
  <c r="F14" i="9"/>
  <c r="H14" i="9"/>
  <c r="AA14" i="8" s="1"/>
  <c r="R14" i="8" s="1"/>
  <c r="J14" i="9"/>
  <c r="AC14" i="8" s="1"/>
  <c r="T14" i="8" s="1"/>
  <c r="M14" i="9"/>
  <c r="AF14" i="8" s="1"/>
  <c r="W14" i="8" s="1"/>
  <c r="F15" i="9"/>
  <c r="Y15" i="8" s="1"/>
  <c r="P15" i="8" s="1"/>
  <c r="L15" i="9" s="1"/>
  <c r="H15" i="9"/>
  <c r="AA15" i="8" s="1"/>
  <c r="R15" i="8" s="1"/>
  <c r="J15" i="9"/>
  <c r="AC15" i="8" s="1"/>
  <c r="T15" i="8" s="1"/>
  <c r="F17" i="9"/>
  <c r="H17" i="9"/>
  <c r="J17" i="9"/>
  <c r="G18" i="9"/>
  <c r="I18" i="9"/>
  <c r="K18" i="9"/>
  <c r="F19" i="9"/>
  <c r="Y19" i="8"/>
  <c r="P19" i="8" s="1"/>
  <c r="L19" i="9" s="1"/>
  <c r="H19" i="9"/>
  <c r="AA19" i="8"/>
  <c r="R19" i="8" s="1"/>
  <c r="J19" i="9"/>
  <c r="AC19" i="8" s="1"/>
  <c r="T19" i="8" s="1"/>
  <c r="F20" i="9"/>
  <c r="H20" i="9"/>
  <c r="AA20" i="8" s="1"/>
  <c r="R20" i="8" s="1"/>
  <c r="J20" i="9"/>
  <c r="F21" i="9"/>
  <c r="Y21" i="8" s="1"/>
  <c r="P21" i="8" s="1"/>
  <c r="L21" i="9" s="1"/>
  <c r="H21" i="9"/>
  <c r="J21" i="9"/>
  <c r="M21" i="9"/>
  <c r="AF21" i="8" s="1"/>
  <c r="W21" i="8" s="1"/>
  <c r="D22" i="9"/>
  <c r="E22" i="9"/>
  <c r="F22" i="9"/>
  <c r="Y22" i="8" s="1"/>
  <c r="P22" i="8" s="1"/>
  <c r="L22" i="9" s="1"/>
  <c r="H22" i="9"/>
  <c r="AA22" i="8" s="1"/>
  <c r="R22" i="8" s="1"/>
  <c r="J22" i="9"/>
  <c r="AC22" i="8" s="1"/>
  <c r="T22" i="8" s="1"/>
  <c r="M22" i="9"/>
  <c r="AF22" i="8" s="1"/>
  <c r="W22" i="8" s="1"/>
  <c r="D23" i="9"/>
  <c r="E23" i="9"/>
  <c r="F23" i="9"/>
  <c r="Y23" i="8" s="1"/>
  <c r="P23" i="8" s="1"/>
  <c r="L23" i="9" s="1"/>
  <c r="H23" i="9"/>
  <c r="J23" i="9"/>
  <c r="F24" i="9"/>
  <c r="Y24" i="8" s="1"/>
  <c r="P24" i="8" s="1"/>
  <c r="L24" i="9" s="1"/>
  <c r="AE24" i="8" s="1"/>
  <c r="V24" i="8" s="1"/>
  <c r="H24" i="9"/>
  <c r="AA24" i="8" s="1"/>
  <c r="R24" i="8" s="1"/>
  <c r="J24" i="9"/>
  <c r="AC24" i="8"/>
  <c r="T24" i="8" s="1"/>
  <c r="M24" i="9"/>
  <c r="AF24" i="8" s="1"/>
  <c r="W24" i="8" s="1"/>
  <c r="F25" i="9"/>
  <c r="H25" i="9"/>
  <c r="J25" i="9"/>
  <c r="AC25" i="8"/>
  <c r="T25" i="8" s="1"/>
  <c r="D26" i="9"/>
  <c r="E26" i="9"/>
  <c r="G27" i="9"/>
  <c r="K27" i="9"/>
  <c r="G28" i="9"/>
  <c r="G29" i="9"/>
  <c r="I29" i="9"/>
  <c r="K29" i="9"/>
  <c r="G30" i="9"/>
  <c r="I30" i="9"/>
  <c r="G31" i="9"/>
  <c r="I31" i="9"/>
  <c r="K31" i="9"/>
  <c r="F33" i="9"/>
  <c r="F32" i="9" s="1"/>
  <c r="G34" i="9"/>
  <c r="J33" i="9"/>
  <c r="M33" i="9"/>
  <c r="G35" i="9"/>
  <c r="I35" i="9"/>
  <c r="K35" i="9"/>
  <c r="G36" i="9"/>
  <c r="V42" i="5" s="1"/>
  <c r="D37" i="9"/>
  <c r="E37" i="9"/>
  <c r="D41" i="9"/>
  <c r="E41" i="9"/>
  <c r="D42" i="9"/>
  <c r="E42" i="9"/>
  <c r="D43" i="9"/>
  <c r="E43" i="9"/>
  <c r="D44" i="9"/>
  <c r="E44" i="9"/>
  <c r="G47" i="9"/>
  <c r="I47" i="9"/>
  <c r="G48" i="9"/>
  <c r="I48" i="9"/>
  <c r="D51" i="9"/>
  <c r="D45" i="9" s="1"/>
  <c r="E51" i="9"/>
  <c r="E52" i="9"/>
  <c r="D54" i="9"/>
  <c r="E54" i="9"/>
  <c r="E45" i="9"/>
  <c r="D56" i="9"/>
  <c r="D40" i="9" s="1"/>
  <c r="E56" i="9"/>
  <c r="D58" i="9"/>
  <c r="E58" i="9"/>
  <c r="E57" i="9" s="1"/>
  <c r="D59" i="9"/>
  <c r="E59" i="9"/>
  <c r="D62" i="9"/>
  <c r="E62" i="9"/>
  <c r="D64" i="9"/>
  <c r="D63" i="9" s="1"/>
  <c r="D60" i="9" s="1"/>
  <c r="E64" i="9"/>
  <c r="E63" i="9" s="1"/>
  <c r="E60" i="9" s="1"/>
  <c r="E67" i="9"/>
  <c r="D69" i="9"/>
  <c r="D68" i="9" s="1"/>
  <c r="D71" i="9"/>
  <c r="E71" i="9"/>
  <c r="E68" i="9"/>
  <c r="D72" i="9"/>
  <c r="E72" i="9"/>
  <c r="D76" i="9"/>
  <c r="D74" i="9" s="1"/>
  <c r="E76" i="9"/>
  <c r="E74" i="9" s="1"/>
  <c r="AE74" i="8"/>
  <c r="V74" i="8" s="1"/>
  <c r="D81" i="9"/>
  <c r="E81" i="9"/>
  <c r="D9" i="8"/>
  <c r="D8" i="8" s="1"/>
  <c r="E9" i="8"/>
  <c r="E8" i="8" s="1"/>
  <c r="G9" i="8"/>
  <c r="N9" i="8"/>
  <c r="G10" i="8"/>
  <c r="N10" i="8"/>
  <c r="D11" i="8"/>
  <c r="E11" i="8"/>
  <c r="F11" i="9"/>
  <c r="N11" i="8"/>
  <c r="J11" i="9"/>
  <c r="AC11" i="8" s="1"/>
  <c r="T11" i="8" s="1"/>
  <c r="D12" i="8"/>
  <c r="E12" i="8"/>
  <c r="F12" i="9"/>
  <c r="N12" i="8"/>
  <c r="G12" i="8"/>
  <c r="G13" i="8"/>
  <c r="N13" i="8"/>
  <c r="G14" i="8"/>
  <c r="N14" i="8"/>
  <c r="G15" i="8"/>
  <c r="N15" i="8"/>
  <c r="G17" i="8"/>
  <c r="N17" i="8"/>
  <c r="G18" i="8"/>
  <c r="N18" i="8"/>
  <c r="Y18" i="8"/>
  <c r="P18" i="8"/>
  <c r="AA18" i="8"/>
  <c r="R18" i="8" s="1"/>
  <c r="AC18" i="8"/>
  <c r="T18" i="8"/>
  <c r="AE18" i="8"/>
  <c r="V18" i="8" s="1"/>
  <c r="G19" i="8"/>
  <c r="N19" i="8"/>
  <c r="G20" i="8"/>
  <c r="N20" i="8"/>
  <c r="G21" i="8"/>
  <c r="N21" i="8"/>
  <c r="D22" i="8"/>
  <c r="E22" i="8"/>
  <c r="G22" i="8"/>
  <c r="N22" i="8"/>
  <c r="D23" i="8"/>
  <c r="E23" i="8"/>
  <c r="G23" i="8"/>
  <c r="N23" i="8"/>
  <c r="G24" i="8"/>
  <c r="N24" i="8"/>
  <c r="G25" i="8"/>
  <c r="N25" i="8"/>
  <c r="D26" i="8"/>
  <c r="E26" i="8"/>
  <c r="G27" i="8"/>
  <c r="Y27" i="8"/>
  <c r="P27" i="8" s="1"/>
  <c r="G30" i="8"/>
  <c r="Y30" i="8"/>
  <c r="P30" i="8"/>
  <c r="AA30" i="8"/>
  <c r="R30" i="8" s="1"/>
  <c r="AC30" i="8"/>
  <c r="T30" i="8" s="1"/>
  <c r="AE30" i="8"/>
  <c r="V30" i="8" s="1"/>
  <c r="G31" i="8"/>
  <c r="AF31" i="8"/>
  <c r="D34" i="8"/>
  <c r="E34" i="8"/>
  <c r="N35" i="8"/>
  <c r="Y35" i="8"/>
  <c r="P35" i="8" s="1"/>
  <c r="AA35" i="8"/>
  <c r="R35" i="8" s="1"/>
  <c r="AC35" i="8"/>
  <c r="T35" i="8" s="1"/>
  <c r="AE35" i="8"/>
  <c r="V35" i="8" s="1"/>
  <c r="AF35" i="8"/>
  <c r="W35" i="8" s="1"/>
  <c r="N36" i="8"/>
  <c r="Y36" i="8"/>
  <c r="P36" i="8" s="1"/>
  <c r="AA36" i="8"/>
  <c r="R36" i="8" s="1"/>
  <c r="AC36" i="8"/>
  <c r="T36" i="8"/>
  <c r="AE36" i="8"/>
  <c r="V36" i="8" s="1"/>
  <c r="AF36" i="8"/>
  <c r="W36" i="8"/>
  <c r="D38" i="8"/>
  <c r="E38" i="8"/>
  <c r="D39" i="8"/>
  <c r="E39" i="8"/>
  <c r="D40" i="8"/>
  <c r="E40" i="8"/>
  <c r="D41" i="8"/>
  <c r="E41" i="8"/>
  <c r="G45" i="8"/>
  <c r="AC45" i="8"/>
  <c r="T45" i="8" s="1"/>
  <c r="AE45" i="8"/>
  <c r="V45" i="8" s="1"/>
  <c r="D47" i="8"/>
  <c r="D42" i="8" s="1"/>
  <c r="E47" i="8"/>
  <c r="E42" i="8" s="1"/>
  <c r="G47" i="8"/>
  <c r="N47" i="8"/>
  <c r="Y47" i="8"/>
  <c r="P47" i="8" s="1"/>
  <c r="AA47" i="8"/>
  <c r="R47" i="8" s="1"/>
  <c r="AF47" i="8"/>
  <c r="W47" i="8" s="1"/>
  <c r="E48" i="8"/>
  <c r="G48" i="8"/>
  <c r="N48" i="8"/>
  <c r="Y48" i="8"/>
  <c r="P48" i="8" s="1"/>
  <c r="AA48" i="8"/>
  <c r="R48" i="8" s="1"/>
  <c r="AC48" i="8"/>
  <c r="T48" i="8" s="1"/>
  <c r="AE48" i="8"/>
  <c r="V48" i="8" s="1"/>
  <c r="AF48" i="8"/>
  <c r="W48" i="8" s="1"/>
  <c r="G49" i="8"/>
  <c r="N49" i="8"/>
  <c r="Y49" i="8"/>
  <c r="P49" i="8" s="1"/>
  <c r="AA49" i="8"/>
  <c r="R49" i="8" s="1"/>
  <c r="AC49" i="8"/>
  <c r="T49" i="8" s="1"/>
  <c r="AE49" i="8"/>
  <c r="V49" i="8" s="1"/>
  <c r="AF49" i="8"/>
  <c r="W49" i="8" s="1"/>
  <c r="D50" i="8"/>
  <c r="E50" i="8"/>
  <c r="G50" i="8"/>
  <c r="N50" i="8"/>
  <c r="Y50" i="8"/>
  <c r="P50" i="8" s="1"/>
  <c r="AA50" i="8"/>
  <c r="R50" i="8" s="1"/>
  <c r="AC50" i="8"/>
  <c r="T50" i="8" s="1"/>
  <c r="AE50" i="8"/>
  <c r="V50" i="8" s="1"/>
  <c r="AF50" i="8"/>
  <c r="W50" i="8" s="1"/>
  <c r="G51" i="8"/>
  <c r="N51" i="8"/>
  <c r="Y51" i="8"/>
  <c r="P51" i="8" s="1"/>
  <c r="AA51" i="8"/>
  <c r="R51" i="8" s="1"/>
  <c r="AC51" i="8"/>
  <c r="T51" i="8" s="1"/>
  <c r="AE51" i="8"/>
  <c r="V51" i="8" s="1"/>
  <c r="AF51" i="8"/>
  <c r="W51" i="8" s="1"/>
  <c r="D52" i="8"/>
  <c r="E52" i="8"/>
  <c r="G52" i="8"/>
  <c r="N52" i="8"/>
  <c r="Y52" i="8"/>
  <c r="P52" i="8" s="1"/>
  <c r="AC52" i="8"/>
  <c r="T52" i="8" s="1"/>
  <c r="AE52" i="8"/>
  <c r="V52" i="8" s="1"/>
  <c r="D55" i="8"/>
  <c r="E55" i="8"/>
  <c r="E54" i="8" s="1"/>
  <c r="D56" i="8"/>
  <c r="E56" i="8"/>
  <c r="D59" i="8"/>
  <c r="E59" i="8"/>
  <c r="G59" i="8"/>
  <c r="Y59" i="8"/>
  <c r="P59" i="8"/>
  <c r="AA59" i="8"/>
  <c r="R59" i="8" s="1"/>
  <c r="AC59" i="8"/>
  <c r="T59" i="8"/>
  <c r="AE59" i="8"/>
  <c r="V59" i="8" s="1"/>
  <c r="AF59" i="8"/>
  <c r="W59" i="8"/>
  <c r="D61" i="8"/>
  <c r="D60" i="8" s="1"/>
  <c r="E61" i="8"/>
  <c r="E60" i="8" s="1"/>
  <c r="E57" i="8" s="1"/>
  <c r="G61" i="8"/>
  <c r="N61" i="8"/>
  <c r="Y61" i="8"/>
  <c r="P61" i="8" s="1"/>
  <c r="AA61" i="8"/>
  <c r="R61" i="8"/>
  <c r="AC61" i="8"/>
  <c r="T61" i="8" s="1"/>
  <c r="AE61" i="8"/>
  <c r="V61" i="8" s="1"/>
  <c r="AF61" i="8"/>
  <c r="W61" i="8" s="1"/>
  <c r="G62" i="8"/>
  <c r="N62" i="8"/>
  <c r="Y62" i="8"/>
  <c r="P62" i="8" s="1"/>
  <c r="AA62" i="8"/>
  <c r="R62" i="8" s="1"/>
  <c r="AC62" i="8"/>
  <c r="T62" i="8" s="1"/>
  <c r="AE62" i="8"/>
  <c r="V62" i="8" s="1"/>
  <c r="AF62" i="8"/>
  <c r="W62" i="8" s="1"/>
  <c r="F63" i="8"/>
  <c r="G63" i="8"/>
  <c r="E64" i="8"/>
  <c r="G64" i="8"/>
  <c r="N64" i="8"/>
  <c r="Y64" i="8"/>
  <c r="P64" i="8" s="1"/>
  <c r="AC64" i="8"/>
  <c r="T64" i="8" s="1"/>
  <c r="AE64" i="8"/>
  <c r="V64" i="8" s="1"/>
  <c r="D66" i="8"/>
  <c r="F66" i="8"/>
  <c r="F65" i="8" s="1"/>
  <c r="G65" i="8" s="1"/>
  <c r="G67" i="8"/>
  <c r="N67" i="8"/>
  <c r="Y67" i="8"/>
  <c r="P67" i="8"/>
  <c r="AA67" i="8"/>
  <c r="R67" i="8" s="1"/>
  <c r="AC67" i="8"/>
  <c r="T67" i="8" s="1"/>
  <c r="AE67" i="8"/>
  <c r="V67" i="8" s="1"/>
  <c r="AF67" i="8"/>
  <c r="W67" i="8"/>
  <c r="D68" i="8"/>
  <c r="E68" i="8"/>
  <c r="E65" i="8"/>
  <c r="G68" i="8"/>
  <c r="N68" i="8"/>
  <c r="Y68" i="8"/>
  <c r="P68" i="8"/>
  <c r="AA68" i="8"/>
  <c r="R68" i="8" s="1"/>
  <c r="AC68" i="8"/>
  <c r="T68" i="8" s="1"/>
  <c r="AE68" i="8"/>
  <c r="V68" i="8" s="1"/>
  <c r="AF68" i="8"/>
  <c r="W68" i="8" s="1"/>
  <c r="D69" i="8"/>
  <c r="E69" i="8"/>
  <c r="G69" i="8"/>
  <c r="N69" i="8"/>
  <c r="Y69" i="8"/>
  <c r="P69" i="8" s="1"/>
  <c r="AA69" i="8"/>
  <c r="R69" i="8" s="1"/>
  <c r="AC69" i="8"/>
  <c r="T69" i="8" s="1"/>
  <c r="AE69" i="8"/>
  <c r="V69" i="8" s="1"/>
  <c r="AF69" i="8"/>
  <c r="W69" i="8" s="1"/>
  <c r="G70" i="8"/>
  <c r="N70" i="8"/>
  <c r="Y70" i="8"/>
  <c r="P70" i="8" s="1"/>
  <c r="AC70" i="8"/>
  <c r="T70" i="8" s="1"/>
  <c r="AE70" i="8"/>
  <c r="V70" i="8" s="1"/>
  <c r="D73" i="8"/>
  <c r="D71" i="8" s="1"/>
  <c r="E73" i="8"/>
  <c r="E71" i="8" s="1"/>
  <c r="F74" i="8"/>
  <c r="N74" i="8"/>
  <c r="Y74" i="8"/>
  <c r="AC74" i="8"/>
  <c r="T74" i="8" s="1"/>
  <c r="AC76" i="8"/>
  <c r="AE76" i="8"/>
  <c r="AC77" i="8"/>
  <c r="AE77" i="8"/>
  <c r="D78" i="8"/>
  <c r="E78" i="8"/>
  <c r="AC78" i="8"/>
  <c r="J92" i="8"/>
  <c r="K92" i="8"/>
  <c r="K106" i="8" s="1"/>
  <c r="L92" i="8"/>
  <c r="F102" i="8"/>
  <c r="H102" i="8"/>
  <c r="J102" i="8"/>
  <c r="K102" i="8"/>
  <c r="L102" i="8"/>
  <c r="M102" i="8"/>
  <c r="D9" i="7"/>
  <c r="D8" i="7" s="1"/>
  <c r="E9" i="7"/>
  <c r="E8" i="7"/>
  <c r="D11" i="7"/>
  <c r="E11" i="7"/>
  <c r="D12" i="7"/>
  <c r="E12" i="7"/>
  <c r="F16" i="7"/>
  <c r="H16" i="7"/>
  <c r="J16" i="7"/>
  <c r="L16" i="7"/>
  <c r="M16" i="7"/>
  <c r="F17" i="7"/>
  <c r="Y17" i="4" s="1"/>
  <c r="P17" i="4" s="1"/>
  <c r="H17" i="7"/>
  <c r="AA17" i="4" s="1"/>
  <c r="R17" i="4" s="1"/>
  <c r="J17" i="7"/>
  <c r="L17" i="7"/>
  <c r="M17" i="7"/>
  <c r="E18" i="7"/>
  <c r="F18" i="7"/>
  <c r="Y18" i="4" s="1"/>
  <c r="H18" i="7"/>
  <c r="AA18" i="4" s="1"/>
  <c r="J18" i="7"/>
  <c r="L18" i="7"/>
  <c r="F19" i="7"/>
  <c r="Y19" i="4" s="1"/>
  <c r="P19" i="4" s="1"/>
  <c r="H19" i="7"/>
  <c r="J19" i="7"/>
  <c r="AC19" i="4" s="1"/>
  <c r="T19" i="4" s="1"/>
  <c r="L19" i="7"/>
  <c r="F20" i="7"/>
  <c r="H20" i="7"/>
  <c r="J20" i="7"/>
  <c r="L20" i="7"/>
  <c r="M20" i="7"/>
  <c r="AE20" i="4" s="1"/>
  <c r="V20" i="4" s="1"/>
  <c r="F21" i="7"/>
  <c r="Y21" i="4" s="1"/>
  <c r="P21" i="4" s="1"/>
  <c r="H21" i="7"/>
  <c r="AA21" i="4" s="1"/>
  <c r="R21" i="4" s="1"/>
  <c r="J21" i="7"/>
  <c r="L21" i="7"/>
  <c r="D22" i="7"/>
  <c r="E22" i="7"/>
  <c r="F22" i="7"/>
  <c r="Y22" i="4"/>
  <c r="P22" i="4" s="1"/>
  <c r="H22" i="7"/>
  <c r="AA22" i="4" s="1"/>
  <c r="R22" i="4" s="1"/>
  <c r="J22" i="7"/>
  <c r="L22" i="7"/>
  <c r="M22" i="7"/>
  <c r="D23" i="7"/>
  <c r="E23" i="7"/>
  <c r="F23" i="7"/>
  <c r="H23" i="7"/>
  <c r="G23" i="7" s="1"/>
  <c r="J23" i="7"/>
  <c r="AC23" i="4" s="1"/>
  <c r="T23" i="4" s="1"/>
  <c r="L23" i="7"/>
  <c r="F24" i="7"/>
  <c r="H24" i="7"/>
  <c r="J24" i="7"/>
  <c r="AC24" i="4"/>
  <c r="T24" i="4" s="1"/>
  <c r="L24" i="7"/>
  <c r="M24" i="7"/>
  <c r="F25" i="7"/>
  <c r="Y25" i="4" s="1"/>
  <c r="P25" i="4" s="1"/>
  <c r="H25" i="7"/>
  <c r="J25" i="7"/>
  <c r="L25" i="7"/>
  <c r="M25" i="7"/>
  <c r="AF25" i="4"/>
  <c r="W25" i="4" s="1"/>
  <c r="D26" i="7"/>
  <c r="E26" i="7"/>
  <c r="F26" i="7"/>
  <c r="H26" i="7"/>
  <c r="J26" i="7"/>
  <c r="L26" i="7"/>
  <c r="M26" i="7"/>
  <c r="F27" i="7"/>
  <c r="H27" i="7"/>
  <c r="J27" i="7"/>
  <c r="L27" i="7"/>
  <c r="M27" i="7"/>
  <c r="F29" i="7"/>
  <c r="H29" i="7"/>
  <c r="J29" i="7"/>
  <c r="L29" i="7"/>
  <c r="M29" i="7"/>
  <c r="F30" i="7"/>
  <c r="H30" i="7"/>
  <c r="J30" i="7"/>
  <c r="L30" i="7"/>
  <c r="L28" i="7"/>
  <c r="M30" i="7"/>
  <c r="F31" i="7"/>
  <c r="H31" i="7"/>
  <c r="G31" i="7"/>
  <c r="J31" i="7"/>
  <c r="L31" i="7"/>
  <c r="M31" i="7"/>
  <c r="F40" i="7"/>
  <c r="F33" i="7" s="1"/>
  <c r="F32" i="7" s="1"/>
  <c r="D43" i="7"/>
  <c r="E43" i="7"/>
  <c r="D47" i="7"/>
  <c r="E47" i="7"/>
  <c r="F47" i="7"/>
  <c r="D48" i="7"/>
  <c r="E48" i="7"/>
  <c r="F48" i="7"/>
  <c r="M48" i="7"/>
  <c r="D49" i="7"/>
  <c r="E49" i="7"/>
  <c r="F49" i="7"/>
  <c r="M49" i="7"/>
  <c r="D50" i="7"/>
  <c r="E50" i="7"/>
  <c r="H50" i="7"/>
  <c r="J50" i="7"/>
  <c r="I50" i="7" s="1"/>
  <c r="M50" i="7"/>
  <c r="F51" i="7"/>
  <c r="H51" i="7"/>
  <c r="J51" i="7"/>
  <c r="L51" i="7"/>
  <c r="M51" i="7"/>
  <c r="D55" i="7"/>
  <c r="D51" i="7" s="1"/>
  <c r="E55" i="7"/>
  <c r="E51" i="7" s="1"/>
  <c r="E56" i="7"/>
  <c r="D58" i="7"/>
  <c r="E58" i="7"/>
  <c r="D60" i="7"/>
  <c r="E60" i="7"/>
  <c r="E46" i="7" s="1"/>
  <c r="F61" i="7"/>
  <c r="H61" i="7"/>
  <c r="J61" i="7"/>
  <c r="L61" i="7"/>
  <c r="M61" i="7"/>
  <c r="D62" i="7"/>
  <c r="E62" i="7"/>
  <c r="D63" i="7"/>
  <c r="E63" i="7"/>
  <c r="D66" i="7"/>
  <c r="E66" i="7"/>
  <c r="D68" i="7"/>
  <c r="D67" i="7" s="1"/>
  <c r="D64" i="7" s="1"/>
  <c r="E68" i="7"/>
  <c r="E67" i="7" s="1"/>
  <c r="E64" i="7" s="1"/>
  <c r="F70" i="7"/>
  <c r="H70" i="7"/>
  <c r="J70" i="7"/>
  <c r="L70" i="7"/>
  <c r="M70" i="7"/>
  <c r="E71" i="7"/>
  <c r="D73" i="7"/>
  <c r="F73" i="7"/>
  <c r="F72" i="7" s="1"/>
  <c r="H73" i="7"/>
  <c r="H72" i="7" s="1"/>
  <c r="J73" i="7"/>
  <c r="J72" i="7" s="1"/>
  <c r="L73" i="7"/>
  <c r="L72" i="7" s="1"/>
  <c r="M73" i="7"/>
  <c r="M72" i="7" s="1"/>
  <c r="D75" i="7"/>
  <c r="D72" i="7" s="1"/>
  <c r="E75" i="7"/>
  <c r="E72" i="7" s="1"/>
  <c r="D76" i="7"/>
  <c r="E76" i="7"/>
  <c r="F83" i="7"/>
  <c r="D85" i="7"/>
  <c r="D78" i="7" s="1"/>
  <c r="E85" i="7"/>
  <c r="E78" i="7"/>
  <c r="AA94" i="4"/>
  <c r="R94" i="4" s="1"/>
  <c r="D90" i="7"/>
  <c r="E90" i="7"/>
  <c r="D8" i="6"/>
  <c r="F8" i="6"/>
  <c r="H8" i="6"/>
  <c r="J8" i="6"/>
  <c r="T8" i="6" s="1"/>
  <c r="K8" i="6"/>
  <c r="W8" i="6"/>
  <c r="Y8" i="6"/>
  <c r="AA8" i="6"/>
  <c r="AD8" i="6"/>
  <c r="E9" i="6"/>
  <c r="G9" i="6"/>
  <c r="I9" i="6"/>
  <c r="Q9" i="6"/>
  <c r="R9" i="6"/>
  <c r="U9" i="6"/>
  <c r="E10" i="6"/>
  <c r="G10" i="6"/>
  <c r="I10" i="6"/>
  <c r="Q10" i="6"/>
  <c r="R10" i="6"/>
  <c r="U10" i="6"/>
  <c r="AA10" i="6"/>
  <c r="S10" i="6" s="1"/>
  <c r="E11" i="6"/>
  <c r="G11" i="6"/>
  <c r="I11" i="6"/>
  <c r="Q11" i="6"/>
  <c r="R11" i="6"/>
  <c r="U11" i="6"/>
  <c r="E12" i="6"/>
  <c r="G12" i="6"/>
  <c r="I12" i="6"/>
  <c r="Q12" i="6"/>
  <c r="R12" i="6"/>
  <c r="U12" i="6"/>
  <c r="AA12" i="6"/>
  <c r="S12" i="6" s="1"/>
  <c r="E13" i="6"/>
  <c r="G13" i="6"/>
  <c r="I13" i="6"/>
  <c r="Q13" i="6"/>
  <c r="R13" i="6"/>
  <c r="U13" i="6"/>
  <c r="E14" i="6"/>
  <c r="G14" i="6"/>
  <c r="I14" i="6"/>
  <c r="Q14" i="6"/>
  <c r="R14" i="6"/>
  <c r="U14" i="6"/>
  <c r="E15" i="6"/>
  <c r="G15" i="6"/>
  <c r="I15" i="6"/>
  <c r="Q15" i="6"/>
  <c r="R15" i="6"/>
  <c r="U15" i="6"/>
  <c r="E17" i="6"/>
  <c r="G17" i="6"/>
  <c r="I17" i="6"/>
  <c r="Q17" i="6"/>
  <c r="R17" i="6"/>
  <c r="U17" i="6"/>
  <c r="E18" i="6"/>
  <c r="G18" i="6"/>
  <c r="I18" i="6"/>
  <c r="Q18" i="6"/>
  <c r="R18" i="6"/>
  <c r="U18" i="6"/>
  <c r="E19" i="6"/>
  <c r="G19" i="6"/>
  <c r="I19" i="6"/>
  <c r="Q19" i="6"/>
  <c r="R19" i="6"/>
  <c r="U19" i="6"/>
  <c r="E20" i="6"/>
  <c r="G20" i="6"/>
  <c r="I20" i="6"/>
  <c r="Q20" i="6"/>
  <c r="R20" i="6"/>
  <c r="U20" i="6"/>
  <c r="E21" i="6"/>
  <c r="G21" i="6"/>
  <c r="I21" i="6"/>
  <c r="Q21" i="6"/>
  <c r="R21" i="6"/>
  <c r="U21" i="6"/>
  <c r="E22" i="6"/>
  <c r="G22" i="6"/>
  <c r="I22" i="6"/>
  <c r="Q22" i="6"/>
  <c r="R22" i="6"/>
  <c r="U22" i="6"/>
  <c r="E23" i="6"/>
  <c r="G23" i="6"/>
  <c r="I23" i="6"/>
  <c r="Q23" i="6"/>
  <c r="R23" i="6"/>
  <c r="U23" i="6"/>
  <c r="AA23" i="6"/>
  <c r="S23" i="6" s="1"/>
  <c r="E24" i="6"/>
  <c r="G24" i="6"/>
  <c r="I24" i="6"/>
  <c r="Q24" i="6"/>
  <c r="R24" i="6"/>
  <c r="U24" i="6"/>
  <c r="E25" i="6"/>
  <c r="G25" i="6"/>
  <c r="I25" i="6"/>
  <c r="Q25" i="6"/>
  <c r="R25" i="6"/>
  <c r="U25" i="6"/>
  <c r="Q27" i="6"/>
  <c r="D30" i="6"/>
  <c r="W30" i="6"/>
  <c r="K31" i="6"/>
  <c r="AD31" i="6"/>
  <c r="S34" i="6"/>
  <c r="U34" i="6"/>
  <c r="Q34" i="6"/>
  <c r="Q36" i="6"/>
  <c r="D37" i="6"/>
  <c r="D38" i="6"/>
  <c r="Q38" i="6" s="1"/>
  <c r="G38" i="6"/>
  <c r="I38" i="6"/>
  <c r="U38" i="6"/>
  <c r="I39" i="6"/>
  <c r="U39" i="6"/>
  <c r="F48" i="6"/>
  <c r="Y48" i="6"/>
  <c r="D50" i="6"/>
  <c r="H50" i="6"/>
  <c r="S50" i="6" s="1"/>
  <c r="J50" i="6"/>
  <c r="F54" i="6"/>
  <c r="E54" i="6" s="1"/>
  <c r="H54" i="6"/>
  <c r="J54" i="6"/>
  <c r="T54" i="6" s="1"/>
  <c r="I54" i="6"/>
  <c r="E56" i="6"/>
  <c r="G56" i="6"/>
  <c r="I56" i="6"/>
  <c r="Q56" i="6"/>
  <c r="R56" i="6"/>
  <c r="S56" i="6"/>
  <c r="U56" i="6"/>
  <c r="E57" i="6"/>
  <c r="G57" i="6"/>
  <c r="I57" i="6"/>
  <c r="Q57" i="6"/>
  <c r="R57" i="6"/>
  <c r="S57" i="6"/>
  <c r="U57" i="6"/>
  <c r="E58" i="6"/>
  <c r="G58" i="6"/>
  <c r="I58" i="6"/>
  <c r="Q58" i="6"/>
  <c r="R58" i="6"/>
  <c r="S58" i="6"/>
  <c r="U58" i="6"/>
  <c r="E59" i="6"/>
  <c r="G59" i="6"/>
  <c r="I59" i="6"/>
  <c r="Q59" i="6"/>
  <c r="R59" i="6"/>
  <c r="S59" i="6"/>
  <c r="U59" i="6"/>
  <c r="E60" i="6"/>
  <c r="G60" i="6"/>
  <c r="I60" i="6"/>
  <c r="Q60" i="6"/>
  <c r="R60" i="6"/>
  <c r="S60" i="6"/>
  <c r="U60" i="6"/>
  <c r="E61" i="6"/>
  <c r="G61" i="6"/>
  <c r="I61" i="6"/>
  <c r="Q61" i="6"/>
  <c r="R61" i="6"/>
  <c r="S61" i="6"/>
  <c r="U61" i="6"/>
  <c r="D67" i="6"/>
  <c r="F67" i="6"/>
  <c r="H67" i="6"/>
  <c r="J67" i="6"/>
  <c r="T67" i="6" s="1"/>
  <c r="K67" i="6"/>
  <c r="W67" i="6"/>
  <c r="Y67" i="6"/>
  <c r="AD67" i="6"/>
  <c r="E69" i="6"/>
  <c r="G69" i="6"/>
  <c r="I69" i="6"/>
  <c r="R69" i="6"/>
  <c r="S69" i="6"/>
  <c r="U69" i="6"/>
  <c r="E70" i="6"/>
  <c r="G70" i="6"/>
  <c r="I70" i="6"/>
  <c r="R70" i="6"/>
  <c r="S70" i="6"/>
  <c r="U70" i="6"/>
  <c r="W70" i="6"/>
  <c r="Q70" i="6" s="1"/>
  <c r="D71" i="6"/>
  <c r="F71" i="6"/>
  <c r="H71" i="6"/>
  <c r="S71" i="6" s="1"/>
  <c r="J71" i="6"/>
  <c r="K71" i="6"/>
  <c r="U71" i="6" s="1"/>
  <c r="W71" i="6"/>
  <c r="E72" i="6"/>
  <c r="G72" i="6"/>
  <c r="I72" i="6"/>
  <c r="R72" i="6"/>
  <c r="S72" i="6"/>
  <c r="U72" i="6"/>
  <c r="W72" i="6"/>
  <c r="Q72" i="6" s="1"/>
  <c r="D74" i="6"/>
  <c r="D73" i="6" s="1"/>
  <c r="F74" i="6"/>
  <c r="H74" i="6"/>
  <c r="S74" i="6"/>
  <c r="J74" i="6"/>
  <c r="K74" i="6"/>
  <c r="E75" i="6"/>
  <c r="G75" i="6"/>
  <c r="I75" i="6"/>
  <c r="R75" i="6"/>
  <c r="S75" i="6"/>
  <c r="U75" i="6"/>
  <c r="W75" i="6"/>
  <c r="Q75" i="6" s="1"/>
  <c r="E76" i="6"/>
  <c r="G76" i="6"/>
  <c r="I76" i="6"/>
  <c r="R76" i="6"/>
  <c r="S76" i="6"/>
  <c r="U76" i="6"/>
  <c r="W76" i="6"/>
  <c r="Q76" i="6" s="1"/>
  <c r="E77" i="6"/>
  <c r="G77" i="6"/>
  <c r="I77" i="6"/>
  <c r="R77" i="6"/>
  <c r="S77" i="6"/>
  <c r="U77" i="6"/>
  <c r="W77" i="6"/>
  <c r="Q77" i="6" s="1"/>
  <c r="Q80" i="6"/>
  <c r="W82" i="6"/>
  <c r="Q82" i="6" s="1"/>
  <c r="I84" i="6"/>
  <c r="E85" i="6"/>
  <c r="G85" i="6"/>
  <c r="I85" i="6"/>
  <c r="Q85" i="6"/>
  <c r="R85" i="6"/>
  <c r="S85" i="6"/>
  <c r="U85" i="6"/>
  <c r="E86" i="6"/>
  <c r="G86" i="6"/>
  <c r="I86" i="6"/>
  <c r="Q86" i="6"/>
  <c r="R86" i="6"/>
  <c r="S86" i="6"/>
  <c r="U86" i="6"/>
  <c r="D9" i="5"/>
  <c r="D8" i="5" s="1"/>
  <c r="D7" i="5" s="1"/>
  <c r="E9" i="5"/>
  <c r="E8" i="5" s="1"/>
  <c r="G9" i="5"/>
  <c r="I9" i="5"/>
  <c r="K9" i="5"/>
  <c r="O9" i="5"/>
  <c r="P9" i="5"/>
  <c r="Q9" i="5"/>
  <c r="S9" i="5"/>
  <c r="G10" i="5"/>
  <c r="I10" i="5"/>
  <c r="K10" i="5"/>
  <c r="O10" i="5"/>
  <c r="P10" i="5"/>
  <c r="Q10" i="5"/>
  <c r="S10" i="5"/>
  <c r="D11" i="5"/>
  <c r="E11" i="5"/>
  <c r="G11" i="5"/>
  <c r="I11" i="5"/>
  <c r="K11" i="5"/>
  <c r="O11" i="5"/>
  <c r="P11" i="5"/>
  <c r="Q11" i="5"/>
  <c r="S11" i="5"/>
  <c r="D12" i="5"/>
  <c r="E12" i="5"/>
  <c r="G12" i="5"/>
  <c r="I12" i="5"/>
  <c r="K12" i="5"/>
  <c r="O12" i="5"/>
  <c r="P12" i="5"/>
  <c r="Q12" i="5"/>
  <c r="S12" i="5"/>
  <c r="G13" i="5"/>
  <c r="I13" i="5"/>
  <c r="K13" i="5"/>
  <c r="O13" i="5"/>
  <c r="P13" i="5"/>
  <c r="Q13" i="5"/>
  <c r="S13" i="5"/>
  <c r="G14" i="5"/>
  <c r="I14" i="5"/>
  <c r="K14" i="5"/>
  <c r="O14" i="5"/>
  <c r="P14" i="5"/>
  <c r="Q14" i="5"/>
  <c r="S14" i="5"/>
  <c r="G15" i="5"/>
  <c r="I15" i="5"/>
  <c r="K15" i="5"/>
  <c r="O15" i="5"/>
  <c r="P15" i="5"/>
  <c r="Q15" i="5"/>
  <c r="S15" i="5"/>
  <c r="G17" i="5"/>
  <c r="I17" i="5"/>
  <c r="K17" i="5"/>
  <c r="O17" i="5"/>
  <c r="P17" i="5"/>
  <c r="Q17" i="5"/>
  <c r="S17" i="5"/>
  <c r="D18" i="5"/>
  <c r="E18" i="5"/>
  <c r="G18" i="5"/>
  <c r="I18" i="5"/>
  <c r="K18" i="5"/>
  <c r="O18" i="5"/>
  <c r="P18" i="5"/>
  <c r="Q18" i="5"/>
  <c r="S18" i="5"/>
  <c r="G19" i="5"/>
  <c r="I19" i="5"/>
  <c r="K19" i="5"/>
  <c r="O19" i="5"/>
  <c r="P19" i="5"/>
  <c r="Q19" i="5"/>
  <c r="S19" i="5"/>
  <c r="G20" i="5"/>
  <c r="I20" i="5"/>
  <c r="K20" i="5"/>
  <c r="O20" i="5"/>
  <c r="P20" i="5"/>
  <c r="Q20" i="5"/>
  <c r="S20" i="5"/>
  <c r="G21" i="5"/>
  <c r="I21" i="5"/>
  <c r="K21" i="5"/>
  <c r="O21" i="5"/>
  <c r="P21" i="5"/>
  <c r="Q21" i="5"/>
  <c r="S21" i="5"/>
  <c r="D22" i="5"/>
  <c r="E22" i="5"/>
  <c r="G22" i="5"/>
  <c r="I22" i="5"/>
  <c r="K22" i="5"/>
  <c r="O22" i="5"/>
  <c r="P22" i="5"/>
  <c r="Q22" i="5"/>
  <c r="S22" i="5"/>
  <c r="D23" i="5"/>
  <c r="E23" i="5"/>
  <c r="G23" i="5"/>
  <c r="I23" i="5"/>
  <c r="K23" i="5"/>
  <c r="O23" i="5"/>
  <c r="P23" i="5"/>
  <c r="Q23" i="5"/>
  <c r="S23" i="5"/>
  <c r="G24" i="5"/>
  <c r="I24" i="5"/>
  <c r="K24" i="5"/>
  <c r="O24" i="5"/>
  <c r="P24" i="5"/>
  <c r="Q24" i="5"/>
  <c r="S24" i="5"/>
  <c r="G25" i="5"/>
  <c r="I25" i="5"/>
  <c r="K25" i="5"/>
  <c r="O25" i="5"/>
  <c r="P25" i="5"/>
  <c r="Q25" i="5"/>
  <c r="S25" i="5"/>
  <c r="D26" i="5"/>
  <c r="E26" i="5"/>
  <c r="O27" i="5"/>
  <c r="U29" i="5"/>
  <c r="F30" i="5"/>
  <c r="F31" i="5"/>
  <c r="J31" i="5"/>
  <c r="F32" i="5"/>
  <c r="F35" i="5"/>
  <c r="H35" i="5"/>
  <c r="P35" i="5" s="1"/>
  <c r="J35" i="5"/>
  <c r="L35" i="5"/>
  <c r="S35" i="5"/>
  <c r="F36" i="5"/>
  <c r="O36" i="5" s="1"/>
  <c r="P36" i="5"/>
  <c r="S36" i="5"/>
  <c r="F37" i="5"/>
  <c r="F40" i="5"/>
  <c r="O40" i="5" s="1"/>
  <c r="H42" i="5"/>
  <c r="AA42" i="4"/>
  <c r="J42" i="5"/>
  <c r="AC42" i="4" s="1"/>
  <c r="U42" i="5"/>
  <c r="Y42" i="5"/>
  <c r="AA42" i="5"/>
  <c r="AB42" i="5"/>
  <c r="D45" i="5"/>
  <c r="E45" i="5"/>
  <c r="O46" i="5"/>
  <c r="P46" i="5"/>
  <c r="Q46" i="5"/>
  <c r="S46" i="5"/>
  <c r="O47" i="5"/>
  <c r="P47" i="5"/>
  <c r="Q47" i="5"/>
  <c r="S47" i="5"/>
  <c r="D49" i="5"/>
  <c r="E49" i="5"/>
  <c r="D50" i="5"/>
  <c r="E50" i="5"/>
  <c r="D51" i="5"/>
  <c r="E51" i="5"/>
  <c r="D52" i="5"/>
  <c r="E52" i="5"/>
  <c r="F55" i="5"/>
  <c r="O55" i="5" s="1"/>
  <c r="H55" i="5"/>
  <c r="J55" i="5"/>
  <c r="L55" i="5"/>
  <c r="S55" i="5"/>
  <c r="D57" i="5"/>
  <c r="D53" i="5"/>
  <c r="E57" i="5"/>
  <c r="E53" i="5" s="1"/>
  <c r="E58" i="5"/>
  <c r="G58" i="5"/>
  <c r="I58" i="5"/>
  <c r="K58" i="5"/>
  <c r="O58" i="5"/>
  <c r="P58" i="5"/>
  <c r="Q58" i="5"/>
  <c r="S58" i="5"/>
  <c r="G59" i="5"/>
  <c r="I59" i="5"/>
  <c r="K59" i="5"/>
  <c r="O59" i="5"/>
  <c r="P59" i="5"/>
  <c r="Q59" i="5"/>
  <c r="S59" i="5"/>
  <c r="D60" i="5"/>
  <c r="E60" i="5"/>
  <c r="G60" i="5"/>
  <c r="I60" i="5"/>
  <c r="K60" i="5"/>
  <c r="O60" i="5"/>
  <c r="P60" i="5"/>
  <c r="Q60" i="5"/>
  <c r="S60" i="5"/>
  <c r="G61" i="5"/>
  <c r="I61" i="5"/>
  <c r="K61" i="5"/>
  <c r="O61" i="5"/>
  <c r="P61" i="5"/>
  <c r="Q61" i="5"/>
  <c r="S61" i="5"/>
  <c r="D62" i="5"/>
  <c r="D48" i="5" s="1"/>
  <c r="E62" i="5"/>
  <c r="G62" i="5"/>
  <c r="I62" i="5"/>
  <c r="K62" i="5"/>
  <c r="O62" i="5"/>
  <c r="P62" i="5"/>
  <c r="Q62" i="5"/>
  <c r="S62" i="5"/>
  <c r="D64" i="5"/>
  <c r="D63" i="5" s="1"/>
  <c r="E64" i="5"/>
  <c r="E63" i="5" s="1"/>
  <c r="D65" i="5"/>
  <c r="E65" i="5"/>
  <c r="D68" i="5"/>
  <c r="E68" i="5"/>
  <c r="F68" i="5"/>
  <c r="J68" i="5"/>
  <c r="U68" i="5"/>
  <c r="Y68" i="5"/>
  <c r="AB68" i="5"/>
  <c r="S68" i="5" s="1"/>
  <c r="S69" i="5"/>
  <c r="D70" i="5"/>
  <c r="D69" i="5"/>
  <c r="D66" i="5" s="1"/>
  <c r="E70" i="5"/>
  <c r="E69" i="5" s="1"/>
  <c r="E66" i="5" s="1"/>
  <c r="H71" i="5"/>
  <c r="J71" i="5"/>
  <c r="AC74" i="4" s="1"/>
  <c r="K71" i="5"/>
  <c r="U71" i="5"/>
  <c r="O71" i="5" s="1"/>
  <c r="W71" i="5"/>
  <c r="Y71" i="5"/>
  <c r="Q71" i="5" s="1"/>
  <c r="S71" i="5"/>
  <c r="Y76" i="4"/>
  <c r="P76" i="4" s="1"/>
  <c r="E73" i="5"/>
  <c r="D75" i="5"/>
  <c r="S75" i="5"/>
  <c r="U76" i="5"/>
  <c r="O76" i="5" s="1"/>
  <c r="AB76" i="5"/>
  <c r="S76" i="5" s="1"/>
  <c r="D77" i="5"/>
  <c r="E77" i="5"/>
  <c r="E74" i="5" s="1"/>
  <c r="H77" i="5"/>
  <c r="J77" i="5"/>
  <c r="L77" i="5"/>
  <c r="U77" i="5"/>
  <c r="O77" i="5" s="1"/>
  <c r="W77" i="5"/>
  <c r="Y77" i="5"/>
  <c r="Q77" i="5" s="1"/>
  <c r="AA77" i="5"/>
  <c r="AB77" i="5"/>
  <c r="S77" i="5" s="1"/>
  <c r="D78" i="5"/>
  <c r="E78" i="5"/>
  <c r="H78" i="5"/>
  <c r="G78" i="5" s="1"/>
  <c r="J78" i="5"/>
  <c r="L78" i="5"/>
  <c r="U78" i="5"/>
  <c r="O78" i="5" s="1"/>
  <c r="W78" i="5"/>
  <c r="Y78" i="5"/>
  <c r="Q78" i="5" s="1"/>
  <c r="AA78" i="5"/>
  <c r="AB78" i="5"/>
  <c r="S78" i="5" s="1"/>
  <c r="H79" i="5"/>
  <c r="J79" i="5"/>
  <c r="I79" i="5" s="1"/>
  <c r="L79" i="5"/>
  <c r="U79" i="5"/>
  <c r="O79" i="5" s="1"/>
  <c r="W79" i="5"/>
  <c r="Y79" i="5"/>
  <c r="AA79" i="5"/>
  <c r="AB79" i="5"/>
  <c r="S79" i="5" s="1"/>
  <c r="G82" i="5"/>
  <c r="I82" i="5"/>
  <c r="K82" i="5"/>
  <c r="O82" i="5"/>
  <c r="P82" i="5"/>
  <c r="Q82" i="5"/>
  <c r="S82" i="5"/>
  <c r="G83" i="5"/>
  <c r="I83" i="5"/>
  <c r="K83" i="5"/>
  <c r="O83" i="5"/>
  <c r="P83" i="5"/>
  <c r="Q83" i="5"/>
  <c r="S83" i="5"/>
  <c r="G84" i="5"/>
  <c r="I84" i="5"/>
  <c r="K84" i="5"/>
  <c r="O84" i="5"/>
  <c r="P84" i="5"/>
  <c r="Q84" i="5"/>
  <c r="S84" i="5"/>
  <c r="G85" i="5"/>
  <c r="I85" i="5"/>
  <c r="K85" i="5"/>
  <c r="O85" i="5"/>
  <c r="P85" i="5"/>
  <c r="Q85" i="5"/>
  <c r="S85" i="5"/>
  <c r="G86" i="5"/>
  <c r="I86" i="5"/>
  <c r="K86" i="5"/>
  <c r="O86" i="5"/>
  <c r="P86" i="5"/>
  <c r="Q86" i="5"/>
  <c r="S86" i="5"/>
  <c r="G87" i="5"/>
  <c r="I87" i="5"/>
  <c r="K87" i="5"/>
  <c r="O87" i="5"/>
  <c r="P87" i="5"/>
  <c r="Q87" i="5"/>
  <c r="S87" i="5"/>
  <c r="G88" i="5"/>
  <c r="I88" i="5"/>
  <c r="K88" i="5"/>
  <c r="O88" i="5"/>
  <c r="P88" i="5"/>
  <c r="Q88" i="5"/>
  <c r="S88" i="5"/>
  <c r="G90" i="5"/>
  <c r="I90" i="5"/>
  <c r="K90" i="5"/>
  <c r="O90" i="5"/>
  <c r="P90" i="5"/>
  <c r="Q90" i="5"/>
  <c r="S90" i="5"/>
  <c r="D91" i="5"/>
  <c r="D80" i="5" s="1"/>
  <c r="E91" i="5"/>
  <c r="E80" i="5" s="1"/>
  <c r="F91" i="5"/>
  <c r="Y93" i="4" s="1"/>
  <c r="P93" i="4" s="1"/>
  <c r="H91" i="5"/>
  <c r="J91" i="5"/>
  <c r="L91" i="5"/>
  <c r="M91" i="5"/>
  <c r="AF93" i="4" s="1"/>
  <c r="W93" i="4" s="1"/>
  <c r="O92" i="5"/>
  <c r="P92" i="5"/>
  <c r="Q92" i="5"/>
  <c r="S92" i="5"/>
  <c r="D96" i="5"/>
  <c r="E96" i="5"/>
  <c r="O96" i="5"/>
  <c r="P96" i="5"/>
  <c r="Q96" i="5"/>
  <c r="S96" i="5"/>
  <c r="O97" i="5"/>
  <c r="P97" i="5"/>
  <c r="Q97" i="5"/>
  <c r="S97" i="5"/>
  <c r="O98" i="5"/>
  <c r="P98" i="5"/>
  <c r="Q98" i="5"/>
  <c r="S98" i="5"/>
  <c r="D9" i="4"/>
  <c r="D8" i="4" s="1"/>
  <c r="E9" i="4"/>
  <c r="E8" i="4"/>
  <c r="G9" i="4"/>
  <c r="N9" i="4"/>
  <c r="Y9" i="4"/>
  <c r="P9" i="4" s="1"/>
  <c r="AA9" i="4"/>
  <c r="R9" i="4" s="1"/>
  <c r="AC9" i="4"/>
  <c r="T9" i="4" s="1"/>
  <c r="V9" i="4"/>
  <c r="AF9" i="4"/>
  <c r="W9" i="4" s="1"/>
  <c r="G10" i="4"/>
  <c r="N10" i="4"/>
  <c r="Y10" i="4"/>
  <c r="P10" i="4" s="1"/>
  <c r="AA10" i="4"/>
  <c r="R10" i="4" s="1"/>
  <c r="AC10" i="4"/>
  <c r="T10" i="4" s="1"/>
  <c r="V10" i="4"/>
  <c r="AF10" i="4"/>
  <c r="W10" i="4" s="1"/>
  <c r="D11" i="4"/>
  <c r="E11" i="4"/>
  <c r="F11" i="4"/>
  <c r="H11" i="4"/>
  <c r="N11" i="4" s="1"/>
  <c r="Y11" i="4"/>
  <c r="AA11" i="4"/>
  <c r="R11" i="4" s="1"/>
  <c r="AC11" i="4"/>
  <c r="T11" i="4" s="1"/>
  <c r="AF11" i="4"/>
  <c r="W11" i="4" s="1"/>
  <c r="D12" i="4"/>
  <c r="E12" i="4"/>
  <c r="F12" i="4"/>
  <c r="P12" i="4" s="1"/>
  <c r="H12" i="4"/>
  <c r="Y12" i="4"/>
  <c r="AA12" i="4"/>
  <c r="R12" i="4" s="1"/>
  <c r="AC12" i="4"/>
  <c r="V12" i="4"/>
  <c r="AF12" i="4"/>
  <c r="W12" i="4" s="1"/>
  <c r="G13" i="4"/>
  <c r="N13" i="4"/>
  <c r="Y13" i="4"/>
  <c r="P13" i="4" s="1"/>
  <c r="AA13" i="4"/>
  <c r="R13" i="4" s="1"/>
  <c r="AC13" i="4"/>
  <c r="T13" i="4" s="1"/>
  <c r="V13" i="4"/>
  <c r="AF13" i="4"/>
  <c r="W13" i="4" s="1"/>
  <c r="G14" i="4"/>
  <c r="N14" i="4"/>
  <c r="Y14" i="4"/>
  <c r="P14" i="4" s="1"/>
  <c r="AA14" i="4"/>
  <c r="R14" i="4" s="1"/>
  <c r="AC14" i="4"/>
  <c r="T14" i="4" s="1"/>
  <c r="V14" i="4"/>
  <c r="AF14" i="4"/>
  <c r="W14" i="4" s="1"/>
  <c r="G15" i="4"/>
  <c r="N15" i="4"/>
  <c r="Y15" i="4"/>
  <c r="P15" i="4" s="1"/>
  <c r="AA15" i="4"/>
  <c r="R15" i="4" s="1"/>
  <c r="AC15" i="4"/>
  <c r="T15" i="4" s="1"/>
  <c r="V15" i="4"/>
  <c r="AF15" i="4"/>
  <c r="W15" i="4" s="1"/>
  <c r="G17" i="4"/>
  <c r="N17" i="4"/>
  <c r="AC17" i="4"/>
  <c r="T17" i="4" s="1"/>
  <c r="D18" i="4"/>
  <c r="E18" i="4"/>
  <c r="F18" i="4"/>
  <c r="H18" i="4"/>
  <c r="R18" i="4" s="1"/>
  <c r="AC18" i="4"/>
  <c r="T18" i="4" s="1"/>
  <c r="G19" i="4"/>
  <c r="N19" i="4"/>
  <c r="AA19" i="4"/>
  <c r="R19" i="4" s="1"/>
  <c r="G20" i="4"/>
  <c r="N20" i="4"/>
  <c r="Y20" i="4"/>
  <c r="P20" i="4" s="1"/>
  <c r="AC20" i="4"/>
  <c r="T20" i="4" s="1"/>
  <c r="AF20" i="4"/>
  <c r="W20" i="4" s="1"/>
  <c r="G21" i="4"/>
  <c r="N21" i="4"/>
  <c r="AC21" i="4"/>
  <c r="T21" i="4" s="1"/>
  <c r="D22" i="4"/>
  <c r="E22" i="4"/>
  <c r="G22" i="4"/>
  <c r="N22" i="4"/>
  <c r="AC22" i="4"/>
  <c r="T22" i="4" s="1"/>
  <c r="D23" i="4"/>
  <c r="E23" i="4"/>
  <c r="G23" i="4"/>
  <c r="N23" i="4"/>
  <c r="Y23" i="4"/>
  <c r="P23" i="4" s="1"/>
  <c r="AA23" i="4"/>
  <c r="R23" i="4" s="1"/>
  <c r="G24" i="4"/>
  <c r="N24" i="4"/>
  <c r="AA24" i="4"/>
  <c r="R24" i="4" s="1"/>
  <c r="G25" i="4"/>
  <c r="N25" i="4"/>
  <c r="AC25" i="4"/>
  <c r="T25" i="4" s="1"/>
  <c r="AE25" i="4"/>
  <c r="V25" i="4" s="1"/>
  <c r="D26" i="4"/>
  <c r="E26" i="4"/>
  <c r="P35" i="4"/>
  <c r="AF35" i="4"/>
  <c r="E19" i="2"/>
  <c r="O23" i="3" s="1"/>
  <c r="P23" i="3" s="1"/>
  <c r="R40" i="4"/>
  <c r="T40" i="4"/>
  <c r="V40" i="4"/>
  <c r="W40" i="4"/>
  <c r="R43" i="4"/>
  <c r="T43" i="4"/>
  <c r="V43" i="4"/>
  <c r="W43" i="4"/>
  <c r="G44" i="4"/>
  <c r="P44" i="4"/>
  <c r="R44" i="4"/>
  <c r="W44" i="4"/>
  <c r="T47" i="4"/>
  <c r="V47" i="4"/>
  <c r="D48" i="4"/>
  <c r="E48" i="4"/>
  <c r="Y49" i="4"/>
  <c r="P49" i="4"/>
  <c r="AA49" i="4"/>
  <c r="R49" i="4" s="1"/>
  <c r="AC49" i="4"/>
  <c r="T49" i="4"/>
  <c r="V49" i="4"/>
  <c r="AF49" i="4"/>
  <c r="W49" i="4"/>
  <c r="Y50" i="4"/>
  <c r="P50" i="4" s="1"/>
  <c r="AA50" i="4"/>
  <c r="R50" i="4"/>
  <c r="AC50" i="4"/>
  <c r="T50" i="4" s="1"/>
  <c r="V50" i="4"/>
  <c r="AF50" i="4"/>
  <c r="W50" i="4"/>
  <c r="D52" i="4"/>
  <c r="E52" i="4"/>
  <c r="D53" i="4"/>
  <c r="E53" i="4"/>
  <c r="D54" i="4"/>
  <c r="E54" i="4"/>
  <c r="D55" i="4"/>
  <c r="E55" i="4"/>
  <c r="D61" i="4"/>
  <c r="D56" i="4" s="1"/>
  <c r="E61" i="4"/>
  <c r="E56" i="4"/>
  <c r="E62" i="4"/>
  <c r="G62" i="4"/>
  <c r="I62" i="4"/>
  <c r="N62" i="4"/>
  <c r="Y62" i="4"/>
  <c r="P62" i="4" s="1"/>
  <c r="AA62" i="4"/>
  <c r="R62" i="4" s="1"/>
  <c r="AC62" i="4"/>
  <c r="T62" i="4"/>
  <c r="V62" i="4"/>
  <c r="AF62" i="4"/>
  <c r="W62" i="4" s="1"/>
  <c r="G63" i="4"/>
  <c r="I63" i="4"/>
  <c r="N63" i="4"/>
  <c r="Y63" i="4"/>
  <c r="P63" i="4" s="1"/>
  <c r="AA63" i="4"/>
  <c r="R63" i="4" s="1"/>
  <c r="AC63" i="4"/>
  <c r="T63" i="4" s="1"/>
  <c r="V63" i="4"/>
  <c r="AF63" i="4"/>
  <c r="W63" i="4" s="1"/>
  <c r="D64" i="4"/>
  <c r="E64" i="4"/>
  <c r="G64" i="4"/>
  <c r="I64" i="4"/>
  <c r="N64" i="4"/>
  <c r="Y64" i="4"/>
  <c r="P64" i="4" s="1"/>
  <c r="AA64" i="4"/>
  <c r="R64" i="4" s="1"/>
  <c r="AC64" i="4"/>
  <c r="T64" i="4"/>
  <c r="V64" i="4"/>
  <c r="AF64" i="4"/>
  <c r="W64" i="4" s="1"/>
  <c r="G65" i="4"/>
  <c r="I65" i="4"/>
  <c r="N65" i="4"/>
  <c r="Y65" i="4"/>
  <c r="P65" i="4" s="1"/>
  <c r="AA65" i="4"/>
  <c r="R65" i="4" s="1"/>
  <c r="AC65" i="4"/>
  <c r="T65" i="4" s="1"/>
  <c r="V65" i="4"/>
  <c r="AF65" i="4"/>
  <c r="W65" i="4" s="1"/>
  <c r="D66" i="4"/>
  <c r="E66" i="4"/>
  <c r="E51" i="4" s="1"/>
  <c r="G66" i="4"/>
  <c r="I66" i="4"/>
  <c r="N66" i="4"/>
  <c r="Y66" i="4"/>
  <c r="P66" i="4" s="1"/>
  <c r="AA66" i="4"/>
  <c r="R66" i="4" s="1"/>
  <c r="AC66" i="4"/>
  <c r="T66" i="4" s="1"/>
  <c r="V66" i="4"/>
  <c r="AF66" i="4"/>
  <c r="W66" i="4" s="1"/>
  <c r="D68" i="4"/>
  <c r="D67" i="4" s="1"/>
  <c r="E68" i="4"/>
  <c r="E67" i="4" s="1"/>
  <c r="D69" i="4"/>
  <c r="E69" i="4"/>
  <c r="D72" i="4"/>
  <c r="E72" i="4"/>
  <c r="G72" i="4"/>
  <c r="D74" i="4"/>
  <c r="D73" i="4"/>
  <c r="D70" i="4" s="1"/>
  <c r="E74" i="4"/>
  <c r="E73" i="4" s="1"/>
  <c r="G74" i="4"/>
  <c r="I74" i="4"/>
  <c r="N74" i="4"/>
  <c r="P74" i="4"/>
  <c r="W74" i="4"/>
  <c r="G75" i="4"/>
  <c r="I75" i="4"/>
  <c r="N75" i="4"/>
  <c r="Y75" i="4"/>
  <c r="P75" i="4" s="1"/>
  <c r="V75" i="4"/>
  <c r="AF75" i="4"/>
  <c r="W75" i="4" s="1"/>
  <c r="N76" i="4"/>
  <c r="E77" i="4"/>
  <c r="N77" i="4"/>
  <c r="Y77" i="4"/>
  <c r="P77" i="4" s="1"/>
  <c r="V77" i="4"/>
  <c r="AF77" i="4"/>
  <c r="W77" i="4" s="1"/>
  <c r="D79" i="4"/>
  <c r="N78" i="4"/>
  <c r="N79" i="4"/>
  <c r="N80" i="4"/>
  <c r="Y80" i="4"/>
  <c r="P80" i="4" s="1"/>
  <c r="V80" i="4"/>
  <c r="AF80" i="4"/>
  <c r="W80" i="4" s="1"/>
  <c r="D81" i="4"/>
  <c r="D78" i="4"/>
  <c r="E81" i="4"/>
  <c r="E78" i="4"/>
  <c r="G81" i="4"/>
  <c r="I81" i="4"/>
  <c r="N81" i="4"/>
  <c r="Y81" i="4"/>
  <c r="P81" i="4" s="1"/>
  <c r="AF81" i="4"/>
  <c r="W81" i="4" s="1"/>
  <c r="D82" i="4"/>
  <c r="E82" i="4"/>
  <c r="G82" i="4"/>
  <c r="I82" i="4"/>
  <c r="N82" i="4"/>
  <c r="Y82" i="4"/>
  <c r="P82" i="4" s="1"/>
  <c r="AF82" i="4"/>
  <c r="W82" i="4" s="1"/>
  <c r="G83" i="4"/>
  <c r="I83" i="4"/>
  <c r="Y83" i="4"/>
  <c r="P83" i="4" s="1"/>
  <c r="AF83" i="4"/>
  <c r="W83" i="4"/>
  <c r="Y87" i="4"/>
  <c r="P87" i="4"/>
  <c r="AC87" i="4"/>
  <c r="P89" i="4"/>
  <c r="P90" i="4"/>
  <c r="AA90" i="4"/>
  <c r="R90" i="4" s="1"/>
  <c r="AF90" i="4"/>
  <c r="W90" i="4" s="1"/>
  <c r="Y92" i="4"/>
  <c r="P92" i="4" s="1"/>
  <c r="AA92" i="4"/>
  <c r="R92" i="4" s="1"/>
  <c r="AC92" i="4"/>
  <c r="T92" i="4" s="1"/>
  <c r="V92" i="4"/>
  <c r="AF92" i="4"/>
  <c r="W92" i="4" s="1"/>
  <c r="D94" i="4"/>
  <c r="D85" i="4" s="1"/>
  <c r="E94" i="4"/>
  <c r="E85" i="4" s="1"/>
  <c r="G94" i="4"/>
  <c r="I94" i="4"/>
  <c r="N94" i="4"/>
  <c r="Y94" i="4"/>
  <c r="P94" i="4"/>
  <c r="AC94" i="4"/>
  <c r="T94" i="4"/>
  <c r="V94" i="4"/>
  <c r="AF94" i="4"/>
  <c r="W94" i="4" s="1"/>
  <c r="G95" i="4"/>
  <c r="I95" i="4"/>
  <c r="N95" i="4"/>
  <c r="P96" i="4"/>
  <c r="R96" i="4"/>
  <c r="T96" i="4"/>
  <c r="V96" i="4"/>
  <c r="W96" i="4"/>
  <c r="N99" i="4"/>
  <c r="P99" i="4"/>
  <c r="R99" i="4"/>
  <c r="V99" i="4"/>
  <c r="W99" i="4"/>
  <c r="D101" i="4"/>
  <c r="E101" i="4"/>
  <c r="F112" i="4"/>
  <c r="H112" i="4"/>
  <c r="J112" i="4"/>
  <c r="M112" i="4"/>
  <c r="F117" i="4"/>
  <c r="H117" i="4"/>
  <c r="J117" i="4"/>
  <c r="M117" i="4"/>
  <c r="F126" i="4"/>
  <c r="H126" i="4"/>
  <c r="J126" i="4"/>
  <c r="M126" i="4"/>
  <c r="F131" i="4"/>
  <c r="H131" i="4"/>
  <c r="J131" i="4"/>
  <c r="M131" i="4"/>
  <c r="F9" i="3"/>
  <c r="H9" i="3"/>
  <c r="J9" i="3"/>
  <c r="P9" i="3"/>
  <c r="R9" i="3"/>
  <c r="T9" i="3"/>
  <c r="F10" i="3"/>
  <c r="H10" i="3"/>
  <c r="J10" i="3"/>
  <c r="P10" i="3"/>
  <c r="R10" i="3"/>
  <c r="T10" i="3"/>
  <c r="F11" i="3"/>
  <c r="H11" i="3"/>
  <c r="J11" i="3"/>
  <c r="P11" i="3"/>
  <c r="R11" i="3"/>
  <c r="T11" i="3"/>
  <c r="F12" i="3"/>
  <c r="H12" i="3"/>
  <c r="J12" i="3"/>
  <c r="P12" i="3"/>
  <c r="R12" i="3"/>
  <c r="T12" i="3"/>
  <c r="F13" i="3"/>
  <c r="H13" i="3"/>
  <c r="J13" i="3"/>
  <c r="P13" i="3"/>
  <c r="R13" i="3"/>
  <c r="T13" i="3"/>
  <c r="F14" i="3"/>
  <c r="H14" i="3"/>
  <c r="J14" i="3"/>
  <c r="P14" i="3"/>
  <c r="R14" i="3"/>
  <c r="T14" i="3"/>
  <c r="F15" i="3"/>
  <c r="H15" i="3"/>
  <c r="J15" i="3"/>
  <c r="P15" i="3"/>
  <c r="R15" i="3"/>
  <c r="T15" i="3"/>
  <c r="C30" i="2"/>
  <c r="L22" i="3"/>
  <c r="L46" i="2" s="1"/>
  <c r="O17" i="3"/>
  <c r="H18" i="3"/>
  <c r="J18" i="3"/>
  <c r="P18" i="3"/>
  <c r="R18" i="3"/>
  <c r="T18" i="3"/>
  <c r="H19" i="3"/>
  <c r="J19" i="3"/>
  <c r="P20" i="3"/>
  <c r="R20" i="3"/>
  <c r="T20" i="3"/>
  <c r="F21" i="3"/>
  <c r="H21" i="3"/>
  <c r="J21" i="3"/>
  <c r="P21" i="3"/>
  <c r="R21" i="3"/>
  <c r="T21" i="3"/>
  <c r="C24" i="3"/>
  <c r="E22" i="3"/>
  <c r="E46" i="2" s="1"/>
  <c r="F23" i="3"/>
  <c r="H23" i="3"/>
  <c r="J23" i="3"/>
  <c r="R23" i="3"/>
  <c r="T23" i="3"/>
  <c r="W24" i="3"/>
  <c r="F10" i="2"/>
  <c r="H10" i="2"/>
  <c r="J10" i="2"/>
  <c r="H11" i="2"/>
  <c r="J11" i="2"/>
  <c r="P11" i="2"/>
  <c r="R11" i="2"/>
  <c r="T11" i="2"/>
  <c r="F12" i="2"/>
  <c r="H12" i="2"/>
  <c r="J12" i="2"/>
  <c r="P12" i="2"/>
  <c r="R12" i="2"/>
  <c r="T12" i="2"/>
  <c r="C13" i="2"/>
  <c r="C29" i="2" s="1"/>
  <c r="C31" i="2" s="1"/>
  <c r="D13" i="2"/>
  <c r="D29" i="2" s="1"/>
  <c r="E17" i="2"/>
  <c r="F17" i="2"/>
  <c r="P17" i="2"/>
  <c r="R17" i="2"/>
  <c r="T17" i="2"/>
  <c r="P18" i="2"/>
  <c r="R18" i="2"/>
  <c r="T18" i="2"/>
  <c r="K19" i="2"/>
  <c r="P19" i="2"/>
  <c r="R19" i="2"/>
  <c r="T19" i="2"/>
  <c r="P20" i="2"/>
  <c r="R20" i="2"/>
  <c r="T20" i="2"/>
  <c r="C21" i="2"/>
  <c r="E41" i="2"/>
  <c r="F41" i="2"/>
  <c r="G41" i="2"/>
  <c r="H41" i="2"/>
  <c r="I41" i="2"/>
  <c r="J41" i="2"/>
  <c r="K41" i="2"/>
  <c r="L41" i="2"/>
  <c r="E52" i="2"/>
  <c r="P44" i="1"/>
  <c r="G52" i="2"/>
  <c r="R44" i="1"/>
  <c r="I52" i="2"/>
  <c r="T44" i="1"/>
  <c r="T49" i="1" s="1"/>
  <c r="K52" i="2"/>
  <c r="V44" i="1"/>
  <c r="L52" i="2"/>
  <c r="C26" i="195" s="1"/>
  <c r="W44" i="1"/>
  <c r="W49" i="1" s="1"/>
  <c r="C59" i="2"/>
  <c r="C61" i="2" s="1"/>
  <c r="D59" i="2"/>
  <c r="D61" i="2" s="1"/>
  <c r="C60" i="2"/>
  <c r="D60" i="2"/>
  <c r="E71" i="2"/>
  <c r="P120" i="1" s="1"/>
  <c r="G71" i="2"/>
  <c r="R120" i="1" s="1"/>
  <c r="I71" i="2"/>
  <c r="T120" i="1" s="1"/>
  <c r="K71" i="2"/>
  <c r="V120" i="1" s="1"/>
  <c r="L71" i="2"/>
  <c r="W120" i="1" s="1"/>
  <c r="E84" i="2"/>
  <c r="P130" i="1" s="1"/>
  <c r="G84" i="2"/>
  <c r="R130" i="1" s="1"/>
  <c r="R135" i="1" s="1"/>
  <c r="I84" i="2"/>
  <c r="T130" i="1" s="1"/>
  <c r="K84" i="2"/>
  <c r="V130" i="1" s="1"/>
  <c r="L84" i="2"/>
  <c r="F6" i="1"/>
  <c r="H6" i="1"/>
  <c r="J6" i="1"/>
  <c r="F7" i="1"/>
  <c r="H7" i="1"/>
  <c r="J7" i="1"/>
  <c r="F8" i="1"/>
  <c r="H8" i="1"/>
  <c r="J8" i="1"/>
  <c r="F9" i="1"/>
  <c r="H9" i="1"/>
  <c r="J9" i="1"/>
  <c r="F10" i="1"/>
  <c r="H10" i="1"/>
  <c r="J10" i="1"/>
  <c r="F11" i="1"/>
  <c r="H11" i="1"/>
  <c r="J11" i="1"/>
  <c r="F12" i="1"/>
  <c r="H12" i="1"/>
  <c r="J12" i="1"/>
  <c r="F14" i="1"/>
  <c r="H14" i="1"/>
  <c r="J14" i="1"/>
  <c r="F15" i="1"/>
  <c r="H15" i="1"/>
  <c r="J15" i="1"/>
  <c r="F16" i="1"/>
  <c r="H16" i="1"/>
  <c r="J16" i="1"/>
  <c r="F17" i="1"/>
  <c r="H17" i="1"/>
  <c r="J17" i="1"/>
  <c r="F18" i="1"/>
  <c r="H18" i="1"/>
  <c r="J18" i="1"/>
  <c r="F19" i="1"/>
  <c r="H19" i="1"/>
  <c r="J19" i="1"/>
  <c r="E21" i="1"/>
  <c r="G21" i="1"/>
  <c r="I21" i="1"/>
  <c r="K21" i="1"/>
  <c r="J21" i="1" s="1"/>
  <c r="L21" i="1"/>
  <c r="F22" i="1"/>
  <c r="H22" i="1"/>
  <c r="J22" i="1"/>
  <c r="F23" i="1"/>
  <c r="H23" i="1"/>
  <c r="J23" i="1"/>
  <c r="F24" i="1"/>
  <c r="H24" i="1"/>
  <c r="J24" i="1"/>
  <c r="F25" i="1"/>
  <c r="H25" i="1"/>
  <c r="J25" i="1"/>
  <c r="F26" i="1"/>
  <c r="H26" i="1"/>
  <c r="J26" i="1"/>
  <c r="F28" i="1"/>
  <c r="H28" i="1"/>
  <c r="J28" i="1"/>
  <c r="F29" i="1"/>
  <c r="H29" i="1"/>
  <c r="J29" i="1"/>
  <c r="F30" i="1"/>
  <c r="H30" i="1"/>
  <c r="J30" i="1"/>
  <c r="F31" i="1"/>
  <c r="H31" i="1"/>
  <c r="J31" i="1"/>
  <c r="F32" i="1"/>
  <c r="H32" i="1"/>
  <c r="J32" i="1"/>
  <c r="F33" i="1"/>
  <c r="H33" i="1"/>
  <c r="J33" i="1"/>
  <c r="F34" i="1"/>
  <c r="H34" i="1"/>
  <c r="J34" i="1"/>
  <c r="F35" i="1"/>
  <c r="H35" i="1"/>
  <c r="J35" i="1"/>
  <c r="F36" i="1"/>
  <c r="H36" i="1"/>
  <c r="J36" i="1"/>
  <c r="F37" i="1"/>
  <c r="H37" i="1"/>
  <c r="J37" i="1"/>
  <c r="F39" i="1"/>
  <c r="H39" i="1"/>
  <c r="J39" i="1"/>
  <c r="F40" i="1"/>
  <c r="H40" i="1"/>
  <c r="J40" i="1"/>
  <c r="F41" i="1"/>
  <c r="H41" i="1"/>
  <c r="J41" i="1"/>
  <c r="F42" i="1"/>
  <c r="H42" i="1"/>
  <c r="J42" i="1"/>
  <c r="F43" i="1"/>
  <c r="H43" i="1"/>
  <c r="J43" i="1"/>
  <c r="F45" i="1"/>
  <c r="H45" i="1"/>
  <c r="J45" i="1"/>
  <c r="F46" i="1"/>
  <c r="H46" i="1"/>
  <c r="J46" i="1"/>
  <c r="F47" i="1"/>
  <c r="H47" i="1"/>
  <c r="J47" i="1"/>
  <c r="F48" i="1"/>
  <c r="H48" i="1"/>
  <c r="J48" i="1"/>
  <c r="F50" i="1"/>
  <c r="H50" i="1"/>
  <c r="J50" i="1"/>
  <c r="F51" i="1"/>
  <c r="H51" i="1"/>
  <c r="J51" i="1"/>
  <c r="F52" i="1"/>
  <c r="H52" i="1"/>
  <c r="J52" i="1"/>
  <c r="F53" i="1"/>
  <c r="H53" i="1"/>
  <c r="J53" i="1"/>
  <c r="C54" i="1"/>
  <c r="D54" i="1"/>
  <c r="D148" i="1" s="1"/>
  <c r="E55" i="1"/>
  <c r="L55" i="1"/>
  <c r="F56" i="1"/>
  <c r="H56" i="1"/>
  <c r="J56" i="1"/>
  <c r="F57" i="1"/>
  <c r="H57" i="1"/>
  <c r="J57" i="1"/>
  <c r="F58" i="1"/>
  <c r="H58" i="1"/>
  <c r="J58" i="1"/>
  <c r="F60" i="1"/>
  <c r="H60" i="1"/>
  <c r="J60" i="1"/>
  <c r="F61" i="1"/>
  <c r="H61" i="1"/>
  <c r="J61" i="1"/>
  <c r="F62" i="1"/>
  <c r="H62" i="1"/>
  <c r="J62" i="1"/>
  <c r="F63" i="1"/>
  <c r="H63" i="1"/>
  <c r="J63" i="1"/>
  <c r="F65" i="1"/>
  <c r="H65" i="1"/>
  <c r="J65" i="1"/>
  <c r="F66" i="1"/>
  <c r="H66" i="1"/>
  <c r="J66" i="1"/>
  <c r="E67" i="1"/>
  <c r="E143" i="1" s="1"/>
  <c r="F143" i="1" s="1"/>
  <c r="F68" i="1"/>
  <c r="H68" i="1"/>
  <c r="J68" i="1"/>
  <c r="F69" i="1"/>
  <c r="H69" i="1"/>
  <c r="J69" i="1"/>
  <c r="F70" i="1"/>
  <c r="H70" i="1"/>
  <c r="J70" i="1"/>
  <c r="E71" i="1"/>
  <c r="G71" i="1"/>
  <c r="I71" i="1"/>
  <c r="J71" i="1" s="1"/>
  <c r="L71" i="1"/>
  <c r="F72" i="1"/>
  <c r="H72" i="1"/>
  <c r="J72" i="1"/>
  <c r="F73" i="1"/>
  <c r="H73" i="1"/>
  <c r="J73" i="1"/>
  <c r="F74" i="1"/>
  <c r="H74" i="1"/>
  <c r="J74" i="1"/>
  <c r="F75" i="1"/>
  <c r="H75" i="1"/>
  <c r="J75" i="1"/>
  <c r="E76" i="1"/>
  <c r="G76" i="1"/>
  <c r="I76" i="1"/>
  <c r="L76" i="1"/>
  <c r="C77" i="1"/>
  <c r="D77" i="1"/>
  <c r="F79" i="1"/>
  <c r="H79" i="1"/>
  <c r="J79" i="1"/>
  <c r="F80" i="1"/>
  <c r="H80" i="1"/>
  <c r="J80" i="1"/>
  <c r="H86" i="1"/>
  <c r="F88" i="1"/>
  <c r="H88" i="1"/>
  <c r="J88" i="1"/>
  <c r="F89" i="1"/>
  <c r="H89" i="1"/>
  <c r="J89" i="1"/>
  <c r="F90" i="1"/>
  <c r="H90" i="1"/>
  <c r="J90" i="1"/>
  <c r="F91" i="1"/>
  <c r="H91" i="1"/>
  <c r="J91" i="1"/>
  <c r="F92" i="1"/>
  <c r="H92" i="1"/>
  <c r="J92" i="1"/>
  <c r="F93" i="1"/>
  <c r="H93" i="1"/>
  <c r="J93" i="1"/>
  <c r="F94" i="1"/>
  <c r="H94" i="1"/>
  <c r="J94" i="1"/>
  <c r="F95" i="1"/>
  <c r="H95" i="1"/>
  <c r="J95" i="1"/>
  <c r="F96" i="1"/>
  <c r="H96" i="1"/>
  <c r="J96" i="1"/>
  <c r="F97" i="1"/>
  <c r="H97" i="1"/>
  <c r="J97" i="1"/>
  <c r="F98" i="1"/>
  <c r="H98" i="1"/>
  <c r="J98" i="1"/>
  <c r="F99" i="1"/>
  <c r="H99" i="1"/>
  <c r="J99" i="1"/>
  <c r="F100" i="1"/>
  <c r="H100" i="1"/>
  <c r="J100" i="1"/>
  <c r="F101" i="1"/>
  <c r="H101" i="1"/>
  <c r="J101" i="1"/>
  <c r="F102" i="1"/>
  <c r="H102" i="1"/>
  <c r="J102" i="1"/>
  <c r="F104" i="1"/>
  <c r="H104" i="1"/>
  <c r="J104" i="1"/>
  <c r="F105" i="1"/>
  <c r="H105" i="1"/>
  <c r="J105" i="1"/>
  <c r="F106" i="1"/>
  <c r="H106" i="1"/>
  <c r="J106" i="1"/>
  <c r="F107" i="1"/>
  <c r="H107" i="1"/>
  <c r="J107" i="1"/>
  <c r="F108" i="1"/>
  <c r="H108" i="1"/>
  <c r="J108" i="1"/>
  <c r="F109" i="1"/>
  <c r="H109" i="1"/>
  <c r="J109" i="1"/>
  <c r="F110" i="1"/>
  <c r="H110" i="1"/>
  <c r="J110" i="1"/>
  <c r="F111" i="1"/>
  <c r="H111" i="1"/>
  <c r="J111" i="1"/>
  <c r="F112" i="1"/>
  <c r="H112" i="1"/>
  <c r="J112" i="1"/>
  <c r="F113" i="1"/>
  <c r="H113" i="1"/>
  <c r="J113" i="1"/>
  <c r="F114" i="1"/>
  <c r="H114" i="1"/>
  <c r="J114" i="1"/>
  <c r="F115" i="1"/>
  <c r="H115" i="1"/>
  <c r="J115" i="1"/>
  <c r="F116" i="1"/>
  <c r="H116" i="1"/>
  <c r="J116" i="1"/>
  <c r="F117" i="1"/>
  <c r="H117" i="1"/>
  <c r="J117" i="1"/>
  <c r="F118" i="1"/>
  <c r="H118" i="1"/>
  <c r="J118" i="1"/>
  <c r="F119" i="1"/>
  <c r="H119" i="1"/>
  <c r="J119" i="1"/>
  <c r="C120" i="1"/>
  <c r="C148" i="1" s="1"/>
  <c r="E121" i="1"/>
  <c r="T121" i="1"/>
  <c r="V121" i="1"/>
  <c r="F122" i="1"/>
  <c r="H122" i="1"/>
  <c r="J122" i="1"/>
  <c r="F123" i="1"/>
  <c r="H123" i="1"/>
  <c r="J123" i="1"/>
  <c r="F124" i="1"/>
  <c r="H124" i="1"/>
  <c r="J124" i="1"/>
  <c r="F126" i="1"/>
  <c r="H126" i="1"/>
  <c r="J126" i="1"/>
  <c r="F127" i="1"/>
  <c r="H127" i="1"/>
  <c r="J127" i="1"/>
  <c r="F128" i="1"/>
  <c r="H128" i="1"/>
  <c r="J128" i="1"/>
  <c r="F129" i="1"/>
  <c r="H129" i="1"/>
  <c r="J129" i="1"/>
  <c r="E130" i="1"/>
  <c r="F131" i="1"/>
  <c r="H131" i="1"/>
  <c r="J131" i="1"/>
  <c r="F132" i="1"/>
  <c r="H132" i="1"/>
  <c r="J132" i="1"/>
  <c r="F133" i="1"/>
  <c r="H133" i="1"/>
  <c r="J133" i="1"/>
  <c r="F134" i="1"/>
  <c r="H134" i="1"/>
  <c r="J134" i="1"/>
  <c r="E135" i="1"/>
  <c r="G135" i="1"/>
  <c r="I135" i="1"/>
  <c r="H135" i="1" s="1"/>
  <c r="K135" i="1"/>
  <c r="L135" i="1"/>
  <c r="F136" i="1"/>
  <c r="H136" i="1"/>
  <c r="J136" i="1"/>
  <c r="F137" i="1"/>
  <c r="H137" i="1"/>
  <c r="J137" i="1"/>
  <c r="F138" i="1"/>
  <c r="H138" i="1"/>
  <c r="J138" i="1"/>
  <c r="F139" i="1"/>
  <c r="H139" i="1"/>
  <c r="J139" i="1"/>
  <c r="C140" i="1"/>
  <c r="D140" i="1"/>
  <c r="F142" i="1"/>
  <c r="H142" i="1"/>
  <c r="J142" i="1"/>
  <c r="H143" i="1"/>
  <c r="J143" i="1"/>
  <c r="G47" i="64"/>
  <c r="L178" i="68"/>
  <c r="J8" i="182" s="1"/>
  <c r="AD157" i="68"/>
  <c r="C13" i="126"/>
  <c r="G52" i="61"/>
  <c r="F36" i="60"/>
  <c r="F42" i="60"/>
  <c r="C45" i="126" s="1"/>
  <c r="C46" i="126" s="1"/>
  <c r="G8" i="60"/>
  <c r="AA23" i="127"/>
  <c r="C13" i="127"/>
  <c r="C23" i="127"/>
  <c r="C21" i="127"/>
  <c r="C26" i="181"/>
  <c r="K26" i="181" s="1"/>
  <c r="S23" i="127"/>
  <c r="G52" i="57"/>
  <c r="F55" i="56"/>
  <c r="F55" i="57" s="1"/>
  <c r="S44" i="127"/>
  <c r="S45" i="127" s="1"/>
  <c r="F45" i="57"/>
  <c r="Y45" i="56" s="1"/>
  <c r="Q45" i="56" s="1"/>
  <c r="F39" i="57"/>
  <c r="G39" i="57" s="1"/>
  <c r="C35" i="127"/>
  <c r="F42" i="56"/>
  <c r="C44" i="127" s="1"/>
  <c r="C45" i="127" s="1"/>
  <c r="F8" i="57"/>
  <c r="Y8" i="56" s="1"/>
  <c r="Q8" i="56" s="1"/>
  <c r="C29" i="127"/>
  <c r="C30" i="127" s="1"/>
  <c r="AA24" i="125"/>
  <c r="C8" i="125"/>
  <c r="C13" i="125"/>
  <c r="S32" i="125"/>
  <c r="C21" i="125"/>
  <c r="G58" i="53"/>
  <c r="F66" i="52"/>
  <c r="S49" i="125"/>
  <c r="S50" i="125" s="1"/>
  <c r="F50" i="53"/>
  <c r="G51" i="53"/>
  <c r="C31" i="125"/>
  <c r="G44" i="53"/>
  <c r="G14" i="53"/>
  <c r="G8" i="52"/>
  <c r="D28" i="125" s="1"/>
  <c r="S38" i="124"/>
  <c r="C11" i="124"/>
  <c r="C8" i="124"/>
  <c r="C19" i="124"/>
  <c r="S26" i="124"/>
  <c r="F63" i="48"/>
  <c r="G43" i="48"/>
  <c r="G14" i="49"/>
  <c r="G8" i="48"/>
  <c r="D25" i="124" s="1"/>
  <c r="S31" i="123"/>
  <c r="S40" i="123"/>
  <c r="F56" i="45"/>
  <c r="Z56" i="44"/>
  <c r="R56" i="44" s="1"/>
  <c r="F63" i="44"/>
  <c r="S45" i="123" s="1"/>
  <c r="S46" i="123" s="1"/>
  <c r="F50" i="45"/>
  <c r="C27" i="123"/>
  <c r="C28" i="123" s="1"/>
  <c r="G10" i="45"/>
  <c r="F43" i="45"/>
  <c r="F40" i="45"/>
  <c r="Z40" i="44" s="1"/>
  <c r="R40" i="44" s="1"/>
  <c r="Z43" i="44"/>
  <c r="R43" i="44" s="1"/>
  <c r="AA21" i="107"/>
  <c r="F39" i="41"/>
  <c r="F36" i="41" s="1"/>
  <c r="F36" i="40"/>
  <c r="C18" i="107"/>
  <c r="S38" i="107"/>
  <c r="S39" i="107" s="1"/>
  <c r="F59" i="40"/>
  <c r="G47" i="41"/>
  <c r="C49" i="104"/>
  <c r="C52" i="104"/>
  <c r="C46" i="104"/>
  <c r="C58" i="104"/>
  <c r="C8" i="104"/>
  <c r="C19" i="104"/>
  <c r="F52" i="37"/>
  <c r="Z52" i="36"/>
  <c r="R52" i="36" s="1"/>
  <c r="F46" i="37"/>
  <c r="F36" i="36"/>
  <c r="C31" i="104" s="1"/>
  <c r="G41" i="37"/>
  <c r="AA23" i="106"/>
  <c r="C12" i="106"/>
  <c r="C23" i="106" s="1"/>
  <c r="C21" i="106"/>
  <c r="K23" i="106"/>
  <c r="S41" i="106"/>
  <c r="S42" i="106" s="1"/>
  <c r="F47" i="33"/>
  <c r="AA47" i="32" s="1"/>
  <c r="F44" i="32"/>
  <c r="C32" i="106"/>
  <c r="AA23" i="105"/>
  <c r="C12" i="105"/>
  <c r="C8" i="105"/>
  <c r="C21" i="105"/>
  <c r="G57" i="29"/>
  <c r="F47" i="29"/>
  <c r="Z47" i="28"/>
  <c r="R47" i="28" s="1"/>
  <c r="G43" i="29"/>
  <c r="F59" i="20"/>
  <c r="G47" i="14"/>
  <c r="C33" i="126"/>
  <c r="S40" i="124"/>
  <c r="S41" i="124" s="1"/>
  <c r="C29" i="107"/>
  <c r="F43" i="40"/>
  <c r="F64" i="40" s="1"/>
  <c r="Z46" i="36"/>
  <c r="R46" i="36" s="1"/>
  <c r="C38" i="107"/>
  <c r="M208" i="177"/>
  <c r="H51" i="178"/>
  <c r="H111" i="178" s="1"/>
  <c r="I51" i="178"/>
  <c r="I111" i="178" s="1"/>
  <c r="E51" i="178"/>
  <c r="E111" i="178" s="1"/>
  <c r="F59" i="22"/>
  <c r="H3" i="72"/>
  <c r="D74" i="5"/>
  <c r="R71" i="6"/>
  <c r="D61" i="7"/>
  <c r="R74" i="6"/>
  <c r="G71" i="6"/>
  <c r="E37" i="8"/>
  <c r="D57" i="9"/>
  <c r="J64" i="10"/>
  <c r="I65" i="10"/>
  <c r="D53" i="10"/>
  <c r="D37" i="10"/>
  <c r="E36" i="11"/>
  <c r="E68" i="11" s="1"/>
  <c r="E73" i="11" s="1"/>
  <c r="E84" i="11" s="1"/>
  <c r="K40" i="11"/>
  <c r="I40" i="11"/>
  <c r="F90" i="177"/>
  <c r="G65" i="177"/>
  <c r="M65" i="177"/>
  <c r="Y39" i="56"/>
  <c r="Q39" i="56" s="1"/>
  <c r="N43" i="40"/>
  <c r="N41" i="40"/>
  <c r="D30" i="2"/>
  <c r="G39" i="4"/>
  <c r="E34" i="6"/>
  <c r="R34" i="6"/>
  <c r="F78" i="7"/>
  <c r="F79" i="7"/>
  <c r="M28" i="7"/>
  <c r="F28" i="7"/>
  <c r="E19" i="10"/>
  <c r="E19" i="8"/>
  <c r="E19" i="11"/>
  <c r="E19" i="9"/>
  <c r="D18" i="9"/>
  <c r="D16" i="9" s="1"/>
  <c r="D18" i="11"/>
  <c r="D18" i="10"/>
  <c r="D16" i="10" s="1"/>
  <c r="D18" i="8"/>
  <c r="W22" i="158"/>
  <c r="E19" i="5"/>
  <c r="E16" i="5"/>
  <c r="G66" i="8"/>
  <c r="D19" i="10"/>
  <c r="D19" i="8"/>
  <c r="D19" i="11"/>
  <c r="D19" i="9"/>
  <c r="J42" i="159"/>
  <c r="E30" i="158"/>
  <c r="N63" i="8"/>
  <c r="D54" i="8"/>
  <c r="P32" i="5"/>
  <c r="R39" i="6"/>
  <c r="E19" i="7"/>
  <c r="E16" i="7"/>
  <c r="E7" i="7" s="1"/>
  <c r="D18" i="7"/>
  <c r="D65" i="8"/>
  <c r="N30" i="8"/>
  <c r="E18" i="10"/>
  <c r="E16" i="10" s="1"/>
  <c r="E18" i="8"/>
  <c r="E16" i="8"/>
  <c r="E18" i="9"/>
  <c r="E16" i="9" s="1"/>
  <c r="E18" i="11"/>
  <c r="E16" i="11"/>
  <c r="J30" i="158"/>
  <c r="H30" i="158"/>
  <c r="H31" i="158" s="1"/>
  <c r="N35" i="24"/>
  <c r="H33" i="9"/>
  <c r="H11" i="9"/>
  <c r="I11" i="9" s="1"/>
  <c r="N47" i="14"/>
  <c r="L58" i="21"/>
  <c r="L59" i="22"/>
  <c r="H59" i="22"/>
  <c r="G59" i="22" s="1"/>
  <c r="I39" i="159"/>
  <c r="N34" i="24"/>
  <c r="J33" i="24"/>
  <c r="J30" i="4"/>
  <c r="N43" i="182" s="1"/>
  <c r="W12" i="8"/>
  <c r="L37" i="22"/>
  <c r="L43" i="22" s="1"/>
  <c r="L36" i="159"/>
  <c r="K36" i="159" s="1"/>
  <c r="H36" i="159"/>
  <c r="C27" i="158"/>
  <c r="C28" i="158" s="1"/>
  <c r="I40" i="105"/>
  <c r="I41" i="105"/>
  <c r="G11" i="8"/>
  <c r="G57" i="14"/>
  <c r="N54" i="14"/>
  <c r="H52" i="15"/>
  <c r="I54" i="16"/>
  <c r="E54" i="16"/>
  <c r="G49" i="18"/>
  <c r="C8" i="183" s="1"/>
  <c r="C13" i="183" s="1"/>
  <c r="AQ33" i="184" s="1"/>
  <c r="J58" i="21"/>
  <c r="I58" i="21" s="1"/>
  <c r="J59" i="22"/>
  <c r="K59" i="22" s="1"/>
  <c r="K22" i="158"/>
  <c r="J8" i="158"/>
  <c r="G40" i="105"/>
  <c r="G41" i="105" s="1"/>
  <c r="J41" i="106"/>
  <c r="J42" i="106" s="1"/>
  <c r="F36" i="159"/>
  <c r="F42" i="159" s="1"/>
  <c r="G41" i="106"/>
  <c r="G42" i="106" s="1"/>
  <c r="L44" i="32"/>
  <c r="I31" i="25"/>
  <c r="K54" i="26"/>
  <c r="G54" i="26"/>
  <c r="K34" i="26"/>
  <c r="G34" i="26"/>
  <c r="J33" i="26"/>
  <c r="AA13" i="6" s="1"/>
  <c r="S13" i="6" s="1"/>
  <c r="K56" i="28"/>
  <c r="G56" i="28"/>
  <c r="G49" i="29"/>
  <c r="K48" i="29"/>
  <c r="G48" i="29"/>
  <c r="G41" i="32"/>
  <c r="G32" i="106"/>
  <c r="I57" i="33"/>
  <c r="G55" i="33"/>
  <c r="I54" i="33"/>
  <c r="K53" i="33"/>
  <c r="G51" i="33"/>
  <c r="I50" i="33"/>
  <c r="K49" i="33"/>
  <c r="K43" i="33"/>
  <c r="K40" i="33"/>
  <c r="I40" i="33"/>
  <c r="C41" i="106"/>
  <c r="C42" i="106" s="1"/>
  <c r="Z30" i="106"/>
  <c r="J47" i="29"/>
  <c r="C28" i="105"/>
  <c r="C29" i="105" s="1"/>
  <c r="H56" i="33"/>
  <c r="K48" i="33"/>
  <c r="L47" i="33"/>
  <c r="AG47" i="32" s="1"/>
  <c r="Y47" i="32" s="1"/>
  <c r="J8" i="33"/>
  <c r="J42" i="35"/>
  <c r="AE42" i="32" s="1"/>
  <c r="W42" i="32" s="1"/>
  <c r="I56" i="28"/>
  <c r="U40" i="105" s="1"/>
  <c r="U41" i="105" s="1"/>
  <c r="K57" i="33"/>
  <c r="G53" i="33"/>
  <c r="I52" i="33"/>
  <c r="K51" i="33"/>
  <c r="G49" i="33"/>
  <c r="J47" i="33"/>
  <c r="G43" i="33"/>
  <c r="I42" i="33"/>
  <c r="G21" i="106"/>
  <c r="H47" i="33"/>
  <c r="K39" i="33"/>
  <c r="M42" i="35"/>
  <c r="F42" i="35"/>
  <c r="E12" i="106"/>
  <c r="I46" i="36"/>
  <c r="AD37" i="36"/>
  <c r="V37" i="36" s="1"/>
  <c r="I53" i="37"/>
  <c r="K37" i="37"/>
  <c r="G37" i="37"/>
  <c r="K46" i="40"/>
  <c r="G46" i="40"/>
  <c r="AF9" i="40"/>
  <c r="X9" i="40" s="1"/>
  <c r="I55" i="41"/>
  <c r="K47" i="41"/>
  <c r="G40" i="41"/>
  <c r="K56" i="44"/>
  <c r="AB19" i="44"/>
  <c r="T19" i="44"/>
  <c r="L52" i="37"/>
  <c r="H52" i="37"/>
  <c r="L52" i="41"/>
  <c r="H52" i="41"/>
  <c r="AB52" i="40" s="1"/>
  <c r="T52" i="40" s="1"/>
  <c r="H8" i="41"/>
  <c r="AB8" i="40" s="1"/>
  <c r="T8" i="40" s="1"/>
  <c r="I56" i="44"/>
  <c r="L45" i="51"/>
  <c r="G46" i="36"/>
  <c r="R8" i="40"/>
  <c r="G56" i="44"/>
  <c r="AF19" i="44"/>
  <c r="X19" i="44" s="1"/>
  <c r="G19" i="49"/>
  <c r="H45" i="51"/>
  <c r="J48" i="55"/>
  <c r="J62" i="55"/>
  <c r="L44" i="55"/>
  <c r="L38" i="55"/>
  <c r="AB54" i="44"/>
  <c r="T54" i="44"/>
  <c r="L47" i="44"/>
  <c r="I39" i="123" s="1"/>
  <c r="AB20" i="44"/>
  <c r="T20" i="44"/>
  <c r="AB17" i="44"/>
  <c r="T17" i="44" s="1"/>
  <c r="AD16" i="44"/>
  <c r="V16" i="44" s="1"/>
  <c r="AF15" i="44"/>
  <c r="X15" i="44" s="1"/>
  <c r="AB13" i="44"/>
  <c r="T13" i="44"/>
  <c r="AD12" i="44"/>
  <c r="V12" i="44" s="1"/>
  <c r="AF11" i="44"/>
  <c r="X11" i="44"/>
  <c r="AB9" i="44"/>
  <c r="T9" i="44" s="1"/>
  <c r="K8" i="44"/>
  <c r="H27" i="123" s="1"/>
  <c r="H28" i="123" s="1"/>
  <c r="K20" i="45"/>
  <c r="G20" i="45"/>
  <c r="I14" i="45"/>
  <c r="K9" i="45"/>
  <c r="G9" i="45"/>
  <c r="G20" i="46"/>
  <c r="K8" i="46"/>
  <c r="G8" i="46"/>
  <c r="I20" i="47"/>
  <c r="I8" i="47"/>
  <c r="G51" i="49"/>
  <c r="K20" i="49"/>
  <c r="G20" i="49"/>
  <c r="I14" i="49"/>
  <c r="I20" i="50"/>
  <c r="U26" i="124"/>
  <c r="I19" i="124"/>
  <c r="K20" i="52"/>
  <c r="G20" i="52"/>
  <c r="K8" i="52"/>
  <c r="H28" i="125" s="1"/>
  <c r="G41" i="53"/>
  <c r="L26" i="53"/>
  <c r="H20" i="53"/>
  <c r="H19" i="53" s="1"/>
  <c r="K17" i="53"/>
  <c r="G15" i="53"/>
  <c r="I14" i="53"/>
  <c r="K13" i="53"/>
  <c r="G11" i="53"/>
  <c r="F45" i="54"/>
  <c r="N43" i="54"/>
  <c r="L43" i="45"/>
  <c r="J19" i="45"/>
  <c r="J19" i="46"/>
  <c r="K19" i="46" s="1"/>
  <c r="L19" i="47"/>
  <c r="H19" i="47"/>
  <c r="J19" i="49"/>
  <c r="L8" i="49"/>
  <c r="L19" i="50"/>
  <c r="H19" i="50"/>
  <c r="E8" i="124"/>
  <c r="E29" i="124" s="1"/>
  <c r="F19" i="52"/>
  <c r="J26" i="53"/>
  <c r="H8" i="53"/>
  <c r="G10" i="53"/>
  <c r="M45" i="55"/>
  <c r="F45" i="55"/>
  <c r="AD58" i="44"/>
  <c r="V58" i="44" s="1"/>
  <c r="AF54" i="44"/>
  <c r="X54" i="44"/>
  <c r="AB45" i="44"/>
  <c r="T45" i="44" s="1"/>
  <c r="AF20" i="44"/>
  <c r="X20" i="44"/>
  <c r="AF17" i="44"/>
  <c r="X17" i="44" s="1"/>
  <c r="AB15" i="44"/>
  <c r="T15" i="44"/>
  <c r="AF13" i="44"/>
  <c r="X13" i="44" s="1"/>
  <c r="AB11" i="44"/>
  <c r="T11" i="44"/>
  <c r="AF9" i="44"/>
  <c r="X9" i="44" s="1"/>
  <c r="I8" i="44"/>
  <c r="F27" i="123" s="1"/>
  <c r="F28" i="123" s="1"/>
  <c r="K56" i="48"/>
  <c r="G56" i="48"/>
  <c r="K43" i="48"/>
  <c r="I20" i="52"/>
  <c r="M19" i="52"/>
  <c r="I8" i="52"/>
  <c r="F28" i="125" s="1"/>
  <c r="I58" i="53"/>
  <c r="K41" i="53"/>
  <c r="G17" i="53"/>
  <c r="I16" i="53"/>
  <c r="K15" i="53"/>
  <c r="G13" i="53"/>
  <c r="I12" i="53"/>
  <c r="K11" i="53"/>
  <c r="F8" i="53"/>
  <c r="J44" i="54"/>
  <c r="J45" i="54"/>
  <c r="J14" i="184" s="1"/>
  <c r="F63" i="55"/>
  <c r="L19" i="52"/>
  <c r="I41" i="53"/>
  <c r="M63" i="55"/>
  <c r="D63" i="55"/>
  <c r="I51" i="56"/>
  <c r="K19" i="56"/>
  <c r="G8" i="56"/>
  <c r="L19" i="57"/>
  <c r="K18" i="57"/>
  <c r="L8" i="57"/>
  <c r="J19" i="57"/>
  <c r="AC19" i="56"/>
  <c r="U19" i="56" s="1"/>
  <c r="AE28" i="60"/>
  <c r="U28" i="60" s="1"/>
  <c r="L55" i="56"/>
  <c r="L68" i="56" s="1"/>
  <c r="H55" i="56"/>
  <c r="G55" i="56" s="1"/>
  <c r="G51" i="56"/>
  <c r="I19" i="56"/>
  <c r="I8" i="56"/>
  <c r="J8" i="57"/>
  <c r="AC8" i="56" s="1"/>
  <c r="U8" i="56" s="1"/>
  <c r="H21" i="127"/>
  <c r="H23" i="127" s="1"/>
  <c r="I13" i="127"/>
  <c r="AG23" i="127"/>
  <c r="E13" i="127"/>
  <c r="AC23" i="127"/>
  <c r="H19" i="61"/>
  <c r="G9" i="127"/>
  <c r="H36" i="60"/>
  <c r="H42" i="60" s="1"/>
  <c r="G37" i="61"/>
  <c r="K31" i="61"/>
  <c r="H55" i="60"/>
  <c r="U45" i="126" s="1"/>
  <c r="I45" i="60"/>
  <c r="O41" i="60"/>
  <c r="I39" i="60"/>
  <c r="K16" i="61"/>
  <c r="I8" i="60"/>
  <c r="F27" i="126" s="1"/>
  <c r="T45" i="64"/>
  <c r="I39" i="64"/>
  <c r="T34" i="64"/>
  <c r="N34" i="64"/>
  <c r="R12" i="64"/>
  <c r="R11" i="64"/>
  <c r="R10" i="64"/>
  <c r="F8" i="64"/>
  <c r="K50" i="65"/>
  <c r="K45" i="65"/>
  <c r="G39" i="65"/>
  <c r="J8" i="65"/>
  <c r="I10" i="65"/>
  <c r="K36" i="66"/>
  <c r="AB36" i="64" s="1"/>
  <c r="S36" i="64" s="1"/>
  <c r="G16" i="66"/>
  <c r="I11" i="66"/>
  <c r="L8" i="66"/>
  <c r="K10" i="66"/>
  <c r="D55" i="67"/>
  <c r="L40" i="67"/>
  <c r="H40" i="67"/>
  <c r="Q159" i="68"/>
  <c r="O159" i="68"/>
  <c r="G46" i="64"/>
  <c r="G34" i="64"/>
  <c r="K12" i="64"/>
  <c r="K11" i="64"/>
  <c r="J49" i="65"/>
  <c r="I50" i="65"/>
  <c r="L43" i="65"/>
  <c r="H43" i="65"/>
  <c r="K39" i="65"/>
  <c r="H19" i="65"/>
  <c r="G21" i="65"/>
  <c r="I11" i="65"/>
  <c r="K51" i="66"/>
  <c r="K46" i="66"/>
  <c r="AB46" i="64" s="1"/>
  <c r="K34" i="66"/>
  <c r="AB34" i="64" s="1"/>
  <c r="S34" i="64" s="1"/>
  <c r="H20" i="66"/>
  <c r="G22" i="66"/>
  <c r="F8" i="66"/>
  <c r="H49" i="65"/>
  <c r="L8" i="65"/>
  <c r="H35" i="66"/>
  <c r="I35" i="66" s="1"/>
  <c r="J33" i="66"/>
  <c r="L20" i="66"/>
  <c r="K22" i="66"/>
  <c r="R204" i="68"/>
  <c r="AI154" i="68"/>
  <c r="AG154" i="68"/>
  <c r="I39" i="65"/>
  <c r="J44" i="66"/>
  <c r="I45" i="66"/>
  <c r="I13" i="66"/>
  <c r="H8" i="66"/>
  <c r="G10" i="66"/>
  <c r="J8" i="66"/>
  <c r="Q192" i="68"/>
  <c r="AE9" i="182"/>
  <c r="O192" i="68"/>
  <c r="AC9" i="182" s="1"/>
  <c r="O172" i="68"/>
  <c r="N171" i="68"/>
  <c r="M172" i="68"/>
  <c r="AI150" i="68"/>
  <c r="AH157" i="68"/>
  <c r="AG150" i="68"/>
  <c r="M210" i="68"/>
  <c r="N214" i="68"/>
  <c r="D9" i="182" s="1"/>
  <c r="T167" i="68"/>
  <c r="Q149" i="68"/>
  <c r="O149" i="68"/>
  <c r="X157" i="68"/>
  <c r="AI137" i="68"/>
  <c r="AG137" i="68"/>
  <c r="AF111" i="68"/>
  <c r="O137" i="68"/>
  <c r="AL19" i="181" s="1"/>
  <c r="M137" i="68"/>
  <c r="AJ19" i="181" s="1"/>
  <c r="Q210" i="68"/>
  <c r="R214" i="68"/>
  <c r="H9" i="182" s="1"/>
  <c r="R171" i="68"/>
  <c r="AN8" i="182" s="1"/>
  <c r="G178" i="68"/>
  <c r="AI155" i="68"/>
  <c r="AG155" i="68"/>
  <c r="AF128" i="68"/>
  <c r="AB128" i="68"/>
  <c r="M192" i="68"/>
  <c r="AA9" i="182" s="1"/>
  <c r="R188" i="68"/>
  <c r="H8" i="182" s="1"/>
  <c r="J217" i="68"/>
  <c r="O180" i="68"/>
  <c r="M180" i="68"/>
  <c r="AC112" i="68"/>
  <c r="J178" i="68"/>
  <c r="T155" i="68"/>
  <c r="S163" i="68"/>
  <c r="AI152" i="68"/>
  <c r="AG152" i="68"/>
  <c r="X128" i="68"/>
  <c r="H146" i="68"/>
  <c r="AJ111" i="68"/>
  <c r="R153" i="68"/>
  <c r="Q19" i="181"/>
  <c r="DA19" i="181" s="1"/>
  <c r="Q137" i="68"/>
  <c r="AN19" i="181" s="1"/>
  <c r="CZ19" i="181" s="1"/>
  <c r="AB127" i="68"/>
  <c r="G19" i="181"/>
  <c r="L163" i="68"/>
  <c r="C19" i="181" s="1"/>
  <c r="AF157" i="68"/>
  <c r="AE157" i="68"/>
  <c r="T147" i="68"/>
  <c r="S146" i="68"/>
  <c r="J146" i="68"/>
  <c r="J153" i="68" s="1"/>
  <c r="T117" i="68"/>
  <c r="M117" i="68"/>
  <c r="R116" i="68"/>
  <c r="AW18" i="181" s="1"/>
  <c r="R100" i="68"/>
  <c r="Q17" i="181"/>
  <c r="O16" i="181"/>
  <c r="CY16" i="181" s="1"/>
  <c r="J27" i="68"/>
  <c r="F27" i="68"/>
  <c r="O147" i="68"/>
  <c r="N146" i="68"/>
  <c r="M146" i="68" s="1"/>
  <c r="AH111" i="68"/>
  <c r="AI111" i="68" s="1"/>
  <c r="AD111" i="68"/>
  <c r="AE111" i="68"/>
  <c r="AI129" i="68"/>
  <c r="Q129" i="68"/>
  <c r="AJ128" i="68"/>
  <c r="AI125" i="68"/>
  <c r="AG124" i="68"/>
  <c r="Q119" i="68"/>
  <c r="N116" i="68"/>
  <c r="AJ112" i="68"/>
  <c r="AF112" i="68"/>
  <c r="AE112" i="68" s="1"/>
  <c r="R50" i="68"/>
  <c r="Q15" i="181" s="1"/>
  <c r="AM122" i="68"/>
  <c r="AH112" i="68"/>
  <c r="AD112" i="68"/>
  <c r="J77" i="68"/>
  <c r="R27" i="68"/>
  <c r="P7" i="182"/>
  <c r="O56" i="71"/>
  <c r="S110" i="68"/>
  <c r="T96" i="68"/>
  <c r="M94" i="68"/>
  <c r="AU17" i="181"/>
  <c r="M87" i="68"/>
  <c r="D16" i="181" s="1"/>
  <c r="M79" i="68"/>
  <c r="O71" i="68"/>
  <c r="M52" i="68"/>
  <c r="O44" i="68"/>
  <c r="O29" i="68"/>
  <c r="O19" i="68"/>
  <c r="M78" i="69"/>
  <c r="T94" i="68"/>
  <c r="M44" i="68"/>
  <c r="K5" i="71"/>
  <c r="U44" i="127"/>
  <c r="H68" i="56"/>
  <c r="H45" i="50"/>
  <c r="AB52" i="36"/>
  <c r="T52" i="36"/>
  <c r="G52" i="37"/>
  <c r="AE8" i="32"/>
  <c r="G30" i="158"/>
  <c r="G31" i="158" s="1"/>
  <c r="K58" i="21"/>
  <c r="H66" i="6"/>
  <c r="S66" i="6" s="1"/>
  <c r="AA66" i="6"/>
  <c r="G39" i="158"/>
  <c r="G40" i="158" s="1"/>
  <c r="F66" i="6"/>
  <c r="Y66" i="6"/>
  <c r="D16" i="11"/>
  <c r="D7" i="11" s="1"/>
  <c r="H53" i="65"/>
  <c r="AB17" i="184" s="1"/>
  <c r="Y44" i="127"/>
  <c r="F47" i="52"/>
  <c r="C46" i="125" s="1"/>
  <c r="L45" i="50"/>
  <c r="I19" i="45"/>
  <c r="AD19" i="44"/>
  <c r="V19" i="44" s="1"/>
  <c r="AF52" i="36"/>
  <c r="X52" i="36"/>
  <c r="AE47" i="32"/>
  <c r="W47" i="32" s="1"/>
  <c r="I33" i="24"/>
  <c r="Q93" i="68"/>
  <c r="AC127" i="68"/>
  <c r="H35" i="26"/>
  <c r="Y31" i="6" s="1"/>
  <c r="AB51" i="64"/>
  <c r="H68" i="60"/>
  <c r="E33" i="126"/>
  <c r="G36" i="60"/>
  <c r="G19" i="52"/>
  <c r="AE31" i="8"/>
  <c r="V31" i="8" s="1"/>
  <c r="J31" i="6"/>
  <c r="T31" i="6" s="1"/>
  <c r="J66" i="6"/>
  <c r="D16" i="8"/>
  <c r="X127" i="68"/>
  <c r="H153" i="68"/>
  <c r="E10" i="67"/>
  <c r="E8" i="67" s="1"/>
  <c r="E10" i="65"/>
  <c r="E8" i="65" s="1"/>
  <c r="E10" i="64"/>
  <c r="E10" i="24" s="1"/>
  <c r="E10" i="66"/>
  <c r="E8" i="66" s="1"/>
  <c r="R178" i="68"/>
  <c r="P8" i="182"/>
  <c r="J45" i="46"/>
  <c r="K19" i="45"/>
  <c r="AF52" i="40"/>
  <c r="G33" i="9"/>
  <c r="H32" i="9"/>
  <c r="G31" i="10"/>
  <c r="AA31" i="8"/>
  <c r="R31" i="8"/>
  <c r="F31" i="6"/>
  <c r="AA31" i="4" s="1"/>
  <c r="R31" i="4" s="1"/>
  <c r="Y31" i="8"/>
  <c r="P31" i="8"/>
  <c r="D31" i="6"/>
  <c r="W31" i="6"/>
  <c r="AI21" i="107"/>
  <c r="F43" i="20"/>
  <c r="F46" i="18"/>
  <c r="F53" i="14"/>
  <c r="G54" i="14"/>
  <c r="O43" i="20"/>
  <c r="F41" i="8"/>
  <c r="F53" i="8"/>
  <c r="C55" i="181" s="1"/>
  <c r="D55" i="181" s="1"/>
  <c r="L55" i="181" s="1"/>
  <c r="CV55" i="181" s="1"/>
  <c r="M64" i="177"/>
  <c r="G38" i="10"/>
  <c r="G43" i="4"/>
  <c r="P43" i="4"/>
  <c r="P42" i="4"/>
  <c r="E20" i="2"/>
  <c r="V20" i="3"/>
  <c r="V23" i="3" s="1"/>
  <c r="N90" i="4"/>
  <c r="G90" i="4"/>
  <c r="L17" i="2"/>
  <c r="G12" i="4"/>
  <c r="F33" i="11"/>
  <c r="E198" i="177"/>
  <c r="C51" i="181"/>
  <c r="K51" i="181" s="1"/>
  <c r="F50" i="7"/>
  <c r="G50" i="7" s="1"/>
  <c r="F36" i="11"/>
  <c r="F73" i="11" s="1"/>
  <c r="G40" i="11"/>
  <c r="E37" i="177"/>
  <c r="L80" i="178"/>
  <c r="L84" i="178" s="1"/>
  <c r="AI34" i="181" s="1"/>
  <c r="T48" i="178"/>
  <c r="L11" i="178"/>
  <c r="L4" i="178" s="1"/>
  <c r="G57" i="10"/>
  <c r="W66" i="6"/>
  <c r="D66" i="6"/>
  <c r="Q39" i="6"/>
  <c r="Y40" i="4"/>
  <c r="P40" i="4" s="1"/>
  <c r="E84" i="6"/>
  <c r="Q84" i="6"/>
  <c r="O19" i="3"/>
  <c r="P19" i="3" s="1"/>
  <c r="G40" i="4"/>
  <c r="G84" i="6"/>
  <c r="P74" i="8"/>
  <c r="G74" i="8"/>
  <c r="N66" i="8"/>
  <c r="N31" i="8"/>
  <c r="G26" i="10"/>
  <c r="E39" i="6"/>
  <c r="G19" i="2"/>
  <c r="N40" i="4"/>
  <c r="L19" i="2"/>
  <c r="I19" i="2"/>
  <c r="K55" i="1"/>
  <c r="G18" i="4"/>
  <c r="N39" i="4"/>
  <c r="I64" i="10"/>
  <c r="E48" i="5"/>
  <c r="E61" i="7"/>
  <c r="E19" i="4"/>
  <c r="E16" i="4"/>
  <c r="D19" i="7"/>
  <c r="D16" i="7"/>
  <c r="D19" i="5"/>
  <c r="D16" i="5"/>
  <c r="D19" i="4"/>
  <c r="D16" i="4"/>
  <c r="E8" i="3"/>
  <c r="E49" i="1"/>
  <c r="K66" i="6"/>
  <c r="AD66" i="6"/>
  <c r="I28" i="25"/>
  <c r="M11" i="9"/>
  <c r="AF11" i="8" s="1"/>
  <c r="W11" i="8" s="1"/>
  <c r="H8" i="15"/>
  <c r="H61" i="18"/>
  <c r="H8" i="11"/>
  <c r="H7" i="11" s="1"/>
  <c r="H39" i="18"/>
  <c r="G39" i="18"/>
  <c r="L36" i="20"/>
  <c r="L43" i="20" s="1"/>
  <c r="J36" i="20"/>
  <c r="J43" i="20"/>
  <c r="M59" i="159"/>
  <c r="O22" i="158"/>
  <c r="L35" i="24"/>
  <c r="K22" i="26"/>
  <c r="J40" i="105"/>
  <c r="J41" i="105" s="1"/>
  <c r="P55" i="5"/>
  <c r="J12" i="9"/>
  <c r="AC12" i="8"/>
  <c r="T12" i="8" s="1"/>
  <c r="D49" i="15"/>
  <c r="Y47" i="14" s="1"/>
  <c r="P47" i="14" s="1"/>
  <c r="N36" i="24"/>
  <c r="X34" i="24"/>
  <c r="I58" i="29"/>
  <c r="L56" i="29"/>
  <c r="K50" i="29"/>
  <c r="G50" i="29"/>
  <c r="L41" i="29"/>
  <c r="AF41" i="28" s="1"/>
  <c r="L56" i="33"/>
  <c r="J56" i="33"/>
  <c r="I48" i="37"/>
  <c r="L46" i="37"/>
  <c r="H46" i="37"/>
  <c r="G46" i="37"/>
  <c r="Z38" i="107"/>
  <c r="Z39" i="107" s="1"/>
  <c r="H36" i="40"/>
  <c r="E29" i="107"/>
  <c r="J52" i="41"/>
  <c r="G41" i="41"/>
  <c r="H63" i="44"/>
  <c r="U45" i="123" s="1"/>
  <c r="L62" i="55"/>
  <c r="L48" i="55"/>
  <c r="L63" i="55" s="1"/>
  <c r="K42" i="33"/>
  <c r="J44" i="55"/>
  <c r="J8" i="55"/>
  <c r="J45" i="55" s="1"/>
  <c r="L50" i="45"/>
  <c r="H50" i="45"/>
  <c r="G50" i="45"/>
  <c r="J50" i="53"/>
  <c r="L45" i="57"/>
  <c r="AE43" i="56"/>
  <c r="W43" i="56" s="1"/>
  <c r="C31" i="126"/>
  <c r="J56" i="45"/>
  <c r="I43" i="48"/>
  <c r="J43" i="53"/>
  <c r="J40" i="53" s="1"/>
  <c r="M19" i="61"/>
  <c r="AI19" i="60" s="1"/>
  <c r="L16" i="184"/>
  <c r="H51" i="57"/>
  <c r="AA51" i="56" s="1"/>
  <c r="S51" i="56" s="1"/>
  <c r="H45" i="57"/>
  <c r="G45" i="57" s="1"/>
  <c r="G12" i="57"/>
  <c r="K39" i="60"/>
  <c r="K15" i="61"/>
  <c r="G10" i="61"/>
  <c r="I53" i="57"/>
  <c r="N36" i="64"/>
  <c r="V36" i="64"/>
  <c r="K51" i="65"/>
  <c r="I46" i="65"/>
  <c r="G18" i="65"/>
  <c r="L44" i="66"/>
  <c r="H33" i="66"/>
  <c r="Y33" i="64" s="1"/>
  <c r="P33" i="64" s="1"/>
  <c r="H53" i="67"/>
  <c r="J40" i="67"/>
  <c r="Q184" i="68"/>
  <c r="M184" i="68"/>
  <c r="O174" i="68"/>
  <c r="R163" i="68"/>
  <c r="AJ157" i="68"/>
  <c r="AI157" i="68" s="1"/>
  <c r="M125" i="68"/>
  <c r="N133" i="68"/>
  <c r="E18" i="181"/>
  <c r="R70" i="68"/>
  <c r="AW16" i="181" s="1"/>
  <c r="Q71" i="68"/>
  <c r="N70" i="68"/>
  <c r="O70" i="68" s="1"/>
  <c r="AT16" i="181" s="1"/>
  <c r="M71" i="68"/>
  <c r="H77" i="68"/>
  <c r="T56" i="68"/>
  <c r="O52" i="68"/>
  <c r="L37" i="68"/>
  <c r="B7" i="182"/>
  <c r="L14" i="68"/>
  <c r="AH7" i="182" s="1"/>
  <c r="X112" i="68"/>
  <c r="X138" i="68" s="1"/>
  <c r="M31" i="71"/>
  <c r="AH128" i="68"/>
  <c r="AI128" i="68" s="1"/>
  <c r="AC128" i="68"/>
  <c r="AI133" i="68"/>
  <c r="T129" i="68"/>
  <c r="M129" i="68"/>
  <c r="Q125" i="68"/>
  <c r="R133" i="68"/>
  <c r="I18" i="181" s="1"/>
  <c r="L133" i="68"/>
  <c r="M133" i="68"/>
  <c r="D18" i="181" s="1"/>
  <c r="AI122" i="68"/>
  <c r="AE122" i="68"/>
  <c r="L123" i="68"/>
  <c r="Q96" i="68"/>
  <c r="M96" i="68"/>
  <c r="G16" i="181"/>
  <c r="Q83" i="68"/>
  <c r="M83" i="68"/>
  <c r="O73" i="68"/>
  <c r="S70" i="68"/>
  <c r="T71" i="68"/>
  <c r="L77" i="68"/>
  <c r="K16" i="181" s="1"/>
  <c r="M29" i="68"/>
  <c r="N37" i="68"/>
  <c r="D7" i="182"/>
  <c r="C7" i="182" s="1"/>
  <c r="O17" i="68"/>
  <c r="M15" i="68"/>
  <c r="N14" i="68"/>
  <c r="AJ7" i="182"/>
  <c r="O31" i="71"/>
  <c r="K31" i="71"/>
  <c r="K36" i="36"/>
  <c r="H31" i="104" s="1"/>
  <c r="J63" i="33"/>
  <c r="AE56" i="32"/>
  <c r="W56" i="32" s="1"/>
  <c r="Z42" i="158"/>
  <c r="Z43" i="158" s="1"/>
  <c r="AD56" i="44"/>
  <c r="V56" i="44" s="1"/>
  <c r="AF50" i="44"/>
  <c r="X50" i="44"/>
  <c r="H75" i="44"/>
  <c r="AB46" i="36"/>
  <c r="T46" i="36" s="1"/>
  <c r="AG56" i="32"/>
  <c r="Y56" i="32" s="1"/>
  <c r="K56" i="33"/>
  <c r="D41" i="15"/>
  <c r="D38" i="15"/>
  <c r="AA31" i="6"/>
  <c r="H31" i="6"/>
  <c r="D141" i="1"/>
  <c r="D144" i="1" s="1"/>
  <c r="I71" i="6"/>
  <c r="D78" i="1"/>
  <c r="D81" i="1" s="1"/>
  <c r="F43" i="17"/>
  <c r="F42" i="7"/>
  <c r="F88" i="7" s="1"/>
  <c r="H2" i="72"/>
  <c r="C30" i="123"/>
  <c r="F47" i="44"/>
  <c r="F68" i="44" s="1"/>
  <c r="F39" i="37"/>
  <c r="Z39" i="36" s="1"/>
  <c r="R39" i="36" s="1"/>
  <c r="F38" i="29"/>
  <c r="F44" i="29" s="1"/>
  <c r="Z41" i="28"/>
  <c r="R41" i="28" s="1"/>
  <c r="K78" i="71"/>
  <c r="F50" i="9"/>
  <c r="L29" i="71"/>
  <c r="AF28" i="14"/>
  <c r="AE57" i="14"/>
  <c r="V57" i="14" s="1"/>
  <c r="AA57" i="14"/>
  <c r="R57" i="14"/>
  <c r="H53" i="16"/>
  <c r="AC53" i="14" s="1"/>
  <c r="K55" i="15"/>
  <c r="H55" i="15"/>
  <c r="I57" i="14"/>
  <c r="I78" i="5"/>
  <c r="AC82" i="4"/>
  <c r="T82" i="4" s="1"/>
  <c r="AD30" i="6"/>
  <c r="AF33" i="24"/>
  <c r="G52" i="26"/>
  <c r="L21" i="26"/>
  <c r="G15" i="26"/>
  <c r="I11" i="26"/>
  <c r="G10" i="26"/>
  <c r="L53" i="26"/>
  <c r="G58" i="29"/>
  <c r="G52" i="29"/>
  <c r="L20" i="26"/>
  <c r="AC26" i="6" s="1"/>
  <c r="AC31" i="8"/>
  <c r="T31" i="8" s="1"/>
  <c r="R18" i="184"/>
  <c r="AE45" i="56"/>
  <c r="W45" i="56" s="1"/>
  <c r="L27" i="68"/>
  <c r="J7" i="182" s="1"/>
  <c r="H12" i="9"/>
  <c r="AA12" i="8" s="1"/>
  <c r="R12" i="8" s="1"/>
  <c r="G55" i="14"/>
  <c r="AP19" i="184"/>
  <c r="R19" i="184"/>
  <c r="E91" i="177"/>
  <c r="AE22" i="158"/>
  <c r="Q55" i="5"/>
  <c r="I42" i="18"/>
  <c r="J39" i="18"/>
  <c r="AJ20" i="158"/>
  <c r="C24" i="181"/>
  <c r="K24" i="181" s="1"/>
  <c r="F21" i="105"/>
  <c r="F23" i="105"/>
  <c r="C29" i="106"/>
  <c r="C30" i="106" s="1"/>
  <c r="H36" i="36"/>
  <c r="E31" i="104" s="1"/>
  <c r="G36" i="36"/>
  <c r="AF9" i="36"/>
  <c r="X9" i="36" s="1"/>
  <c r="AB9" i="36"/>
  <c r="T9" i="36"/>
  <c r="C28" i="104"/>
  <c r="C29" i="104" s="1"/>
  <c r="H59" i="40"/>
  <c r="G52" i="40"/>
  <c r="T38" i="107" s="1"/>
  <c r="I39" i="40"/>
  <c r="K54" i="41"/>
  <c r="H46" i="41"/>
  <c r="AD54" i="40"/>
  <c r="V54" i="40" s="1"/>
  <c r="I54" i="41"/>
  <c r="M52" i="41"/>
  <c r="AG52" i="40" s="1"/>
  <c r="Y52" i="40" s="1"/>
  <c r="K51" i="41"/>
  <c r="AF51" i="40"/>
  <c r="X51" i="40" s="1"/>
  <c r="F20" i="25"/>
  <c r="F19" i="25" s="1"/>
  <c r="Y20" i="24" s="1"/>
  <c r="I51" i="41"/>
  <c r="I50" i="41"/>
  <c r="AD50" i="40"/>
  <c r="V50" i="40" s="1"/>
  <c r="L46" i="41"/>
  <c r="L59" i="41" s="1"/>
  <c r="AF11" i="184" s="1"/>
  <c r="G61" i="47"/>
  <c r="F21" i="26"/>
  <c r="V28" i="40"/>
  <c r="G51" i="41"/>
  <c r="AB51" i="40"/>
  <c r="T51" i="40" s="1"/>
  <c r="AF54" i="40"/>
  <c r="X54" i="40" s="1"/>
  <c r="AB54" i="40"/>
  <c r="T54" i="40" s="1"/>
  <c r="AF50" i="40"/>
  <c r="X50" i="40" s="1"/>
  <c r="AB50" i="40"/>
  <c r="T50" i="40" s="1"/>
  <c r="AD49" i="40"/>
  <c r="V49" i="40" s="1"/>
  <c r="AG48" i="40"/>
  <c r="Y48" i="40" s="1"/>
  <c r="AF41" i="40"/>
  <c r="X41" i="40" s="1"/>
  <c r="AG40" i="40"/>
  <c r="Y40" i="40" s="1"/>
  <c r="AB37" i="40"/>
  <c r="T37" i="40" s="1"/>
  <c r="AG11" i="40"/>
  <c r="Y11" i="40" s="1"/>
  <c r="I37" i="41"/>
  <c r="AF10" i="40"/>
  <c r="X10" i="40"/>
  <c r="L63" i="44"/>
  <c r="I50" i="44"/>
  <c r="V20" i="44"/>
  <c r="AF18" i="44"/>
  <c r="X18" i="44" s="1"/>
  <c r="AF12" i="44"/>
  <c r="X12" i="44" s="1"/>
  <c r="L56" i="45"/>
  <c r="J78" i="48"/>
  <c r="W40" i="124"/>
  <c r="K50" i="48"/>
  <c r="L19" i="48"/>
  <c r="W19" i="24" s="1"/>
  <c r="F19" i="48"/>
  <c r="F19" i="24" s="1"/>
  <c r="E26" i="124"/>
  <c r="H66" i="52"/>
  <c r="U49" i="125" s="1"/>
  <c r="U50" i="125" s="1"/>
  <c r="F57" i="53"/>
  <c r="H50" i="53"/>
  <c r="H8" i="45"/>
  <c r="AD51" i="40"/>
  <c r="V51" i="40" s="1"/>
  <c r="AB49" i="40"/>
  <c r="T49" i="40" s="1"/>
  <c r="AF48" i="40"/>
  <c r="X48" i="40" s="1"/>
  <c r="AB48" i="40"/>
  <c r="T48" i="40" s="1"/>
  <c r="Z18" i="40"/>
  <c r="R18" i="40" s="1"/>
  <c r="AD9" i="40"/>
  <c r="V9" i="40" s="1"/>
  <c r="K48" i="41"/>
  <c r="G48" i="41"/>
  <c r="AB14" i="44"/>
  <c r="T14" i="44" s="1"/>
  <c r="AB12" i="44"/>
  <c r="T12" i="44" s="1"/>
  <c r="G57" i="45"/>
  <c r="G51" i="45"/>
  <c r="J64" i="53"/>
  <c r="I64" i="53" s="1"/>
  <c r="I63" i="53"/>
  <c r="I61" i="53"/>
  <c r="I60" i="53"/>
  <c r="L57" i="53"/>
  <c r="H57" i="53"/>
  <c r="K44" i="53"/>
  <c r="L43" i="53"/>
  <c r="L38" i="25" s="1"/>
  <c r="E47" i="53"/>
  <c r="M45" i="54"/>
  <c r="M14" i="184" s="1"/>
  <c r="D45" i="55"/>
  <c r="H56" i="45"/>
  <c r="G56" i="45" s="1"/>
  <c r="Z42" i="127"/>
  <c r="R23" i="127"/>
  <c r="G21" i="127"/>
  <c r="G26" i="181" s="1"/>
  <c r="O26" i="181" s="1"/>
  <c r="J21" i="127"/>
  <c r="F21" i="127"/>
  <c r="J51" i="57"/>
  <c r="AC51" i="56" s="1"/>
  <c r="U51" i="56" s="1"/>
  <c r="I21" i="127"/>
  <c r="I26" i="181" s="1"/>
  <c r="G18" i="57"/>
  <c r="Y39" i="127"/>
  <c r="E21" i="127"/>
  <c r="F13" i="127"/>
  <c r="C9" i="127"/>
  <c r="AE20" i="60"/>
  <c r="U20" i="60" s="1"/>
  <c r="J19" i="61"/>
  <c r="AE19" i="60" s="1"/>
  <c r="U19" i="60" s="1"/>
  <c r="Q20" i="60"/>
  <c r="K8" i="60"/>
  <c r="H27" i="126" s="1"/>
  <c r="H28" i="126" s="1"/>
  <c r="I46" i="64"/>
  <c r="P39" i="64"/>
  <c r="S15" i="64"/>
  <c r="S14" i="64"/>
  <c r="K39" i="64"/>
  <c r="S39" i="64"/>
  <c r="I54" i="61"/>
  <c r="C30" i="181"/>
  <c r="K30" i="181" s="1"/>
  <c r="T19" i="64"/>
  <c r="N15" i="64"/>
  <c r="N14" i="64"/>
  <c r="F8" i="65"/>
  <c r="I47" i="66"/>
  <c r="I22" i="66"/>
  <c r="N163" i="68"/>
  <c r="M163" i="68" s="1"/>
  <c r="D19" i="181" s="1"/>
  <c r="Q198" i="68"/>
  <c r="AG153" i="68"/>
  <c r="H8" i="65"/>
  <c r="I8" i="65" s="1"/>
  <c r="M206" i="68"/>
  <c r="I178" i="68"/>
  <c r="E27" i="68"/>
  <c r="E216" i="68" s="1"/>
  <c r="G46" i="65"/>
  <c r="AE131" i="68"/>
  <c r="O125" i="68"/>
  <c r="T119" i="68"/>
  <c r="AI115" i="68"/>
  <c r="L100" i="68"/>
  <c r="N93" i="68"/>
  <c r="N100" i="68" s="1"/>
  <c r="M17" i="181" s="1"/>
  <c r="O79" i="68"/>
  <c r="Q64" i="68"/>
  <c r="AN16" i="181" s="1"/>
  <c r="M64" i="68"/>
  <c r="AJ16" i="181"/>
  <c r="L50" i="68"/>
  <c r="K15" i="181" s="1"/>
  <c r="O33" i="68"/>
  <c r="O5" i="68"/>
  <c r="AC7" i="182" s="1"/>
  <c r="AD128" i="68"/>
  <c r="AE128" i="68" s="1"/>
  <c r="N60" i="68"/>
  <c r="E15" i="181"/>
  <c r="E231" i="177"/>
  <c r="K17" i="181"/>
  <c r="H72" i="40"/>
  <c r="F20" i="26"/>
  <c r="D26" i="6" s="1"/>
  <c r="H43" i="36"/>
  <c r="AB8" i="44"/>
  <c r="T8" i="44" s="1"/>
  <c r="O93" i="68"/>
  <c r="AT17" i="181" s="1"/>
  <c r="AF56" i="44"/>
  <c r="X56" i="44" s="1"/>
  <c r="AF52" i="8"/>
  <c r="W52" i="8" s="1"/>
  <c r="AF70" i="8"/>
  <c r="W70" i="8" s="1"/>
  <c r="I52" i="10"/>
  <c r="G52" i="10"/>
  <c r="AA52" i="8"/>
  <c r="R52" i="8" s="1"/>
  <c r="G41" i="10"/>
  <c r="F50" i="6"/>
  <c r="G63" i="10"/>
  <c r="I63" i="10"/>
  <c r="AA64" i="8"/>
  <c r="R64" i="8" s="1"/>
  <c r="AA74" i="8"/>
  <c r="R74" i="8" s="1"/>
  <c r="G69" i="10"/>
  <c r="I69" i="10"/>
  <c r="AA70" i="8"/>
  <c r="R70" i="8" s="1"/>
  <c r="AF74" i="8"/>
  <c r="W74" i="8" s="1"/>
  <c r="M2" i="72"/>
  <c r="M47" i="72" s="1"/>
  <c r="H20" i="72"/>
  <c r="K18" i="181"/>
  <c r="C18" i="181"/>
  <c r="F46" i="7"/>
  <c r="F87" i="7" s="1"/>
  <c r="T51" i="178"/>
  <c r="J32" i="9"/>
  <c r="S41" i="107"/>
  <c r="F36" i="57"/>
  <c r="Y36" i="56" s="1"/>
  <c r="Q36" i="56" s="1"/>
  <c r="F59" i="37"/>
  <c r="G12" i="14"/>
  <c r="AC9" i="14"/>
  <c r="Y7" i="14"/>
  <c r="P7" i="14" s="1"/>
  <c r="J59" i="20"/>
  <c r="L59" i="159"/>
  <c r="L59" i="20"/>
  <c r="AG13" i="28"/>
  <c r="Y13" i="28" s="1"/>
  <c r="G55" i="29"/>
  <c r="G61" i="33"/>
  <c r="I49" i="33"/>
  <c r="E19" i="104"/>
  <c r="E61" i="104"/>
  <c r="I52" i="40"/>
  <c r="V38" i="107" s="1"/>
  <c r="U39" i="107"/>
  <c r="X28" i="40"/>
  <c r="G59" i="33"/>
  <c r="K39" i="36"/>
  <c r="J8" i="37"/>
  <c r="H21" i="26"/>
  <c r="G14" i="26"/>
  <c r="H63" i="28"/>
  <c r="H76" i="28" s="1"/>
  <c r="AD14" i="28"/>
  <c r="V14" i="28" s="1"/>
  <c r="AF9" i="28"/>
  <c r="X9" i="28" s="1"/>
  <c r="AB9" i="28"/>
  <c r="T9" i="28" s="1"/>
  <c r="I61" i="33"/>
  <c r="T34" i="40"/>
  <c r="T28" i="40"/>
  <c r="Z48" i="40"/>
  <c r="R48" i="40" s="1"/>
  <c r="F52" i="41"/>
  <c r="AG49" i="40"/>
  <c r="Y49" i="40" s="1"/>
  <c r="AG12" i="40"/>
  <c r="Y12" i="40" s="1"/>
  <c r="W30" i="107"/>
  <c r="K44" i="45"/>
  <c r="I16" i="45"/>
  <c r="G12" i="45"/>
  <c r="D47" i="45"/>
  <c r="K33" i="46"/>
  <c r="D45" i="46"/>
  <c r="J43" i="45"/>
  <c r="AF11" i="40"/>
  <c r="X11" i="40" s="1"/>
  <c r="K26" i="45"/>
  <c r="K18" i="45"/>
  <c r="K17" i="45"/>
  <c r="K12" i="45"/>
  <c r="I40" i="46"/>
  <c r="J61" i="47"/>
  <c r="I61" i="47"/>
  <c r="G33" i="48"/>
  <c r="H19" i="48"/>
  <c r="H19" i="24" s="1"/>
  <c r="G50" i="52"/>
  <c r="K45" i="56"/>
  <c r="G54" i="50"/>
  <c r="I45" i="56"/>
  <c r="J45" i="57"/>
  <c r="J55" i="57" s="1"/>
  <c r="D55" i="56"/>
  <c r="L61" i="47"/>
  <c r="K61" i="47" s="1"/>
  <c r="G45" i="56"/>
  <c r="S32" i="56"/>
  <c r="M8" i="57"/>
  <c r="AF8" i="56" s="1"/>
  <c r="X8" i="56" s="1"/>
  <c r="I9" i="57"/>
  <c r="G19" i="56"/>
  <c r="U36" i="127"/>
  <c r="H13" i="127"/>
  <c r="U32" i="60"/>
  <c r="E42" i="62"/>
  <c r="F41" i="63"/>
  <c r="I11" i="64"/>
  <c r="G11" i="64"/>
  <c r="K46" i="65"/>
  <c r="J43" i="65"/>
  <c r="I44" i="65"/>
  <c r="AA45" i="64"/>
  <c r="W40" i="64"/>
  <c r="N40" i="64" s="1"/>
  <c r="I18" i="65"/>
  <c r="G18" i="66"/>
  <c r="Y18" i="64"/>
  <c r="P18" i="64" s="1"/>
  <c r="G11" i="66"/>
  <c r="W11" i="64"/>
  <c r="N11" i="64" s="1"/>
  <c r="L197" i="68"/>
  <c r="L204" i="68" s="1"/>
  <c r="M198" i="68"/>
  <c r="L27" i="64"/>
  <c r="T28" i="64"/>
  <c r="W51" i="64"/>
  <c r="N51" i="64" s="1"/>
  <c r="K11" i="66"/>
  <c r="AB11" i="64" s="1"/>
  <c r="S11" i="64" s="1"/>
  <c r="AC11" i="64"/>
  <c r="T11" i="64"/>
  <c r="K49" i="61"/>
  <c r="I15" i="61"/>
  <c r="K14" i="61"/>
  <c r="AE14" i="60"/>
  <c r="U14" i="60" s="1"/>
  <c r="I13" i="61"/>
  <c r="E42" i="61"/>
  <c r="I20" i="126"/>
  <c r="I51" i="65"/>
  <c r="G45" i="65"/>
  <c r="W46" i="64"/>
  <c r="N46" i="64"/>
  <c r="W45" i="64"/>
  <c r="N45" i="64" s="1"/>
  <c r="F43" i="65"/>
  <c r="G10" i="65"/>
  <c r="Y10" i="64"/>
  <c r="P10" i="64" s="1"/>
  <c r="M50" i="66"/>
  <c r="H44" i="66"/>
  <c r="Y44" i="64" s="1"/>
  <c r="I46" i="66"/>
  <c r="K18" i="66"/>
  <c r="AB18" i="64" s="1"/>
  <c r="T18" i="64"/>
  <c r="K40" i="67"/>
  <c r="AC15" i="60"/>
  <c r="S15" i="60" s="1"/>
  <c r="T39" i="64"/>
  <c r="F20" i="64"/>
  <c r="N26" i="64"/>
  <c r="P12" i="64"/>
  <c r="G12" i="64"/>
  <c r="K44" i="65"/>
  <c r="K18" i="65"/>
  <c r="AK159" i="68"/>
  <c r="M56" i="64"/>
  <c r="M60" i="24" s="1"/>
  <c r="AC159" i="68"/>
  <c r="E55" i="67"/>
  <c r="E55" i="65"/>
  <c r="E56" i="64"/>
  <c r="E60" i="24" s="1"/>
  <c r="L146" i="68"/>
  <c r="L153" i="68" s="1"/>
  <c r="K19" i="181" s="1"/>
  <c r="M147" i="68"/>
  <c r="K13" i="61"/>
  <c r="J45" i="64"/>
  <c r="E45" i="64"/>
  <c r="E44" i="27" s="1"/>
  <c r="N17" i="64"/>
  <c r="D46" i="65"/>
  <c r="E44" i="65"/>
  <c r="K13" i="65"/>
  <c r="F51" i="67"/>
  <c r="F49" i="67" s="1"/>
  <c r="F53" i="67" s="1"/>
  <c r="N188" i="68"/>
  <c r="D8" i="182" s="1"/>
  <c r="E178" i="68"/>
  <c r="AB157" i="68"/>
  <c r="AE155" i="68"/>
  <c r="AI136" i="68"/>
  <c r="AG133" i="68"/>
  <c r="G17" i="181"/>
  <c r="O102" i="68"/>
  <c r="M56" i="68"/>
  <c r="O56" i="68"/>
  <c r="F51" i="65"/>
  <c r="D39" i="65"/>
  <c r="F52" i="66"/>
  <c r="F50" i="66" s="1"/>
  <c r="E45" i="66"/>
  <c r="E44" i="67"/>
  <c r="S197" i="68"/>
  <c r="T198" i="68"/>
  <c r="Q146" i="68"/>
  <c r="Q147" i="68"/>
  <c r="M73" i="68"/>
  <c r="T73" i="68"/>
  <c r="O46" i="68"/>
  <c r="T46" i="68"/>
  <c r="M46" i="68"/>
  <c r="F52" i="64"/>
  <c r="D47" i="64"/>
  <c r="D49" i="25" s="1"/>
  <c r="D47" i="66"/>
  <c r="M38" i="66"/>
  <c r="AE38" i="64" s="1"/>
  <c r="V38" i="64" s="1"/>
  <c r="Q180" i="68"/>
  <c r="AI147" i="68"/>
  <c r="AG135" i="68"/>
  <c r="I217" i="68"/>
  <c r="M106" i="68"/>
  <c r="O106" i="68"/>
  <c r="N110" i="68"/>
  <c r="Q102" i="68"/>
  <c r="O94" i="68"/>
  <c r="Q56" i="68"/>
  <c r="R60" i="68"/>
  <c r="I15" i="181" s="1"/>
  <c r="M33" i="68"/>
  <c r="H27" i="68"/>
  <c r="E60" i="26"/>
  <c r="Z59" i="36"/>
  <c r="Z10" i="184"/>
  <c r="Z52" i="40"/>
  <c r="R52" i="40" s="1"/>
  <c r="AD8" i="36"/>
  <c r="V8" i="36" s="1"/>
  <c r="Y42" i="158"/>
  <c r="Y43" i="158" s="1"/>
  <c r="E44" i="64"/>
  <c r="E48" i="26"/>
  <c r="E47" i="25"/>
  <c r="K43" i="65"/>
  <c r="K60" i="71"/>
  <c r="L4" i="71"/>
  <c r="M59" i="178"/>
  <c r="M7" i="178"/>
  <c r="F221" i="177"/>
  <c r="F211" i="177"/>
  <c r="K29" i="71"/>
  <c r="O60" i="71"/>
  <c r="K38" i="71"/>
  <c r="M56" i="5"/>
  <c r="S56" i="5" s="1"/>
  <c r="J3" i="71"/>
  <c r="M11" i="178"/>
  <c r="M97" i="177"/>
  <c r="H217" i="70"/>
  <c r="H214" i="70" s="1"/>
  <c r="I216" i="70"/>
  <c r="M55" i="56"/>
  <c r="Z44" i="127" s="1"/>
  <c r="Z45" i="127" s="1"/>
  <c r="AI14" i="60"/>
  <c r="Y14" i="60" s="1"/>
  <c r="AI13" i="60"/>
  <c r="Y13" i="60" s="1"/>
  <c r="AI15" i="60"/>
  <c r="Y15" i="60" s="1"/>
  <c r="Z11" i="60"/>
  <c r="Q11" i="60" s="1"/>
  <c r="G11" i="61"/>
  <c r="F11" i="25"/>
  <c r="Y11" i="24" s="1"/>
  <c r="Q11" i="24" s="1"/>
  <c r="Q30" i="5"/>
  <c r="AC24" i="24"/>
  <c r="U24" i="24" s="1"/>
  <c r="AE54" i="60"/>
  <c r="U54" i="60" s="1"/>
  <c r="J55" i="25"/>
  <c r="M51" i="61"/>
  <c r="AI51" i="60" s="1"/>
  <c r="Y51" i="60" s="1"/>
  <c r="Z52" i="60"/>
  <c r="Q52" i="60" s="1"/>
  <c r="F53" i="25"/>
  <c r="U64" i="5" s="1"/>
  <c r="AC37" i="60"/>
  <c r="S37" i="60" s="1"/>
  <c r="G18" i="61"/>
  <c r="AC18" i="60"/>
  <c r="S18" i="60" s="1"/>
  <c r="H18" i="25"/>
  <c r="G18" i="25" s="1"/>
  <c r="AC29" i="24"/>
  <c r="U29" i="24" s="1"/>
  <c r="AI37" i="60"/>
  <c r="Y37" i="60" s="1"/>
  <c r="W23" i="24"/>
  <c r="Z50" i="60"/>
  <c r="Q50" i="60" s="1"/>
  <c r="Z10" i="60"/>
  <c r="Q10" i="60"/>
  <c r="N39" i="24"/>
  <c r="M29" i="24"/>
  <c r="M29" i="4" s="1"/>
  <c r="Q47" i="182" s="1"/>
  <c r="Y47" i="182" s="1"/>
  <c r="J51" i="61"/>
  <c r="AG49" i="60"/>
  <c r="W49" i="60"/>
  <c r="G14" i="61"/>
  <c r="H14" i="25"/>
  <c r="AC14" i="60"/>
  <c r="S14" i="60"/>
  <c r="I14" i="61"/>
  <c r="AG54" i="60"/>
  <c r="W54" i="60" s="1"/>
  <c r="K54" i="61"/>
  <c r="Z53" i="60"/>
  <c r="Q53" i="60" s="1"/>
  <c r="AG47" i="60"/>
  <c r="W47" i="60" s="1"/>
  <c r="G49" i="61"/>
  <c r="AC49" i="60"/>
  <c r="S49" i="60" s="1"/>
  <c r="AI23" i="60"/>
  <c r="Y23" i="60" s="1"/>
  <c r="M23" i="25"/>
  <c r="AF24" i="24" s="1"/>
  <c r="X24" i="24" s="1"/>
  <c r="Z13" i="60"/>
  <c r="Q13" i="60" s="1"/>
  <c r="F51" i="61"/>
  <c r="G17" i="61"/>
  <c r="H17" i="25"/>
  <c r="G17" i="25" s="1"/>
  <c r="H36" i="56"/>
  <c r="I18" i="57"/>
  <c r="M59" i="25"/>
  <c r="M55" i="60"/>
  <c r="G47" i="61"/>
  <c r="AI18" i="60"/>
  <c r="Y18" i="60" s="1"/>
  <c r="S214" i="70"/>
  <c r="I72" i="69"/>
  <c r="G100" i="177"/>
  <c r="H4" i="70"/>
  <c r="I154" i="70"/>
  <c r="K75" i="69"/>
  <c r="S4" i="69"/>
  <c r="K78" i="69"/>
  <c r="E25" i="182" s="1"/>
  <c r="M25" i="182" s="1"/>
  <c r="CO25" i="182" s="1"/>
  <c r="P89" i="69"/>
  <c r="I64" i="70"/>
  <c r="I173" i="70"/>
  <c r="I142" i="70"/>
  <c r="I148" i="70"/>
  <c r="E196" i="70"/>
  <c r="I158" i="70"/>
  <c r="I184" i="70"/>
  <c r="I167" i="70"/>
  <c r="D54" i="14"/>
  <c r="D53" i="14" s="1"/>
  <c r="D60" i="14" s="1"/>
  <c r="D55" i="17"/>
  <c r="D54" i="17" s="1"/>
  <c r="D61" i="17" s="1"/>
  <c r="I176" i="70"/>
  <c r="I123" i="70"/>
  <c r="S78" i="69"/>
  <c r="B26" i="182"/>
  <c r="J26" i="182" s="1"/>
  <c r="CL26" i="182" s="1"/>
  <c r="B13" i="182"/>
  <c r="J13" i="182" s="1"/>
  <c r="CL13" i="182" s="1"/>
  <c r="O120" i="177"/>
  <c r="M280" i="177"/>
  <c r="F94" i="177"/>
  <c r="E114" i="177"/>
  <c r="F106" i="177"/>
  <c r="D45" i="181" s="1"/>
  <c r="L45" i="181" s="1"/>
  <c r="CV45" i="181" s="1"/>
  <c r="E23" i="177"/>
  <c r="E32" i="177"/>
  <c r="F19" i="177"/>
  <c r="B14" i="182"/>
  <c r="J14" i="182" s="1"/>
  <c r="CL14" i="182" s="1"/>
  <c r="E237" i="177"/>
  <c r="E236" i="177"/>
  <c r="E244" i="177" s="1"/>
  <c r="F72" i="10"/>
  <c r="M276" i="177"/>
  <c r="E218" i="177"/>
  <c r="F133" i="177"/>
  <c r="B30" i="182"/>
  <c r="J30" i="182" s="1"/>
  <c r="CL30" i="182" s="1"/>
  <c r="E77" i="177"/>
  <c r="F127" i="177"/>
  <c r="F97" i="177"/>
  <c r="E45" i="177"/>
  <c r="F43" i="10" s="1"/>
  <c r="F65" i="177"/>
  <c r="F132" i="177"/>
  <c r="F120" i="177"/>
  <c r="F52" i="177"/>
  <c r="G91" i="177"/>
  <c r="F91" i="177" s="1"/>
  <c r="I45" i="53"/>
  <c r="G43" i="52"/>
  <c r="H43" i="49"/>
  <c r="H40" i="44"/>
  <c r="H39" i="41"/>
  <c r="G39" i="41" s="1"/>
  <c r="G36" i="40"/>
  <c r="D29" i="107" s="1"/>
  <c r="H39" i="37"/>
  <c r="G41" i="28"/>
  <c r="H41" i="29"/>
  <c r="G41" i="29" s="1"/>
  <c r="H46" i="18"/>
  <c r="Q46" i="18" s="1"/>
  <c r="M19" i="68"/>
  <c r="G21" i="177"/>
  <c r="O103" i="178"/>
  <c r="H33" i="10"/>
  <c r="N90" i="178"/>
  <c r="M90" i="178" s="1"/>
  <c r="L26" i="178"/>
  <c r="F26" i="8"/>
  <c r="J41" i="182"/>
  <c r="M93" i="178"/>
  <c r="T107" i="178"/>
  <c r="L12" i="178"/>
  <c r="M51" i="178"/>
  <c r="M83" i="178"/>
  <c r="M107" i="178"/>
  <c r="L106" i="178"/>
  <c r="F33" i="8"/>
  <c r="F32" i="8"/>
  <c r="F33" i="10"/>
  <c r="M33" i="10"/>
  <c r="T53" i="178"/>
  <c r="N64" i="178"/>
  <c r="D7" i="8"/>
  <c r="I13" i="9"/>
  <c r="I15" i="9"/>
  <c r="G24" i="9"/>
  <c r="Y14" i="8"/>
  <c r="P14" i="8" s="1"/>
  <c r="L14" i="9" s="1"/>
  <c r="G15" i="9"/>
  <c r="AC9" i="8"/>
  <c r="T9" i="8"/>
  <c r="AA13" i="8"/>
  <c r="R13" i="8" s="1"/>
  <c r="I24" i="9"/>
  <c r="G10" i="9"/>
  <c r="AA11" i="8"/>
  <c r="R11" i="8" s="1"/>
  <c r="AA17" i="8"/>
  <c r="R17" i="8" s="1"/>
  <c r="W29" i="6"/>
  <c r="D29" i="6"/>
  <c r="F28" i="10"/>
  <c r="Y29" i="6"/>
  <c r="M13" i="178"/>
  <c r="AA29" i="6"/>
  <c r="G29" i="10"/>
  <c r="H29" i="6"/>
  <c r="AC29" i="8"/>
  <c r="T24" i="178"/>
  <c r="J29" i="6"/>
  <c r="H28" i="10"/>
  <c r="G28" i="10"/>
  <c r="F29" i="6"/>
  <c r="R29" i="6" s="1"/>
  <c r="AE29" i="8"/>
  <c r="M28" i="10"/>
  <c r="AD28" i="6" s="1"/>
  <c r="K29" i="6"/>
  <c r="K28" i="6" s="1"/>
  <c r="AD29" i="6"/>
  <c r="AF29" i="8"/>
  <c r="M24" i="178"/>
  <c r="N23" i="178"/>
  <c r="M23" i="178" s="1"/>
  <c r="N19" i="178"/>
  <c r="N17" i="178" s="1"/>
  <c r="M20" i="178"/>
  <c r="H29" i="8"/>
  <c r="H29" i="4" s="1"/>
  <c r="T12" i="178"/>
  <c r="M6" i="178"/>
  <c r="N4" i="178"/>
  <c r="H47" i="44"/>
  <c r="H36" i="37"/>
  <c r="AB36" i="36" s="1"/>
  <c r="T36" i="36" s="1"/>
  <c r="AB39" i="36"/>
  <c r="T39" i="36"/>
  <c r="N87" i="178"/>
  <c r="N86" i="178" s="1"/>
  <c r="N101" i="178" s="1"/>
  <c r="W28" i="6"/>
  <c r="M18" i="178"/>
  <c r="AA28" i="8"/>
  <c r="F73" i="8"/>
  <c r="F285" i="177"/>
  <c r="G119" i="177"/>
  <c r="H44" i="10" s="1"/>
  <c r="H41" i="8"/>
  <c r="F266" i="177"/>
  <c r="G231" i="177"/>
  <c r="G230" i="177" s="1"/>
  <c r="F220" i="177"/>
  <c r="F210" i="177"/>
  <c r="F206" i="177"/>
  <c r="E19" i="124"/>
  <c r="E11" i="124"/>
  <c r="H63" i="48"/>
  <c r="U40" i="124" s="1"/>
  <c r="U41" i="124" s="1"/>
  <c r="I53" i="49"/>
  <c r="G50" i="48"/>
  <c r="G52" i="49"/>
  <c r="I10" i="49"/>
  <c r="AK21" i="107"/>
  <c r="Z30" i="107"/>
  <c r="Z27" i="107"/>
  <c r="E18" i="107"/>
  <c r="E8" i="107"/>
  <c r="G53" i="41"/>
  <c r="M46" i="41"/>
  <c r="AG46" i="40" s="1"/>
  <c r="Y46" i="40" s="1"/>
  <c r="I49" i="41"/>
  <c r="AG18" i="40"/>
  <c r="Y18" i="40" s="1"/>
  <c r="J52" i="104"/>
  <c r="AC22" i="104"/>
  <c r="J46" i="104"/>
  <c r="E11" i="104"/>
  <c r="E22" i="104" s="1"/>
  <c r="E8" i="104"/>
  <c r="H71" i="36"/>
  <c r="I52" i="36"/>
  <c r="I49" i="37"/>
  <c r="G47" i="37"/>
  <c r="M23" i="106"/>
  <c r="I47" i="32"/>
  <c r="AK23" i="105"/>
  <c r="E12" i="105"/>
  <c r="E8" i="105"/>
  <c r="H56" i="29"/>
  <c r="AB56" i="28" s="1"/>
  <c r="T56" i="28" s="1"/>
  <c r="M47" i="29"/>
  <c r="AG47" i="28" s="1"/>
  <c r="Y47" i="28" s="1"/>
  <c r="I47" i="28"/>
  <c r="H47" i="29"/>
  <c r="AB47" i="28" s="1"/>
  <c r="T47" i="28" s="1"/>
  <c r="I52" i="22"/>
  <c r="G46" i="22"/>
  <c r="G45" i="21"/>
  <c r="M59" i="20"/>
  <c r="G52" i="20"/>
  <c r="F53" i="16"/>
  <c r="H59" i="20"/>
  <c r="G59" i="20" s="1"/>
  <c r="G46" i="20"/>
  <c r="M61" i="18"/>
  <c r="R42" i="18" s="1"/>
  <c r="I55" i="18"/>
  <c r="E39" i="15"/>
  <c r="G13" i="15"/>
  <c r="I8" i="18"/>
  <c r="G57" i="52"/>
  <c r="I66" i="52"/>
  <c r="H78" i="52"/>
  <c r="G53" i="53"/>
  <c r="I52" i="53"/>
  <c r="I58" i="45"/>
  <c r="G53" i="45"/>
  <c r="G52" i="45"/>
  <c r="G41" i="45"/>
  <c r="AB18" i="44"/>
  <c r="T18" i="44"/>
  <c r="I15" i="45"/>
  <c r="I59" i="20"/>
  <c r="I130" i="70"/>
  <c r="J122" i="70"/>
  <c r="J207" i="70" s="1"/>
  <c r="I122" i="70"/>
  <c r="M24" i="125"/>
  <c r="E13" i="125"/>
  <c r="T192" i="68"/>
  <c r="T184" i="68"/>
  <c r="O184" i="68"/>
  <c r="T174" i="68"/>
  <c r="G22" i="26"/>
  <c r="T159" i="68"/>
  <c r="O155" i="68"/>
  <c r="O119" i="68"/>
  <c r="Y46" i="64"/>
  <c r="P46" i="64"/>
  <c r="T102" i="68"/>
  <c r="T93" i="68"/>
  <c r="G21" i="25"/>
  <c r="T79" i="68"/>
  <c r="G13" i="65"/>
  <c r="AG111" i="68"/>
  <c r="AG118" i="68"/>
  <c r="T64" i="68"/>
  <c r="O64" i="68"/>
  <c r="AL16" i="181" s="1"/>
  <c r="H40" i="65"/>
  <c r="N50" i="68"/>
  <c r="M15" i="181" s="1"/>
  <c r="M43" i="68"/>
  <c r="AR15" i="181"/>
  <c r="T44" i="68"/>
  <c r="T33" i="68"/>
  <c r="AG157" i="68"/>
  <c r="AE147" i="68"/>
  <c r="AM136" i="68"/>
  <c r="M38" i="24"/>
  <c r="M38" i="4" s="1"/>
  <c r="AG136" i="68"/>
  <c r="AE136" i="68"/>
  <c r="AE129" i="68"/>
  <c r="G13" i="26"/>
  <c r="I16" i="26"/>
  <c r="G16" i="64"/>
  <c r="AG115" i="68"/>
  <c r="I10" i="64"/>
  <c r="M5" i="68"/>
  <c r="AA7" i="182" s="1"/>
  <c r="F55" i="24"/>
  <c r="F53" i="24" s="1"/>
  <c r="G51" i="65"/>
  <c r="Y28" i="8"/>
  <c r="F49" i="65"/>
  <c r="G19" i="48"/>
  <c r="N33" i="11"/>
  <c r="O91" i="5"/>
  <c r="G55" i="5"/>
  <c r="D24" i="3"/>
  <c r="I18" i="15"/>
  <c r="AE16" i="14"/>
  <c r="V16" i="14" s="1"/>
  <c r="AE8" i="14"/>
  <c r="V8" i="14"/>
  <c r="I10" i="15"/>
  <c r="I51" i="26"/>
  <c r="K51" i="26"/>
  <c r="H33" i="26"/>
  <c r="AA33" i="24" s="1"/>
  <c r="S33" i="24" s="1"/>
  <c r="AA34" i="24"/>
  <c r="S34" i="24" s="1"/>
  <c r="AC14" i="24"/>
  <c r="U14" i="24" s="1"/>
  <c r="K14" i="26"/>
  <c r="I14" i="26"/>
  <c r="AB57" i="28"/>
  <c r="T57" i="28" s="1"/>
  <c r="G42" i="29"/>
  <c r="H40" i="25"/>
  <c r="AA41" i="24" s="1"/>
  <c r="S41" i="24" s="1"/>
  <c r="AB13" i="28"/>
  <c r="T13" i="28" s="1"/>
  <c r="AB12" i="28"/>
  <c r="T12" i="28" s="1"/>
  <c r="H8" i="29"/>
  <c r="AB8" i="28" s="1"/>
  <c r="T8" i="28" s="1"/>
  <c r="G57" i="33"/>
  <c r="F56" i="33"/>
  <c r="AA57" i="32"/>
  <c r="S57" i="32" s="1"/>
  <c r="K52" i="33"/>
  <c r="AG52" i="32"/>
  <c r="Y52" i="32" s="1"/>
  <c r="L64" i="33"/>
  <c r="AG64" i="32"/>
  <c r="Y64" i="32" s="1"/>
  <c r="AG49" i="32"/>
  <c r="Y49" i="32" s="1"/>
  <c r="AE13" i="32"/>
  <c r="W13" i="32" s="1"/>
  <c r="L42" i="35"/>
  <c r="F21" i="106"/>
  <c r="F23" i="106"/>
  <c r="K52" i="36"/>
  <c r="L59" i="36"/>
  <c r="I60" i="104" s="1"/>
  <c r="M52" i="37"/>
  <c r="AG52" i="36" s="1"/>
  <c r="Y52" i="36" s="1"/>
  <c r="AB47" i="36"/>
  <c r="T47" i="36" s="1"/>
  <c r="AD10" i="40"/>
  <c r="V10" i="40" s="1"/>
  <c r="J8" i="41"/>
  <c r="K15" i="57"/>
  <c r="AE15" i="56"/>
  <c r="W15" i="56"/>
  <c r="V90" i="4"/>
  <c r="L50" i="7"/>
  <c r="AF66" i="8"/>
  <c r="W66" i="8" s="1"/>
  <c r="AA63" i="8"/>
  <c r="R63" i="8" s="1"/>
  <c r="Y63" i="8"/>
  <c r="P63" i="8" s="1"/>
  <c r="I27" i="9"/>
  <c r="X27" i="5" s="1"/>
  <c r="G49" i="14"/>
  <c r="I17" i="15"/>
  <c r="AE15" i="14"/>
  <c r="V15" i="14" s="1"/>
  <c r="G15" i="15"/>
  <c r="AC13" i="14"/>
  <c r="G12" i="15"/>
  <c r="E12" i="15"/>
  <c r="E9" i="15"/>
  <c r="J53" i="16"/>
  <c r="I39" i="21"/>
  <c r="K39" i="21"/>
  <c r="J42" i="21"/>
  <c r="G40" i="22"/>
  <c r="H39" i="14"/>
  <c r="E34" i="158"/>
  <c r="E8" i="158"/>
  <c r="K21" i="25"/>
  <c r="I21" i="25"/>
  <c r="AC22" i="24"/>
  <c r="H9" i="25"/>
  <c r="I22" i="26"/>
  <c r="AA22" i="24"/>
  <c r="K15" i="26"/>
  <c r="F38" i="28"/>
  <c r="F40" i="24"/>
  <c r="J51" i="25"/>
  <c r="K55" i="29"/>
  <c r="AG52" i="28"/>
  <c r="Y52" i="28" s="1"/>
  <c r="I43" i="29"/>
  <c r="M20" i="29"/>
  <c r="M19" i="29" s="1"/>
  <c r="AG19" i="28" s="1"/>
  <c r="Y19" i="28" s="1"/>
  <c r="AG23" i="28"/>
  <c r="Y23" i="28"/>
  <c r="H61" i="30"/>
  <c r="H21" i="105"/>
  <c r="J41" i="33"/>
  <c r="J38" i="33"/>
  <c r="AH56" i="32"/>
  <c r="Z56" i="32" s="1"/>
  <c r="AG57" i="32"/>
  <c r="Y57" i="32" s="1"/>
  <c r="L53" i="25"/>
  <c r="G54" i="33"/>
  <c r="AA54" i="32"/>
  <c r="S54" i="32"/>
  <c r="J64" i="33"/>
  <c r="AE64" i="32" s="1"/>
  <c r="W64" i="32" s="1"/>
  <c r="AE49" i="32"/>
  <c r="W49" i="32" s="1"/>
  <c r="AE54" i="32"/>
  <c r="W54" i="32" s="1"/>
  <c r="J61" i="34"/>
  <c r="AE61" i="32" s="1"/>
  <c r="W61" i="32" s="1"/>
  <c r="L61" i="34"/>
  <c r="AG45" i="32"/>
  <c r="Y45" i="32" s="1"/>
  <c r="Y39" i="106"/>
  <c r="I21" i="106"/>
  <c r="AB34" i="36"/>
  <c r="T34" i="36" s="1"/>
  <c r="H41" i="38"/>
  <c r="AB41" i="36"/>
  <c r="T41" i="36" s="1"/>
  <c r="R34" i="40"/>
  <c r="Z47" i="40"/>
  <c r="R47" i="40"/>
  <c r="F46" i="41"/>
  <c r="I40" i="41"/>
  <c r="AD40" i="40"/>
  <c r="V40" i="40" s="1"/>
  <c r="W42" i="5"/>
  <c r="P42" i="5" s="1"/>
  <c r="L106" i="8"/>
  <c r="AE66" i="8"/>
  <c r="V66" i="8" s="1"/>
  <c r="V21" i="14"/>
  <c r="E18" i="15"/>
  <c r="AA16" i="14"/>
  <c r="R16" i="14" s="1"/>
  <c r="G17" i="15"/>
  <c r="E41" i="16"/>
  <c r="G39" i="21"/>
  <c r="K46" i="159"/>
  <c r="I34" i="158"/>
  <c r="I8" i="158"/>
  <c r="I31" i="158" s="1"/>
  <c r="F50" i="25"/>
  <c r="L33" i="26"/>
  <c r="AC30" i="6" s="1"/>
  <c r="AE34" i="24"/>
  <c r="W34" i="24"/>
  <c r="AD18" i="28"/>
  <c r="V18" i="28" s="1"/>
  <c r="J16" i="25"/>
  <c r="AC16" i="24" s="1"/>
  <c r="AF15" i="28"/>
  <c r="X15" i="28" s="1"/>
  <c r="L15" i="25"/>
  <c r="AE15" i="24" s="1"/>
  <c r="W15" i="24" s="1"/>
  <c r="AF13" i="28"/>
  <c r="X13" i="28"/>
  <c r="L13" i="25"/>
  <c r="AE13" i="24" s="1"/>
  <c r="AF12" i="28"/>
  <c r="X12" i="28" s="1"/>
  <c r="AF11" i="28"/>
  <c r="X11" i="28"/>
  <c r="AF10" i="28"/>
  <c r="X10" i="28" s="1"/>
  <c r="L8" i="29"/>
  <c r="E42" i="30"/>
  <c r="M61" i="31"/>
  <c r="AG45" i="28"/>
  <c r="Y45" i="28" s="1"/>
  <c r="W23" i="105"/>
  <c r="I59" i="33"/>
  <c r="AE59" i="32"/>
  <c r="W59" i="32"/>
  <c r="K59" i="33"/>
  <c r="I55" i="33"/>
  <c r="K54" i="33"/>
  <c r="L51" i="25"/>
  <c r="AE52" i="24" s="1"/>
  <c r="W52" i="24" s="1"/>
  <c r="AH53" i="32"/>
  <c r="Z53" i="32" s="1"/>
  <c r="I51" i="33"/>
  <c r="AE51" i="32"/>
  <c r="W51" i="32"/>
  <c r="J20" i="33"/>
  <c r="AE23" i="32"/>
  <c r="W23" i="32" s="1"/>
  <c r="AE12" i="32"/>
  <c r="W12" i="32" s="1"/>
  <c r="F42" i="34"/>
  <c r="F61" i="35"/>
  <c r="AA45" i="32"/>
  <c r="S45" i="32" s="1"/>
  <c r="K9" i="53"/>
  <c r="L9" i="25"/>
  <c r="E17" i="15"/>
  <c r="AA15" i="14"/>
  <c r="R15" i="14"/>
  <c r="AC12" i="14"/>
  <c r="G55" i="18"/>
  <c r="F61" i="18"/>
  <c r="P42" i="18" s="1"/>
  <c r="K52" i="20"/>
  <c r="I52" i="20"/>
  <c r="F42" i="21"/>
  <c r="K40" i="22"/>
  <c r="I46" i="159"/>
  <c r="U34" i="158"/>
  <c r="W26" i="24"/>
  <c r="I19" i="26"/>
  <c r="K19" i="26"/>
  <c r="K58" i="29"/>
  <c r="L54" i="25"/>
  <c r="L65" i="5" s="1"/>
  <c r="I57" i="29"/>
  <c r="AD52" i="28"/>
  <c r="V52" i="28" s="1"/>
  <c r="I52" i="29"/>
  <c r="K43" i="29"/>
  <c r="AF43" i="28"/>
  <c r="X43" i="28" s="1"/>
  <c r="J20" i="29"/>
  <c r="AD20" i="28" s="1"/>
  <c r="V20" i="28" s="1"/>
  <c r="AD23" i="28"/>
  <c r="V23" i="28" s="1"/>
  <c r="J9" i="25"/>
  <c r="AC9" i="24" s="1"/>
  <c r="U9" i="24" s="1"/>
  <c r="J8" i="29"/>
  <c r="AD9" i="28"/>
  <c r="V9" i="28" s="1"/>
  <c r="J61" i="30"/>
  <c r="AD61" i="28" s="1"/>
  <c r="V61" i="28" s="1"/>
  <c r="J42" i="30"/>
  <c r="D42" i="30"/>
  <c r="L61" i="31"/>
  <c r="G21" i="105"/>
  <c r="Q23" i="105"/>
  <c r="AG54" i="32"/>
  <c r="Y54" i="32" s="1"/>
  <c r="I58" i="33"/>
  <c r="J54" i="25"/>
  <c r="Y65" i="5" s="1"/>
  <c r="K58" i="33"/>
  <c r="AC55" i="32"/>
  <c r="U55" i="32" s="1"/>
  <c r="H51" i="25"/>
  <c r="G52" i="33"/>
  <c r="K50" i="33"/>
  <c r="AE50" i="32"/>
  <c r="W50" i="32" s="1"/>
  <c r="M64" i="33"/>
  <c r="AH64" i="32" s="1"/>
  <c r="Z64" i="32" s="1"/>
  <c r="AH49" i="32"/>
  <c r="Z49" i="32"/>
  <c r="M20" i="33"/>
  <c r="AH23" i="32"/>
  <c r="Z23" i="32" s="1"/>
  <c r="H20" i="33"/>
  <c r="H19" i="33" s="1"/>
  <c r="AC23" i="32"/>
  <c r="U23" i="32" s="1"/>
  <c r="H22" i="25"/>
  <c r="AA23" i="24" s="1"/>
  <c r="S23" i="24" s="1"/>
  <c r="E42" i="34"/>
  <c r="G12" i="106"/>
  <c r="F59" i="36"/>
  <c r="G52" i="36"/>
  <c r="G60" i="104"/>
  <c r="AB10" i="36"/>
  <c r="T10" i="36" s="1"/>
  <c r="H8" i="37"/>
  <c r="H43" i="37" s="1"/>
  <c r="H61" i="50"/>
  <c r="G61" i="50" s="1"/>
  <c r="G48" i="50"/>
  <c r="L61" i="18"/>
  <c r="B8" i="183"/>
  <c r="J8" i="183" s="1"/>
  <c r="AD8" i="183" s="1"/>
  <c r="AD13" i="183" s="1"/>
  <c r="G41" i="182" s="1"/>
  <c r="E19" i="18"/>
  <c r="S39" i="158"/>
  <c r="S40" i="158" s="1"/>
  <c r="X19" i="36"/>
  <c r="D41" i="38"/>
  <c r="K53" i="41"/>
  <c r="AF53" i="40"/>
  <c r="X53" i="40"/>
  <c r="J41" i="43"/>
  <c r="H41" i="43"/>
  <c r="G18" i="107"/>
  <c r="W27" i="107"/>
  <c r="I54" i="45"/>
  <c r="AD54" i="44"/>
  <c r="V54" i="44" s="1"/>
  <c r="K48" i="46"/>
  <c r="L61" i="46"/>
  <c r="K61" i="46" s="1"/>
  <c r="I38" i="49"/>
  <c r="K38" i="49"/>
  <c r="Z38" i="124"/>
  <c r="Z29" i="124"/>
  <c r="U32" i="56"/>
  <c r="F51" i="57"/>
  <c r="Y52" i="56"/>
  <c r="Q52" i="56" s="1"/>
  <c r="J52" i="37"/>
  <c r="AD52" i="36" s="1"/>
  <c r="V52" i="36" s="1"/>
  <c r="K53" i="37"/>
  <c r="K55" i="41"/>
  <c r="AD55" i="40"/>
  <c r="V55" i="40" s="1"/>
  <c r="I53" i="41"/>
  <c r="AD37" i="40"/>
  <c r="V37" i="40"/>
  <c r="K37" i="41"/>
  <c r="L41" i="42"/>
  <c r="L11" i="184" s="1"/>
  <c r="F57" i="43"/>
  <c r="AF58" i="44"/>
  <c r="X58" i="44" s="1"/>
  <c r="K58" i="45"/>
  <c r="K55" i="45"/>
  <c r="AF55" i="44"/>
  <c r="X55" i="44" s="1"/>
  <c r="G19" i="123"/>
  <c r="W40" i="123"/>
  <c r="G59" i="49"/>
  <c r="I59" i="49"/>
  <c r="K50" i="52"/>
  <c r="L66" i="52"/>
  <c r="I59" i="53"/>
  <c r="AC11" i="56"/>
  <c r="U11" i="56" s="1"/>
  <c r="G10" i="57"/>
  <c r="Y10" i="56"/>
  <c r="Q10" i="56"/>
  <c r="AM137" i="68"/>
  <c r="M28" i="64"/>
  <c r="M27" i="64" s="1"/>
  <c r="D39" i="67"/>
  <c r="D40" i="66"/>
  <c r="L63" i="28"/>
  <c r="X43" i="105" s="1"/>
  <c r="X44" i="105" s="1"/>
  <c r="J56" i="29"/>
  <c r="G54" i="37"/>
  <c r="I54" i="37"/>
  <c r="G51" i="37"/>
  <c r="I51" i="37"/>
  <c r="I47" i="37"/>
  <c r="L41" i="38"/>
  <c r="L10" i="184" s="1"/>
  <c r="J41" i="39"/>
  <c r="D59" i="40"/>
  <c r="Y32" i="40"/>
  <c r="L41" i="43"/>
  <c r="G14" i="45"/>
  <c r="Z14" i="44"/>
  <c r="R14" i="44"/>
  <c r="AF10" i="44"/>
  <c r="X10" i="44" s="1"/>
  <c r="BE22" i="123"/>
  <c r="I33" i="48"/>
  <c r="I58" i="49"/>
  <c r="I40" i="50"/>
  <c r="K40" i="50"/>
  <c r="I28" i="52"/>
  <c r="Y14" i="56"/>
  <c r="Q14" i="56" s="1"/>
  <c r="G14" i="57"/>
  <c r="AE12" i="56"/>
  <c r="W12" i="56" s="1"/>
  <c r="K53" i="61"/>
  <c r="AG53" i="60"/>
  <c r="W53" i="60" s="1"/>
  <c r="E33" i="107"/>
  <c r="E47" i="49"/>
  <c r="G19" i="124"/>
  <c r="E8" i="125"/>
  <c r="K16" i="57"/>
  <c r="AE16" i="56"/>
  <c r="W16" i="56" s="1"/>
  <c r="D42" i="57"/>
  <c r="Y20" i="60"/>
  <c r="AE31" i="60"/>
  <c r="U31" i="60" s="1"/>
  <c r="M51" i="64"/>
  <c r="M54" i="24" s="1"/>
  <c r="D44" i="67"/>
  <c r="D44" i="65"/>
  <c r="D45" i="66"/>
  <c r="P4" i="71"/>
  <c r="K50" i="37"/>
  <c r="E63" i="44"/>
  <c r="R36" i="44"/>
  <c r="K54" i="45"/>
  <c r="I53" i="45"/>
  <c r="G46" i="45"/>
  <c r="AB46" i="44"/>
  <c r="T46" i="44"/>
  <c r="G18" i="45"/>
  <c r="G54" i="46"/>
  <c r="I48" i="46"/>
  <c r="E34" i="123"/>
  <c r="AM22" i="123"/>
  <c r="I8" i="48"/>
  <c r="F25" i="124" s="1"/>
  <c r="D63" i="49"/>
  <c r="K16" i="49"/>
  <c r="I48" i="50"/>
  <c r="G20" i="50"/>
  <c r="F19" i="53"/>
  <c r="I62" i="53"/>
  <c r="Q32" i="56"/>
  <c r="U28" i="56"/>
  <c r="G13" i="57"/>
  <c r="Y13" i="56"/>
  <c r="Q13" i="56"/>
  <c r="L42" i="58"/>
  <c r="L15" i="184" s="1"/>
  <c r="J42" i="58"/>
  <c r="J15" i="184"/>
  <c r="M54" i="63"/>
  <c r="J36" i="65"/>
  <c r="I36" i="65" s="1"/>
  <c r="AA40" i="64"/>
  <c r="R40" i="64" s="1"/>
  <c r="AA13" i="64"/>
  <c r="R13" i="64" s="1"/>
  <c r="I13" i="65"/>
  <c r="I51" i="66"/>
  <c r="AA51" i="64"/>
  <c r="L35" i="66"/>
  <c r="AC36" i="64"/>
  <c r="T36" i="64"/>
  <c r="U27" i="107"/>
  <c r="M21" i="107"/>
  <c r="AD53" i="44"/>
  <c r="V53" i="44" s="1"/>
  <c r="G43" i="44"/>
  <c r="R38" i="44"/>
  <c r="G55" i="45"/>
  <c r="AB55" i="44"/>
  <c r="T55" i="44" s="1"/>
  <c r="I51" i="45"/>
  <c r="AF46" i="44"/>
  <c r="X46" i="44" s="1"/>
  <c r="I41" i="45"/>
  <c r="I20" i="45"/>
  <c r="K54" i="46"/>
  <c r="G48" i="46"/>
  <c r="H61" i="46"/>
  <c r="I61" i="46" s="1"/>
  <c r="D61" i="46"/>
  <c r="G54" i="47"/>
  <c r="M45" i="47"/>
  <c r="AS22" i="123"/>
  <c r="L63" i="48"/>
  <c r="Y40" i="124" s="1"/>
  <c r="D47" i="48"/>
  <c r="K36" i="49"/>
  <c r="I26" i="49"/>
  <c r="K11" i="49"/>
  <c r="K33" i="50"/>
  <c r="I8" i="50"/>
  <c r="J57" i="53"/>
  <c r="I44" i="53"/>
  <c r="I13" i="53"/>
  <c r="K12" i="53"/>
  <c r="U26" i="56"/>
  <c r="G50" i="57"/>
  <c r="AA50" i="56"/>
  <c r="S50" i="56" s="1"/>
  <c r="M45" i="57"/>
  <c r="AF48" i="56"/>
  <c r="X48" i="56" s="1"/>
  <c r="L39" i="57"/>
  <c r="W39" i="127"/>
  <c r="X23" i="127"/>
  <c r="M23" i="127"/>
  <c r="K13" i="57"/>
  <c r="AE13" i="56"/>
  <c r="W13" i="56" s="1"/>
  <c r="H42" i="58"/>
  <c r="E40" i="59"/>
  <c r="G13" i="127"/>
  <c r="Q32" i="60"/>
  <c r="S28" i="60"/>
  <c r="D42" i="61"/>
  <c r="M19" i="60"/>
  <c r="P56" i="64"/>
  <c r="T51" i="64"/>
  <c r="J33" i="64"/>
  <c r="R34" i="64"/>
  <c r="AB53" i="64"/>
  <c r="S53" i="64" s="1"/>
  <c r="L49" i="65"/>
  <c r="AC52" i="64"/>
  <c r="AB43" i="64"/>
  <c r="S43" i="64" s="1"/>
  <c r="M40" i="67"/>
  <c r="Z8" i="182"/>
  <c r="M167" i="68"/>
  <c r="AA8" i="182"/>
  <c r="M159" i="68"/>
  <c r="AE153" i="68"/>
  <c r="H52" i="66"/>
  <c r="H50" i="66" s="1"/>
  <c r="Y50" i="64" s="1"/>
  <c r="H52" i="64"/>
  <c r="AG147" i="68"/>
  <c r="H45" i="64"/>
  <c r="H48" i="24" s="1"/>
  <c r="F38" i="66"/>
  <c r="F37" i="66"/>
  <c r="F37" i="65"/>
  <c r="F36" i="65" s="1"/>
  <c r="G36" i="65" s="1"/>
  <c r="F37" i="67"/>
  <c r="F36" i="67"/>
  <c r="F40" i="67" s="1"/>
  <c r="AI134" i="68"/>
  <c r="AG131" i="68"/>
  <c r="H40" i="64"/>
  <c r="G40" i="64" s="1"/>
  <c r="Q106" i="68"/>
  <c r="Q73" i="68"/>
  <c r="G23" i="177"/>
  <c r="G32" i="177"/>
  <c r="F24" i="177"/>
  <c r="K10" i="65"/>
  <c r="AB10" i="64" s="1"/>
  <c r="AC10" i="64"/>
  <c r="AE150" i="68"/>
  <c r="L38" i="66"/>
  <c r="L38" i="64"/>
  <c r="AE133" i="68"/>
  <c r="AG129" i="68"/>
  <c r="H22" i="64"/>
  <c r="AI118" i="68"/>
  <c r="L68" i="178"/>
  <c r="M68" i="178" s="1"/>
  <c r="L66" i="178"/>
  <c r="M69" i="178"/>
  <c r="I12" i="64"/>
  <c r="W22" i="64"/>
  <c r="N22" i="64" s="1"/>
  <c r="F19" i="65"/>
  <c r="AB12" i="64"/>
  <c r="S12" i="64" s="1"/>
  <c r="K40" i="66"/>
  <c r="AB40" i="64" s="1"/>
  <c r="AC40" i="64"/>
  <c r="T40" i="64" s="1"/>
  <c r="I19" i="66"/>
  <c r="K19" i="66"/>
  <c r="I16" i="66"/>
  <c r="Y16" i="64"/>
  <c r="P16" i="64" s="1"/>
  <c r="AB159" i="68"/>
  <c r="D56" i="66"/>
  <c r="D56" i="64"/>
  <c r="D60" i="26" s="1"/>
  <c r="D55" i="65"/>
  <c r="AE154" i="68"/>
  <c r="H51" i="64"/>
  <c r="H54" i="24" s="1"/>
  <c r="G54" i="24" s="1"/>
  <c r="E46" i="67"/>
  <c r="E43" i="67"/>
  <c r="E46" i="65"/>
  <c r="E47" i="66"/>
  <c r="E44" i="66" s="1"/>
  <c r="AC157" i="68"/>
  <c r="AE137" i="68"/>
  <c r="H28" i="64"/>
  <c r="I27" i="68"/>
  <c r="AB112" i="68"/>
  <c r="D10" i="66"/>
  <c r="D8" i="66" s="1"/>
  <c r="H33" i="64"/>
  <c r="N27" i="68"/>
  <c r="L7" i="182" s="1"/>
  <c r="H106" i="8"/>
  <c r="L19" i="65"/>
  <c r="AC20" i="64"/>
  <c r="AE116" i="68"/>
  <c r="R110" i="68"/>
  <c r="Q52" i="68"/>
  <c r="Q17" i="68"/>
  <c r="K40" i="64"/>
  <c r="I77" i="68"/>
  <c r="I216" i="68" s="1"/>
  <c r="R37" i="68"/>
  <c r="H7" i="182" s="1"/>
  <c r="Q33" i="68"/>
  <c r="Q5" i="68"/>
  <c r="AE7" i="182" s="1"/>
  <c r="J47" i="71"/>
  <c r="K56" i="71"/>
  <c r="G111" i="178"/>
  <c r="M4" i="178"/>
  <c r="M88" i="178"/>
  <c r="N40" i="178"/>
  <c r="M95" i="178"/>
  <c r="N46" i="178"/>
  <c r="M42" i="178"/>
  <c r="F29" i="177"/>
  <c r="I219" i="70"/>
  <c r="G226" i="177"/>
  <c r="F226" i="177" s="1"/>
  <c r="F106" i="8"/>
  <c r="M37" i="178"/>
  <c r="L36" i="178"/>
  <c r="M36" i="178" s="1"/>
  <c r="I98" i="69"/>
  <c r="J96" i="69"/>
  <c r="J100" i="69"/>
  <c r="L15" i="178"/>
  <c r="K52" i="37"/>
  <c r="J71" i="36"/>
  <c r="AC20" i="32"/>
  <c r="U20" i="32" s="1"/>
  <c r="AE55" i="24"/>
  <c r="AA65" i="5"/>
  <c r="G61" i="18"/>
  <c r="P46" i="18"/>
  <c r="AE52" i="14"/>
  <c r="V52" i="14"/>
  <c r="P51" i="64"/>
  <c r="G55" i="177"/>
  <c r="H55" i="177" s="1"/>
  <c r="W38" i="64"/>
  <c r="N38" i="64" s="1"/>
  <c r="F37" i="25"/>
  <c r="Y51" i="56"/>
  <c r="Q51" i="56"/>
  <c r="G51" i="57"/>
  <c r="J19" i="29"/>
  <c r="AD19" i="28"/>
  <c r="V19" i="28" s="1"/>
  <c r="H23" i="105"/>
  <c r="AA9" i="24"/>
  <c r="F30" i="6"/>
  <c r="F53" i="65"/>
  <c r="H55" i="26"/>
  <c r="Y52" i="64"/>
  <c r="K33" i="64"/>
  <c r="I63" i="44"/>
  <c r="V45" i="123" s="1"/>
  <c r="AF8" i="28"/>
  <c r="X8" i="28" s="1"/>
  <c r="I11" i="158"/>
  <c r="I22" i="158" s="1"/>
  <c r="K42" i="21"/>
  <c r="AB138" i="68"/>
  <c r="D10" i="65"/>
  <c r="D8" i="65" s="1"/>
  <c r="D10" i="64"/>
  <c r="D10" i="67"/>
  <c r="D8" i="67" s="1"/>
  <c r="G45" i="64"/>
  <c r="H44" i="64"/>
  <c r="P45" i="64"/>
  <c r="L53" i="65"/>
  <c r="AF17" i="184" s="1"/>
  <c r="AB8" i="36"/>
  <c r="T8" i="36" s="1"/>
  <c r="Y51" i="24"/>
  <c r="Q51" i="24" s="1"/>
  <c r="AG20" i="28"/>
  <c r="Y20" i="28" s="1"/>
  <c r="F44" i="28"/>
  <c r="C43" i="105" s="1"/>
  <c r="C44" i="105" s="1"/>
  <c r="C31" i="105"/>
  <c r="C32" i="105"/>
  <c r="E11" i="158"/>
  <c r="E22" i="158" s="1"/>
  <c r="E31" i="158"/>
  <c r="K50" i="7"/>
  <c r="H53" i="26"/>
  <c r="N12" i="4"/>
  <c r="G10" i="15"/>
  <c r="Q42" i="18"/>
  <c r="G46" i="18"/>
  <c r="D64" i="15"/>
  <c r="O72" i="5"/>
  <c r="G56" i="14"/>
  <c r="I50" i="14"/>
  <c r="P37" i="14"/>
  <c r="J34" i="14"/>
  <c r="H53" i="14"/>
  <c r="G58" i="14"/>
  <c r="AH39" i="14"/>
  <c r="P44" i="18"/>
  <c r="V38" i="14"/>
  <c r="P14" i="14"/>
  <c r="G14" i="14"/>
  <c r="R11" i="14"/>
  <c r="N206" i="70"/>
  <c r="L53" i="14"/>
  <c r="T47" i="14"/>
  <c r="I47" i="14"/>
  <c r="I46" i="14"/>
  <c r="W25" i="14"/>
  <c r="I9" i="14"/>
  <c r="T9" i="14"/>
  <c r="I8" i="14"/>
  <c r="L6" i="14"/>
  <c r="AO53" i="181" s="1"/>
  <c r="V55" i="14"/>
  <c r="G16" i="14"/>
  <c r="P16" i="14"/>
  <c r="W56" i="14"/>
  <c r="I49" i="14"/>
  <c r="W32" i="14"/>
  <c r="P22" i="14"/>
  <c r="W21" i="14"/>
  <c r="P25" i="14"/>
  <c r="W55" i="14"/>
  <c r="E53" i="14"/>
  <c r="E60" i="14"/>
  <c r="I14" i="14"/>
  <c r="P8" i="14"/>
  <c r="N49" i="14"/>
  <c r="I11" i="14"/>
  <c r="Y44" i="14"/>
  <c r="P44" i="14" s="1"/>
  <c r="F60" i="16"/>
  <c r="I53" i="16"/>
  <c r="J60" i="16"/>
  <c r="H60" i="16"/>
  <c r="AL7" i="184" s="1"/>
  <c r="AC52" i="14"/>
  <c r="T52" i="14" s="1"/>
  <c r="P32" i="14"/>
  <c r="AF35" i="14"/>
  <c r="W35" i="14" s="1"/>
  <c r="AC21" i="14"/>
  <c r="AC14" i="14"/>
  <c r="T14" i="14" s="1"/>
  <c r="Y13" i="14"/>
  <c r="P13" i="14"/>
  <c r="AA12" i="14"/>
  <c r="R12" i="14" s="1"/>
  <c r="AC16" i="14"/>
  <c r="T16" i="14" s="1"/>
  <c r="AE13" i="14"/>
  <c r="V13" i="14" s="1"/>
  <c r="L34" i="14"/>
  <c r="AE10" i="14"/>
  <c r="V10" i="14" s="1"/>
  <c r="Y9" i="14"/>
  <c r="P9" i="14" s="1"/>
  <c r="G49" i="1"/>
  <c r="F49" i="1" s="1"/>
  <c r="G31" i="4"/>
  <c r="G8" i="3"/>
  <c r="I49" i="1"/>
  <c r="H49" i="1" s="1"/>
  <c r="I8" i="3"/>
  <c r="X25" i="24"/>
  <c r="Q16" i="24"/>
  <c r="K14" i="24"/>
  <c r="I10" i="24"/>
  <c r="L33" i="24"/>
  <c r="L30" i="4" s="1"/>
  <c r="L27" i="24"/>
  <c r="L27" i="4" s="1"/>
  <c r="F27" i="4"/>
  <c r="H209" i="70"/>
  <c r="H210" i="70" s="1"/>
  <c r="Q34" i="24"/>
  <c r="Q18" i="24"/>
  <c r="F33" i="24"/>
  <c r="Q33" i="24" s="1"/>
  <c r="AH23" i="126"/>
  <c r="J8" i="126"/>
  <c r="E8" i="126"/>
  <c r="E34" i="126" s="1"/>
  <c r="AH23" i="127"/>
  <c r="U23" i="127"/>
  <c r="E9" i="127"/>
  <c r="E39" i="127"/>
  <c r="G36" i="56"/>
  <c r="E35" i="127"/>
  <c r="E36" i="127"/>
  <c r="G39" i="56"/>
  <c r="S39" i="56"/>
  <c r="G40" i="52"/>
  <c r="D31" i="125" s="1"/>
  <c r="H43" i="53"/>
  <c r="H40" i="53" s="1"/>
  <c r="H47" i="48"/>
  <c r="G40" i="48"/>
  <c r="S22" i="123"/>
  <c r="Y28" i="123"/>
  <c r="C10" i="123"/>
  <c r="U31" i="123"/>
  <c r="E19" i="123"/>
  <c r="E22" i="123" s="1"/>
  <c r="Z31" i="123"/>
  <c r="AX22" i="123"/>
  <c r="AK22" i="123"/>
  <c r="U22" i="123"/>
  <c r="M22" i="123"/>
  <c r="E10" i="123"/>
  <c r="BA22" i="123"/>
  <c r="I45" i="45"/>
  <c r="AG41" i="40"/>
  <c r="Y41" i="40" s="1"/>
  <c r="G39" i="36"/>
  <c r="H79" i="36"/>
  <c r="I40" i="37"/>
  <c r="H44" i="32"/>
  <c r="E44" i="106" s="1"/>
  <c r="E45" i="106" s="1"/>
  <c r="G38" i="32"/>
  <c r="I38" i="32"/>
  <c r="F32" i="106" s="1"/>
  <c r="I12" i="9"/>
  <c r="K22" i="9"/>
  <c r="AE22" i="8"/>
  <c r="V22" i="8" s="1"/>
  <c r="I14" i="9"/>
  <c r="I19" i="9"/>
  <c r="G19" i="9"/>
  <c r="G14" i="9"/>
  <c r="K24" i="9"/>
  <c r="AA66" i="8"/>
  <c r="R66" i="8" s="1"/>
  <c r="AA9" i="8"/>
  <c r="R9" i="8" s="1"/>
  <c r="I9" i="9"/>
  <c r="G9" i="9"/>
  <c r="U32" i="5"/>
  <c r="O32" i="5" s="1"/>
  <c r="AC20" i="8"/>
  <c r="T20" i="8"/>
  <c r="I20" i="9"/>
  <c r="Y17" i="8"/>
  <c r="P17" i="8" s="1"/>
  <c r="L17" i="9" s="1"/>
  <c r="G17" i="9"/>
  <c r="I21" i="9"/>
  <c r="AC21" i="8"/>
  <c r="T21" i="8"/>
  <c r="AA93" i="4"/>
  <c r="R93" i="4"/>
  <c r="G91" i="5"/>
  <c r="P91" i="5"/>
  <c r="Y25" i="8"/>
  <c r="P25" i="8" s="1"/>
  <c r="L25" i="9" s="1"/>
  <c r="G25" i="9"/>
  <c r="AE23" i="8"/>
  <c r="V23" i="8" s="1"/>
  <c r="I22" i="9"/>
  <c r="G22" i="9"/>
  <c r="AC17" i="8"/>
  <c r="T17" i="8" s="1"/>
  <c r="I17" i="9"/>
  <c r="I10" i="9"/>
  <c r="AA10" i="8"/>
  <c r="R10" i="8" s="1"/>
  <c r="G32" i="9"/>
  <c r="K91" i="5"/>
  <c r="K19" i="9"/>
  <c r="AE19" i="8"/>
  <c r="V19" i="8" s="1"/>
  <c r="I31" i="5"/>
  <c r="K15" i="9"/>
  <c r="AE15" i="8"/>
  <c r="V15" i="8" s="1"/>
  <c r="AC83" i="4"/>
  <c r="T83" i="4" s="1"/>
  <c r="O68" i="5"/>
  <c r="K13" i="9"/>
  <c r="AE13" i="8"/>
  <c r="V13" i="8" s="1"/>
  <c r="K10" i="9"/>
  <c r="AE10" i="8"/>
  <c r="V10" i="8" s="1"/>
  <c r="K9" i="9"/>
  <c r="AE9" i="8"/>
  <c r="V9" i="8"/>
  <c r="Q68" i="5"/>
  <c r="K21" i="9"/>
  <c r="AE21" i="8"/>
  <c r="V21" i="8"/>
  <c r="L33" i="9"/>
  <c r="K33" i="9" s="1"/>
  <c r="I32" i="9"/>
  <c r="R67" i="6"/>
  <c r="G32" i="5"/>
  <c r="H68" i="5"/>
  <c r="W68" i="5"/>
  <c r="AA58" i="14"/>
  <c r="R58" i="14" s="1"/>
  <c r="I16" i="15"/>
  <c r="G16" i="15"/>
  <c r="I14" i="15"/>
  <c r="G14" i="15"/>
  <c r="O35" i="5"/>
  <c r="G35" i="5"/>
  <c r="Q79" i="5"/>
  <c r="Y56" i="14"/>
  <c r="P56" i="14"/>
  <c r="D55" i="15"/>
  <c r="AE37" i="14"/>
  <c r="AA22" i="14"/>
  <c r="R22" i="14" s="1"/>
  <c r="E11" i="15"/>
  <c r="G11" i="15"/>
  <c r="R9" i="14"/>
  <c r="G9" i="15"/>
  <c r="F8" i="15"/>
  <c r="Q35" i="5"/>
  <c r="G42" i="15"/>
  <c r="E42" i="15"/>
  <c r="P76" i="5"/>
  <c r="AC75" i="4"/>
  <c r="T75" i="4" s="1"/>
  <c r="AE32" i="14"/>
  <c r="V32" i="14"/>
  <c r="L31" i="5"/>
  <c r="J8" i="15"/>
  <c r="I8" i="15" s="1"/>
  <c r="AE9" i="14"/>
  <c r="V9" i="14"/>
  <c r="I11" i="15"/>
  <c r="AF8" i="14"/>
  <c r="W8" i="14" s="1"/>
  <c r="Y72" i="4"/>
  <c r="P72" i="4" s="1"/>
  <c r="AA72" i="4"/>
  <c r="R72" i="4" s="1"/>
  <c r="Q26" i="24"/>
  <c r="L40" i="27"/>
  <c r="G59" i="53"/>
  <c r="G55" i="53"/>
  <c r="G54" i="53"/>
  <c r="I11" i="53"/>
  <c r="G8" i="53"/>
  <c r="G39" i="24"/>
  <c r="M50" i="53"/>
  <c r="G52" i="53"/>
  <c r="I51" i="53"/>
  <c r="G18" i="53"/>
  <c r="I15" i="53"/>
  <c r="Q39" i="24"/>
  <c r="Q52" i="24"/>
  <c r="H8" i="57"/>
  <c r="I8" i="57" s="1"/>
  <c r="AA11" i="56"/>
  <c r="S11" i="56" s="1"/>
  <c r="G11" i="57"/>
  <c r="H11" i="25"/>
  <c r="K26" i="53"/>
  <c r="I26" i="53"/>
  <c r="L27" i="25"/>
  <c r="K27" i="25" s="1"/>
  <c r="J26" i="25"/>
  <c r="Y27" i="5" s="1"/>
  <c r="W27" i="5"/>
  <c r="H27" i="5"/>
  <c r="X33" i="24"/>
  <c r="N33" i="24"/>
  <c r="X26" i="24"/>
  <c r="N26" i="24"/>
  <c r="G15" i="24"/>
  <c r="Q36" i="24"/>
  <c r="F35" i="24"/>
  <c r="Q35" i="24"/>
  <c r="W25" i="24"/>
  <c r="G10" i="24"/>
  <c r="N32" i="24"/>
  <c r="S38" i="6"/>
  <c r="H73" i="6"/>
  <c r="E8" i="6"/>
  <c r="U67" i="6"/>
  <c r="Q37" i="6"/>
  <c r="R31" i="6"/>
  <c r="AF72" i="4"/>
  <c r="W72" i="4"/>
  <c r="Q67" i="6"/>
  <c r="G74" i="6"/>
  <c r="I34" i="6"/>
  <c r="F73" i="6"/>
  <c r="E73" i="6" s="1"/>
  <c r="E74" i="6"/>
  <c r="G34" i="6"/>
  <c r="U30" i="6"/>
  <c r="E38" i="6"/>
  <c r="G39" i="6"/>
  <c r="S39" i="6"/>
  <c r="I74" i="6"/>
  <c r="E71" i="6"/>
  <c r="K73" i="6"/>
  <c r="U73" i="6" s="1"/>
  <c r="E67" i="6"/>
  <c r="G31" i="6"/>
  <c r="G67" i="6"/>
  <c r="R50" i="6"/>
  <c r="R8" i="6"/>
  <c r="I31" i="6"/>
  <c r="I67" i="6"/>
  <c r="Y12" i="8"/>
  <c r="P12" i="8" s="1"/>
  <c r="L12" i="9" s="1"/>
  <c r="G12" i="9"/>
  <c r="AA21" i="8"/>
  <c r="R21" i="8" s="1"/>
  <c r="G21" i="9"/>
  <c r="Y20" i="8"/>
  <c r="P20" i="8" s="1"/>
  <c r="L20" i="9" s="1"/>
  <c r="G20" i="9"/>
  <c r="AA23" i="8"/>
  <c r="R23" i="8" s="1"/>
  <c r="G23" i="9"/>
  <c r="G33" i="10"/>
  <c r="F32" i="10"/>
  <c r="F34" i="10" s="1"/>
  <c r="Y32" i="8"/>
  <c r="AF24" i="14"/>
  <c r="W24" i="14" s="1"/>
  <c r="G40" i="17"/>
  <c r="G37" i="17" s="1"/>
  <c r="G43" i="17" s="1"/>
  <c r="G6" i="3"/>
  <c r="G13" i="1"/>
  <c r="G20" i="2"/>
  <c r="L38" i="24"/>
  <c r="D59" i="25"/>
  <c r="K33" i="24"/>
  <c r="L37" i="64"/>
  <c r="D56" i="27"/>
  <c r="D60" i="24"/>
  <c r="G63" i="48"/>
  <c r="T40" i="124" s="1"/>
  <c r="R29" i="8"/>
  <c r="F35" i="6"/>
  <c r="H36" i="41"/>
  <c r="J76" i="28"/>
  <c r="K56" i="45"/>
  <c r="I51" i="57"/>
  <c r="AS17" i="181"/>
  <c r="M93" i="68"/>
  <c r="AR17" i="181" s="1"/>
  <c r="Y45" i="123"/>
  <c r="Y46" i="123" s="1"/>
  <c r="L75" i="44"/>
  <c r="M50" i="68"/>
  <c r="L15" i="181" s="1"/>
  <c r="CV15" i="181" s="1"/>
  <c r="AB39" i="40"/>
  <c r="T39" i="40" s="1"/>
  <c r="F21" i="177"/>
  <c r="D50" i="24"/>
  <c r="H64" i="36"/>
  <c r="E40" i="104"/>
  <c r="E41" i="104" s="1"/>
  <c r="M60" i="68"/>
  <c r="D15" i="181" s="1"/>
  <c r="O87" i="68"/>
  <c r="F16" i="181" s="1"/>
  <c r="Q87" i="68"/>
  <c r="H59" i="65"/>
  <c r="D17" i="184"/>
  <c r="AB56" i="44"/>
  <c r="T56" i="44"/>
  <c r="I56" i="45"/>
  <c r="G118" i="177"/>
  <c r="G117" i="177" s="1"/>
  <c r="H63" i="45"/>
  <c r="I36" i="36"/>
  <c r="F31" i="104"/>
  <c r="M14" i="68"/>
  <c r="AI7" i="182" s="1"/>
  <c r="H55" i="57"/>
  <c r="H59" i="37"/>
  <c r="G59" i="37" s="1"/>
  <c r="AA10" i="184" s="1"/>
  <c r="Q70" i="68"/>
  <c r="H43" i="40"/>
  <c r="AB50" i="44"/>
  <c r="T50" i="44"/>
  <c r="E10" i="27"/>
  <c r="S153" i="68"/>
  <c r="AC138" i="68"/>
  <c r="G20" i="7"/>
  <c r="AA20" i="4"/>
  <c r="R20" i="4" s="1"/>
  <c r="I62" i="10"/>
  <c r="AC63" i="8"/>
  <c r="T63" i="8" s="1"/>
  <c r="E7" i="11"/>
  <c r="M206" i="177"/>
  <c r="L206" i="70"/>
  <c r="L207" i="70" s="1"/>
  <c r="O47" i="44"/>
  <c r="G33" i="66"/>
  <c r="G63" i="44"/>
  <c r="T45" i="123" s="1"/>
  <c r="E8" i="64"/>
  <c r="E7" i="5"/>
  <c r="AF22" i="4"/>
  <c r="W22" i="4" s="1"/>
  <c r="AE22" i="4"/>
  <c r="V22" i="4"/>
  <c r="D51" i="15"/>
  <c r="Y49" i="14" s="1"/>
  <c r="P49" i="14" s="1"/>
  <c r="F45" i="14"/>
  <c r="F60" i="14" s="1"/>
  <c r="AJ8" i="182"/>
  <c r="I19" i="49"/>
  <c r="K19" i="49"/>
  <c r="I44" i="106"/>
  <c r="L87" i="32"/>
  <c r="G30" i="7"/>
  <c r="H28" i="7"/>
  <c r="G28" i="7" s="1"/>
  <c r="AE17" i="4"/>
  <c r="V17" i="4"/>
  <c r="AF17" i="4"/>
  <c r="W17" i="4" s="1"/>
  <c r="AF63" i="8"/>
  <c r="W63" i="8" s="1"/>
  <c r="AA76" i="4"/>
  <c r="R76" i="4" s="1"/>
  <c r="M18" i="7"/>
  <c r="AE18" i="4" s="1"/>
  <c r="AF18" i="8"/>
  <c r="W18" i="8" s="1"/>
  <c r="F19" i="14"/>
  <c r="F18" i="14" s="1"/>
  <c r="P21" i="14"/>
  <c r="G19" i="50"/>
  <c r="Z50" i="44"/>
  <c r="R50" i="44" s="1"/>
  <c r="F63" i="45"/>
  <c r="N18" i="4"/>
  <c r="S84" i="6"/>
  <c r="AC90" i="4"/>
  <c r="T90" i="4" s="1"/>
  <c r="G25" i="7"/>
  <c r="AA25" i="4"/>
  <c r="R25" i="4" s="1"/>
  <c r="AF24" i="4"/>
  <c r="W24" i="4"/>
  <c r="AE24" i="4"/>
  <c r="V24" i="4" s="1"/>
  <c r="D37" i="8"/>
  <c r="F64" i="10"/>
  <c r="G64" i="10" s="1"/>
  <c r="W74" i="6"/>
  <c r="Q74" i="6" s="1"/>
  <c r="Y66" i="8"/>
  <c r="P66" i="8" s="1"/>
  <c r="G65" i="10"/>
  <c r="K52" i="15"/>
  <c r="AF50" i="14"/>
  <c r="W50" i="14" s="1"/>
  <c r="T28" i="14"/>
  <c r="E61" i="17"/>
  <c r="G21" i="7"/>
  <c r="AF58" i="14"/>
  <c r="W58" i="14" s="1"/>
  <c r="J55" i="15"/>
  <c r="I55" i="15" s="1"/>
  <c r="AE53" i="14"/>
  <c r="V53" i="14" s="1"/>
  <c r="E15" i="15"/>
  <c r="H45" i="47"/>
  <c r="M214" i="68"/>
  <c r="AA68" i="5"/>
  <c r="L68" i="5"/>
  <c r="K68" i="5" s="1"/>
  <c r="U31" i="5"/>
  <c r="O31" i="5"/>
  <c r="H83" i="7"/>
  <c r="T19" i="184" s="1"/>
  <c r="G26" i="7"/>
  <c r="G18" i="7"/>
  <c r="F49" i="15"/>
  <c r="AA40" i="14"/>
  <c r="R40" i="14"/>
  <c r="E14" i="15"/>
  <c r="D46" i="18"/>
  <c r="M22" i="158"/>
  <c r="G22" i="7"/>
  <c r="G19" i="7"/>
  <c r="G17" i="7"/>
  <c r="H74" i="11"/>
  <c r="H69" i="11"/>
  <c r="H73" i="11" s="1"/>
  <c r="G8" i="11"/>
  <c r="Y54" i="14"/>
  <c r="P54" i="14" s="1"/>
  <c r="F50" i="15"/>
  <c r="Y12" i="14"/>
  <c r="P12" i="14" s="1"/>
  <c r="F55" i="15"/>
  <c r="AA53" i="14"/>
  <c r="E13" i="15"/>
  <c r="E10" i="15"/>
  <c r="D43" i="20"/>
  <c r="E58" i="21"/>
  <c r="H36" i="20"/>
  <c r="I39" i="20"/>
  <c r="J59" i="159"/>
  <c r="K59" i="159"/>
  <c r="E24" i="181"/>
  <c r="M24" i="181" s="1"/>
  <c r="M23" i="105"/>
  <c r="I21" i="105"/>
  <c r="H63" i="32"/>
  <c r="H77" i="32" s="1"/>
  <c r="I56" i="32"/>
  <c r="V41" i="106" s="1"/>
  <c r="V42" i="106" s="1"/>
  <c r="G56" i="32"/>
  <c r="T41" i="106" s="1"/>
  <c r="T42" i="106" s="1"/>
  <c r="G47" i="32"/>
  <c r="F63" i="32"/>
  <c r="N43" i="32" s="1"/>
  <c r="M61" i="34"/>
  <c r="AH61" i="32"/>
  <c r="Z61" i="32" s="1"/>
  <c r="AH45" i="32"/>
  <c r="Z45" i="32" s="1"/>
  <c r="H61" i="35"/>
  <c r="AC61" i="32" s="1"/>
  <c r="U61" i="32" s="1"/>
  <c r="H42" i="35"/>
  <c r="G50" i="37"/>
  <c r="AB50" i="36"/>
  <c r="T50" i="36" s="1"/>
  <c r="Z44" i="36"/>
  <c r="R44" i="36" s="1"/>
  <c r="F57" i="38"/>
  <c r="J57" i="39"/>
  <c r="AD57" i="36" s="1"/>
  <c r="V57" i="36" s="1"/>
  <c r="AF41" i="44"/>
  <c r="X41" i="44"/>
  <c r="K41" i="45"/>
  <c r="G17" i="45"/>
  <c r="Z17" i="44"/>
  <c r="R17" i="44"/>
  <c r="AD159" i="68"/>
  <c r="F56" i="64"/>
  <c r="N56" i="64" s="1"/>
  <c r="E37" i="67"/>
  <c r="E36" i="67" s="1"/>
  <c r="E38" i="66"/>
  <c r="E37" i="66" s="1"/>
  <c r="E39" i="67"/>
  <c r="E40" i="66"/>
  <c r="E39" i="65"/>
  <c r="D21" i="65"/>
  <c r="D19" i="65"/>
  <c r="D22" i="64"/>
  <c r="D21" i="67"/>
  <c r="D19" i="67" s="1"/>
  <c r="D22" i="66"/>
  <c r="D20" i="66"/>
  <c r="AG125" i="68"/>
  <c r="J19" i="64"/>
  <c r="K46" i="22"/>
  <c r="I17" i="26"/>
  <c r="K13" i="26"/>
  <c r="R19" i="28"/>
  <c r="G59" i="29"/>
  <c r="L20" i="29"/>
  <c r="L19" i="29" s="1"/>
  <c r="AF19" i="28" s="1"/>
  <c r="X19" i="28" s="1"/>
  <c r="J42" i="31"/>
  <c r="AC62" i="32"/>
  <c r="U62" i="32" s="1"/>
  <c r="G62" i="33"/>
  <c r="AE55" i="32"/>
  <c r="W55" i="32" s="1"/>
  <c r="K55" i="33"/>
  <c r="AC8" i="32"/>
  <c r="U8" i="32" s="1"/>
  <c r="D44" i="33"/>
  <c r="G29" i="104"/>
  <c r="L43" i="36"/>
  <c r="F19" i="104"/>
  <c r="F22" i="104"/>
  <c r="G8" i="104"/>
  <c r="T32" i="40"/>
  <c r="R26" i="44"/>
  <c r="E45" i="46"/>
  <c r="G41" i="57"/>
  <c r="Y41" i="56"/>
  <c r="Q41" i="56" s="1"/>
  <c r="J53" i="59"/>
  <c r="AC53" i="56" s="1"/>
  <c r="U53" i="56" s="1"/>
  <c r="AC43" i="56"/>
  <c r="U43" i="56" s="1"/>
  <c r="E37" i="65"/>
  <c r="E36" i="65"/>
  <c r="M19" i="65"/>
  <c r="G11" i="65"/>
  <c r="Y11" i="64"/>
  <c r="P11" i="64"/>
  <c r="U36" i="24"/>
  <c r="AF39" i="24"/>
  <c r="X39" i="24" s="1"/>
  <c r="AC32" i="24"/>
  <c r="D44" i="28"/>
  <c r="I48" i="29"/>
  <c r="E44" i="29"/>
  <c r="AD62" i="28"/>
  <c r="V62" i="28"/>
  <c r="M42" i="30"/>
  <c r="H61" i="31"/>
  <c r="AB61" i="28" s="1"/>
  <c r="T61" i="28" s="1"/>
  <c r="M42" i="31"/>
  <c r="O23" i="105"/>
  <c r="AE60" i="32"/>
  <c r="W60" i="32" s="1"/>
  <c r="I60" i="33"/>
  <c r="G58" i="33"/>
  <c r="AC58" i="32"/>
  <c r="U58" i="32" s="1"/>
  <c r="Y30" i="106"/>
  <c r="AH23" i="106"/>
  <c r="AD51" i="36"/>
  <c r="V51" i="36" s="1"/>
  <c r="K51" i="37"/>
  <c r="I50" i="37"/>
  <c r="G40" i="37"/>
  <c r="AB40" i="36"/>
  <c r="T40" i="36" s="1"/>
  <c r="AG19" i="36"/>
  <c r="Y19" i="36" s="1"/>
  <c r="E43" i="37"/>
  <c r="I28" i="49"/>
  <c r="K28" i="49"/>
  <c r="M57" i="53"/>
  <c r="K16" i="53"/>
  <c r="L16" i="25"/>
  <c r="AE16" i="24" s="1"/>
  <c r="W16" i="24" s="1"/>
  <c r="AD43" i="28"/>
  <c r="V43" i="28" s="1"/>
  <c r="D61" i="30"/>
  <c r="F42" i="30"/>
  <c r="L42" i="31"/>
  <c r="AF42" i="28" s="1"/>
  <c r="X42" i="28" s="1"/>
  <c r="E42" i="31"/>
  <c r="I62" i="33"/>
  <c r="G50" i="33"/>
  <c r="AA50" i="32"/>
  <c r="S50" i="32" s="1"/>
  <c r="D61" i="35"/>
  <c r="I55" i="37"/>
  <c r="K55" i="37"/>
  <c r="AD50" i="36"/>
  <c r="V50" i="36" s="1"/>
  <c r="K49" i="37"/>
  <c r="AD49" i="36"/>
  <c r="V49" i="36" s="1"/>
  <c r="M41" i="38"/>
  <c r="F41" i="38"/>
  <c r="L57" i="39"/>
  <c r="AF44" i="36"/>
  <c r="X44" i="36" s="1"/>
  <c r="E41" i="39"/>
  <c r="Q22" i="104"/>
  <c r="X34" i="40"/>
  <c r="I47" i="41"/>
  <c r="AD47" i="40"/>
  <c r="V47" i="40" s="1"/>
  <c r="F19" i="47"/>
  <c r="G20" i="47"/>
  <c r="F38" i="106"/>
  <c r="L20" i="33"/>
  <c r="J46" i="37"/>
  <c r="I46" i="37" s="1"/>
  <c r="G49" i="37"/>
  <c r="AD46" i="44"/>
  <c r="V46" i="44" s="1"/>
  <c r="K54" i="47"/>
  <c r="S43" i="123"/>
  <c r="AU22" i="123"/>
  <c r="I19" i="123"/>
  <c r="G28" i="48"/>
  <c r="I28" i="48"/>
  <c r="I18" i="49"/>
  <c r="K18" i="49"/>
  <c r="D45" i="54"/>
  <c r="G38" i="125"/>
  <c r="H19" i="57"/>
  <c r="AF19" i="56"/>
  <c r="X19" i="56" s="1"/>
  <c r="F19" i="57"/>
  <c r="F42" i="57" s="1"/>
  <c r="I16" i="57"/>
  <c r="AA16" i="56"/>
  <c r="S16" i="56" s="1"/>
  <c r="G16" i="57"/>
  <c r="H55" i="58"/>
  <c r="AA55" i="56" s="1"/>
  <c r="S55" i="56" s="1"/>
  <c r="AE49" i="56"/>
  <c r="W49" i="56" s="1"/>
  <c r="L53" i="59"/>
  <c r="AE53" i="56" s="1"/>
  <c r="W53" i="56" s="1"/>
  <c r="H53" i="59"/>
  <c r="AA53" i="56"/>
  <c r="S53" i="56" s="1"/>
  <c r="AA43" i="56"/>
  <c r="S43" i="56" s="1"/>
  <c r="J40" i="59"/>
  <c r="AC40" i="56" s="1"/>
  <c r="U40" i="56" s="1"/>
  <c r="F9" i="127"/>
  <c r="K51" i="60"/>
  <c r="I51" i="60"/>
  <c r="S20" i="60"/>
  <c r="M42" i="34"/>
  <c r="M9" i="184" s="1"/>
  <c r="K57" i="45"/>
  <c r="AF57" i="44"/>
  <c r="X57" i="44"/>
  <c r="I52" i="45"/>
  <c r="K52" i="45"/>
  <c r="G44" i="45"/>
  <c r="AB44" i="44"/>
  <c r="T44" i="44" s="1"/>
  <c r="I11" i="45"/>
  <c r="AD11" i="44"/>
  <c r="V11" i="44" s="1"/>
  <c r="K11" i="45"/>
  <c r="F61" i="46"/>
  <c r="K28" i="47"/>
  <c r="J19" i="47"/>
  <c r="K20" i="47"/>
  <c r="K48" i="50"/>
  <c r="L61" i="50"/>
  <c r="L46" i="53"/>
  <c r="H45" i="54"/>
  <c r="H45" i="55"/>
  <c r="I13" i="57"/>
  <c r="AC13" i="56"/>
  <c r="U13" i="56" s="1"/>
  <c r="M33" i="66"/>
  <c r="AE33" i="64"/>
  <c r="V33" i="64" s="1"/>
  <c r="AE34" i="64"/>
  <c r="V34" i="64" s="1"/>
  <c r="E43" i="36"/>
  <c r="L8" i="41"/>
  <c r="K8" i="41" s="1"/>
  <c r="AP21" i="107"/>
  <c r="AG52" i="44"/>
  <c r="Y52" i="44"/>
  <c r="I26" i="45"/>
  <c r="AD26" i="44"/>
  <c r="V26" i="44" s="1"/>
  <c r="G13" i="45"/>
  <c r="I12" i="45"/>
  <c r="I9" i="45"/>
  <c r="D45" i="47"/>
  <c r="C19" i="123"/>
  <c r="C32" i="181" s="1"/>
  <c r="K32" i="181" s="1"/>
  <c r="C22" i="123"/>
  <c r="AI22" i="123"/>
  <c r="I26" i="48"/>
  <c r="K26" i="48"/>
  <c r="G20" i="48"/>
  <c r="I20" i="48"/>
  <c r="I17" i="49"/>
  <c r="M45" i="50"/>
  <c r="M13" i="184"/>
  <c r="H47" i="52"/>
  <c r="E46" i="125" s="1"/>
  <c r="E47" i="125" s="1"/>
  <c r="E28" i="125"/>
  <c r="E29" i="125" s="1"/>
  <c r="K45" i="53"/>
  <c r="D47" i="53"/>
  <c r="E21" i="125"/>
  <c r="E24" i="125"/>
  <c r="S34" i="56"/>
  <c r="K14" i="57"/>
  <c r="AE14" i="56"/>
  <c r="W14" i="56"/>
  <c r="W32" i="60"/>
  <c r="I16" i="61"/>
  <c r="AE16" i="60"/>
  <c r="U16" i="60" s="1"/>
  <c r="L44" i="54"/>
  <c r="K50" i="61"/>
  <c r="AG50" i="60"/>
  <c r="W50" i="60" s="1"/>
  <c r="K16" i="66"/>
  <c r="AB16" i="64" s="1"/>
  <c r="AA16" i="64"/>
  <c r="Q167" i="68"/>
  <c r="AE8" i="182" s="1"/>
  <c r="O167" i="68"/>
  <c r="AC8" i="182" s="1"/>
  <c r="AM129" i="68"/>
  <c r="M22" i="64"/>
  <c r="M20" i="64"/>
  <c r="AG122" i="68"/>
  <c r="J16" i="64"/>
  <c r="I16" i="64" s="1"/>
  <c r="AE118" i="68"/>
  <c r="H13" i="64"/>
  <c r="H8" i="64" s="1"/>
  <c r="G8" i="64" s="1"/>
  <c r="C7" i="123"/>
  <c r="C31" i="123" s="1"/>
  <c r="AC16" i="60"/>
  <c r="S16" i="60"/>
  <c r="G16" i="61"/>
  <c r="D54" i="63"/>
  <c r="F8" i="126"/>
  <c r="J53" i="67"/>
  <c r="AH159" i="68"/>
  <c r="J56" i="64"/>
  <c r="H38" i="64"/>
  <c r="H38" i="66"/>
  <c r="Y38" i="64" s="1"/>
  <c r="P38" i="64" s="1"/>
  <c r="AM125" i="68"/>
  <c r="M19" i="64"/>
  <c r="D42" i="62"/>
  <c r="M41" i="63"/>
  <c r="I8" i="126"/>
  <c r="N13" i="64"/>
  <c r="K47" i="66"/>
  <c r="AB47" i="64"/>
  <c r="AC47" i="64"/>
  <c r="T47" i="64" s="1"/>
  <c r="F44" i="66"/>
  <c r="W44" i="64" s="1"/>
  <c r="F54" i="66"/>
  <c r="AH17" i="184" s="1"/>
  <c r="K45" i="66"/>
  <c r="O210" i="68"/>
  <c r="D46" i="64"/>
  <c r="D45" i="67"/>
  <c r="D43" i="67" s="1"/>
  <c r="D53" i="67" s="1"/>
  <c r="Y40" i="64"/>
  <c r="P40" i="64" s="1"/>
  <c r="F9" i="182"/>
  <c r="AG116" i="68"/>
  <c r="G27" i="68"/>
  <c r="G216" i="68" s="1"/>
  <c r="H50" i="9"/>
  <c r="G50" i="9" s="1"/>
  <c r="V56" i="5" s="1"/>
  <c r="L47" i="71"/>
  <c r="S87" i="68"/>
  <c r="T87" i="68" s="1"/>
  <c r="T83" i="68"/>
  <c r="E30" i="181"/>
  <c r="M30" i="181" s="1"/>
  <c r="AE115" i="68"/>
  <c r="I47" i="71"/>
  <c r="L50" i="9"/>
  <c r="L56" i="5"/>
  <c r="L46" i="9"/>
  <c r="H81" i="6"/>
  <c r="AC88" i="4"/>
  <c r="J50" i="9"/>
  <c r="J56" i="5" s="1"/>
  <c r="F81" i="6"/>
  <c r="D30" i="182"/>
  <c r="L30" i="182" s="1"/>
  <c r="CN30" i="182" s="1"/>
  <c r="H88" i="4"/>
  <c r="G284" i="177"/>
  <c r="H72" i="10" s="1"/>
  <c r="AA73" i="8" s="1"/>
  <c r="AA23" i="14"/>
  <c r="R23" i="14"/>
  <c r="G23" i="14"/>
  <c r="G39" i="106"/>
  <c r="W28" i="123"/>
  <c r="K25" i="15"/>
  <c r="AF23" i="14"/>
  <c r="W23" i="14" s="1"/>
  <c r="L88" i="4"/>
  <c r="I88" i="4"/>
  <c r="I215" i="70"/>
  <c r="M88" i="4"/>
  <c r="G58" i="104"/>
  <c r="W37" i="123"/>
  <c r="J47" i="7"/>
  <c r="J46" i="17"/>
  <c r="J61" i="17" s="1"/>
  <c r="H47" i="7"/>
  <c r="H46" i="7" s="1"/>
  <c r="G46" i="7" s="1"/>
  <c r="H46" i="17"/>
  <c r="H61" i="17" s="1"/>
  <c r="AF27" i="8"/>
  <c r="H27" i="66"/>
  <c r="H27" i="26" s="1"/>
  <c r="L28" i="26"/>
  <c r="L27" i="66"/>
  <c r="G49" i="57"/>
  <c r="J27" i="66"/>
  <c r="AA27" i="64" s="1"/>
  <c r="L46" i="17"/>
  <c r="L61" i="17"/>
  <c r="AV7" i="184" s="1"/>
  <c r="G288" i="177"/>
  <c r="J27" i="26"/>
  <c r="Y27" i="64"/>
  <c r="AD46" i="36"/>
  <c r="V46" i="36" s="1"/>
  <c r="S44" i="106"/>
  <c r="U44" i="106"/>
  <c r="W42" i="158"/>
  <c r="W43" i="158" s="1"/>
  <c r="X42" i="158"/>
  <c r="X43" i="158" s="1"/>
  <c r="AA56" i="5"/>
  <c r="O214" i="68"/>
  <c r="E9" i="182" s="1"/>
  <c r="Q214" i="68"/>
  <c r="G38" i="64"/>
  <c r="H38" i="24"/>
  <c r="H37" i="64"/>
  <c r="H88" i="52"/>
  <c r="G47" i="52"/>
  <c r="D46" i="125"/>
  <c r="D20" i="64"/>
  <c r="D21" i="27"/>
  <c r="D19" i="27" s="1"/>
  <c r="AB12" i="184"/>
  <c r="AB63" i="44"/>
  <c r="T63" i="44"/>
  <c r="F45" i="177"/>
  <c r="W56" i="5"/>
  <c r="H56" i="5"/>
  <c r="P56" i="5" s="1"/>
  <c r="J60" i="24"/>
  <c r="I60" i="24" s="1"/>
  <c r="G13" i="64"/>
  <c r="F60" i="24"/>
  <c r="AR19" i="184"/>
  <c r="Q47" i="52"/>
  <c r="W45" i="126"/>
  <c r="W46" i="126" s="1"/>
  <c r="G30" i="5"/>
  <c r="I30" i="5"/>
  <c r="W73" i="6"/>
  <c r="Q73" i="6" s="1"/>
  <c r="E11" i="2"/>
  <c r="F11" i="2" s="1"/>
  <c r="AF18" i="4"/>
  <c r="W18" i="4" s="1"/>
  <c r="H71" i="37"/>
  <c r="I40" i="10"/>
  <c r="G14" i="177"/>
  <c r="H47" i="72"/>
  <c r="Z22" i="104"/>
  <c r="K53" i="16"/>
  <c r="AF53" i="14" s="1"/>
  <c r="M46" i="17"/>
  <c r="M61" i="17"/>
  <c r="M42" i="17" s="1"/>
  <c r="M40" i="17" s="1"/>
  <c r="N46" i="14"/>
  <c r="M47" i="7"/>
  <c r="M46" i="37"/>
  <c r="AG46" i="36"/>
  <c r="Y46" i="36" s="1"/>
  <c r="M36" i="40"/>
  <c r="J29" i="107" s="1"/>
  <c r="M8" i="41"/>
  <c r="AG8" i="40" s="1"/>
  <c r="Y8" i="40" s="1"/>
  <c r="M50" i="45"/>
  <c r="Z28" i="123"/>
  <c r="Z40" i="126"/>
  <c r="S133" i="68"/>
  <c r="T133" i="68" s="1"/>
  <c r="M47" i="64"/>
  <c r="M50" i="24" s="1"/>
  <c r="N50" i="24" s="1"/>
  <c r="AK112" i="68"/>
  <c r="M13" i="64"/>
  <c r="AE40" i="64"/>
  <c r="M36" i="65"/>
  <c r="M54" i="26"/>
  <c r="T29" i="68"/>
  <c r="M40" i="64"/>
  <c r="M42" i="24" s="1"/>
  <c r="M18" i="64"/>
  <c r="V18" i="64" s="1"/>
  <c r="AM124" i="68"/>
  <c r="M8" i="66"/>
  <c r="M10" i="26"/>
  <c r="AP22" i="123"/>
  <c r="J61" i="18"/>
  <c r="K49" i="18"/>
  <c r="N122" i="70"/>
  <c r="H35" i="6"/>
  <c r="S35" i="6" s="1"/>
  <c r="G7" i="10"/>
  <c r="I27" i="10"/>
  <c r="W31" i="8"/>
  <c r="M31" i="4"/>
  <c r="M32" i="9"/>
  <c r="J27" i="10"/>
  <c r="J7" i="10" s="1"/>
  <c r="J27" i="8"/>
  <c r="M42" i="5"/>
  <c r="S42" i="5" s="1"/>
  <c r="O18" i="178"/>
  <c r="J88" i="4"/>
  <c r="H284" i="177"/>
  <c r="I72" i="10" s="1"/>
  <c r="I246" i="177"/>
  <c r="I230" i="177"/>
  <c r="I234" i="177" s="1"/>
  <c r="F12" i="182" s="1"/>
  <c r="N12" i="182" s="1"/>
  <c r="CP12" i="182" s="1"/>
  <c r="R90" i="178"/>
  <c r="Q90" i="178" s="1"/>
  <c r="R87" i="178"/>
  <c r="T66" i="178"/>
  <c r="P66" i="178"/>
  <c r="P78" i="178"/>
  <c r="T42" i="178"/>
  <c r="L27" i="10"/>
  <c r="L27" i="8"/>
  <c r="W29" i="8"/>
  <c r="N29" i="8"/>
  <c r="J106" i="8"/>
  <c r="H202" i="177"/>
  <c r="F202" i="177"/>
  <c r="F201" i="177"/>
  <c r="H201" i="177"/>
  <c r="G200" i="177"/>
  <c r="F200" i="177"/>
  <c r="I218" i="70"/>
  <c r="G70" i="177"/>
  <c r="I4" i="70"/>
  <c r="K219" i="70"/>
  <c r="G84" i="177"/>
  <c r="D26" i="182"/>
  <c r="L26" i="182" s="1"/>
  <c r="CN26" i="182" s="1"/>
  <c r="I4" i="69"/>
  <c r="N71" i="69"/>
  <c r="N89" i="69" s="1"/>
  <c r="M89" i="69" s="1"/>
  <c r="I78" i="69"/>
  <c r="J71" i="69"/>
  <c r="I71" i="69" s="1"/>
  <c r="B24" i="182"/>
  <c r="J24" i="182" s="1"/>
  <c r="CL24" i="182" s="1"/>
  <c r="K87" i="69"/>
  <c r="L100" i="69"/>
  <c r="J20" i="72"/>
  <c r="J3" i="72"/>
  <c r="J2" i="72" s="1"/>
  <c r="J47" i="72" s="1"/>
  <c r="L2" i="72"/>
  <c r="M56" i="71"/>
  <c r="I50" i="9" s="1"/>
  <c r="X56" i="5" s="1"/>
  <c r="M38" i="71"/>
  <c r="M29" i="71" s="1"/>
  <c r="I41" i="37"/>
  <c r="J39" i="37"/>
  <c r="K41" i="41"/>
  <c r="J39" i="41"/>
  <c r="AD39" i="40" s="1"/>
  <c r="V39" i="40" s="1"/>
  <c r="I36" i="40"/>
  <c r="F29" i="107" s="1"/>
  <c r="AD41" i="40"/>
  <c r="V41" i="40" s="1"/>
  <c r="K43" i="52"/>
  <c r="M37" i="25"/>
  <c r="J36" i="57"/>
  <c r="J42" i="57" s="1"/>
  <c r="K39" i="56"/>
  <c r="F28" i="177"/>
  <c r="E26" i="177"/>
  <c r="F26" i="177" s="1"/>
  <c r="H28" i="177"/>
  <c r="L265" i="177"/>
  <c r="L273" i="177" s="1"/>
  <c r="H266" i="177"/>
  <c r="H265" i="177" s="1"/>
  <c r="H273" i="177" s="1"/>
  <c r="F33" i="181" s="1"/>
  <c r="N33" i="181" s="1"/>
  <c r="CX33" i="181" s="1"/>
  <c r="J41" i="8"/>
  <c r="J55" i="4" s="1"/>
  <c r="F260" i="177"/>
  <c r="F262" i="177"/>
  <c r="H46" i="9"/>
  <c r="G258" i="177"/>
  <c r="F258" i="177" s="1"/>
  <c r="I198" i="177"/>
  <c r="G51" i="181" s="1"/>
  <c r="O51" i="181" s="1"/>
  <c r="CY51" i="181" s="1"/>
  <c r="J58" i="8"/>
  <c r="J71" i="4" s="1"/>
  <c r="T47" i="8"/>
  <c r="AE53" i="8"/>
  <c r="K37" i="177"/>
  <c r="K34" i="177" s="1"/>
  <c r="F102" i="4"/>
  <c r="H53" i="4"/>
  <c r="Q7" i="2" s="1"/>
  <c r="Y38" i="8"/>
  <c r="H106" i="177"/>
  <c r="H237" i="177"/>
  <c r="H236" i="177" s="1"/>
  <c r="H244" i="177" s="1"/>
  <c r="AF39" i="8"/>
  <c r="T19" i="3"/>
  <c r="I102" i="4"/>
  <c r="I103" i="4" s="1"/>
  <c r="J102" i="4"/>
  <c r="R19" i="3"/>
  <c r="I49" i="9"/>
  <c r="H37" i="177"/>
  <c r="H34" i="177" s="1"/>
  <c r="H41" i="177" s="1"/>
  <c r="P87" i="178"/>
  <c r="P86" i="178" s="1"/>
  <c r="P101" i="178" s="1"/>
  <c r="O83" i="178"/>
  <c r="O80" i="178" s="1"/>
  <c r="O84" i="178" s="1"/>
  <c r="AL34" i="181" s="1"/>
  <c r="P53" i="178"/>
  <c r="P64" i="178" s="1"/>
  <c r="O59" i="178"/>
  <c r="P40" i="178"/>
  <c r="I29" i="8"/>
  <c r="T29" i="8"/>
  <c r="AF33" i="8"/>
  <c r="P15" i="178"/>
  <c r="G236" i="177"/>
  <c r="F236" i="177" s="1"/>
  <c r="I28" i="8"/>
  <c r="H206" i="177"/>
  <c r="H94" i="177"/>
  <c r="M80" i="177"/>
  <c r="W44" i="127"/>
  <c r="W45" i="127"/>
  <c r="K55" i="56"/>
  <c r="J68" i="56"/>
  <c r="AI10" i="60"/>
  <c r="Y10" i="60" s="1"/>
  <c r="Z24" i="125"/>
  <c r="U24" i="125"/>
  <c r="J8" i="53"/>
  <c r="I10" i="53"/>
  <c r="K10" i="53"/>
  <c r="K130" i="70"/>
  <c r="O122" i="70"/>
  <c r="O207" i="70" s="1"/>
  <c r="K123" i="70"/>
  <c r="I45" i="21"/>
  <c r="I46" i="20"/>
  <c r="M158" i="70"/>
  <c r="Z22" i="123"/>
  <c r="W22" i="123"/>
  <c r="Z43" i="123"/>
  <c r="Z40" i="123"/>
  <c r="R22" i="123"/>
  <c r="M63" i="44"/>
  <c r="M75" i="44" s="1"/>
  <c r="AG15" i="44"/>
  <c r="Y15" i="44" s="1"/>
  <c r="AD14" i="44"/>
  <c r="V14" i="44" s="1"/>
  <c r="M137" i="70"/>
  <c r="K137" i="70"/>
  <c r="I41" i="32"/>
  <c r="K38" i="32"/>
  <c r="H32" i="106" s="1"/>
  <c r="AE41" i="32"/>
  <c r="W41" i="32" s="1"/>
  <c r="G44" i="106"/>
  <c r="G45" i="106" s="1"/>
  <c r="K44" i="32"/>
  <c r="H44" i="106" s="1"/>
  <c r="W36" i="106"/>
  <c r="Z36" i="106"/>
  <c r="G8" i="106"/>
  <c r="M63" i="32"/>
  <c r="M77" i="32" s="1"/>
  <c r="M47" i="33"/>
  <c r="AH47" i="32" s="1"/>
  <c r="Z47" i="32" s="1"/>
  <c r="AH50" i="32"/>
  <c r="Z50" i="32"/>
  <c r="AH22" i="123"/>
  <c r="G10" i="123"/>
  <c r="M142" i="70"/>
  <c r="K142" i="70"/>
  <c r="AP22" i="104"/>
  <c r="AM22" i="104"/>
  <c r="J58" i="104"/>
  <c r="W22" i="104"/>
  <c r="G19" i="104"/>
  <c r="G22" i="104" s="1"/>
  <c r="O22" i="104"/>
  <c r="I52" i="37"/>
  <c r="K48" i="37"/>
  <c r="M176" i="70"/>
  <c r="K176" i="70"/>
  <c r="AP23" i="105"/>
  <c r="AM23" i="105"/>
  <c r="AE23" i="105"/>
  <c r="K42" i="29"/>
  <c r="J41" i="29"/>
  <c r="I42" i="29"/>
  <c r="AG43" i="28"/>
  <c r="Y43" i="28" s="1"/>
  <c r="J38" i="29"/>
  <c r="AD38" i="28" s="1"/>
  <c r="V38" i="28" s="1"/>
  <c r="G31" i="105"/>
  <c r="J40" i="24"/>
  <c r="I56" i="177" s="1"/>
  <c r="I54" i="177" s="1"/>
  <c r="K41" i="28"/>
  <c r="AH23" i="105"/>
  <c r="G12" i="105"/>
  <c r="G23" i="105" s="1"/>
  <c r="G8" i="105"/>
  <c r="M154" i="70"/>
  <c r="K154" i="70"/>
  <c r="W33" i="107"/>
  <c r="AM21" i="107"/>
  <c r="AE21" i="107"/>
  <c r="W21" i="107"/>
  <c r="G11" i="107"/>
  <c r="G21" i="107" s="1"/>
  <c r="O21" i="107"/>
  <c r="M184" i="70"/>
  <c r="Q206" i="68"/>
  <c r="AA47" i="64"/>
  <c r="R47" i="64" s="1"/>
  <c r="O171" i="68"/>
  <c r="AK8" i="182" s="1"/>
  <c r="Q171" i="68"/>
  <c r="N8" i="182"/>
  <c r="J13" i="24"/>
  <c r="R123" i="68"/>
  <c r="AJ127" i="68"/>
  <c r="O117" i="68"/>
  <c r="L55" i="177"/>
  <c r="M8" i="65"/>
  <c r="M40" i="65" s="1"/>
  <c r="M10" i="25"/>
  <c r="AE51" i="64"/>
  <c r="V51" i="64"/>
  <c r="M50" i="64"/>
  <c r="AE46" i="64"/>
  <c r="AA46" i="64"/>
  <c r="R46" i="64"/>
  <c r="S60" i="68"/>
  <c r="T60" i="68" s="1"/>
  <c r="Q50" i="68"/>
  <c r="AH127" i="68"/>
  <c r="AH138" i="68" s="1"/>
  <c r="AH158" i="68" s="1"/>
  <c r="O43" i="68"/>
  <c r="AT15" i="181" s="1"/>
  <c r="S37" i="68"/>
  <c r="T37" i="68" s="1"/>
  <c r="I47" i="64"/>
  <c r="J50" i="24"/>
  <c r="K50" i="24" s="1"/>
  <c r="K47" i="64"/>
  <c r="S47" i="64" s="1"/>
  <c r="J44" i="64"/>
  <c r="O37" i="68"/>
  <c r="E7" i="182" s="1"/>
  <c r="F7" i="182"/>
  <c r="AK157" i="68"/>
  <c r="AM157" i="68" s="1"/>
  <c r="AC28" i="24"/>
  <c r="AA15" i="6"/>
  <c r="S15" i="6" s="1"/>
  <c r="K20" i="66"/>
  <c r="I20" i="66"/>
  <c r="J22" i="24"/>
  <c r="J20" i="64"/>
  <c r="K18" i="64"/>
  <c r="I18" i="64"/>
  <c r="J18" i="24"/>
  <c r="AI124" i="68"/>
  <c r="W38" i="124"/>
  <c r="W29" i="124"/>
  <c r="G11" i="124"/>
  <c r="I63" i="48"/>
  <c r="V40" i="124" s="1"/>
  <c r="K10" i="49"/>
  <c r="CZ15" i="181"/>
  <c r="J54" i="24"/>
  <c r="K51" i="64"/>
  <c r="S51" i="64" s="1"/>
  <c r="I51" i="64"/>
  <c r="R51" i="64"/>
  <c r="I8" i="6"/>
  <c r="H21" i="15"/>
  <c r="I42" i="5"/>
  <c r="AB42" i="4" s="1"/>
  <c r="AA75" i="4"/>
  <c r="R75" i="4" s="1"/>
  <c r="I71" i="5"/>
  <c r="AB74" i="4" s="1"/>
  <c r="I35" i="5"/>
  <c r="P71" i="5"/>
  <c r="F29" i="5"/>
  <c r="O29" i="5" s="1"/>
  <c r="AC72" i="4"/>
  <c r="T72" i="4" s="1"/>
  <c r="Q42" i="5"/>
  <c r="I68" i="5"/>
  <c r="AA83" i="4"/>
  <c r="R83" i="4" s="1"/>
  <c r="K35" i="5"/>
  <c r="G36" i="5"/>
  <c r="AC50" i="14"/>
  <c r="T50" i="14" s="1"/>
  <c r="AA47" i="14"/>
  <c r="R47" i="14" s="1"/>
  <c r="G49" i="15"/>
  <c r="F7" i="7"/>
  <c r="F41" i="7"/>
  <c r="G16" i="7"/>
  <c r="H37" i="25"/>
  <c r="G41" i="49"/>
  <c r="H40" i="49"/>
  <c r="M8" i="49"/>
  <c r="AC56" i="24"/>
  <c r="U56" i="24" s="1"/>
  <c r="L49" i="25"/>
  <c r="L50" i="49"/>
  <c r="F43" i="49"/>
  <c r="N23" i="24"/>
  <c r="Q23" i="24"/>
  <c r="F21" i="24"/>
  <c r="F20" i="24" s="1"/>
  <c r="F26" i="4" s="1"/>
  <c r="S9" i="24"/>
  <c r="G11" i="49"/>
  <c r="H40" i="27"/>
  <c r="F50" i="49"/>
  <c r="I51" i="49"/>
  <c r="N11" i="24"/>
  <c r="G11" i="24"/>
  <c r="K42" i="49"/>
  <c r="G16" i="49"/>
  <c r="G51" i="25"/>
  <c r="J65" i="5"/>
  <c r="G43" i="49"/>
  <c r="E37" i="24"/>
  <c r="W24" i="24"/>
  <c r="W17" i="24"/>
  <c r="N52" i="24"/>
  <c r="G50" i="24"/>
  <c r="I49" i="24"/>
  <c r="AI40" i="24"/>
  <c r="G41" i="24"/>
  <c r="G12" i="24"/>
  <c r="I12" i="24"/>
  <c r="K17" i="49"/>
  <c r="L55" i="25"/>
  <c r="G13" i="49"/>
  <c r="F8" i="49"/>
  <c r="F47" i="49" s="1"/>
  <c r="B13" i="184" s="1"/>
  <c r="K51" i="49"/>
  <c r="M56" i="49"/>
  <c r="F56" i="49"/>
  <c r="K53" i="49"/>
  <c r="K45" i="49"/>
  <c r="G44" i="49"/>
  <c r="G18" i="49"/>
  <c r="G15" i="49"/>
  <c r="H56" i="49"/>
  <c r="G45" i="49"/>
  <c r="E35" i="27"/>
  <c r="K55" i="49"/>
  <c r="I41" i="49"/>
  <c r="I16" i="49"/>
  <c r="K15" i="49"/>
  <c r="G58" i="49"/>
  <c r="L56" i="49"/>
  <c r="H53" i="25"/>
  <c r="I57" i="49"/>
  <c r="K12" i="49"/>
  <c r="G10" i="49"/>
  <c r="F64" i="5"/>
  <c r="O64" i="5" s="1"/>
  <c r="I55" i="49"/>
  <c r="G55" i="49"/>
  <c r="G53" i="49"/>
  <c r="K14" i="49"/>
  <c r="L14" i="25"/>
  <c r="AE14" i="24" s="1"/>
  <c r="K14" i="25"/>
  <c r="H8" i="49"/>
  <c r="I12" i="49"/>
  <c r="AA11" i="24"/>
  <c r="S11" i="24" s="1"/>
  <c r="I54" i="49"/>
  <c r="G54" i="49"/>
  <c r="H50" i="49"/>
  <c r="H50" i="25"/>
  <c r="AA51" i="24" s="1"/>
  <c r="S51" i="24" s="1"/>
  <c r="K41" i="49"/>
  <c r="L37" i="25"/>
  <c r="K13" i="49"/>
  <c r="J39" i="5"/>
  <c r="Q39" i="5" s="1"/>
  <c r="AC39" i="24"/>
  <c r="U39" i="24" s="1"/>
  <c r="I38" i="25"/>
  <c r="I39" i="5" s="1"/>
  <c r="I45" i="49"/>
  <c r="I13" i="49"/>
  <c r="K54" i="49"/>
  <c r="L50" i="25"/>
  <c r="I52" i="49"/>
  <c r="J50" i="49"/>
  <c r="J63" i="49" s="1"/>
  <c r="AD13" i="184" s="1"/>
  <c r="K52" i="49"/>
  <c r="I15" i="49"/>
  <c r="J15" i="25"/>
  <c r="AC15" i="24" s="1"/>
  <c r="G65" i="49"/>
  <c r="AE56" i="24"/>
  <c r="W56" i="24" s="1"/>
  <c r="M148" i="70"/>
  <c r="K148" i="70"/>
  <c r="H46" i="61"/>
  <c r="AC46" i="60" s="1"/>
  <c r="S46" i="60" s="1"/>
  <c r="H48" i="26"/>
  <c r="H47" i="26" s="1"/>
  <c r="I87" i="4"/>
  <c r="G19" i="14"/>
  <c r="H18" i="14"/>
  <c r="F40" i="49"/>
  <c r="I56" i="49"/>
  <c r="K56" i="49"/>
  <c r="G50" i="25"/>
  <c r="H52" i="5"/>
  <c r="H63" i="49"/>
  <c r="G8" i="49"/>
  <c r="Y47" i="6"/>
  <c r="G18" i="14"/>
  <c r="T44" i="4"/>
  <c r="AC24" i="14"/>
  <c r="T24" i="14" s="1"/>
  <c r="Q31" i="5"/>
  <c r="AA24" i="14"/>
  <c r="R24" i="14"/>
  <c r="W31" i="5"/>
  <c r="P31" i="5"/>
  <c r="AE24" i="14"/>
  <c r="V24" i="14"/>
  <c r="H21" i="1"/>
  <c r="C78" i="1"/>
  <c r="C81" i="1" s="1"/>
  <c r="H17" i="2"/>
  <c r="M47" i="25"/>
  <c r="M49" i="5" s="1"/>
  <c r="G8" i="126"/>
  <c r="I36" i="60"/>
  <c r="F33" i="126" s="1"/>
  <c r="F34" i="126"/>
  <c r="G33" i="126"/>
  <c r="G45" i="126"/>
  <c r="AE23" i="127"/>
  <c r="W23" i="127"/>
  <c r="G39" i="127"/>
  <c r="G31" i="125"/>
  <c r="G32" i="125" s="1"/>
  <c r="G8" i="124"/>
  <c r="G32" i="124"/>
  <c r="J43" i="49"/>
  <c r="J40" i="49" s="1"/>
  <c r="I40" i="49" s="1"/>
  <c r="I44" i="49"/>
  <c r="G28" i="124"/>
  <c r="G29" i="124" s="1"/>
  <c r="G7" i="123"/>
  <c r="AD43" i="44"/>
  <c r="V43" i="44" s="1"/>
  <c r="J40" i="45"/>
  <c r="AD40" i="44" s="1"/>
  <c r="V40" i="44" s="1"/>
  <c r="K40" i="44"/>
  <c r="H30" i="123" s="1"/>
  <c r="I40" i="44"/>
  <c r="F30" i="123" s="1"/>
  <c r="G8" i="107"/>
  <c r="G36" i="107"/>
  <c r="G33" i="107"/>
  <c r="G11" i="104"/>
  <c r="J64" i="36"/>
  <c r="J79" i="36"/>
  <c r="I43" i="36"/>
  <c r="F40" i="104" s="1"/>
  <c r="G40" i="104"/>
  <c r="G41" i="104" s="1"/>
  <c r="G31" i="104"/>
  <c r="G32" i="104" s="1"/>
  <c r="G33" i="106"/>
  <c r="I44" i="32"/>
  <c r="F44" i="106"/>
  <c r="AE38" i="32"/>
  <c r="W38" i="32"/>
  <c r="J87" i="32"/>
  <c r="G32" i="105"/>
  <c r="G43" i="105"/>
  <c r="G44" i="105" s="1"/>
  <c r="J84" i="28"/>
  <c r="AD41" i="28"/>
  <c r="V41" i="28" s="1"/>
  <c r="J43" i="22"/>
  <c r="Q43" i="22" s="1"/>
  <c r="K37" i="22"/>
  <c r="I36" i="20"/>
  <c r="K36" i="20"/>
  <c r="I40" i="52"/>
  <c r="F31" i="125" s="1"/>
  <c r="I43" i="49"/>
  <c r="I47" i="44"/>
  <c r="I68" i="44" s="1"/>
  <c r="CX22" i="181"/>
  <c r="O21" i="181"/>
  <c r="CY21" i="181" s="1"/>
  <c r="M21" i="181"/>
  <c r="CW21" i="181" s="1"/>
  <c r="BI57" i="181"/>
  <c r="H33" i="11"/>
  <c r="G7" i="11"/>
  <c r="CH32" i="182"/>
  <c r="N12" i="24"/>
  <c r="M49" i="25"/>
  <c r="AJ16" i="184"/>
  <c r="O40" i="26"/>
  <c r="U29" i="6"/>
  <c r="S8" i="6"/>
  <c r="S67" i="6"/>
  <c r="Q8" i="6"/>
  <c r="U31" i="6"/>
  <c r="AC30" i="4"/>
  <c r="AF87" i="4"/>
  <c r="R66" i="6"/>
  <c r="G8" i="6"/>
  <c r="U28" i="6"/>
  <c r="G66" i="6"/>
  <c r="G54" i="6"/>
  <c r="S54" i="6"/>
  <c r="Y30" i="4"/>
  <c r="Q30" i="6"/>
  <c r="E30" i="6"/>
  <c r="AA30" i="4"/>
  <c r="R30" i="4" s="1"/>
  <c r="S29" i="6"/>
  <c r="G29" i="6"/>
  <c r="E66" i="6"/>
  <c r="Y31" i="4"/>
  <c r="P31" i="4" s="1"/>
  <c r="E31" i="6"/>
  <c r="Q31" i="6"/>
  <c r="AA88" i="4"/>
  <c r="F28" i="6"/>
  <c r="E29" i="6"/>
  <c r="AA29" i="4"/>
  <c r="I66" i="6"/>
  <c r="R48" i="6"/>
  <c r="G50" i="6"/>
  <c r="J40" i="61"/>
  <c r="I40" i="61" s="1"/>
  <c r="I28" i="10"/>
  <c r="E20" i="126"/>
  <c r="U31" i="126"/>
  <c r="J42" i="26"/>
  <c r="G13" i="126"/>
  <c r="F13" i="126"/>
  <c r="U40" i="126"/>
  <c r="B10" i="182"/>
  <c r="J10" i="182" s="1"/>
  <c r="CL10" i="182" s="1"/>
  <c r="J13" i="126"/>
  <c r="H8" i="126"/>
  <c r="E13" i="126"/>
  <c r="H8" i="62"/>
  <c r="H12" i="61"/>
  <c r="I56" i="70"/>
  <c r="D28" i="182"/>
  <c r="H8" i="26"/>
  <c r="F16" i="6"/>
  <c r="M48" i="25"/>
  <c r="AB50" i="5" s="1"/>
  <c r="G199" i="177"/>
  <c r="G198" i="177" s="1"/>
  <c r="F23" i="177"/>
  <c r="E34" i="181"/>
  <c r="M34" i="181" s="1"/>
  <c r="E44" i="177"/>
  <c r="F55" i="4"/>
  <c r="O9" i="2"/>
  <c r="D11" i="182"/>
  <c r="L11" i="182" s="1"/>
  <c r="CN11" i="182" s="1"/>
  <c r="F208" i="177"/>
  <c r="C12" i="181"/>
  <c r="K12" i="181" s="1"/>
  <c r="CU12" i="181" s="1"/>
  <c r="F75" i="177"/>
  <c r="D12" i="181" s="1"/>
  <c r="L12" i="181" s="1"/>
  <c r="CV12" i="181" s="1"/>
  <c r="F57" i="5"/>
  <c r="E34" i="177"/>
  <c r="E41" i="177"/>
  <c r="E45" i="181"/>
  <c r="M45" i="181" s="1"/>
  <c r="CW45" i="181" s="1"/>
  <c r="M106" i="177"/>
  <c r="H43" i="10"/>
  <c r="F52" i="6" s="1"/>
  <c r="G44" i="177"/>
  <c r="F44" i="177"/>
  <c r="G246" i="177"/>
  <c r="F280" i="177"/>
  <c r="E247" i="177"/>
  <c r="E246" i="177" s="1"/>
  <c r="F248" i="177"/>
  <c r="E230" i="177"/>
  <c r="F231" i="177"/>
  <c r="F77" i="177"/>
  <c r="C42" i="181"/>
  <c r="K42" i="181" s="1"/>
  <c r="CU42" i="181" s="1"/>
  <c r="F60" i="177"/>
  <c r="D42" i="181"/>
  <c r="L42" i="181" s="1"/>
  <c r="CV42" i="181" s="1"/>
  <c r="B16" i="182"/>
  <c r="J16" i="182" s="1"/>
  <c r="CL16" i="182" s="1"/>
  <c r="F46" i="177"/>
  <c r="E157" i="177"/>
  <c r="B15" i="182" s="1"/>
  <c r="F160" i="177"/>
  <c r="J46" i="9"/>
  <c r="Y54" i="5" s="1"/>
  <c r="I237" i="177"/>
  <c r="I236" i="177" s="1"/>
  <c r="G31" i="181" s="1"/>
  <c r="O31" i="181" s="1"/>
  <c r="CY31" i="181" s="1"/>
  <c r="E12" i="181"/>
  <c r="M12" i="181" s="1"/>
  <c r="CW12" i="181" s="1"/>
  <c r="F46" i="9"/>
  <c r="Y43" i="8" s="1"/>
  <c r="K91" i="177"/>
  <c r="J40" i="8"/>
  <c r="F16" i="182"/>
  <c r="N16" i="182" s="1"/>
  <c r="CP16" i="182" s="1"/>
  <c r="I44" i="9"/>
  <c r="AC41" i="8"/>
  <c r="T41" i="8" s="1"/>
  <c r="F35" i="177"/>
  <c r="I23" i="177"/>
  <c r="I32" i="177" s="1"/>
  <c r="H45" i="177"/>
  <c r="I43" i="10" s="1"/>
  <c r="M40" i="8"/>
  <c r="M54" i="4" s="1"/>
  <c r="V8" i="2" s="1"/>
  <c r="H40" i="8"/>
  <c r="L41" i="8"/>
  <c r="N87" i="4"/>
  <c r="AC38" i="8"/>
  <c r="T38" i="8" s="1"/>
  <c r="H59" i="10"/>
  <c r="AA60" i="8" s="1"/>
  <c r="Y53" i="6"/>
  <c r="L8" i="177"/>
  <c r="L4" i="177" s="1"/>
  <c r="L16" i="177" s="1"/>
  <c r="M46" i="8"/>
  <c r="F61" i="4"/>
  <c r="P61" i="4" s="1"/>
  <c r="E234" i="177"/>
  <c r="B12" i="182" s="1"/>
  <c r="AF46" i="8"/>
  <c r="M27" i="66"/>
  <c r="M44" i="66"/>
  <c r="M54" i="66"/>
  <c r="M53" i="26"/>
  <c r="S188" i="68"/>
  <c r="T188" i="68" s="1"/>
  <c r="AE45" i="64"/>
  <c r="AM147" i="68"/>
  <c r="T171" i="68"/>
  <c r="S178" i="68"/>
  <c r="T172" i="68"/>
  <c r="AK111" i="68"/>
  <c r="AM111" i="68" s="1"/>
  <c r="M43" i="65"/>
  <c r="AE44" i="64" s="1"/>
  <c r="AK128" i="68"/>
  <c r="AM128" i="68" s="1"/>
  <c r="M37" i="64"/>
  <c r="V40" i="64"/>
  <c r="T15" i="68"/>
  <c r="S14" i="68"/>
  <c r="S27" i="68" s="1"/>
  <c r="T27" i="68" s="1"/>
  <c r="T14" i="68"/>
  <c r="M22" i="26"/>
  <c r="M21" i="26" s="1"/>
  <c r="AE22" i="64"/>
  <c r="T5" i="68"/>
  <c r="AF10" i="24"/>
  <c r="X10" i="24" s="1"/>
  <c r="J20" i="126"/>
  <c r="M39" i="61"/>
  <c r="M36" i="61" s="1"/>
  <c r="AF52" i="56"/>
  <c r="X52" i="56" s="1"/>
  <c r="AF45" i="56"/>
  <c r="X45" i="56" s="1"/>
  <c r="M68" i="56"/>
  <c r="C27" i="181"/>
  <c r="C47" i="125"/>
  <c r="N24" i="125"/>
  <c r="O24" i="125"/>
  <c r="C34" i="181"/>
  <c r="K34" i="181" s="1"/>
  <c r="G27" i="181"/>
  <c r="M66" i="52"/>
  <c r="M78" i="52"/>
  <c r="M43" i="53"/>
  <c r="M8" i="53"/>
  <c r="M54" i="25"/>
  <c r="M65" i="5" s="1"/>
  <c r="M53" i="25"/>
  <c r="M52" i="25" s="1"/>
  <c r="M8" i="37"/>
  <c r="M63" i="33"/>
  <c r="AH63" i="32" s="1"/>
  <c r="M41" i="33"/>
  <c r="AH41" i="32" s="1"/>
  <c r="Z41" i="32" s="1"/>
  <c r="M18" i="25"/>
  <c r="AF18" i="24" s="1"/>
  <c r="M8" i="33"/>
  <c r="Y40" i="105"/>
  <c r="Y41" i="105"/>
  <c r="M56" i="29"/>
  <c r="M63" i="29" s="1"/>
  <c r="AG63" i="28" s="1"/>
  <c r="Y63" i="28" s="1"/>
  <c r="AG57" i="28"/>
  <c r="Y57" i="28" s="1"/>
  <c r="M63" i="28"/>
  <c r="M76" i="28" s="1"/>
  <c r="M27" i="26"/>
  <c r="K27" i="6" s="1"/>
  <c r="AE27" i="64"/>
  <c r="AB65" i="5"/>
  <c r="AG8" i="36"/>
  <c r="Y8" i="36" s="1"/>
  <c r="AH8" i="32"/>
  <c r="Z8" i="32" s="1"/>
  <c r="AM127" i="68"/>
  <c r="W40" i="14"/>
  <c r="K50" i="15"/>
  <c r="M45" i="14"/>
  <c r="N48" i="14"/>
  <c r="M46" i="7"/>
  <c r="M39" i="14"/>
  <c r="N39" i="14"/>
  <c r="K21" i="15"/>
  <c r="AF19" i="14" s="1"/>
  <c r="J9" i="127"/>
  <c r="AO24" i="125"/>
  <c r="AH24" i="125"/>
  <c r="R24" i="125"/>
  <c r="J8" i="125"/>
  <c r="J32" i="125" s="1"/>
  <c r="Z32" i="124"/>
  <c r="J19" i="123"/>
  <c r="Z21" i="107"/>
  <c r="J8" i="107"/>
  <c r="R11" i="107"/>
  <c r="J19" i="104"/>
  <c r="AP23" i="106"/>
  <c r="J12" i="106"/>
  <c r="J21" i="105"/>
  <c r="Z32" i="105"/>
  <c r="Z29" i="105"/>
  <c r="K82" i="177"/>
  <c r="K100" i="177"/>
  <c r="L55" i="10" s="1"/>
  <c r="S72" i="69"/>
  <c r="R71" i="69"/>
  <c r="F55" i="10"/>
  <c r="J89" i="69"/>
  <c r="I96" i="69"/>
  <c r="I100" i="69"/>
  <c r="I75" i="69"/>
  <c r="K4" i="69"/>
  <c r="E24" i="182" s="1"/>
  <c r="M24" i="182" s="1"/>
  <c r="CO24" i="182" s="1"/>
  <c r="F56" i="8"/>
  <c r="F69" i="4" s="1"/>
  <c r="O7" i="3" s="1"/>
  <c r="K71" i="69"/>
  <c r="S75" i="69"/>
  <c r="M98" i="69"/>
  <c r="P100" i="177"/>
  <c r="G69" i="177"/>
  <c r="H55" i="10" s="1"/>
  <c r="M72" i="69"/>
  <c r="O71" i="69"/>
  <c r="O89" i="69" s="1"/>
  <c r="K72" i="69"/>
  <c r="I97" i="69"/>
  <c r="G38" i="8"/>
  <c r="N38" i="8"/>
  <c r="I38" i="8"/>
  <c r="H52" i="4"/>
  <c r="H49" i="9"/>
  <c r="G49" i="9" s="1"/>
  <c r="G37" i="177"/>
  <c r="G34" i="177" s="1"/>
  <c r="F38" i="177"/>
  <c r="H53" i="8"/>
  <c r="H61" i="4" s="1"/>
  <c r="T78" i="8"/>
  <c r="Y61" i="4"/>
  <c r="F100" i="177"/>
  <c r="J61" i="9"/>
  <c r="J57" i="9" s="1"/>
  <c r="D23" i="182"/>
  <c r="L23" i="182" s="1"/>
  <c r="CN23" i="182" s="1"/>
  <c r="F15" i="177"/>
  <c r="AA87" i="4"/>
  <c r="R87" i="4"/>
  <c r="E80" i="6"/>
  <c r="P38" i="8"/>
  <c r="S15" i="2"/>
  <c r="I125" i="1"/>
  <c r="G224" i="177"/>
  <c r="G228" i="177"/>
  <c r="M56" i="8"/>
  <c r="N56" i="8" s="1"/>
  <c r="V47" i="8"/>
  <c r="W79" i="8"/>
  <c r="H44" i="8"/>
  <c r="T106" i="178"/>
  <c r="S110" i="178"/>
  <c r="T110" i="178" s="1"/>
  <c r="S90" i="178"/>
  <c r="O74" i="178"/>
  <c r="T74" i="178"/>
  <c r="N78" i="178"/>
  <c r="M74" i="178"/>
  <c r="M75" i="178"/>
  <c r="S78" i="178"/>
  <c r="L7" i="10"/>
  <c r="AE27" i="8"/>
  <c r="R53" i="178"/>
  <c r="Q53" i="178" s="1"/>
  <c r="W27" i="8"/>
  <c r="R28" i="178"/>
  <c r="Q28" i="178" s="1"/>
  <c r="L32" i="9"/>
  <c r="M28" i="9"/>
  <c r="AB31" i="5"/>
  <c r="M31" i="5"/>
  <c r="M72" i="10"/>
  <c r="AF73" i="8"/>
  <c r="W73" i="8" s="1"/>
  <c r="L288" i="177"/>
  <c r="L44" i="9"/>
  <c r="K210" i="177"/>
  <c r="M58" i="8"/>
  <c r="M61" i="9" s="1"/>
  <c r="L198" i="177"/>
  <c r="L119" i="177"/>
  <c r="M44" i="10" s="1"/>
  <c r="AD53" i="6" s="1"/>
  <c r="L118" i="177"/>
  <c r="L117" i="177" s="1"/>
  <c r="V89" i="4"/>
  <c r="O38" i="71"/>
  <c r="O29" i="71" s="1"/>
  <c r="P3" i="71"/>
  <c r="O3" i="71"/>
  <c r="O4" i="71"/>
  <c r="K89" i="69"/>
  <c r="K32" i="9"/>
  <c r="K7" i="3"/>
  <c r="K226" i="177"/>
  <c r="J226" i="177" s="1"/>
  <c r="K224" i="177"/>
  <c r="W30" i="8"/>
  <c r="S40" i="178"/>
  <c r="T40" i="178" s="1"/>
  <c r="T36" i="178"/>
  <c r="T23" i="178"/>
  <c r="M33" i="8"/>
  <c r="W33" i="8" s="1"/>
  <c r="S17" i="178"/>
  <c r="T17" i="178" s="1"/>
  <c r="AB59" i="181" s="1"/>
  <c r="M26" i="8"/>
  <c r="T6" i="178"/>
  <c r="S4" i="178"/>
  <c r="S15" i="178" s="1"/>
  <c r="K101" i="177"/>
  <c r="J101" i="177" s="1"/>
  <c r="H226" i="177"/>
  <c r="H224" i="177" s="1"/>
  <c r="H228" i="177" s="1"/>
  <c r="K56" i="70"/>
  <c r="M216" i="177"/>
  <c r="I97" i="70"/>
  <c r="K97" i="70"/>
  <c r="H216" i="177"/>
  <c r="H214" i="177"/>
  <c r="F216" i="177"/>
  <c r="H3" i="70"/>
  <c r="M226" i="177"/>
  <c r="M215" i="70"/>
  <c r="F214" i="177"/>
  <c r="M214" i="177"/>
  <c r="G218" i="177"/>
  <c r="F218" i="177" s="1"/>
  <c r="K4" i="70"/>
  <c r="E72" i="177"/>
  <c r="G110" i="177"/>
  <c r="F110" i="177" s="1"/>
  <c r="F112" i="177"/>
  <c r="M220" i="70"/>
  <c r="M219" i="70"/>
  <c r="L110" i="177"/>
  <c r="L114" i="177" s="1"/>
  <c r="M114" i="177" s="1"/>
  <c r="M112" i="177"/>
  <c r="F224" i="177"/>
  <c r="M56" i="70"/>
  <c r="M97" i="70"/>
  <c r="T4" i="178"/>
  <c r="D70" i="8"/>
  <c r="D75" i="8"/>
  <c r="E70" i="8"/>
  <c r="E75" i="8" s="1"/>
  <c r="E86" i="8" s="1"/>
  <c r="AF88" i="4"/>
  <c r="J81" i="6"/>
  <c r="AE88" i="4" s="1"/>
  <c r="AF41" i="8"/>
  <c r="AE41" i="8"/>
  <c r="V41" i="8" s="1"/>
  <c r="L247" i="177"/>
  <c r="L246" i="177" s="1"/>
  <c r="L254" i="177" s="1"/>
  <c r="O255" i="177" s="1"/>
  <c r="H70" i="177"/>
  <c r="H100" i="177"/>
  <c r="J55" i="8"/>
  <c r="J54" i="10"/>
  <c r="AC55" i="8" s="1"/>
  <c r="T55" i="8" s="1"/>
  <c r="L13" i="177"/>
  <c r="L12" i="177"/>
  <c r="M59" i="10"/>
  <c r="AF60" i="8" s="1"/>
  <c r="W60" i="8" s="1"/>
  <c r="M60" i="8"/>
  <c r="M49" i="9"/>
  <c r="M53" i="8"/>
  <c r="M61" i="4" s="1"/>
  <c r="L37" i="177"/>
  <c r="L34" i="177" s="1"/>
  <c r="L41" i="177" s="1"/>
  <c r="J53" i="8"/>
  <c r="G55" i="181" s="1"/>
  <c r="O55" i="181" s="1"/>
  <c r="CY55" i="181" s="1"/>
  <c r="J49" i="9"/>
  <c r="I34" i="177"/>
  <c r="I41" i="177" s="1"/>
  <c r="J56" i="8"/>
  <c r="I56" i="8" s="1"/>
  <c r="I68" i="177"/>
  <c r="I72" i="177" s="1"/>
  <c r="J55" i="10"/>
  <c r="AC56" i="8" s="1"/>
  <c r="I42" i="9"/>
  <c r="AC39" i="8"/>
  <c r="E82" i="6"/>
  <c r="G254" i="177"/>
  <c r="I99" i="177"/>
  <c r="I103" i="177" s="1"/>
  <c r="H56" i="8"/>
  <c r="G56" i="8" s="1"/>
  <c r="F69" i="177"/>
  <c r="G13" i="177"/>
  <c r="G12" i="177" s="1"/>
  <c r="H60" i="8"/>
  <c r="R60" i="8" s="1"/>
  <c r="H55" i="4"/>
  <c r="R41" i="8"/>
  <c r="R39" i="8"/>
  <c r="G39" i="8"/>
  <c r="H56" i="10"/>
  <c r="W54" i="5"/>
  <c r="H54" i="5"/>
  <c r="AA44" i="8"/>
  <c r="F53" i="6"/>
  <c r="R53" i="6" s="1"/>
  <c r="D52" i="6"/>
  <c r="E52" i="6" s="1"/>
  <c r="K55" i="6"/>
  <c r="AD55" i="6"/>
  <c r="F237" i="177"/>
  <c r="H43" i="8"/>
  <c r="G130" i="1"/>
  <c r="F130" i="1"/>
  <c r="W39" i="8"/>
  <c r="G53" i="8"/>
  <c r="F45" i="181"/>
  <c r="N45" i="181" s="1"/>
  <c r="CX45" i="181" s="1"/>
  <c r="F121" i="1"/>
  <c r="G234" i="177"/>
  <c r="D12" i="182"/>
  <c r="L12" i="182" s="1"/>
  <c r="CN12" i="182" s="1"/>
  <c r="F230" i="177"/>
  <c r="M12" i="182"/>
  <c r="CO12" i="182" s="1"/>
  <c r="R88" i="4"/>
  <c r="AA53" i="8"/>
  <c r="R53" i="8" s="1"/>
  <c r="H241" i="177"/>
  <c r="H240" i="177" s="1"/>
  <c r="AA38" i="8"/>
  <c r="R38" i="8"/>
  <c r="G41" i="9"/>
  <c r="I41" i="9"/>
  <c r="H57" i="4"/>
  <c r="Y39" i="8"/>
  <c r="P39" i="8"/>
  <c r="G42" i="9"/>
  <c r="H102" i="4"/>
  <c r="H103" i="4"/>
  <c r="R79" i="8"/>
  <c r="AF73" i="4"/>
  <c r="M73" i="4"/>
  <c r="W73" i="4"/>
  <c r="F53" i="4"/>
  <c r="O7" i="2" s="1"/>
  <c r="P79" i="8"/>
  <c r="AE39" i="8"/>
  <c r="V39" i="8" s="1"/>
  <c r="I41" i="8"/>
  <c r="N39" i="8"/>
  <c r="L218" i="177"/>
  <c r="L228" i="177"/>
  <c r="F242" i="177"/>
  <c r="G241" i="177"/>
  <c r="N65" i="8"/>
  <c r="K198" i="177"/>
  <c r="L58" i="8"/>
  <c r="K58" i="8" s="1"/>
  <c r="L61" i="9"/>
  <c r="M94" i="177"/>
  <c r="M88" i="177"/>
  <c r="M75" i="177"/>
  <c r="W38" i="8"/>
  <c r="L43" i="40"/>
  <c r="K12" i="24"/>
  <c r="M41" i="25"/>
  <c r="M43" i="45"/>
  <c r="M40" i="45" s="1"/>
  <c r="AG40" i="44" s="1"/>
  <c r="P43" i="28"/>
  <c r="K41" i="29"/>
  <c r="K41" i="37"/>
  <c r="AF41" i="36"/>
  <c r="X41" i="36" s="1"/>
  <c r="J31" i="104"/>
  <c r="M43" i="36"/>
  <c r="J40" i="104" s="1"/>
  <c r="P41" i="36"/>
  <c r="AF45" i="44"/>
  <c r="X45" i="44" s="1"/>
  <c r="AF41" i="56"/>
  <c r="X41" i="56" s="1"/>
  <c r="M47" i="52"/>
  <c r="J46" i="125" s="1"/>
  <c r="J43" i="105"/>
  <c r="M84" i="28"/>
  <c r="J31" i="105"/>
  <c r="M43" i="10"/>
  <c r="L44" i="177"/>
  <c r="K44" i="177"/>
  <c r="L43" i="10"/>
  <c r="L23" i="177"/>
  <c r="L32" i="177" s="1"/>
  <c r="M26" i="9"/>
  <c r="AF26" i="8" s="1"/>
  <c r="W26" i="8" s="1"/>
  <c r="S26" i="178"/>
  <c r="L33" i="10"/>
  <c r="J32" i="10"/>
  <c r="AC32" i="8" s="1"/>
  <c r="R106" i="178"/>
  <c r="S84" i="178"/>
  <c r="R84" i="178"/>
  <c r="Q84" i="178" s="1"/>
  <c r="AA58" i="4"/>
  <c r="AA73" i="4"/>
  <c r="H73" i="4"/>
  <c r="AF59" i="4"/>
  <c r="AC53" i="8"/>
  <c r="N60" i="8"/>
  <c r="F234" i="177"/>
  <c r="L71" i="4"/>
  <c r="K71" i="4" s="1"/>
  <c r="K52" i="6"/>
  <c r="J52" i="6"/>
  <c r="R73" i="4"/>
  <c r="V37" i="14"/>
  <c r="L57" i="177"/>
  <c r="N41" i="14"/>
  <c r="M36" i="14"/>
  <c r="Z36" i="127"/>
  <c r="Z33" i="127"/>
  <c r="AF51" i="56"/>
  <c r="X51" i="56"/>
  <c r="M55" i="57"/>
  <c r="Y36" i="127"/>
  <c r="Y33" i="127"/>
  <c r="Y30" i="127"/>
  <c r="J42" i="127"/>
  <c r="L38" i="5"/>
  <c r="I30" i="127"/>
  <c r="Y23" i="127"/>
  <c r="F52" i="15"/>
  <c r="AA50" i="14" s="1"/>
  <c r="R50" i="14" s="1"/>
  <c r="H45" i="14"/>
  <c r="R45" i="14" s="1"/>
  <c r="G50" i="14"/>
  <c r="G46" i="14"/>
  <c r="D48" i="15"/>
  <c r="I40" i="14"/>
  <c r="I37" i="14"/>
  <c r="I38" i="4" s="1"/>
  <c r="I37" i="4" s="1"/>
  <c r="M50" i="182" s="1"/>
  <c r="G37" i="14"/>
  <c r="H34" i="14"/>
  <c r="R34" i="14" s="1"/>
  <c r="G35" i="14"/>
  <c r="R35" i="14"/>
  <c r="J19" i="14"/>
  <c r="T21" i="14"/>
  <c r="R13" i="14"/>
  <c r="G13" i="14"/>
  <c r="J36" i="14"/>
  <c r="I36" i="14" s="1"/>
  <c r="I56" i="14"/>
  <c r="R56" i="14"/>
  <c r="T55" i="14"/>
  <c r="I55" i="14"/>
  <c r="Y50" i="14"/>
  <c r="P50" i="14" s="1"/>
  <c r="J52" i="15" s="1"/>
  <c r="I52" i="15" s="1"/>
  <c r="D50" i="15"/>
  <c r="Y48" i="14" s="1"/>
  <c r="P48" i="14" s="1"/>
  <c r="G48" i="14"/>
  <c r="L45" i="14"/>
  <c r="J45" i="14"/>
  <c r="H48" i="15"/>
  <c r="G48" i="15" s="1"/>
  <c r="P35" i="14"/>
  <c r="AA49" i="14"/>
  <c r="R49" i="14"/>
  <c r="G51" i="15"/>
  <c r="R25" i="14"/>
  <c r="G41" i="14"/>
  <c r="I41" i="14"/>
  <c r="I21" i="14"/>
  <c r="M53" i="14"/>
  <c r="N57" i="14"/>
  <c r="R38" i="14"/>
  <c r="I38" i="14"/>
  <c r="G38" i="14"/>
  <c r="G11" i="14"/>
  <c r="F6" i="14"/>
  <c r="AI53" i="181" s="1"/>
  <c r="I58" i="14"/>
  <c r="J53" i="14"/>
  <c r="T53" i="14" s="1"/>
  <c r="I54" i="14"/>
  <c r="W28" i="14"/>
  <c r="W22" i="14"/>
  <c r="M19" i="14"/>
  <c r="W19" i="14" s="1"/>
  <c r="I12" i="14"/>
  <c r="T12" i="14"/>
  <c r="R10" i="14"/>
  <c r="I10" i="14"/>
  <c r="G10" i="14"/>
  <c r="F34" i="14"/>
  <c r="P34" i="14"/>
  <c r="AF48" i="14"/>
  <c r="W48" i="14" s="1"/>
  <c r="F47" i="15"/>
  <c r="U57" i="5"/>
  <c r="O57" i="5" s="1"/>
  <c r="E49" i="15"/>
  <c r="AA48" i="14"/>
  <c r="M59" i="22"/>
  <c r="S43" i="22" s="1"/>
  <c r="J40" i="16"/>
  <c r="W54" i="14"/>
  <c r="V54" i="14"/>
  <c r="K59" i="20"/>
  <c r="L39" i="14"/>
  <c r="K39" i="14" s="1"/>
  <c r="L54" i="4"/>
  <c r="U8" i="2" s="1"/>
  <c r="AF47" i="14"/>
  <c r="W47" i="14"/>
  <c r="K48" i="7"/>
  <c r="L46" i="7"/>
  <c r="K47" i="15"/>
  <c r="K62" i="15" s="1"/>
  <c r="AF45" i="14"/>
  <c r="W45" i="14" s="1"/>
  <c r="AF46" i="14"/>
  <c r="W46" i="14" s="1"/>
  <c r="M83" i="7"/>
  <c r="M8" i="11"/>
  <c r="M74" i="11"/>
  <c r="M69" i="11"/>
  <c r="AE46" i="14"/>
  <c r="V46" i="14"/>
  <c r="L42" i="17"/>
  <c r="L40" i="17" s="1"/>
  <c r="K47" i="7"/>
  <c r="L52" i="4"/>
  <c r="U6" i="2" s="1"/>
  <c r="M32" i="5"/>
  <c r="AF34" i="14"/>
  <c r="W34" i="14"/>
  <c r="AB32" i="5"/>
  <c r="S32" i="5" s="1"/>
  <c r="N31" i="4"/>
  <c r="AE34" i="14"/>
  <c r="V34" i="14" s="1"/>
  <c r="L32" i="5"/>
  <c r="AE35" i="14"/>
  <c r="V35" i="14"/>
  <c r="M6" i="14"/>
  <c r="M173" i="70"/>
  <c r="Y41" i="124"/>
  <c r="Y38" i="124"/>
  <c r="Y32" i="124"/>
  <c r="Y29" i="124"/>
  <c r="J19" i="124"/>
  <c r="I8" i="124"/>
  <c r="I35" i="124"/>
  <c r="M63" i="48"/>
  <c r="AB64" i="5"/>
  <c r="M50" i="49"/>
  <c r="M63" i="49"/>
  <c r="K63" i="48"/>
  <c r="K78" i="48" s="1"/>
  <c r="I25" i="124"/>
  <c r="I26" i="124"/>
  <c r="Y22" i="123"/>
  <c r="Y34" i="123"/>
  <c r="Y31" i="123"/>
  <c r="Q22" i="123"/>
  <c r="M56" i="45"/>
  <c r="AG56" i="44" s="1"/>
  <c r="Y56" i="44" s="1"/>
  <c r="AF55" i="24"/>
  <c r="X55" i="24" s="1"/>
  <c r="Z45" i="123"/>
  <c r="Z46" i="123"/>
  <c r="AG18" i="44"/>
  <c r="Y18" i="44" s="1"/>
  <c r="AF14" i="44"/>
  <c r="X14" i="44" s="1"/>
  <c r="W14" i="24"/>
  <c r="L8" i="45"/>
  <c r="AF8" i="44" s="1"/>
  <c r="X8" i="44" s="1"/>
  <c r="L10" i="25"/>
  <c r="H60" i="14"/>
  <c r="G60" i="14" s="1"/>
  <c r="L60" i="14"/>
  <c r="Y46" i="14"/>
  <c r="P46" i="14"/>
  <c r="J37" i="16"/>
  <c r="AF31" i="4"/>
  <c r="W31" i="4"/>
  <c r="X40" i="124"/>
  <c r="AE10" i="24"/>
  <c r="L78" i="52"/>
  <c r="L8" i="53"/>
  <c r="G68" i="177"/>
  <c r="G72" i="177" s="1"/>
  <c r="F72" i="177" s="1"/>
  <c r="G82" i="177"/>
  <c r="G85" i="177" s="1"/>
  <c r="M85" i="177" s="1"/>
  <c r="F84" i="177"/>
  <c r="M70" i="177"/>
  <c r="F70" i="177"/>
  <c r="M224" i="177"/>
  <c r="H84" i="177"/>
  <c r="H82" i="177" s="1"/>
  <c r="H85" i="177" s="1"/>
  <c r="F68" i="177"/>
  <c r="F82" i="177"/>
  <c r="M82" i="177"/>
  <c r="J11" i="124"/>
  <c r="J8" i="124"/>
  <c r="Y32" i="125"/>
  <c r="K55" i="177"/>
  <c r="J55" i="177" s="1"/>
  <c r="N209" i="70"/>
  <c r="N210" i="70"/>
  <c r="L51" i="61"/>
  <c r="AG51" i="60" s="1"/>
  <c r="W51" i="60" s="1"/>
  <c r="L55" i="60"/>
  <c r="L68" i="60" s="1"/>
  <c r="I8" i="125"/>
  <c r="J13" i="125"/>
  <c r="I13" i="125"/>
  <c r="J18" i="107"/>
  <c r="AO21" i="107"/>
  <c r="AG21" i="107"/>
  <c r="Y21" i="107"/>
  <c r="I18" i="107"/>
  <c r="Y30" i="107"/>
  <c r="Y27" i="107"/>
  <c r="I11" i="107"/>
  <c r="I21" i="107" s="1"/>
  <c r="J30" i="107"/>
  <c r="Y38" i="107"/>
  <c r="Y39" i="107"/>
  <c r="L59" i="40"/>
  <c r="Y41" i="107" s="1"/>
  <c r="Y42" i="107" s="1"/>
  <c r="K59" i="40"/>
  <c r="X41" i="107" s="1"/>
  <c r="AA64" i="5"/>
  <c r="K52" i="40"/>
  <c r="X38" i="107" s="1"/>
  <c r="M59" i="41"/>
  <c r="AF46" i="40"/>
  <c r="X46" i="40"/>
  <c r="K49" i="41"/>
  <c r="J8" i="104"/>
  <c r="C11" i="104"/>
  <c r="C22" i="104" s="1"/>
  <c r="AG22" i="104"/>
  <c r="I58" i="104"/>
  <c r="J49" i="104"/>
  <c r="I49" i="104"/>
  <c r="R22" i="104"/>
  <c r="M59" i="36"/>
  <c r="M71" i="36" s="1"/>
  <c r="M50" i="5"/>
  <c r="K59" i="36"/>
  <c r="H60" i="104" s="1"/>
  <c r="L71" i="36"/>
  <c r="M59" i="37"/>
  <c r="M71" i="37" s="1"/>
  <c r="AF18" i="36"/>
  <c r="X18" i="36" s="1"/>
  <c r="L18" i="25"/>
  <c r="AE18" i="24" s="1"/>
  <c r="W18" i="24" s="1"/>
  <c r="Y23" i="106"/>
  <c r="R23" i="106"/>
  <c r="Y33" i="106"/>
  <c r="K56" i="32"/>
  <c r="X41" i="106" s="1"/>
  <c r="X42" i="106" s="1"/>
  <c r="L63" i="32"/>
  <c r="Y44" i="106" s="1"/>
  <c r="Y45" i="106" s="1"/>
  <c r="Y23" i="105"/>
  <c r="R23" i="105"/>
  <c r="Z35" i="105"/>
  <c r="Y35" i="105"/>
  <c r="Y32" i="105"/>
  <c r="X29" i="105"/>
  <c r="Z43" i="105"/>
  <c r="K52" i="29"/>
  <c r="Y43" i="105"/>
  <c r="L47" i="29"/>
  <c r="L63" i="29" s="1"/>
  <c r="M8" i="29"/>
  <c r="AG8" i="28" s="1"/>
  <c r="Y8" i="28" s="1"/>
  <c r="Y45" i="126"/>
  <c r="Y46" i="126" s="1"/>
  <c r="L72" i="40"/>
  <c r="L77" i="32"/>
  <c r="D48" i="6"/>
  <c r="E48" i="6" s="1"/>
  <c r="F48" i="26"/>
  <c r="W47" i="6" s="1"/>
  <c r="Q47" i="6" s="1"/>
  <c r="G48" i="26"/>
  <c r="M23" i="126"/>
  <c r="F47" i="25"/>
  <c r="Y48" i="24" s="1"/>
  <c r="U49" i="5"/>
  <c r="O49" i="5" s="1"/>
  <c r="U46" i="126"/>
  <c r="G49" i="26"/>
  <c r="F40" i="126"/>
  <c r="D13" i="126"/>
  <c r="F37" i="126"/>
  <c r="P23" i="126"/>
  <c r="L23" i="126"/>
  <c r="G39" i="62"/>
  <c r="F30" i="181"/>
  <c r="N30" i="181" s="1"/>
  <c r="E10" i="182"/>
  <c r="M10" i="182" s="1"/>
  <c r="CO10" i="182" s="1"/>
  <c r="F20" i="126"/>
  <c r="F23" i="126" s="1"/>
  <c r="Z41" i="60"/>
  <c r="Q41" i="60" s="1"/>
  <c r="F41" i="25"/>
  <c r="F45" i="62"/>
  <c r="F55" i="62" s="1"/>
  <c r="J49" i="26"/>
  <c r="K49" i="26" s="1"/>
  <c r="F42" i="26"/>
  <c r="G42" i="26" s="1"/>
  <c r="V40" i="126"/>
  <c r="J41" i="61"/>
  <c r="AE41" i="60" s="1"/>
  <c r="U41" i="60" s="1"/>
  <c r="F28" i="126"/>
  <c r="J48" i="25"/>
  <c r="J50" i="5" s="1"/>
  <c r="G40" i="126"/>
  <c r="C37" i="126"/>
  <c r="W31" i="126"/>
  <c r="AI47" i="60"/>
  <c r="Y47" i="60" s="1"/>
  <c r="H20" i="126"/>
  <c r="D20" i="126"/>
  <c r="D23" i="126"/>
  <c r="H37" i="126"/>
  <c r="M42" i="26"/>
  <c r="M39" i="62"/>
  <c r="M36" i="62" s="1"/>
  <c r="AI41" i="60"/>
  <c r="Y41" i="60" s="1"/>
  <c r="J49" i="25"/>
  <c r="AC50" i="24" s="1"/>
  <c r="M48" i="26"/>
  <c r="K47" i="6" s="1"/>
  <c r="AI46" i="60"/>
  <c r="Y46" i="60" s="1"/>
  <c r="X28" i="126"/>
  <c r="J46" i="61"/>
  <c r="AE46" i="60" s="1"/>
  <c r="U46" i="60" s="1"/>
  <c r="J45" i="62"/>
  <c r="J55" i="62"/>
  <c r="M41" i="26"/>
  <c r="J39" i="62"/>
  <c r="J36" i="62" s="1"/>
  <c r="J40" i="26"/>
  <c r="I40" i="26" s="1"/>
  <c r="J48" i="26"/>
  <c r="H47" i="6" s="1"/>
  <c r="V28" i="126"/>
  <c r="I28" i="126"/>
  <c r="W34" i="126"/>
  <c r="J50" i="26"/>
  <c r="I50" i="26" s="1"/>
  <c r="X40" i="126"/>
  <c r="E31" i="126"/>
  <c r="E40" i="126"/>
  <c r="AI48" i="60"/>
  <c r="Y48" i="60" s="1"/>
  <c r="Y16" i="6"/>
  <c r="R16" i="6" s="1"/>
  <c r="L12" i="26"/>
  <c r="AA21" i="6"/>
  <c r="S21" i="6" s="1"/>
  <c r="I41" i="26"/>
  <c r="F12" i="26"/>
  <c r="F8" i="26" s="1"/>
  <c r="AA22" i="6"/>
  <c r="S22" i="6" s="1"/>
  <c r="I42" i="26"/>
  <c r="G20" i="126"/>
  <c r="G23" i="126" s="1"/>
  <c r="F40" i="61"/>
  <c r="F39" i="61" s="1"/>
  <c r="F36" i="61" s="1"/>
  <c r="F41" i="26"/>
  <c r="G41" i="26" s="1"/>
  <c r="F39" i="62"/>
  <c r="F40" i="26" s="1"/>
  <c r="J8" i="62"/>
  <c r="AE12" i="60"/>
  <c r="U12" i="60" s="1"/>
  <c r="J12" i="26"/>
  <c r="AA11" i="6" s="1"/>
  <c r="S11" i="6" s="1"/>
  <c r="M12" i="26"/>
  <c r="E23" i="126"/>
  <c r="K47" i="61"/>
  <c r="AE47" i="60"/>
  <c r="U47" i="60" s="1"/>
  <c r="M8" i="62"/>
  <c r="Y31" i="126"/>
  <c r="AF32" i="24"/>
  <c r="X32" i="24" s="1"/>
  <c r="Y28" i="60"/>
  <c r="L15" i="2"/>
  <c r="M37" i="4"/>
  <c r="K10" i="64"/>
  <c r="S10" i="64" s="1"/>
  <c r="L10" i="24"/>
  <c r="K10" i="24" s="1"/>
  <c r="T10" i="64"/>
  <c r="AF22" i="24"/>
  <c r="V22" i="64"/>
  <c r="M22" i="24"/>
  <c r="M21" i="24" s="1"/>
  <c r="AK138" i="68"/>
  <c r="AM138" i="68" s="1"/>
  <c r="V13" i="64"/>
  <c r="L13" i="24"/>
  <c r="W13" i="24" s="1"/>
  <c r="L8" i="64"/>
  <c r="K13" i="64"/>
  <c r="AE10" i="64"/>
  <c r="V10" i="64" s="1"/>
  <c r="Q60" i="68"/>
  <c r="K36" i="65"/>
  <c r="T43" i="68"/>
  <c r="S50" i="68"/>
  <c r="T50" i="68" s="1"/>
  <c r="AE20" i="64"/>
  <c r="V20" i="64"/>
  <c r="AC50" i="64"/>
  <c r="L54" i="66"/>
  <c r="AN17" i="184" s="1"/>
  <c r="T46" i="64"/>
  <c r="L49" i="24"/>
  <c r="L44" i="64"/>
  <c r="K46" i="64"/>
  <c r="S46" i="64" s="1"/>
  <c r="M48" i="24"/>
  <c r="V45" i="64"/>
  <c r="L20" i="64"/>
  <c r="T20" i="64" s="1"/>
  <c r="I21" i="125"/>
  <c r="I24" i="125" s="1"/>
  <c r="Y24" i="125"/>
  <c r="J21" i="125"/>
  <c r="J24" i="125" s="1"/>
  <c r="Z32" i="125"/>
  <c r="Q24" i="125"/>
  <c r="D47" i="6"/>
  <c r="G12" i="26"/>
  <c r="G40" i="26"/>
  <c r="K8" i="15"/>
  <c r="R46" i="18"/>
  <c r="R86" i="178"/>
  <c r="L8" i="8"/>
  <c r="S71" i="69"/>
  <c r="R89" i="69"/>
  <c r="Y44" i="105"/>
  <c r="Z44" i="105"/>
  <c r="I40" i="8"/>
  <c r="J26" i="6"/>
  <c r="I19" i="52"/>
  <c r="K19" i="52"/>
  <c r="AC56" i="32"/>
  <c r="U56" i="32"/>
  <c r="I56" i="33"/>
  <c r="G56" i="33"/>
  <c r="F71" i="4"/>
  <c r="F61" i="9"/>
  <c r="G40" i="61"/>
  <c r="Y65" i="6"/>
  <c r="M8" i="26"/>
  <c r="Q9" i="2"/>
  <c r="P9" i="2" s="1"/>
  <c r="J88" i="48"/>
  <c r="G37" i="124"/>
  <c r="G38" i="124" s="1"/>
  <c r="I47" i="48"/>
  <c r="AF78" i="4"/>
  <c r="W78" i="4" s="1"/>
  <c r="F8" i="182"/>
  <c r="O188" i="68"/>
  <c r="E8" i="182" s="1"/>
  <c r="Q188" i="68"/>
  <c r="N8" i="184"/>
  <c r="AD42" i="28"/>
  <c r="V42" i="28"/>
  <c r="J30" i="6"/>
  <c r="T30" i="6" s="1"/>
  <c r="AE33" i="24"/>
  <c r="W33" i="24" s="1"/>
  <c r="K33" i="26"/>
  <c r="T64" i="178"/>
  <c r="M68" i="60"/>
  <c r="Z45" i="126"/>
  <c r="N9" i="182"/>
  <c r="H78" i="60"/>
  <c r="E45" i="126"/>
  <c r="G42" i="60"/>
  <c r="AK158" i="68"/>
  <c r="M7" i="11"/>
  <c r="M33" i="11" s="1"/>
  <c r="M8" i="7"/>
  <c r="M7" i="7" s="1"/>
  <c r="H222" i="70"/>
  <c r="H196" i="70"/>
  <c r="E101" i="177"/>
  <c r="J68" i="44"/>
  <c r="J85" i="44"/>
  <c r="G39" i="123"/>
  <c r="G40" i="123" s="1"/>
  <c r="H15" i="177"/>
  <c r="H14" i="177" s="1"/>
  <c r="F23" i="182"/>
  <c r="N23" i="182" s="1"/>
  <c r="CP23" i="182" s="1"/>
  <c r="G53" i="14"/>
  <c r="R53" i="14"/>
  <c r="I53" i="14"/>
  <c r="N41" i="36"/>
  <c r="G59" i="36"/>
  <c r="D60" i="104" s="1"/>
  <c r="R59" i="36"/>
  <c r="C60" i="104"/>
  <c r="C61" i="104"/>
  <c r="K19" i="48"/>
  <c r="I19" i="48"/>
  <c r="U19" i="24"/>
  <c r="N123" i="68"/>
  <c r="O123" i="68" s="1"/>
  <c r="N18" i="181" s="1"/>
  <c r="AS18" i="181"/>
  <c r="M116" i="68"/>
  <c r="AR18" i="181" s="1"/>
  <c r="T116" i="68"/>
  <c r="I49" i="65"/>
  <c r="AE8" i="56"/>
  <c r="W8" i="56" s="1"/>
  <c r="K8" i="57"/>
  <c r="Y42" i="24"/>
  <c r="Q42" i="24" s="1"/>
  <c r="Z44" i="106"/>
  <c r="K57" i="177"/>
  <c r="J57" i="177" s="1"/>
  <c r="AC46" i="14"/>
  <c r="T46" i="14" s="1"/>
  <c r="AA57" i="4"/>
  <c r="R57" i="4" s="1"/>
  <c r="P54" i="5"/>
  <c r="L203" i="70"/>
  <c r="B27" i="182"/>
  <c r="J27" i="182" s="1"/>
  <c r="CL27" i="182" s="1"/>
  <c r="R44" i="8"/>
  <c r="H58" i="4"/>
  <c r="AD27" i="6"/>
  <c r="Q8" i="2"/>
  <c r="T18" i="184"/>
  <c r="G33" i="11"/>
  <c r="S47" i="48"/>
  <c r="AB13" i="184"/>
  <c r="H38" i="5"/>
  <c r="U22" i="24"/>
  <c r="I44" i="64"/>
  <c r="J47" i="53"/>
  <c r="I8" i="53"/>
  <c r="V27" i="8"/>
  <c r="R19" i="64"/>
  <c r="I19" i="64"/>
  <c r="K19" i="64"/>
  <c r="G36" i="41"/>
  <c r="H43" i="41"/>
  <c r="AB36" i="40"/>
  <c r="T36" i="40" s="1"/>
  <c r="E37" i="124"/>
  <c r="E38" i="124" s="1"/>
  <c r="H88" i="48"/>
  <c r="Q47" i="48"/>
  <c r="D10" i="25"/>
  <c r="D8" i="64"/>
  <c r="D41" i="64" s="1"/>
  <c r="D10" i="24"/>
  <c r="D10" i="26"/>
  <c r="D10" i="27"/>
  <c r="AC19" i="32"/>
  <c r="U19" i="32" s="1"/>
  <c r="K47" i="71"/>
  <c r="J102" i="71"/>
  <c r="E11" i="177" s="1"/>
  <c r="Q37" i="68"/>
  <c r="R217" i="68"/>
  <c r="P22" i="64"/>
  <c r="G22" i="64"/>
  <c r="H22" i="24"/>
  <c r="I22" i="24" s="1"/>
  <c r="H20" i="64"/>
  <c r="L38" i="26"/>
  <c r="AC38" i="64"/>
  <c r="T38" i="64" s="1"/>
  <c r="L37" i="66"/>
  <c r="V28" i="64"/>
  <c r="M28" i="24"/>
  <c r="G22" i="123"/>
  <c r="G57" i="177"/>
  <c r="I39" i="14"/>
  <c r="H36" i="14"/>
  <c r="F88" i="4"/>
  <c r="G88" i="4" s="1"/>
  <c r="H85" i="44"/>
  <c r="H68" i="44"/>
  <c r="E39" i="123"/>
  <c r="E40" i="123" s="1"/>
  <c r="G47" i="44"/>
  <c r="W8" i="64"/>
  <c r="N8" i="64"/>
  <c r="G8" i="65"/>
  <c r="F40" i="65"/>
  <c r="I39" i="18"/>
  <c r="J46" i="18"/>
  <c r="I46" i="18" s="1"/>
  <c r="K39" i="18"/>
  <c r="R7" i="184"/>
  <c r="N43" i="17"/>
  <c r="J12" i="184"/>
  <c r="AC47" i="32"/>
  <c r="U47" i="32" s="1"/>
  <c r="I47" i="33"/>
  <c r="G47" i="33"/>
  <c r="H63" i="33"/>
  <c r="F62" i="15"/>
  <c r="AA45" i="14"/>
  <c r="G240" i="177"/>
  <c r="F240" i="177" s="1"/>
  <c r="F241" i="177"/>
  <c r="H12" i="25"/>
  <c r="J36" i="37"/>
  <c r="I39" i="37"/>
  <c r="AD39" i="36"/>
  <c r="V39" i="36" s="1"/>
  <c r="AG50" i="44"/>
  <c r="Y50" i="44" s="1"/>
  <c r="AA19" i="56"/>
  <c r="S19" i="56" s="1"/>
  <c r="H42" i="57"/>
  <c r="G42" i="57" s="1"/>
  <c r="C15" i="184" s="1"/>
  <c r="AC54" i="64"/>
  <c r="I14" i="25"/>
  <c r="AA14" i="24"/>
  <c r="AD9" i="184"/>
  <c r="AE63" i="32"/>
  <c r="L13" i="184"/>
  <c r="AE11" i="24"/>
  <c r="W11" i="24" s="1"/>
  <c r="W46" i="8"/>
  <c r="M59" i="4"/>
  <c r="U54" i="5"/>
  <c r="G8" i="26"/>
  <c r="D16" i="6"/>
  <c r="E16" i="6" s="1"/>
  <c r="G55" i="4"/>
  <c r="AA57" i="5"/>
  <c r="J18" i="14"/>
  <c r="I19" i="14"/>
  <c r="N73" i="4"/>
  <c r="J66" i="5"/>
  <c r="AC71" i="4" s="1"/>
  <c r="T71" i="4" s="1"/>
  <c r="AF53" i="8"/>
  <c r="R64" i="178"/>
  <c r="AE51" i="24"/>
  <c r="W51" i="24" s="1"/>
  <c r="AC19" i="14"/>
  <c r="T19" i="14" s="1"/>
  <c r="H20" i="15"/>
  <c r="AK40" i="24"/>
  <c r="I40" i="104"/>
  <c r="L79" i="36"/>
  <c r="L64" i="36"/>
  <c r="K43" i="36"/>
  <c r="Z12" i="184"/>
  <c r="Z63" i="44"/>
  <c r="R63" i="44" s="1"/>
  <c r="L39" i="5"/>
  <c r="S7" i="184"/>
  <c r="O43" i="17"/>
  <c r="J18" i="184"/>
  <c r="G27" i="5"/>
  <c r="P27" i="5"/>
  <c r="I40" i="53"/>
  <c r="P54" i="65"/>
  <c r="W54" i="64"/>
  <c r="Z17" i="184"/>
  <c r="V27" i="64"/>
  <c r="Y38" i="24"/>
  <c r="U37" i="5"/>
  <c r="F39" i="5"/>
  <c r="U38" i="5"/>
  <c r="O38" i="5" s="1"/>
  <c r="J19" i="33"/>
  <c r="AE20" i="32"/>
  <c r="W20" i="32" s="1"/>
  <c r="F59" i="41"/>
  <c r="Z46" i="40"/>
  <c r="R46" i="40"/>
  <c r="W50" i="64"/>
  <c r="G49" i="65"/>
  <c r="W52" i="6"/>
  <c r="AB41" i="28"/>
  <c r="T41" i="28" s="1"/>
  <c r="I41" i="29"/>
  <c r="N29" i="24"/>
  <c r="T163" i="68"/>
  <c r="O163" i="68"/>
  <c r="F19" i="181" s="1"/>
  <c r="E19" i="181"/>
  <c r="N217" i="68"/>
  <c r="I19" i="61"/>
  <c r="AF59" i="40"/>
  <c r="X59" i="40" s="1"/>
  <c r="H59" i="41"/>
  <c r="AB46" i="40"/>
  <c r="T46" i="40" s="1"/>
  <c r="G46" i="41"/>
  <c r="U41" i="107"/>
  <c r="U42" i="107" s="1"/>
  <c r="G59" i="40"/>
  <c r="T41" i="107" s="1"/>
  <c r="J65" i="53"/>
  <c r="I50" i="53"/>
  <c r="AD52" i="40"/>
  <c r="V52" i="40"/>
  <c r="I52" i="41"/>
  <c r="AC33" i="24"/>
  <c r="U33" i="24" s="1"/>
  <c r="I33" i="26"/>
  <c r="H30" i="6"/>
  <c r="I30" i="6" s="1"/>
  <c r="AA30" i="6"/>
  <c r="S30" i="6" s="1"/>
  <c r="AA28" i="6"/>
  <c r="K43" i="22"/>
  <c r="R43" i="22"/>
  <c r="J42" i="62"/>
  <c r="N16" i="184" s="1"/>
  <c r="M79" i="7"/>
  <c r="M78" i="7"/>
  <c r="M87" i="7" s="1"/>
  <c r="N45" i="14"/>
  <c r="AD52" i="6"/>
  <c r="U52" i="6" s="1"/>
  <c r="M42" i="10"/>
  <c r="AE58" i="8"/>
  <c r="V58" i="8" s="1"/>
  <c r="AA67" i="5"/>
  <c r="K53" i="6"/>
  <c r="L52" i="5"/>
  <c r="F228" i="177"/>
  <c r="E32" i="181"/>
  <c r="CH32" i="181" s="1"/>
  <c r="CH28" i="181" s="1"/>
  <c r="Z49" i="125"/>
  <c r="Z50" i="125" s="1"/>
  <c r="I42" i="60"/>
  <c r="F45" i="126" s="1"/>
  <c r="F46" i="126" s="1"/>
  <c r="J78" i="56"/>
  <c r="L27" i="26"/>
  <c r="AC27" i="64"/>
  <c r="T27" i="64"/>
  <c r="R16" i="64"/>
  <c r="K16" i="64"/>
  <c r="S16" i="64" s="1"/>
  <c r="J8" i="64"/>
  <c r="G19" i="47"/>
  <c r="F45" i="47"/>
  <c r="E50" i="15"/>
  <c r="K25" i="9"/>
  <c r="AE25" i="8"/>
  <c r="V25" i="8" s="1"/>
  <c r="H59" i="26"/>
  <c r="M66" i="178"/>
  <c r="L78" i="178"/>
  <c r="M78" i="178" s="1"/>
  <c r="M19" i="33"/>
  <c r="AH19" i="32" s="1"/>
  <c r="Z19" i="32" s="1"/>
  <c r="AH20" i="32"/>
  <c r="Z20" i="32" s="1"/>
  <c r="AA56" i="32"/>
  <c r="S56" i="32" s="1"/>
  <c r="F63" i="33"/>
  <c r="Y73" i="8"/>
  <c r="P73" i="8" s="1"/>
  <c r="W81" i="6"/>
  <c r="Q81" i="6" s="1"/>
  <c r="G72" i="10"/>
  <c r="D81" i="6"/>
  <c r="Z36" i="40"/>
  <c r="R36" i="40" s="1"/>
  <c r="F43" i="41"/>
  <c r="AC33" i="8"/>
  <c r="Y45" i="127"/>
  <c r="I23" i="127"/>
  <c r="K44" i="66"/>
  <c r="AB44" i="64" s="1"/>
  <c r="S44" i="64" s="1"/>
  <c r="AC44" i="64"/>
  <c r="T44" i="64" s="1"/>
  <c r="K43" i="20"/>
  <c r="Q66" i="6"/>
  <c r="AP18" i="184"/>
  <c r="F75" i="11"/>
  <c r="F81" i="11"/>
  <c r="G41" i="8"/>
  <c r="P9" i="182"/>
  <c r="Q204" i="68"/>
  <c r="AF76" i="4"/>
  <c r="W76" i="4" s="1"/>
  <c r="O37" i="5"/>
  <c r="Q50" i="6"/>
  <c r="E50" i="6"/>
  <c r="C13" i="181"/>
  <c r="K13" i="181" s="1"/>
  <c r="F88" i="177"/>
  <c r="D13" i="181" s="1"/>
  <c r="CG13" i="181" s="1"/>
  <c r="CG8" i="181" s="1"/>
  <c r="G59" i="14"/>
  <c r="I59" i="14"/>
  <c r="I48" i="14"/>
  <c r="R48" i="14"/>
  <c r="T13" i="14"/>
  <c r="I13" i="14"/>
  <c r="J6" i="14"/>
  <c r="G7" i="14"/>
  <c r="I7" i="14"/>
  <c r="R7" i="14"/>
  <c r="H6" i="14"/>
  <c r="K44" i="64"/>
  <c r="AG59" i="36"/>
  <c r="Y59" i="36" s="1"/>
  <c r="AG59" i="40"/>
  <c r="F49" i="5"/>
  <c r="M20" i="24"/>
  <c r="M26" i="4" s="1"/>
  <c r="M49" i="26"/>
  <c r="M45" i="62"/>
  <c r="M55" i="62" s="1"/>
  <c r="M64" i="36"/>
  <c r="M78" i="48"/>
  <c r="Z40" i="124"/>
  <c r="Z41" i="124" s="1"/>
  <c r="M60" i="14"/>
  <c r="W53" i="14"/>
  <c r="N53" i="14"/>
  <c r="E48" i="15"/>
  <c r="E52" i="15"/>
  <c r="AE43" i="8"/>
  <c r="L82" i="40"/>
  <c r="J43" i="8"/>
  <c r="J57" i="4" s="1"/>
  <c r="I57" i="4" s="1"/>
  <c r="AF44" i="8"/>
  <c r="M32" i="8"/>
  <c r="F68" i="6"/>
  <c r="Y68" i="6"/>
  <c r="AE40" i="60"/>
  <c r="U40" i="60" s="1"/>
  <c r="J39" i="61"/>
  <c r="J36" i="61" s="1"/>
  <c r="J78" i="60"/>
  <c r="F43" i="7"/>
  <c r="AJ138" i="68"/>
  <c r="AI138" i="68" s="1"/>
  <c r="AI127" i="68"/>
  <c r="G27" i="6"/>
  <c r="I7" i="10"/>
  <c r="AB27" i="8"/>
  <c r="AM112" i="68"/>
  <c r="H38" i="4"/>
  <c r="N38" i="24"/>
  <c r="H42" i="17"/>
  <c r="H40" i="17" s="1"/>
  <c r="AR7" i="184"/>
  <c r="D45" i="27"/>
  <c r="D49" i="26"/>
  <c r="D47" i="26" s="1"/>
  <c r="D59" i="26" s="1"/>
  <c r="D48" i="25"/>
  <c r="D46" i="25" s="1"/>
  <c r="D44" i="64"/>
  <c r="D54" i="64" s="1"/>
  <c r="D49" i="24"/>
  <c r="D47" i="24"/>
  <c r="D59" i="24" s="1"/>
  <c r="I19" i="47"/>
  <c r="J45" i="47"/>
  <c r="I45" i="47"/>
  <c r="J68" i="60"/>
  <c r="I55" i="60"/>
  <c r="V45" i="126" s="1"/>
  <c r="V46" i="126" s="1"/>
  <c r="K55" i="60"/>
  <c r="L19" i="33"/>
  <c r="AG19" i="32" s="1"/>
  <c r="Y19" i="32" s="1"/>
  <c r="AG20" i="32"/>
  <c r="Y20" i="32" s="1"/>
  <c r="H43" i="20"/>
  <c r="I43" i="20" s="1"/>
  <c r="G36" i="20"/>
  <c r="E38" i="107"/>
  <c r="G43" i="40"/>
  <c r="H82" i="40"/>
  <c r="H64" i="40"/>
  <c r="G63" i="45"/>
  <c r="AA12" i="184" s="1"/>
  <c r="K17" i="9"/>
  <c r="AE17" i="8"/>
  <c r="V17" i="8" s="1"/>
  <c r="G33" i="64"/>
  <c r="I33" i="64"/>
  <c r="P28" i="64"/>
  <c r="H27" i="64"/>
  <c r="H28" i="24"/>
  <c r="AD8" i="40"/>
  <c r="V8" i="40" s="1"/>
  <c r="J28" i="6"/>
  <c r="I29" i="6"/>
  <c r="Q29" i="6"/>
  <c r="D28" i="6"/>
  <c r="Y28" i="4" s="1"/>
  <c r="Y29" i="4"/>
  <c r="G18" i="181"/>
  <c r="O133" i="68"/>
  <c r="F18" i="181"/>
  <c r="K45" i="64"/>
  <c r="I45" i="64"/>
  <c r="R45" i="64"/>
  <c r="J48" i="24"/>
  <c r="E23" i="127"/>
  <c r="E26" i="181"/>
  <c r="G57" i="53"/>
  <c r="H65" i="53"/>
  <c r="P47" i="53" s="1"/>
  <c r="Q133" i="68"/>
  <c r="L45" i="47"/>
  <c r="K45" i="47" s="1"/>
  <c r="K19" i="47"/>
  <c r="H47" i="53"/>
  <c r="AD47" i="28"/>
  <c r="V47" i="28" s="1"/>
  <c r="J63" i="29"/>
  <c r="I63" i="29" s="1"/>
  <c r="AC8" i="184" s="1"/>
  <c r="I47" i="29"/>
  <c r="C44" i="106"/>
  <c r="C45" i="106" s="1"/>
  <c r="G44" i="32"/>
  <c r="Z15" i="184"/>
  <c r="O42" i="57"/>
  <c r="Y79" i="4"/>
  <c r="P79" i="4" s="1"/>
  <c r="G31" i="5"/>
  <c r="H29" i="5"/>
  <c r="AC23" i="8"/>
  <c r="T23" i="8" s="1"/>
  <c r="I23" i="9"/>
  <c r="K23" i="9"/>
  <c r="J63" i="11"/>
  <c r="AC66" i="8"/>
  <c r="T66" i="8" s="1"/>
  <c r="I36" i="11"/>
  <c r="M28" i="25"/>
  <c r="AF29" i="24"/>
  <c r="G18" i="26"/>
  <c r="AA18" i="24"/>
  <c r="J43" i="15"/>
  <c r="E51" i="181"/>
  <c r="M51" i="181" s="1"/>
  <c r="CW51" i="181" s="1"/>
  <c r="G114" i="177"/>
  <c r="M57" i="8"/>
  <c r="G56" i="49"/>
  <c r="Q178" i="68"/>
  <c r="Q18" i="181"/>
  <c r="Q123" i="68"/>
  <c r="CZ18" i="181"/>
  <c r="K60" i="16"/>
  <c r="AF52" i="14"/>
  <c r="W52" i="14" s="1"/>
  <c r="AA27" i="6"/>
  <c r="J8" i="184"/>
  <c r="D22" i="26"/>
  <c r="D20" i="26" s="1"/>
  <c r="D22" i="24"/>
  <c r="D21" i="25"/>
  <c r="D19" i="25" s="1"/>
  <c r="G63" i="32"/>
  <c r="O18" i="181"/>
  <c r="AA78" i="4"/>
  <c r="R78" i="4" s="1"/>
  <c r="AA65" i="8"/>
  <c r="R65" i="8" s="1"/>
  <c r="D41" i="66"/>
  <c r="T46" i="178"/>
  <c r="M46" i="178"/>
  <c r="W37" i="64"/>
  <c r="K49" i="65"/>
  <c r="I78" i="52"/>
  <c r="V49" i="125"/>
  <c r="H28" i="4"/>
  <c r="L47" i="182" s="1"/>
  <c r="G37" i="2"/>
  <c r="AD35" i="6"/>
  <c r="K35" i="6"/>
  <c r="M32" i="10"/>
  <c r="AF32" i="8"/>
  <c r="F29" i="8"/>
  <c r="M12" i="178"/>
  <c r="F26" i="9"/>
  <c r="H32" i="10"/>
  <c r="H34" i="10" s="1"/>
  <c r="AA33" i="8"/>
  <c r="Y35" i="6"/>
  <c r="R35" i="6"/>
  <c r="Y54" i="24"/>
  <c r="Q54" i="24" s="1"/>
  <c r="J9" i="182"/>
  <c r="J53" i="65"/>
  <c r="I43" i="65"/>
  <c r="AA44" i="64"/>
  <c r="R44" i="64" s="1"/>
  <c r="F89" i="7"/>
  <c r="F26" i="181"/>
  <c r="N26" i="181" s="1"/>
  <c r="F23" i="127"/>
  <c r="K56" i="53"/>
  <c r="Y21" i="24"/>
  <c r="Q21" i="24" s="1"/>
  <c r="Q20" i="24"/>
  <c r="Z38" i="28"/>
  <c r="C39" i="123"/>
  <c r="C40" i="123"/>
  <c r="AL7" i="182"/>
  <c r="O14" i="68"/>
  <c r="AK7" i="182"/>
  <c r="Q14" i="68"/>
  <c r="L63" i="45"/>
  <c r="AF12" i="184" s="1"/>
  <c r="AF46" i="36"/>
  <c r="X46" i="36" s="1"/>
  <c r="L59" i="37"/>
  <c r="K46" i="37"/>
  <c r="G53" i="65"/>
  <c r="AA17" i="184" s="1"/>
  <c r="Q54" i="65"/>
  <c r="U45" i="127"/>
  <c r="G8" i="66"/>
  <c r="W41" i="107"/>
  <c r="W42" i="107"/>
  <c r="J72" i="40"/>
  <c r="I59" i="40"/>
  <c r="V41" i="107" s="1"/>
  <c r="G23" i="106"/>
  <c r="I36" i="159"/>
  <c r="G36" i="159"/>
  <c r="H42" i="159"/>
  <c r="F21" i="1"/>
  <c r="Q91" i="5"/>
  <c r="AC93" i="4"/>
  <c r="T93" i="4" s="1"/>
  <c r="I91" i="5"/>
  <c r="Y27" i="4"/>
  <c r="G27" i="7"/>
  <c r="G24" i="7"/>
  <c r="Y24" i="4"/>
  <c r="P24" i="4" s="1"/>
  <c r="Y11" i="8"/>
  <c r="P11" i="8" s="1"/>
  <c r="L11" i="9" s="1"/>
  <c r="G11" i="9"/>
  <c r="G50" i="49"/>
  <c r="O15" i="181"/>
  <c r="CY15" i="181" s="1"/>
  <c r="O50" i="68"/>
  <c r="N15" i="181"/>
  <c r="K36" i="56"/>
  <c r="I27" i="8"/>
  <c r="F101" i="4"/>
  <c r="F103" i="4" s="1"/>
  <c r="S45" i="106"/>
  <c r="H38" i="26"/>
  <c r="H37" i="66"/>
  <c r="Y37" i="64"/>
  <c r="P37" i="64"/>
  <c r="M10" i="184"/>
  <c r="AG41" i="36"/>
  <c r="Y41" i="36" s="1"/>
  <c r="H79" i="7"/>
  <c r="H78" i="7"/>
  <c r="H87" i="7" s="1"/>
  <c r="G55" i="57"/>
  <c r="AA15" i="184" s="1"/>
  <c r="AB15" i="184"/>
  <c r="G68" i="5"/>
  <c r="P68" i="5"/>
  <c r="D40" i="65"/>
  <c r="J44" i="29"/>
  <c r="F8" i="184" s="1"/>
  <c r="I56" i="29"/>
  <c r="AD56" i="28"/>
  <c r="V56" i="28" s="1"/>
  <c r="D10" i="184"/>
  <c r="AB43" i="36"/>
  <c r="T43" i="36" s="1"/>
  <c r="H81" i="37"/>
  <c r="Y30" i="6"/>
  <c r="R30" i="6"/>
  <c r="Y28" i="6"/>
  <c r="R28" i="6" s="1"/>
  <c r="G33" i="26"/>
  <c r="E30" i="123"/>
  <c r="G40" i="44"/>
  <c r="D30" i="123"/>
  <c r="Z51" i="60"/>
  <c r="Q51" i="60" s="1"/>
  <c r="E17" i="181"/>
  <c r="T110" i="68"/>
  <c r="M110" i="68"/>
  <c r="D17" i="181" s="1"/>
  <c r="D50" i="26"/>
  <c r="D46" i="27"/>
  <c r="O146" i="68"/>
  <c r="U56" i="5"/>
  <c r="F56" i="5"/>
  <c r="L216" i="68"/>
  <c r="V222" i="68" s="1"/>
  <c r="M37" i="68"/>
  <c r="L217" i="68"/>
  <c r="AF56" i="28"/>
  <c r="X56" i="28"/>
  <c r="K56" i="29"/>
  <c r="G8" i="15"/>
  <c r="E10" i="26"/>
  <c r="E10" i="25"/>
  <c r="AG112" i="68"/>
  <c r="M171" i="68"/>
  <c r="AI8" i="182"/>
  <c r="N178" i="68"/>
  <c r="C23" i="105"/>
  <c r="C141" i="1"/>
  <c r="C144" i="1" s="1"/>
  <c r="C149" i="1"/>
  <c r="E77" i="7"/>
  <c r="E87" i="7" s="1"/>
  <c r="E98" i="7" s="1"/>
  <c r="I41" i="16"/>
  <c r="AE40" i="14"/>
  <c r="V40" i="14" s="1"/>
  <c r="H59" i="159"/>
  <c r="G46" i="159"/>
  <c r="O42" i="159"/>
  <c r="C39" i="158"/>
  <c r="C40" i="158" s="1"/>
  <c r="U75" i="5"/>
  <c r="O75" i="5" s="1"/>
  <c r="G36" i="11"/>
  <c r="H110" i="177"/>
  <c r="H114" i="177" s="1"/>
  <c r="R46" i="14"/>
  <c r="G54" i="16"/>
  <c r="AC54" i="14"/>
  <c r="T54" i="14" s="1"/>
  <c r="I51" i="21"/>
  <c r="K51" i="21"/>
  <c r="E42" i="21"/>
  <c r="AH42" i="32"/>
  <c r="Z42" i="32" s="1"/>
  <c r="H87" i="32"/>
  <c r="I59" i="36"/>
  <c r="I57" i="53"/>
  <c r="H78" i="48"/>
  <c r="H26" i="8"/>
  <c r="F50" i="64"/>
  <c r="F55" i="26"/>
  <c r="O110" i="68"/>
  <c r="F17" i="181" s="1"/>
  <c r="Y8" i="64"/>
  <c r="P8" i="64"/>
  <c r="G66" i="52"/>
  <c r="W41" i="124"/>
  <c r="S31" i="6"/>
  <c r="G15" i="181"/>
  <c r="O60" i="68"/>
  <c r="F15" i="181" s="1"/>
  <c r="H8" i="7"/>
  <c r="AA33" i="64"/>
  <c r="R33" i="64" s="1"/>
  <c r="AI112" i="68"/>
  <c r="G43" i="65"/>
  <c r="K52" i="41"/>
  <c r="D57" i="8"/>
  <c r="L64" i="10"/>
  <c r="K64" i="10" s="1"/>
  <c r="E56" i="10"/>
  <c r="E10" i="181"/>
  <c r="F80" i="177"/>
  <c r="D10" i="181" s="1"/>
  <c r="E42" i="181"/>
  <c r="M42" i="181" s="1"/>
  <c r="CW42" i="181" s="1"/>
  <c r="M60" i="177"/>
  <c r="D21" i="15"/>
  <c r="U30" i="5"/>
  <c r="O30" i="5"/>
  <c r="AC57" i="14"/>
  <c r="T57" i="14" s="1"/>
  <c r="AC58" i="14"/>
  <c r="T58" i="14" s="1"/>
  <c r="H37" i="22"/>
  <c r="H43" i="22" s="1"/>
  <c r="I40" i="22"/>
  <c r="M43" i="22"/>
  <c r="AA39" i="24"/>
  <c r="H39" i="5"/>
  <c r="G38" i="25"/>
  <c r="I10" i="26"/>
  <c r="AA9" i="6"/>
  <c r="S9" i="6" s="1"/>
  <c r="Y49" i="125"/>
  <c r="K66" i="52"/>
  <c r="R38" i="28"/>
  <c r="H63" i="29"/>
  <c r="G47" i="29"/>
  <c r="G29" i="8"/>
  <c r="L3" i="71"/>
  <c r="K4" i="71"/>
  <c r="S204" i="68"/>
  <c r="W43" i="105"/>
  <c r="W44" i="105" s="1"/>
  <c r="V43" i="105"/>
  <c r="V44" i="105" s="1"/>
  <c r="K63" i="28"/>
  <c r="T100" i="68"/>
  <c r="M100" i="68"/>
  <c r="L17" i="181"/>
  <c r="T70" i="68"/>
  <c r="S77" i="68"/>
  <c r="AD127" i="68"/>
  <c r="AD138" i="68"/>
  <c r="AD158" i="68" s="1"/>
  <c r="AS16" i="181"/>
  <c r="M70" i="68"/>
  <c r="AR16" i="181" s="1"/>
  <c r="AU18" i="181"/>
  <c r="O116" i="68"/>
  <c r="AT18" i="181" s="1"/>
  <c r="AE19" i="56"/>
  <c r="W19" i="56"/>
  <c r="I55" i="56"/>
  <c r="U74" i="6"/>
  <c r="AF79" i="4"/>
  <c r="W79" i="4" s="1"/>
  <c r="AC65" i="8"/>
  <c r="T65" i="8" s="1"/>
  <c r="AA25" i="8"/>
  <c r="R25" i="8" s="1"/>
  <c r="I25" i="9"/>
  <c r="M23" i="7"/>
  <c r="M23" i="9"/>
  <c r="AF23" i="8" s="1"/>
  <c r="W23" i="8" s="1"/>
  <c r="M19" i="9"/>
  <c r="AF19" i="8" s="1"/>
  <c r="W19" i="8" s="1"/>
  <c r="M19" i="7"/>
  <c r="E85" i="177"/>
  <c r="C10" i="181"/>
  <c r="K10" i="181" s="1"/>
  <c r="CU10" i="181" s="1"/>
  <c r="T11" i="14"/>
  <c r="I27" i="158"/>
  <c r="I28" i="158" s="1"/>
  <c r="L42" i="159"/>
  <c r="S47" i="32"/>
  <c r="H15" i="25"/>
  <c r="AB15" i="28"/>
  <c r="T15" i="28" s="1"/>
  <c r="F24" i="181"/>
  <c r="N24" i="181" s="1"/>
  <c r="N23" i="105"/>
  <c r="Z11" i="44"/>
  <c r="R11" i="44" s="1"/>
  <c r="G11" i="45"/>
  <c r="M53" i="59"/>
  <c r="AF53" i="56" s="1"/>
  <c r="X53" i="56" s="1"/>
  <c r="AF43" i="56"/>
  <c r="X43" i="56" s="1"/>
  <c r="F53" i="59"/>
  <c r="Y53" i="56"/>
  <c r="Q53" i="56" s="1"/>
  <c r="Y43" i="56"/>
  <c r="Q43" i="56" s="1"/>
  <c r="I220" i="70"/>
  <c r="K220" i="70"/>
  <c r="M91" i="177"/>
  <c r="F41" i="33"/>
  <c r="G48" i="33"/>
  <c r="N45" i="48"/>
  <c r="K28" i="9"/>
  <c r="T38" i="14"/>
  <c r="G8" i="14"/>
  <c r="R8" i="14"/>
  <c r="N14" i="24"/>
  <c r="V40" i="105"/>
  <c r="V41" i="105" s="1"/>
  <c r="W40" i="105"/>
  <c r="W41" i="105" s="1"/>
  <c r="E24" i="26"/>
  <c r="E23" i="25"/>
  <c r="E23" i="27"/>
  <c r="E24" i="24"/>
  <c r="L40" i="25"/>
  <c r="AD11" i="28"/>
  <c r="V11" i="28"/>
  <c r="H42" i="30"/>
  <c r="K62" i="33"/>
  <c r="M57" i="38"/>
  <c r="AG57" i="36" s="1"/>
  <c r="AG44" i="36"/>
  <c r="Y44" i="36" s="1"/>
  <c r="F57" i="39"/>
  <c r="Z57" i="36"/>
  <c r="R57" i="36"/>
  <c r="Z50" i="36"/>
  <c r="R50" i="36" s="1"/>
  <c r="K8" i="56"/>
  <c r="H43" i="45"/>
  <c r="K20" i="46"/>
  <c r="I48" i="33"/>
  <c r="F43" i="36"/>
  <c r="G43" i="36" s="1"/>
  <c r="G64" i="36" s="1"/>
  <c r="AC81" i="4"/>
  <c r="T81" i="4" s="1"/>
  <c r="AE63" i="8"/>
  <c r="V63" i="8" s="1"/>
  <c r="W37" i="14"/>
  <c r="V28" i="14"/>
  <c r="L19" i="14"/>
  <c r="G9" i="14"/>
  <c r="H36" i="15"/>
  <c r="AC35" i="14"/>
  <c r="T35" i="14" s="1"/>
  <c r="AC10" i="14"/>
  <c r="T10" i="14" s="1"/>
  <c r="I12" i="15"/>
  <c r="F39" i="14"/>
  <c r="K45" i="21"/>
  <c r="C34" i="158"/>
  <c r="S39" i="24"/>
  <c r="U34" i="24"/>
  <c r="AE32" i="24"/>
  <c r="W32" i="24" s="1"/>
  <c r="H49" i="25"/>
  <c r="AE22" i="24"/>
  <c r="AA10" i="24"/>
  <c r="S10" i="24" s="1"/>
  <c r="K17" i="26"/>
  <c r="M55" i="27"/>
  <c r="H38" i="28"/>
  <c r="I41" i="28"/>
  <c r="AB24" i="28"/>
  <c r="T24" i="28" s="1"/>
  <c r="H23" i="25"/>
  <c r="AF45" i="28"/>
  <c r="X45" i="28" s="1"/>
  <c r="L61" i="30"/>
  <c r="AF61" i="28" s="1"/>
  <c r="X61" i="28" s="1"/>
  <c r="D63" i="32"/>
  <c r="S8" i="32"/>
  <c r="H64" i="33"/>
  <c r="AC64" i="32"/>
  <c r="U64" i="32"/>
  <c r="AC51" i="32"/>
  <c r="U51" i="32" s="1"/>
  <c r="J22" i="25"/>
  <c r="J19" i="25" s="1"/>
  <c r="J39" i="106"/>
  <c r="X52" i="40"/>
  <c r="G31" i="123"/>
  <c r="M17" i="25"/>
  <c r="AC24" i="125"/>
  <c r="E27" i="181"/>
  <c r="M27" i="181" s="1"/>
  <c r="AA42" i="32"/>
  <c r="S42" i="32" s="1"/>
  <c r="I55" i="29"/>
  <c r="E21" i="105"/>
  <c r="E23" i="105" s="1"/>
  <c r="L45" i="46"/>
  <c r="U43" i="105"/>
  <c r="T43" i="105"/>
  <c r="T44" i="105"/>
  <c r="AD48" i="40"/>
  <c r="V48" i="40" s="1"/>
  <c r="W8" i="32"/>
  <c r="K57" i="49"/>
  <c r="J46" i="41"/>
  <c r="H41" i="33"/>
  <c r="G39" i="33"/>
  <c r="I39" i="33"/>
  <c r="F8" i="45"/>
  <c r="W9" i="14"/>
  <c r="W7" i="14"/>
  <c r="I13" i="15"/>
  <c r="Y11" i="14"/>
  <c r="P11" i="14" s="1"/>
  <c r="D8" i="15"/>
  <c r="K37" i="18"/>
  <c r="K39" i="20"/>
  <c r="G52" i="22"/>
  <c r="D59" i="159"/>
  <c r="G39" i="159"/>
  <c r="G37" i="158"/>
  <c r="Y22" i="158"/>
  <c r="C20" i="158"/>
  <c r="C22" i="158"/>
  <c r="S28" i="158"/>
  <c r="U25" i="24"/>
  <c r="I54" i="26"/>
  <c r="I18" i="26"/>
  <c r="K10" i="26"/>
  <c r="E44" i="28"/>
  <c r="F54" i="25"/>
  <c r="F52" i="25" s="1"/>
  <c r="Y53" i="24" s="1"/>
  <c r="Q53" i="24" s="1"/>
  <c r="H48" i="25"/>
  <c r="H50" i="5" s="1"/>
  <c r="D44" i="29"/>
  <c r="AF54" i="28"/>
  <c r="X54" i="28" s="1"/>
  <c r="D42" i="31"/>
  <c r="E63" i="33"/>
  <c r="I43" i="33"/>
  <c r="AB55" i="36"/>
  <c r="T55" i="36" s="1"/>
  <c r="Z54" i="40"/>
  <c r="R54" i="40" s="1"/>
  <c r="G54" i="41"/>
  <c r="F33" i="123"/>
  <c r="G33" i="47"/>
  <c r="I33" i="47"/>
  <c r="E8" i="106"/>
  <c r="E33" i="106"/>
  <c r="H16" i="25"/>
  <c r="AB16" i="36"/>
  <c r="T16" i="36" s="1"/>
  <c r="AA22" i="104"/>
  <c r="I19" i="104"/>
  <c r="W39" i="107"/>
  <c r="E59" i="40"/>
  <c r="AA22" i="123"/>
  <c r="E47" i="48"/>
  <c r="J45" i="51"/>
  <c r="D45" i="51"/>
  <c r="I11" i="124"/>
  <c r="H40" i="125"/>
  <c r="H41" i="125" s="1"/>
  <c r="I14" i="57"/>
  <c r="AA14" i="56"/>
  <c r="S14" i="56" s="1"/>
  <c r="J19" i="65"/>
  <c r="AA22" i="64"/>
  <c r="R22" i="64" s="1"/>
  <c r="D46" i="66"/>
  <c r="D44" i="66" s="1"/>
  <c r="D54" i="66" s="1"/>
  <c r="D45" i="65"/>
  <c r="D43" i="65" s="1"/>
  <c r="D53" i="65" s="1"/>
  <c r="F21" i="15"/>
  <c r="I61" i="18"/>
  <c r="I70" i="11"/>
  <c r="I8" i="11"/>
  <c r="E8" i="183"/>
  <c r="M8" i="183" s="1"/>
  <c r="M13" i="183" s="1"/>
  <c r="U33" i="184" s="1"/>
  <c r="G20" i="18"/>
  <c r="V32" i="105"/>
  <c r="E29" i="105"/>
  <c r="F56" i="29"/>
  <c r="G56" i="29" s="1"/>
  <c r="M14" i="25"/>
  <c r="AF14" i="24" s="1"/>
  <c r="X14" i="24" s="1"/>
  <c r="AG14" i="28"/>
  <c r="Y14" i="28" s="1"/>
  <c r="U32" i="105"/>
  <c r="T32" i="105"/>
  <c r="K47" i="37"/>
  <c r="AF47" i="36"/>
  <c r="X47" i="36"/>
  <c r="Z8" i="36"/>
  <c r="R8" i="36" s="1"/>
  <c r="AD34" i="36"/>
  <c r="V34" i="36" s="1"/>
  <c r="AO22" i="104"/>
  <c r="AH22" i="104"/>
  <c r="J11" i="104"/>
  <c r="J22" i="104" s="1"/>
  <c r="G49" i="41"/>
  <c r="AB41" i="40"/>
  <c r="T41" i="40" s="1"/>
  <c r="L57" i="42"/>
  <c r="M41" i="43"/>
  <c r="C36" i="107"/>
  <c r="G26" i="45"/>
  <c r="AB26" i="44"/>
  <c r="T26" i="44" s="1"/>
  <c r="AD17" i="44"/>
  <c r="V17" i="44" s="1"/>
  <c r="I17" i="45"/>
  <c r="H19" i="46"/>
  <c r="I20" i="46"/>
  <c r="M61" i="47"/>
  <c r="G48" i="47"/>
  <c r="J19" i="50"/>
  <c r="K20" i="50"/>
  <c r="F55" i="58"/>
  <c r="Y55" i="56" s="1"/>
  <c r="Q55" i="56" s="1"/>
  <c r="E42" i="127"/>
  <c r="G24" i="15"/>
  <c r="J70" i="11"/>
  <c r="F8" i="183"/>
  <c r="F13" i="183" s="1"/>
  <c r="AT33" i="184" s="1"/>
  <c r="J29" i="105"/>
  <c r="AD33" i="28"/>
  <c r="V33" i="28" s="1"/>
  <c r="M13" i="25"/>
  <c r="R35" i="105"/>
  <c r="K47" i="32"/>
  <c r="G60" i="33"/>
  <c r="AC60" i="32"/>
  <c r="U60" i="32"/>
  <c r="AG33" i="32"/>
  <c r="Y33" i="32" s="1"/>
  <c r="W39" i="106"/>
  <c r="F37" i="104"/>
  <c r="F38" i="104"/>
  <c r="H57" i="38"/>
  <c r="AB57" i="36" s="1"/>
  <c r="T57" i="36" s="1"/>
  <c r="D59" i="41"/>
  <c r="E43" i="41"/>
  <c r="C8" i="107"/>
  <c r="C30" i="107" s="1"/>
  <c r="F10" i="25"/>
  <c r="G10" i="25" s="1"/>
  <c r="Z10" i="44"/>
  <c r="R10" i="44" s="1"/>
  <c r="C37" i="123"/>
  <c r="D45" i="50"/>
  <c r="F45" i="50"/>
  <c r="O43" i="50" s="1"/>
  <c r="J46" i="53"/>
  <c r="I46" i="53"/>
  <c r="G29" i="105"/>
  <c r="G64" i="29"/>
  <c r="F48" i="25"/>
  <c r="L61" i="35"/>
  <c r="AG61" i="32" s="1"/>
  <c r="Y61" i="32" s="1"/>
  <c r="I42" i="106"/>
  <c r="S23" i="106"/>
  <c r="V19" i="36"/>
  <c r="G48" i="37"/>
  <c r="Z19" i="36"/>
  <c r="R19" i="36"/>
  <c r="L8" i="37"/>
  <c r="J41" i="38"/>
  <c r="M57" i="39"/>
  <c r="M41" i="42"/>
  <c r="M11" i="184" s="1"/>
  <c r="I8" i="107"/>
  <c r="D63" i="44"/>
  <c r="X36" i="44"/>
  <c r="I55" i="45"/>
  <c r="AD55" i="44"/>
  <c r="V55" i="44" s="1"/>
  <c r="Z20" i="44"/>
  <c r="R20" i="44" s="1"/>
  <c r="F19" i="45"/>
  <c r="G15" i="45"/>
  <c r="M8" i="45"/>
  <c r="K40" i="46"/>
  <c r="I8" i="46"/>
  <c r="K48" i="47"/>
  <c r="K8" i="47"/>
  <c r="E45" i="47"/>
  <c r="I50" i="48"/>
  <c r="K28" i="48"/>
  <c r="G38" i="49"/>
  <c r="K26" i="49"/>
  <c r="G40" i="50"/>
  <c r="G33" i="50"/>
  <c r="M61" i="51"/>
  <c r="H61" i="51"/>
  <c r="F45" i="51"/>
  <c r="W49" i="125"/>
  <c r="W50" i="125" s="1"/>
  <c r="J78" i="52"/>
  <c r="E45" i="54"/>
  <c r="H63" i="55"/>
  <c r="F21" i="125"/>
  <c r="F24" i="125" s="1"/>
  <c r="E30" i="127"/>
  <c r="G47" i="57"/>
  <c r="Y47" i="56"/>
  <c r="Q47" i="56" s="1"/>
  <c r="L55" i="58"/>
  <c r="E11" i="107"/>
  <c r="E21" i="107" s="1"/>
  <c r="H36" i="123"/>
  <c r="D34" i="124"/>
  <c r="L40" i="48"/>
  <c r="C42" i="126"/>
  <c r="C43" i="126" s="1"/>
  <c r="Q28" i="60"/>
  <c r="Y26" i="60"/>
  <c r="Y36" i="64"/>
  <c r="P36" i="64" s="1"/>
  <c r="I36" i="66"/>
  <c r="AM150" i="68"/>
  <c r="M46" i="64"/>
  <c r="E55" i="177"/>
  <c r="F37" i="64"/>
  <c r="E47" i="72"/>
  <c r="F50" i="26"/>
  <c r="F48" i="61"/>
  <c r="F12" i="61"/>
  <c r="F8" i="62"/>
  <c r="I11" i="104"/>
  <c r="K43" i="44"/>
  <c r="H33" i="123"/>
  <c r="I10" i="123"/>
  <c r="I22" i="123" s="1"/>
  <c r="D40" i="59"/>
  <c r="W42" i="127"/>
  <c r="I42" i="127"/>
  <c r="N23" i="127"/>
  <c r="F55" i="60"/>
  <c r="I42" i="126"/>
  <c r="I43" i="126" s="1"/>
  <c r="W28" i="60"/>
  <c r="Q26" i="60"/>
  <c r="AG52" i="60"/>
  <c r="W52" i="60"/>
  <c r="H13" i="126"/>
  <c r="H23" i="126" s="1"/>
  <c r="R35" i="64"/>
  <c r="G10" i="64"/>
  <c r="Y47" i="64"/>
  <c r="P47" i="64" s="1"/>
  <c r="J52" i="64"/>
  <c r="J52" i="66"/>
  <c r="K52" i="66" s="1"/>
  <c r="AB52" i="64" s="1"/>
  <c r="K85" i="69"/>
  <c r="E26" i="182" s="1"/>
  <c r="M26" i="182" s="1"/>
  <c r="CO26" i="182" s="1"/>
  <c r="M85" i="69"/>
  <c r="Q89" i="69"/>
  <c r="C8" i="126"/>
  <c r="C34" i="126"/>
  <c r="F44" i="9"/>
  <c r="E265" i="177"/>
  <c r="G13" i="125"/>
  <c r="G24" i="125"/>
  <c r="C39" i="127"/>
  <c r="J33" i="127"/>
  <c r="AJ23" i="127"/>
  <c r="F30" i="127"/>
  <c r="AL26" i="181"/>
  <c r="I13" i="126"/>
  <c r="I23" i="126" s="1"/>
  <c r="N10" i="24"/>
  <c r="AE52" i="64"/>
  <c r="V52" i="64" s="1"/>
  <c r="M49" i="65"/>
  <c r="T210" i="68"/>
  <c r="S214" i="68"/>
  <c r="T214" i="68" s="1"/>
  <c r="F26" i="182"/>
  <c r="N26" i="182" s="1"/>
  <c r="CP26" i="182" s="1"/>
  <c r="AC47" i="60"/>
  <c r="S47" i="60" s="1"/>
  <c r="AM23" i="126"/>
  <c r="AF23" i="126"/>
  <c r="S48" i="64"/>
  <c r="Y34" i="64"/>
  <c r="P34" i="64" s="1"/>
  <c r="F28" i="64"/>
  <c r="F27" i="64" s="1"/>
  <c r="Y13" i="64"/>
  <c r="P13" i="64" s="1"/>
  <c r="G19" i="66"/>
  <c r="K13" i="66"/>
  <c r="E51" i="66"/>
  <c r="E51" i="64"/>
  <c r="J38" i="64"/>
  <c r="J38" i="66"/>
  <c r="K38" i="66" s="1"/>
  <c r="AB38" i="64" s="1"/>
  <c r="V16" i="64"/>
  <c r="Q19" i="68"/>
  <c r="D29" i="182"/>
  <c r="L29" i="182" s="1"/>
  <c r="CN29" i="182" s="1"/>
  <c r="F247" i="177"/>
  <c r="W32" i="124"/>
  <c r="U29" i="125"/>
  <c r="U23" i="126"/>
  <c r="G56" i="64"/>
  <c r="R39" i="64"/>
  <c r="AC22" i="64"/>
  <c r="T22" i="64" s="1"/>
  <c r="AB9" i="64"/>
  <c r="S9" i="64" s="1"/>
  <c r="M58" i="178"/>
  <c r="L53" i="178"/>
  <c r="D41" i="63"/>
  <c r="AE23" i="126"/>
  <c r="G30" i="181"/>
  <c r="O30" i="181" s="1"/>
  <c r="S21" i="64"/>
  <c r="G19" i="64"/>
  <c r="S17" i="64"/>
  <c r="AC9" i="64"/>
  <c r="T9" i="64"/>
  <c r="AI153" i="68"/>
  <c r="L52" i="64"/>
  <c r="E51" i="67"/>
  <c r="E49" i="67"/>
  <c r="E53" i="67" s="1"/>
  <c r="E52" i="66"/>
  <c r="F217" i="68"/>
  <c r="Q79" i="68"/>
  <c r="B25" i="182"/>
  <c r="J25" i="182" s="1"/>
  <c r="CL25" i="182" s="1"/>
  <c r="H89" i="69"/>
  <c r="I89" i="69" s="1"/>
  <c r="F47" i="72"/>
  <c r="J111" i="178"/>
  <c r="E275" i="177"/>
  <c r="F275" i="177" s="1"/>
  <c r="F40" i="8"/>
  <c r="M31" i="178"/>
  <c r="L30" i="178"/>
  <c r="P47" i="71"/>
  <c r="O66" i="178"/>
  <c r="O78" i="178" s="1"/>
  <c r="T75" i="178"/>
  <c r="I11" i="4"/>
  <c r="G81" i="6"/>
  <c r="E30" i="182"/>
  <c r="M30" i="182" s="1"/>
  <c r="CO30" i="182" s="1"/>
  <c r="H127" i="177"/>
  <c r="H120" i="177"/>
  <c r="E13" i="182" s="1"/>
  <c r="AA18" i="64"/>
  <c r="R18" i="64" s="1"/>
  <c r="I55" i="65"/>
  <c r="P78" i="8"/>
  <c r="S96" i="69"/>
  <c r="K96" i="69"/>
  <c r="K100" i="69" s="1"/>
  <c r="T28" i="178"/>
  <c r="CQ59" i="181"/>
  <c r="O107" i="178"/>
  <c r="E38" i="105"/>
  <c r="E35" i="104"/>
  <c r="T35" i="105"/>
  <c r="W38" i="105"/>
  <c r="G38" i="104"/>
  <c r="J10" i="123"/>
  <c r="J22" i="123" s="1"/>
  <c r="CZ9" i="181"/>
  <c r="F276" i="177"/>
  <c r="I18" i="4"/>
  <c r="I12" i="4"/>
  <c r="T29" i="105"/>
  <c r="G46" i="104"/>
  <c r="U38" i="124"/>
  <c r="G25" i="15"/>
  <c r="BK57" i="181"/>
  <c r="I273" i="177"/>
  <c r="Y38" i="105"/>
  <c r="U38" i="105"/>
  <c r="I33" i="107"/>
  <c r="H55" i="62"/>
  <c r="P42" i="62" s="1"/>
  <c r="Q21" i="181"/>
  <c r="DA21" i="181" s="1"/>
  <c r="G41" i="125"/>
  <c r="E38" i="104"/>
  <c r="CI57" i="181"/>
  <c r="G34" i="123"/>
  <c r="E41" i="125"/>
  <c r="J35" i="105"/>
  <c r="H288" i="177"/>
  <c r="C41" i="125"/>
  <c r="N96" i="69"/>
  <c r="N3" i="70"/>
  <c r="F251" i="177"/>
  <c r="G37" i="123"/>
  <c r="W43" i="123"/>
  <c r="I41" i="125"/>
  <c r="O100" i="69"/>
  <c r="N215" i="70"/>
  <c r="N214" i="70" s="1"/>
  <c r="N222" i="70" s="1"/>
  <c r="J50" i="66"/>
  <c r="I52" i="66"/>
  <c r="M49" i="24"/>
  <c r="V46" i="64"/>
  <c r="M44" i="64"/>
  <c r="AA19" i="14"/>
  <c r="R19" i="14"/>
  <c r="F20" i="15"/>
  <c r="G20" i="15" s="1"/>
  <c r="AE23" i="4"/>
  <c r="V23" i="4" s="1"/>
  <c r="AF23" i="4"/>
  <c r="W23" i="4" s="1"/>
  <c r="L17" i="25"/>
  <c r="AE17" i="56"/>
  <c r="W17" i="56" s="1"/>
  <c r="K17" i="57"/>
  <c r="T49" i="125"/>
  <c r="P47" i="52"/>
  <c r="Y26" i="8"/>
  <c r="P26" i="8" s="1"/>
  <c r="AA28" i="4"/>
  <c r="R28" i="4" s="1"/>
  <c r="G29" i="5"/>
  <c r="AD63" i="28"/>
  <c r="V63" i="28" s="1"/>
  <c r="M26" i="181"/>
  <c r="S217" i="68"/>
  <c r="T217" i="68" s="1"/>
  <c r="Y52" i="4"/>
  <c r="E50" i="64"/>
  <c r="E54" i="64"/>
  <c r="E53" i="25"/>
  <c r="E52" i="25" s="1"/>
  <c r="E58" i="25" s="1"/>
  <c r="E54" i="24"/>
  <c r="E53" i="24" s="1"/>
  <c r="E59" i="24" s="1"/>
  <c r="E54" i="26"/>
  <c r="E53" i="26" s="1"/>
  <c r="E59" i="26" s="1"/>
  <c r="Z12" i="60"/>
  <c r="Q12" i="60" s="1"/>
  <c r="J8" i="11"/>
  <c r="J83" i="7"/>
  <c r="J69" i="11"/>
  <c r="G16" i="25"/>
  <c r="AA16" i="24"/>
  <c r="S16" i="24" s="1"/>
  <c r="H38" i="33"/>
  <c r="G41" i="33"/>
  <c r="I41" i="33"/>
  <c r="AC41" i="32"/>
  <c r="U41" i="32" s="1"/>
  <c r="E57" i="177"/>
  <c r="F57" i="177" s="1"/>
  <c r="AA39" i="4"/>
  <c r="R39" i="4" s="1"/>
  <c r="P27" i="64"/>
  <c r="M71" i="14"/>
  <c r="N60" i="14"/>
  <c r="N43" i="47"/>
  <c r="G45" i="47"/>
  <c r="O39" i="5"/>
  <c r="Y39" i="4"/>
  <c r="P39" i="4" s="1"/>
  <c r="T18" i="14"/>
  <c r="J42" i="14"/>
  <c r="I42" i="14" s="1"/>
  <c r="AB9" i="184"/>
  <c r="G63" i="33"/>
  <c r="AA9" i="184"/>
  <c r="AC63" i="32"/>
  <c r="U63" i="32" s="1"/>
  <c r="B17" i="184"/>
  <c r="G40" i="65"/>
  <c r="C17" i="184" s="1"/>
  <c r="Q217" i="68"/>
  <c r="E23" i="182"/>
  <c r="M23" i="182" s="1"/>
  <c r="CO23" i="182" s="1"/>
  <c r="S89" i="69"/>
  <c r="J38" i="24"/>
  <c r="J38" i="4" s="1"/>
  <c r="J37" i="64"/>
  <c r="AG8" i="44"/>
  <c r="Y8" i="44" s="1"/>
  <c r="AA50" i="24"/>
  <c r="S50" i="24" s="1"/>
  <c r="L8" i="184"/>
  <c r="AB42" i="28"/>
  <c r="T42" i="28" s="1"/>
  <c r="X49" i="125"/>
  <c r="F53" i="26"/>
  <c r="G53" i="26" s="1"/>
  <c r="F60" i="104"/>
  <c r="I64" i="36"/>
  <c r="AF59" i="36"/>
  <c r="X59" i="36" s="1"/>
  <c r="AD17" i="184"/>
  <c r="I53" i="65"/>
  <c r="AC17" i="184" s="1"/>
  <c r="U35" i="6"/>
  <c r="J41" i="15"/>
  <c r="AE41" i="14"/>
  <c r="V41" i="14" s="1"/>
  <c r="D38" i="107"/>
  <c r="G64" i="40"/>
  <c r="U53" i="6"/>
  <c r="AF58" i="4"/>
  <c r="AC18" i="14"/>
  <c r="AA42" i="56"/>
  <c r="D15" i="184"/>
  <c r="P42" i="57"/>
  <c r="I42" i="57"/>
  <c r="E15" i="184" s="1"/>
  <c r="J43" i="37"/>
  <c r="I36" i="37"/>
  <c r="AD36" i="36"/>
  <c r="V36" i="36" s="1"/>
  <c r="M18" i="181"/>
  <c r="M123" i="68"/>
  <c r="L18" i="181" s="1"/>
  <c r="AE65" i="8"/>
  <c r="O47" i="71"/>
  <c r="O102" i="71" s="1"/>
  <c r="P102" i="71"/>
  <c r="K11" i="177" s="1"/>
  <c r="S45" i="126"/>
  <c r="N41" i="60"/>
  <c r="G55" i="60"/>
  <c r="CZ24" i="181"/>
  <c r="F63" i="29"/>
  <c r="Z56" i="28"/>
  <c r="R56" i="28" s="1"/>
  <c r="F65" i="5"/>
  <c r="AC34" i="14"/>
  <c r="T34" i="14" s="1"/>
  <c r="J32" i="5"/>
  <c r="S34" i="158"/>
  <c r="AE19" i="4"/>
  <c r="V19" i="4" s="1"/>
  <c r="AF19" i="4"/>
  <c r="W19" i="4" s="1"/>
  <c r="N50" i="64"/>
  <c r="E39" i="107"/>
  <c r="G15" i="2"/>
  <c r="H37" i="4"/>
  <c r="L50" i="182" s="1"/>
  <c r="K53" i="65"/>
  <c r="E125" i="1"/>
  <c r="E140" i="1"/>
  <c r="H57" i="177"/>
  <c r="G20" i="64"/>
  <c r="I20" i="64"/>
  <c r="H41" i="64"/>
  <c r="AB43" i="40"/>
  <c r="T43" i="40" s="1"/>
  <c r="D11" i="184"/>
  <c r="G43" i="41"/>
  <c r="C11" i="184" s="1"/>
  <c r="K19" i="24"/>
  <c r="K70" i="177"/>
  <c r="J70" i="177" s="1"/>
  <c r="G33" i="181"/>
  <c r="O33" i="181" s="1"/>
  <c r="CY33" i="181" s="1"/>
  <c r="I33" i="10"/>
  <c r="I32" i="10" s="1"/>
  <c r="I34" i="10" s="1"/>
  <c r="M18" i="184" s="1"/>
  <c r="O106" i="178"/>
  <c r="O110" i="178"/>
  <c r="I36" i="4"/>
  <c r="L55" i="24"/>
  <c r="W55" i="24" s="1"/>
  <c r="K52" i="64"/>
  <c r="T52" i="64"/>
  <c r="L50" i="64"/>
  <c r="L64" i="178"/>
  <c r="M53" i="178"/>
  <c r="E50" i="66"/>
  <c r="E54" i="66" s="1"/>
  <c r="N28" i="64"/>
  <c r="AE50" i="64"/>
  <c r="V50" i="64" s="1"/>
  <c r="M53" i="65"/>
  <c r="E273" i="177"/>
  <c r="F49" i="25"/>
  <c r="G49" i="25" s="1"/>
  <c r="Y50" i="24"/>
  <c r="Q50" i="24" s="1"/>
  <c r="F45" i="61"/>
  <c r="Z48" i="60"/>
  <c r="Q48" i="60" s="1"/>
  <c r="N37" i="64"/>
  <c r="G37" i="64"/>
  <c r="Z19" i="44"/>
  <c r="R19" i="44"/>
  <c r="G19" i="45"/>
  <c r="Y10" i="24"/>
  <c r="Q10" i="24" s="1"/>
  <c r="J45" i="50"/>
  <c r="G19" i="46"/>
  <c r="I61" i="104"/>
  <c r="Z8" i="44"/>
  <c r="R8" i="44" s="1"/>
  <c r="F47" i="45"/>
  <c r="G8" i="45"/>
  <c r="AD46" i="40"/>
  <c r="V46" i="40" s="1"/>
  <c r="I46" i="41"/>
  <c r="J59" i="41"/>
  <c r="K46" i="41"/>
  <c r="O17" i="181"/>
  <c r="Q100" i="68"/>
  <c r="CZ17" i="181"/>
  <c r="O100" i="68"/>
  <c r="N17" i="181" s="1"/>
  <c r="Y57" i="36"/>
  <c r="G37" i="22"/>
  <c r="I37" i="22"/>
  <c r="D20" i="15"/>
  <c r="F26" i="5" s="1"/>
  <c r="Y19" i="14"/>
  <c r="P19" i="14" s="1"/>
  <c r="G59" i="159"/>
  <c r="I59" i="159"/>
  <c r="M178" i="68"/>
  <c r="K8" i="182"/>
  <c r="F16" i="8"/>
  <c r="O19" i="181"/>
  <c r="CY19" i="181" s="1"/>
  <c r="Q153" i="68"/>
  <c r="H41" i="66"/>
  <c r="AF63" i="44"/>
  <c r="X63" i="44" s="1"/>
  <c r="N7" i="182"/>
  <c r="O27" i="68"/>
  <c r="M7" i="182" s="1"/>
  <c r="Q27" i="68"/>
  <c r="G32" i="10"/>
  <c r="AA32" i="8"/>
  <c r="P29" i="8"/>
  <c r="F28" i="8"/>
  <c r="F29" i="4"/>
  <c r="E38" i="1" s="1"/>
  <c r="K46" i="53"/>
  <c r="D14" i="184"/>
  <c r="AB14" i="184"/>
  <c r="I48" i="24"/>
  <c r="E28" i="6"/>
  <c r="Q28" i="6"/>
  <c r="X45" i="126"/>
  <c r="X46" i="126" s="1"/>
  <c r="K68" i="60"/>
  <c r="AI158" i="68"/>
  <c r="AJ158" i="68"/>
  <c r="Z43" i="40"/>
  <c r="R43" i="40" s="1"/>
  <c r="B11" i="184"/>
  <c r="Y88" i="4"/>
  <c r="P88" i="4" s="1"/>
  <c r="E81" i="6"/>
  <c r="AC29" i="4"/>
  <c r="T29" i="4" s="1"/>
  <c r="G30" i="6"/>
  <c r="H28" i="6"/>
  <c r="O43" i="41"/>
  <c r="Z11" i="184"/>
  <c r="Z59" i="40"/>
  <c r="R59" i="40" s="1"/>
  <c r="I63" i="33"/>
  <c r="AC9" i="184" s="1"/>
  <c r="AA12" i="24"/>
  <c r="S12" i="24" s="1"/>
  <c r="G68" i="44"/>
  <c r="D39" i="123"/>
  <c r="H42" i="14"/>
  <c r="N36" i="14"/>
  <c r="AC37" i="64"/>
  <c r="T37" i="64" s="1"/>
  <c r="G22" i="24"/>
  <c r="N22" i="24"/>
  <c r="F14" i="184"/>
  <c r="I47" i="53"/>
  <c r="E14" i="184" s="1"/>
  <c r="K51" i="6"/>
  <c r="J60" i="8"/>
  <c r="J73" i="4" s="1"/>
  <c r="J59" i="10"/>
  <c r="J56" i="10" s="1"/>
  <c r="R47" i="48"/>
  <c r="F37" i="124"/>
  <c r="Y58" i="8"/>
  <c r="P58" i="8" s="1"/>
  <c r="F60" i="9"/>
  <c r="F66" i="5" s="1"/>
  <c r="U67" i="5"/>
  <c r="F67" i="5"/>
  <c r="W50" i="5"/>
  <c r="AA49" i="24"/>
  <c r="S49" i="24" s="1"/>
  <c r="G48" i="25"/>
  <c r="W30" i="5"/>
  <c r="P30" i="5" s="1"/>
  <c r="K42" i="159"/>
  <c r="H39" i="158"/>
  <c r="H40" i="158" s="1"/>
  <c r="I39" i="158"/>
  <c r="I40" i="158" s="1"/>
  <c r="AC79" i="4"/>
  <c r="T79" i="4" s="1"/>
  <c r="Q75" i="5"/>
  <c r="L102" i="71"/>
  <c r="K3" i="71"/>
  <c r="Y65" i="8"/>
  <c r="P65" i="8" s="1"/>
  <c r="AD44" i="28"/>
  <c r="V44" i="28" s="1"/>
  <c r="E8" i="15"/>
  <c r="F114" i="177"/>
  <c r="H27" i="24"/>
  <c r="G27" i="24" s="1"/>
  <c r="G28" i="24"/>
  <c r="S28" i="24"/>
  <c r="AD51" i="6"/>
  <c r="D7" i="6"/>
  <c r="K16" i="6"/>
  <c r="AD16" i="6"/>
  <c r="N100" i="69"/>
  <c r="N101" i="69" s="1"/>
  <c r="J55" i="24"/>
  <c r="J53" i="24" s="1"/>
  <c r="J50" i="64"/>
  <c r="I52" i="64"/>
  <c r="K40" i="48"/>
  <c r="H28" i="124" s="1"/>
  <c r="L47" i="48"/>
  <c r="I28" i="124"/>
  <c r="I19" i="65"/>
  <c r="AA20" i="64"/>
  <c r="R20" i="64" s="1"/>
  <c r="J40" i="65"/>
  <c r="K19" i="65"/>
  <c r="AB20" i="64" s="1"/>
  <c r="L12" i="184"/>
  <c r="K45" i="46"/>
  <c r="K12" i="184"/>
  <c r="C40" i="104"/>
  <c r="C41" i="104" s="1"/>
  <c r="F64" i="36"/>
  <c r="F38" i="33"/>
  <c r="AA41" i="32"/>
  <c r="S41" i="32" s="1"/>
  <c r="AB8" i="184"/>
  <c r="G63" i="29"/>
  <c r="AA8" i="184" s="1"/>
  <c r="AB63" i="28"/>
  <c r="T63" i="28" s="1"/>
  <c r="Y37" i="6"/>
  <c r="F37" i="6"/>
  <c r="Y36" i="6"/>
  <c r="G38" i="26"/>
  <c r="H37" i="26"/>
  <c r="AA38" i="24"/>
  <c r="S38" i="24" s="1"/>
  <c r="B15" i="183"/>
  <c r="F95" i="7"/>
  <c r="N43" i="7"/>
  <c r="K40" i="16"/>
  <c r="L28" i="178"/>
  <c r="M30" i="178"/>
  <c r="F54" i="4"/>
  <c r="AA38" i="64"/>
  <c r="R38" i="64"/>
  <c r="J38" i="26"/>
  <c r="K38" i="26" s="1"/>
  <c r="J37" i="66"/>
  <c r="K37" i="66" s="1"/>
  <c r="AB37" i="64" s="1"/>
  <c r="I38" i="66"/>
  <c r="AB13" i="64"/>
  <c r="S13" i="64" s="1"/>
  <c r="K8" i="66"/>
  <c r="Y41" i="8"/>
  <c r="P41" i="8" s="1"/>
  <c r="U52" i="5"/>
  <c r="G44" i="9"/>
  <c r="F52" i="5"/>
  <c r="O52" i="5" s="1"/>
  <c r="G50" i="26"/>
  <c r="F47" i="26"/>
  <c r="F55" i="177"/>
  <c r="J10" i="184"/>
  <c r="AD41" i="36"/>
  <c r="V41" i="36" s="1"/>
  <c r="F50" i="5"/>
  <c r="Y53" i="4" s="1"/>
  <c r="P53" i="4" s="1"/>
  <c r="Y49" i="24"/>
  <c r="Q49" i="24" s="1"/>
  <c r="U50" i="5"/>
  <c r="F46" i="25"/>
  <c r="AF13" i="24"/>
  <c r="E31" i="105"/>
  <c r="E32" i="105"/>
  <c r="G38" i="28"/>
  <c r="D31" i="105" s="1"/>
  <c r="H44" i="28"/>
  <c r="I38" i="28"/>
  <c r="F31" i="105" s="1"/>
  <c r="S43" i="158"/>
  <c r="L18" i="14"/>
  <c r="K18" i="14" s="1"/>
  <c r="I43" i="45"/>
  <c r="H7" i="7"/>
  <c r="G8" i="7"/>
  <c r="G26" i="8"/>
  <c r="H26" i="9"/>
  <c r="N26" i="8"/>
  <c r="O56" i="5"/>
  <c r="I42" i="159"/>
  <c r="E39" i="158"/>
  <c r="E40" i="158" s="1"/>
  <c r="G42" i="159"/>
  <c r="M34" i="10"/>
  <c r="G56" i="5"/>
  <c r="G28" i="64"/>
  <c r="G43" i="20"/>
  <c r="P43" i="20"/>
  <c r="D43" i="27"/>
  <c r="D55" i="27" s="1"/>
  <c r="R68" i="6"/>
  <c r="F65" i="6"/>
  <c r="D64" i="6"/>
  <c r="AK53" i="181"/>
  <c r="G6" i="14"/>
  <c r="AJ53" i="181" s="1"/>
  <c r="AM53" i="181"/>
  <c r="I6" i="14"/>
  <c r="AL53" i="181"/>
  <c r="AA63" i="32"/>
  <c r="S63" i="32" s="1"/>
  <c r="Z9" i="184"/>
  <c r="K8" i="64"/>
  <c r="I8" i="64"/>
  <c r="J27" i="6"/>
  <c r="AD14" i="184"/>
  <c r="R47" i="53"/>
  <c r="G59" i="41"/>
  <c r="AA11" i="184"/>
  <c r="AB59" i="40"/>
  <c r="T59" i="40" s="1"/>
  <c r="P43" i="41"/>
  <c r="AB11" i="184"/>
  <c r="M217" i="68"/>
  <c r="AE19" i="32"/>
  <c r="W19" i="32" s="1"/>
  <c r="J44" i="33"/>
  <c r="F9" i="184" s="1"/>
  <c r="K79" i="36"/>
  <c r="H40" i="104"/>
  <c r="K64" i="36"/>
  <c r="G21" i="15"/>
  <c r="AB7" i="184"/>
  <c r="AA60" i="14"/>
  <c r="R60" i="14"/>
  <c r="N28" i="24"/>
  <c r="M27" i="24"/>
  <c r="S18" i="184"/>
  <c r="G46" i="125"/>
  <c r="G47" i="125" s="1"/>
  <c r="I47" i="52"/>
  <c r="S47" i="52"/>
  <c r="G40" i="8"/>
  <c r="M27" i="4"/>
  <c r="K37" i="16"/>
  <c r="K42" i="16" s="1"/>
  <c r="K43" i="15"/>
  <c r="M71" i="10"/>
  <c r="M70" i="10" s="1"/>
  <c r="AA38" i="32"/>
  <c r="S38" i="32" s="1"/>
  <c r="F44" i="33"/>
  <c r="S28" i="6"/>
  <c r="G28" i="6"/>
  <c r="L17" i="184"/>
  <c r="Y41" i="64"/>
  <c r="P41" i="64" s="1"/>
  <c r="J13" i="184"/>
  <c r="I45" i="50"/>
  <c r="K45" i="50"/>
  <c r="K13" i="184"/>
  <c r="K50" i="64"/>
  <c r="T50" i="64"/>
  <c r="L54" i="64"/>
  <c r="I36" i="5"/>
  <c r="Q36" i="5"/>
  <c r="K36" i="5"/>
  <c r="AT19" i="184"/>
  <c r="J78" i="7"/>
  <c r="J79" i="7"/>
  <c r="V19" i="184"/>
  <c r="I50" i="66"/>
  <c r="K50" i="66"/>
  <c r="AB50" i="64" s="1"/>
  <c r="S50" i="64" s="1"/>
  <c r="J54" i="66"/>
  <c r="AL17" i="184" s="1"/>
  <c r="AA50" i="64"/>
  <c r="R50" i="64" s="1"/>
  <c r="G7" i="7"/>
  <c r="Y47" i="24"/>
  <c r="G47" i="26"/>
  <c r="F59" i="26"/>
  <c r="AD11" i="184"/>
  <c r="AD59" i="40"/>
  <c r="V59" i="40" s="1"/>
  <c r="I59" i="41"/>
  <c r="K59" i="41"/>
  <c r="F55" i="61"/>
  <c r="Z45" i="60"/>
  <c r="Q45" i="60" s="1"/>
  <c r="K68" i="177"/>
  <c r="Z8" i="184"/>
  <c r="Z63" i="28"/>
  <c r="I28" i="6"/>
  <c r="J8" i="7"/>
  <c r="J7" i="11"/>
  <c r="N49" i="24"/>
  <c r="M53" i="4"/>
  <c r="N53" i="4" s="1"/>
  <c r="M47" i="24"/>
  <c r="AE44" i="32"/>
  <c r="W44" i="32" s="1"/>
  <c r="J41" i="66"/>
  <c r="N17" i="184" s="1"/>
  <c r="AA37" i="64"/>
  <c r="R37" i="64" s="1"/>
  <c r="I37" i="66"/>
  <c r="M28" i="178"/>
  <c r="L40" i="178"/>
  <c r="M40" i="178"/>
  <c r="K102" i="71"/>
  <c r="G11" i="177"/>
  <c r="Y71" i="4"/>
  <c r="O67" i="5"/>
  <c r="H68" i="6"/>
  <c r="G68" i="6" s="1"/>
  <c r="L64" i="53"/>
  <c r="K64" i="53" s="1"/>
  <c r="H77" i="64"/>
  <c r="Q32" i="5"/>
  <c r="J29" i="5"/>
  <c r="I29" i="5" s="1"/>
  <c r="I32" i="5"/>
  <c r="AC31" i="4"/>
  <c r="T31" i="4" s="1"/>
  <c r="K32" i="5"/>
  <c r="I37" i="64"/>
  <c r="K37" i="64"/>
  <c r="AC38" i="32"/>
  <c r="U38" i="32" s="1"/>
  <c r="G38" i="33"/>
  <c r="I38" i="33"/>
  <c r="H44" i="33"/>
  <c r="H27" i="4"/>
  <c r="BI59" i="181" s="1"/>
  <c r="AE39" i="14"/>
  <c r="V39" i="14" s="1"/>
  <c r="J38" i="15"/>
  <c r="U16" i="6"/>
  <c r="P28" i="8"/>
  <c r="F16" i="9"/>
  <c r="Y18" i="14"/>
  <c r="P18" i="14" s="1"/>
  <c r="D44" i="15"/>
  <c r="B12" i="184"/>
  <c r="Z47" i="44"/>
  <c r="R47" i="44" s="1"/>
  <c r="N47" i="45"/>
  <c r="M59" i="65"/>
  <c r="AE54" i="64"/>
  <c r="F46" i="125"/>
  <c r="F47" i="125" s="1"/>
  <c r="R47" i="52"/>
  <c r="R65" i="6"/>
  <c r="H84" i="28"/>
  <c r="E43" i="105"/>
  <c r="E44" i="105" s="1"/>
  <c r="G44" i="28"/>
  <c r="I44" i="28"/>
  <c r="F43" i="105" s="1"/>
  <c r="AA36" i="6"/>
  <c r="AA25" i="6"/>
  <c r="S25" i="6" s="1"/>
  <c r="H37" i="6"/>
  <c r="G37" i="6" s="1"/>
  <c r="AA37" i="6"/>
  <c r="S37" i="6" s="1"/>
  <c r="I38" i="26"/>
  <c r="AA18" i="6"/>
  <c r="S18" i="6"/>
  <c r="J37" i="26"/>
  <c r="I37" i="26" s="1"/>
  <c r="R37" i="6"/>
  <c r="E37" i="6"/>
  <c r="F36" i="6"/>
  <c r="F17" i="184"/>
  <c r="J59" i="65"/>
  <c r="I40" i="65"/>
  <c r="I59" i="65" s="1"/>
  <c r="U47" i="48"/>
  <c r="L88" i="48"/>
  <c r="K47" i="48"/>
  <c r="K88" i="48" s="1"/>
  <c r="I37" i="124"/>
  <c r="J54" i="64"/>
  <c r="H81" i="14"/>
  <c r="H64" i="14"/>
  <c r="G34" i="10"/>
  <c r="K18" i="184" s="1"/>
  <c r="L18" i="184"/>
  <c r="C33" i="181"/>
  <c r="K33" i="181" s="1"/>
  <c r="CU33" i="181" s="1"/>
  <c r="N27" i="64"/>
  <c r="F41" i="64"/>
  <c r="M64" i="178"/>
  <c r="L53" i="24"/>
  <c r="AD43" i="36"/>
  <c r="V43" i="36" s="1"/>
  <c r="F10" i="184"/>
  <c r="I43" i="37"/>
  <c r="G27" i="64"/>
  <c r="I69" i="11"/>
  <c r="I73" i="11"/>
  <c r="J73" i="11"/>
  <c r="AT18" i="184" s="1"/>
  <c r="E20" i="15"/>
  <c r="AA18" i="14"/>
  <c r="R18" i="14" s="1"/>
  <c r="M54" i="64"/>
  <c r="M67" i="64" s="1"/>
  <c r="V44" i="64"/>
  <c r="E17" i="184"/>
  <c r="AC11" i="184"/>
  <c r="V54" i="64"/>
  <c r="J67" i="64"/>
  <c r="Z55" i="60"/>
  <c r="Q55" i="60" s="1"/>
  <c r="Z16" i="184"/>
  <c r="AD83" i="6"/>
  <c r="L9" i="2"/>
  <c r="G9" i="177"/>
  <c r="G8" i="177" s="1"/>
  <c r="G4" i="177" s="1"/>
  <c r="D22" i="182"/>
  <c r="CG22" i="182" s="1"/>
  <c r="B9" i="184"/>
  <c r="AA44" i="32"/>
  <c r="S44" i="32" s="1"/>
  <c r="O44" i="33"/>
  <c r="E10" i="184"/>
  <c r="B7" i="184"/>
  <c r="Y16" i="8"/>
  <c r="P16" i="8" s="1"/>
  <c r="J33" i="11"/>
  <c r="I33" i="11" s="1"/>
  <c r="I7" i="11"/>
  <c r="K41" i="15"/>
  <c r="AF41" i="14"/>
  <c r="W41" i="14"/>
  <c r="G59" i="26"/>
  <c r="K54" i="66"/>
  <c r="AB54" i="64" s="1"/>
  <c r="AA54" i="64"/>
  <c r="R54" i="64" s="1"/>
  <c r="E36" i="6"/>
  <c r="R36" i="6"/>
  <c r="D9" i="184"/>
  <c r="AC44" i="32"/>
  <c r="U44" i="32" s="1"/>
  <c r="G44" i="33"/>
  <c r="C9" i="184" s="1"/>
  <c r="P44" i="33"/>
  <c r="I41" i="66"/>
  <c r="M17" i="184" s="1"/>
  <c r="J59" i="66"/>
  <c r="J7" i="7"/>
  <c r="I7" i="7" s="1"/>
  <c r="I8" i="7"/>
  <c r="K54" i="64"/>
  <c r="T54" i="64"/>
  <c r="L67" i="64"/>
  <c r="K38" i="15"/>
  <c r="AF39" i="14"/>
  <c r="W39" i="14" s="1"/>
  <c r="V18" i="184"/>
  <c r="H46" i="10"/>
  <c r="U18" i="184"/>
  <c r="K99" i="177"/>
  <c r="J99" i="177" s="1"/>
  <c r="L54" i="10"/>
  <c r="J63" i="6" s="1"/>
  <c r="L55" i="8"/>
  <c r="K55" i="8" s="1"/>
  <c r="M80" i="70"/>
  <c r="J217" i="70"/>
  <c r="I217" i="70" s="1"/>
  <c r="I80" i="70"/>
  <c r="J3" i="70"/>
  <c r="D27" i="182" s="1"/>
  <c r="L27" i="182" s="1"/>
  <c r="CN27" i="182" s="1"/>
  <c r="E99" i="177"/>
  <c r="E103" i="177"/>
  <c r="F55" i="8"/>
  <c r="P101" i="177"/>
  <c r="F54" i="10"/>
  <c r="O217" i="70"/>
  <c r="O214" i="70" s="1"/>
  <c r="O222" i="70" s="1"/>
  <c r="O3" i="70"/>
  <c r="O196" i="70" s="1"/>
  <c r="F68" i="4"/>
  <c r="O6" i="3" s="1"/>
  <c r="H203" i="70"/>
  <c r="H204" i="70" s="1"/>
  <c r="J196" i="70"/>
  <c r="I196" i="70"/>
  <c r="I3" i="70"/>
  <c r="E70" i="4"/>
  <c r="F20" i="2"/>
  <c r="P7" i="2"/>
  <c r="T135" i="1"/>
  <c r="V7" i="2"/>
  <c r="I38" i="1"/>
  <c r="G87" i="4"/>
  <c r="L130" i="1"/>
  <c r="S17" i="3"/>
  <c r="S22" i="3" s="1"/>
  <c r="U16" i="2"/>
  <c r="T16" i="2" s="1"/>
  <c r="F76" i="1"/>
  <c r="R49" i="1"/>
  <c r="J19" i="2"/>
  <c r="R42" i="4"/>
  <c r="P49" i="1"/>
  <c r="N30" i="4"/>
  <c r="E7" i="3"/>
  <c r="H19" i="2"/>
  <c r="H71" i="1"/>
  <c r="I121" i="1"/>
  <c r="H121" i="1" s="1"/>
  <c r="E18" i="2"/>
  <c r="V135" i="1"/>
  <c r="V18" i="4"/>
  <c r="W89" i="4"/>
  <c r="E83" i="4"/>
  <c r="E97" i="4" s="1"/>
  <c r="E111" i="4" s="1"/>
  <c r="N88" i="4"/>
  <c r="V15" i="2"/>
  <c r="L125" i="1"/>
  <c r="J28" i="4"/>
  <c r="J123" i="4" s="1"/>
  <c r="I6" i="3"/>
  <c r="I30" i="4"/>
  <c r="M43" i="182" s="1"/>
  <c r="K20" i="2"/>
  <c r="K67" i="1"/>
  <c r="U17" i="3"/>
  <c r="V49" i="1"/>
  <c r="L6" i="3"/>
  <c r="G89" i="4"/>
  <c r="N89" i="4"/>
  <c r="Q16" i="2"/>
  <c r="P16" i="2" s="1"/>
  <c r="G9" i="2"/>
  <c r="K18" i="2"/>
  <c r="L13" i="1"/>
  <c r="Q6" i="2"/>
  <c r="I140" i="1"/>
  <c r="L8" i="3"/>
  <c r="L49" i="1"/>
  <c r="G38" i="1"/>
  <c r="F38" i="1" s="1"/>
  <c r="R29" i="4"/>
  <c r="G7" i="3"/>
  <c r="G16" i="3" s="1"/>
  <c r="G30" i="2" s="1"/>
  <c r="G38" i="2" s="1"/>
  <c r="D51" i="4"/>
  <c r="D83" i="4" s="1"/>
  <c r="D97" i="4" s="1"/>
  <c r="N37" i="4"/>
  <c r="W88" i="4"/>
  <c r="S9" i="2"/>
  <c r="I55" i="4"/>
  <c r="J50" i="182"/>
  <c r="E64" i="1"/>
  <c r="E77" i="1" s="1"/>
  <c r="E149" i="1" s="1"/>
  <c r="G55" i="1"/>
  <c r="F55" i="1"/>
  <c r="N35" i="4"/>
  <c r="G20" i="3"/>
  <c r="G17" i="3" s="1"/>
  <c r="G53" i="4"/>
  <c r="P17" i="3"/>
  <c r="Q22" i="3"/>
  <c r="G78" i="2" s="1"/>
  <c r="G61" i="4"/>
  <c r="N61" i="4"/>
  <c r="K121" i="1"/>
  <c r="J121" i="1" s="1"/>
  <c r="K125" i="1"/>
  <c r="K140" i="1" s="1"/>
  <c r="V88" i="4"/>
  <c r="H76" i="1"/>
  <c r="J76" i="1"/>
  <c r="L59" i="1"/>
  <c r="G11" i="4"/>
  <c r="P11" i="4"/>
  <c r="I29" i="4"/>
  <c r="I28" i="4" s="1"/>
  <c r="M47" i="182" s="1"/>
  <c r="N102" i="4"/>
  <c r="CO59" i="181"/>
  <c r="G67" i="1"/>
  <c r="F67" i="1" s="1"/>
  <c r="V11" i="4"/>
  <c r="T12" i="4"/>
  <c r="R58" i="4"/>
  <c r="L20" i="2"/>
  <c r="F71" i="1"/>
  <c r="P135" i="1"/>
  <c r="P18" i="4"/>
  <c r="J67" i="1"/>
  <c r="H67" i="1"/>
  <c r="G54" i="4"/>
  <c r="O8" i="2"/>
  <c r="F15" i="2"/>
  <c r="E9" i="2"/>
  <c r="P27" i="4"/>
  <c r="BG59" i="181"/>
  <c r="E44" i="1"/>
  <c r="H123" i="4"/>
  <c r="L67" i="1"/>
  <c r="I20" i="2"/>
  <c r="H20" i="2" s="1"/>
  <c r="T42" i="4"/>
  <c r="I20" i="3"/>
  <c r="I17" i="3" s="1"/>
  <c r="I22" i="3" s="1"/>
  <c r="I55" i="1"/>
  <c r="J55" i="1" s="1"/>
  <c r="I18" i="2"/>
  <c r="BZ37" i="182" s="1"/>
  <c r="BZ38" i="182" s="1"/>
  <c r="I59" i="1"/>
  <c r="P71" i="4"/>
  <c r="F19" i="2"/>
  <c r="G64" i="1"/>
  <c r="G38" i="4"/>
  <c r="N38" i="4"/>
  <c r="P29" i="4"/>
  <c r="G29" i="4"/>
  <c r="H130" i="1"/>
  <c r="T88" i="4"/>
  <c r="G125" i="1"/>
  <c r="H125" i="1" s="1"/>
  <c r="Q15" i="2"/>
  <c r="R15" i="2" s="1"/>
  <c r="H8" i="3"/>
  <c r="I13" i="1"/>
  <c r="T30" i="4"/>
  <c r="K13" i="1"/>
  <c r="K6" i="3"/>
  <c r="J6" i="3" s="1"/>
  <c r="G18" i="2"/>
  <c r="G59" i="1"/>
  <c r="G36" i="4"/>
  <c r="N36" i="4"/>
  <c r="L121" i="1"/>
  <c r="L140" i="1" s="1"/>
  <c r="W87" i="4"/>
  <c r="L7" i="3"/>
  <c r="M28" i="4"/>
  <c r="N28" i="4" s="1"/>
  <c r="L38" i="1"/>
  <c r="F7" i="3"/>
  <c r="F18" i="2"/>
  <c r="BW37" i="182" s="1"/>
  <c r="BW38" i="182" s="1"/>
  <c r="F125" i="1"/>
  <c r="H59" i="1"/>
  <c r="J59" i="1"/>
  <c r="J13" i="1"/>
  <c r="F59" i="1"/>
  <c r="J18" i="2"/>
  <c r="M123" i="4"/>
  <c r="AE36" i="60" l="1"/>
  <c r="U36" i="60" s="1"/>
  <c r="K9" i="2"/>
  <c r="K44" i="1"/>
  <c r="L7" i="2"/>
  <c r="Q42" i="182"/>
  <c r="Y42" i="182" s="1"/>
  <c r="AX59" i="181"/>
  <c r="AX60" i="181" s="1"/>
  <c r="Q44" i="182"/>
  <c r="Y44" i="182" s="1"/>
  <c r="BN59" i="181"/>
  <c r="BN60" i="181" s="1"/>
  <c r="AA52" i="24"/>
  <c r="S52" i="24" s="1"/>
  <c r="W57" i="5"/>
  <c r="AI22" i="60"/>
  <c r="Y22" i="60" s="1"/>
  <c r="M22" i="25"/>
  <c r="AF23" i="24" s="1"/>
  <c r="X23" i="24" s="1"/>
  <c r="AG19" i="60"/>
  <c r="W19" i="60" s="1"/>
  <c r="K19" i="61"/>
  <c r="K18" i="61"/>
  <c r="AE18" i="60"/>
  <c r="U18" i="60" s="1"/>
  <c r="K17" i="61"/>
  <c r="AE17" i="60"/>
  <c r="U17" i="60" s="1"/>
  <c r="I17" i="61"/>
  <c r="J17" i="25"/>
  <c r="J11" i="25"/>
  <c r="K11" i="61"/>
  <c r="I11" i="61"/>
  <c r="M8" i="61"/>
  <c r="M12" i="25"/>
  <c r="AF12" i="24" s="1"/>
  <c r="X12" i="24" s="1"/>
  <c r="G37" i="4"/>
  <c r="K50" i="182" s="1"/>
  <c r="G44" i="1"/>
  <c r="F44" i="1" s="1"/>
  <c r="G52" i="5"/>
  <c r="N27" i="24"/>
  <c r="M8" i="25"/>
  <c r="AF8" i="24" s="1"/>
  <c r="H21" i="24"/>
  <c r="AA15" i="24"/>
  <c r="S15" i="24" s="1"/>
  <c r="G15" i="25"/>
  <c r="D58" i="25"/>
  <c r="G46" i="61"/>
  <c r="AE38" i="24"/>
  <c r="W38" i="24" s="1"/>
  <c r="AA37" i="5"/>
  <c r="L37" i="24"/>
  <c r="L38" i="4"/>
  <c r="F26" i="25"/>
  <c r="Y27" i="24" s="1"/>
  <c r="Q27" i="24" s="1"/>
  <c r="AC19" i="60"/>
  <c r="S19" i="60" s="1"/>
  <c r="F47" i="24"/>
  <c r="Q47" i="24" s="1"/>
  <c r="F52" i="4"/>
  <c r="O6" i="2" s="1"/>
  <c r="G57" i="61"/>
  <c r="H59" i="25"/>
  <c r="H70" i="5" s="1"/>
  <c r="AC57" i="60"/>
  <c r="S57" i="60" s="1"/>
  <c r="I57" i="61"/>
  <c r="AC54" i="60"/>
  <c r="S54" i="60" s="1"/>
  <c r="H55" i="25"/>
  <c r="I55" i="25" s="1"/>
  <c r="G54" i="61"/>
  <c r="H51" i="61"/>
  <c r="AC53" i="60"/>
  <c r="S53" i="60" s="1"/>
  <c r="G53" i="61"/>
  <c r="J53" i="25"/>
  <c r="J64" i="5" s="1"/>
  <c r="I52" i="61"/>
  <c r="AE52" i="60"/>
  <c r="U52" i="60" s="1"/>
  <c r="K52" i="61"/>
  <c r="AC50" i="60"/>
  <c r="S50" i="60" s="1"/>
  <c r="G50" i="61"/>
  <c r="I50" i="61"/>
  <c r="AE49" i="60"/>
  <c r="U49" i="60" s="1"/>
  <c r="I49" i="61"/>
  <c r="J50" i="25"/>
  <c r="AC51" i="24" s="1"/>
  <c r="U51" i="24" s="1"/>
  <c r="G48" i="61"/>
  <c r="AC48" i="60"/>
  <c r="S48" i="60" s="1"/>
  <c r="AG46" i="60"/>
  <c r="W46" i="60" s="1"/>
  <c r="K46" i="61"/>
  <c r="AC41" i="60"/>
  <c r="S41" i="60" s="1"/>
  <c r="H41" i="25"/>
  <c r="H39" i="61"/>
  <c r="G41" i="61"/>
  <c r="AE37" i="60"/>
  <c r="U37" i="60" s="1"/>
  <c r="I37" i="61"/>
  <c r="AC31" i="60"/>
  <c r="S31" i="60" s="1"/>
  <c r="I31" i="61"/>
  <c r="Z25" i="60"/>
  <c r="Q25" i="60" s="1"/>
  <c r="F19" i="61"/>
  <c r="Z19" i="60" s="1"/>
  <c r="Q19" i="60" s="1"/>
  <c r="G13" i="61"/>
  <c r="AC13" i="60"/>
  <c r="S13" i="60" s="1"/>
  <c r="H13" i="25"/>
  <c r="G27" i="4"/>
  <c r="BH59" i="181" s="1"/>
  <c r="N27" i="4"/>
  <c r="AE39" i="60"/>
  <c r="U39" i="60" s="1"/>
  <c r="M26" i="25"/>
  <c r="L26" i="25"/>
  <c r="AF54" i="24"/>
  <c r="X54" i="24" s="1"/>
  <c r="M64" i="5"/>
  <c r="S64" i="5" s="1"/>
  <c r="AC12" i="60"/>
  <c r="S12" i="60" s="1"/>
  <c r="H8" i="61"/>
  <c r="G12" i="61"/>
  <c r="F8" i="24"/>
  <c r="F16" i="4" s="1"/>
  <c r="I14" i="24"/>
  <c r="N25" i="24"/>
  <c r="M53" i="24"/>
  <c r="M59" i="24" s="1"/>
  <c r="M70" i="24" s="1"/>
  <c r="O209" i="70"/>
  <c r="L52" i="25"/>
  <c r="AE53" i="24" s="1"/>
  <c r="W53" i="24" s="1"/>
  <c r="AE54" i="24"/>
  <c r="W54" i="24" s="1"/>
  <c r="AE51" i="60"/>
  <c r="U51" i="60" s="1"/>
  <c r="K51" i="61"/>
  <c r="I51" i="61"/>
  <c r="AE11" i="60"/>
  <c r="U11" i="60" s="1"/>
  <c r="I10" i="61"/>
  <c r="F40" i="27"/>
  <c r="AF52" i="24"/>
  <c r="X52" i="24" s="1"/>
  <c r="M57" i="5"/>
  <c r="AB57" i="5"/>
  <c r="Z15" i="60"/>
  <c r="Q15" i="60" s="1"/>
  <c r="G15" i="61"/>
  <c r="F15" i="25"/>
  <c r="Y15" i="24" s="1"/>
  <c r="Q15" i="24" s="1"/>
  <c r="N48" i="24"/>
  <c r="M52" i="4"/>
  <c r="P6" i="2"/>
  <c r="Y55" i="4"/>
  <c r="P55" i="4" s="1"/>
  <c r="G38" i="5"/>
  <c r="L37" i="2"/>
  <c r="L44" i="1"/>
  <c r="N54" i="4"/>
  <c r="Y69" i="4"/>
  <c r="P69" i="4" s="1"/>
  <c r="F58" i="25"/>
  <c r="F69" i="5" s="1"/>
  <c r="S22" i="24"/>
  <c r="U65" i="5"/>
  <c r="O65" i="5" s="1"/>
  <c r="I48" i="25"/>
  <c r="AE10" i="60"/>
  <c r="U10" i="60" s="1"/>
  <c r="F8" i="61"/>
  <c r="Z8" i="60" s="1"/>
  <c r="Q8" i="60" s="1"/>
  <c r="F12" i="25"/>
  <c r="S14" i="24"/>
  <c r="AE28" i="24"/>
  <c r="W28" i="24" s="1"/>
  <c r="I41" i="61"/>
  <c r="L53" i="4"/>
  <c r="U7" i="2" s="1"/>
  <c r="K49" i="24"/>
  <c r="AI12" i="60"/>
  <c r="Y12" i="60" s="1"/>
  <c r="O39" i="25"/>
  <c r="Q9" i="24"/>
  <c r="G37" i="25"/>
  <c r="W38" i="5"/>
  <c r="P38" i="5" s="1"/>
  <c r="W37" i="5"/>
  <c r="L209" i="70"/>
  <c r="L210" i="70" s="1"/>
  <c r="J68" i="4"/>
  <c r="K54" i="24"/>
  <c r="M209" i="70" s="1"/>
  <c r="K18" i="24"/>
  <c r="I18" i="24"/>
  <c r="J21" i="24"/>
  <c r="AI16" i="60"/>
  <c r="Y16" i="60" s="1"/>
  <c r="M16" i="25"/>
  <c r="AF16" i="24" s="1"/>
  <c r="X16" i="24" s="1"/>
  <c r="F14" i="25"/>
  <c r="G14" i="25" s="1"/>
  <c r="L51" i="5"/>
  <c r="S18" i="24"/>
  <c r="X29" i="24"/>
  <c r="X22" i="24"/>
  <c r="L64" i="1"/>
  <c r="C28" i="195" s="1"/>
  <c r="CL59" i="181"/>
  <c r="CL60" i="181" s="1"/>
  <c r="Q50" i="182"/>
  <c r="Y50" i="182" s="1"/>
  <c r="Q48" i="24"/>
  <c r="M42" i="61"/>
  <c r="I16" i="184" s="1"/>
  <c r="E46" i="126"/>
  <c r="W52" i="5"/>
  <c r="G53" i="25"/>
  <c r="K55" i="25"/>
  <c r="J209" i="70"/>
  <c r="J210" i="70" s="1"/>
  <c r="K9" i="24"/>
  <c r="H54" i="25"/>
  <c r="F13" i="25"/>
  <c r="D20" i="24"/>
  <c r="Q38" i="24"/>
  <c r="AI8" i="60"/>
  <c r="Y8" i="60" s="1"/>
  <c r="M70" i="5"/>
  <c r="P52" i="5"/>
  <c r="U32" i="24"/>
  <c r="G11" i="25"/>
  <c r="F59" i="24"/>
  <c r="F70" i="24" s="1"/>
  <c r="K37" i="61"/>
  <c r="AE48" i="60"/>
  <c r="U48" i="60" s="1"/>
  <c r="K48" i="26"/>
  <c r="J45" i="61"/>
  <c r="AE45" i="60" s="1"/>
  <c r="U45" i="60" s="1"/>
  <c r="I48" i="61"/>
  <c r="K41" i="26"/>
  <c r="K12" i="26"/>
  <c r="AL16" i="184"/>
  <c r="I12" i="26"/>
  <c r="J8" i="26"/>
  <c r="H23" i="177"/>
  <c r="H32" i="177" s="1"/>
  <c r="J57" i="5"/>
  <c r="AC61" i="4" s="1"/>
  <c r="T61" i="4" s="1"/>
  <c r="J60" i="14"/>
  <c r="J64" i="14" s="1"/>
  <c r="K49" i="7"/>
  <c r="K61" i="17"/>
  <c r="K42" i="17" s="1"/>
  <c r="K40" i="17" s="1"/>
  <c r="J46" i="7"/>
  <c r="J87" i="7" s="1"/>
  <c r="I87" i="7" s="1"/>
  <c r="K38" i="14"/>
  <c r="K46" i="18"/>
  <c r="I37" i="15"/>
  <c r="K9" i="14"/>
  <c r="I45" i="14"/>
  <c r="AC48" i="14"/>
  <c r="T48" i="14" s="1"/>
  <c r="G50" i="15"/>
  <c r="H47" i="15"/>
  <c r="K49" i="14"/>
  <c r="I46" i="22"/>
  <c r="T49" i="14"/>
  <c r="I50" i="15"/>
  <c r="AC23" i="24"/>
  <c r="K8" i="29"/>
  <c r="AD8" i="28" s="1"/>
  <c r="V8" i="28" s="1"/>
  <c r="K63" i="29"/>
  <c r="AD8" i="184"/>
  <c r="AD64" i="28"/>
  <c r="I44" i="33"/>
  <c r="E9" i="184" s="1"/>
  <c r="AE17" i="32"/>
  <c r="W17" i="32" s="1"/>
  <c r="U39" i="106"/>
  <c r="AC39" i="4"/>
  <c r="T39" i="4" s="1"/>
  <c r="AE18" i="32"/>
  <c r="W18" i="32" s="1"/>
  <c r="H37" i="104"/>
  <c r="H38" i="104" s="1"/>
  <c r="K18" i="37"/>
  <c r="K50" i="41"/>
  <c r="J37" i="4"/>
  <c r="N50" i="182" s="1"/>
  <c r="I15" i="2"/>
  <c r="H15" i="2" s="1"/>
  <c r="CG37" i="182" s="1"/>
  <c r="J69" i="4"/>
  <c r="S7" i="3" s="1"/>
  <c r="Y50" i="5"/>
  <c r="Q50" i="5" s="1"/>
  <c r="U50" i="24"/>
  <c r="I54" i="25"/>
  <c r="I46" i="45"/>
  <c r="I10" i="45"/>
  <c r="J52" i="5"/>
  <c r="AC55" i="4" s="1"/>
  <c r="T55" i="4" s="1"/>
  <c r="AC54" i="24"/>
  <c r="U54" i="24" s="1"/>
  <c r="K10" i="45"/>
  <c r="J13" i="25"/>
  <c r="K17" i="24"/>
  <c r="I13" i="45"/>
  <c r="AD51" i="44"/>
  <c r="V51" i="44" s="1"/>
  <c r="J50" i="45"/>
  <c r="J10" i="25"/>
  <c r="K10" i="25" s="1"/>
  <c r="J47" i="25"/>
  <c r="J49" i="5" s="1"/>
  <c r="AC52" i="4" s="1"/>
  <c r="K13" i="45"/>
  <c r="J8" i="45"/>
  <c r="I18" i="45"/>
  <c r="F36" i="123"/>
  <c r="K65" i="49"/>
  <c r="I64" i="1"/>
  <c r="H64" i="1" s="1"/>
  <c r="K50" i="49"/>
  <c r="J59" i="25"/>
  <c r="K41" i="24"/>
  <c r="J37" i="24"/>
  <c r="K60" i="53"/>
  <c r="AD15" i="184"/>
  <c r="AC55" i="56"/>
  <c r="U55" i="56" s="1"/>
  <c r="I55" i="57"/>
  <c r="AC15" i="184" s="1"/>
  <c r="I21" i="24"/>
  <c r="I15" i="25"/>
  <c r="I19" i="24"/>
  <c r="I49" i="25"/>
  <c r="K45" i="57"/>
  <c r="U15" i="24"/>
  <c r="AC36" i="56"/>
  <c r="U36" i="56" s="1"/>
  <c r="K13" i="25"/>
  <c r="J39" i="25"/>
  <c r="AC40" i="24" s="1"/>
  <c r="U40" i="24" s="1"/>
  <c r="I53" i="25"/>
  <c r="J52" i="25"/>
  <c r="Y63" i="5" s="1"/>
  <c r="J54" i="4"/>
  <c r="S8" i="2" s="1"/>
  <c r="R8" i="2" s="1"/>
  <c r="K16" i="25"/>
  <c r="AC45" i="56"/>
  <c r="U45" i="56" s="1"/>
  <c r="K65" i="5"/>
  <c r="Q65" i="5"/>
  <c r="AC52" i="24"/>
  <c r="U52" i="24" s="1"/>
  <c r="I39" i="57"/>
  <c r="AC41" i="56"/>
  <c r="U41" i="56" s="1"/>
  <c r="K12" i="57"/>
  <c r="I11" i="24"/>
  <c r="I50" i="25"/>
  <c r="I16" i="25"/>
  <c r="U23" i="24"/>
  <c r="I15" i="24"/>
  <c r="K15" i="25"/>
  <c r="Y64" i="5"/>
  <c r="Q64" i="5" s="1"/>
  <c r="K40" i="24"/>
  <c r="I50" i="24"/>
  <c r="J41" i="4"/>
  <c r="I45" i="57"/>
  <c r="Y57" i="5"/>
  <c r="J101" i="4"/>
  <c r="J103" i="4" s="1"/>
  <c r="J37" i="25"/>
  <c r="Y38" i="5" s="1"/>
  <c r="Y52" i="5"/>
  <c r="I36" i="57"/>
  <c r="AC12" i="56"/>
  <c r="U12" i="56" s="1"/>
  <c r="W30" i="127"/>
  <c r="J40" i="27"/>
  <c r="I17" i="24"/>
  <c r="K31" i="25"/>
  <c r="H39" i="126"/>
  <c r="H40" i="126" s="1"/>
  <c r="K51" i="25"/>
  <c r="K57" i="61"/>
  <c r="U26" i="24"/>
  <c r="J27" i="64"/>
  <c r="J41" i="64" s="1"/>
  <c r="R28" i="64"/>
  <c r="J28" i="24"/>
  <c r="S40" i="64"/>
  <c r="AG128" i="68"/>
  <c r="K53" i="24"/>
  <c r="AA41" i="64"/>
  <c r="R41" i="64" s="1"/>
  <c r="K54" i="25"/>
  <c r="K28" i="64"/>
  <c r="J59" i="64"/>
  <c r="K27" i="66"/>
  <c r="AB27" i="64" s="1"/>
  <c r="AL14" i="181"/>
  <c r="J53" i="4"/>
  <c r="S7" i="2" s="1"/>
  <c r="R7" i="2" s="1"/>
  <c r="K173" i="70"/>
  <c r="K167" i="70"/>
  <c r="H247" i="177"/>
  <c r="H246" i="177" s="1"/>
  <c r="H254" i="177" s="1"/>
  <c r="H252" i="177" s="1"/>
  <c r="H251" i="177" s="1"/>
  <c r="H250" i="177" s="1"/>
  <c r="I46" i="9"/>
  <c r="F31" i="181"/>
  <c r="I43" i="8"/>
  <c r="J210" i="177"/>
  <c r="F13" i="181"/>
  <c r="N13" i="181" s="1"/>
  <c r="CX13" i="181" s="1"/>
  <c r="H91" i="177"/>
  <c r="I91" i="177"/>
  <c r="K79" i="8"/>
  <c r="J91" i="177"/>
  <c r="F12" i="181"/>
  <c r="H77" i="177"/>
  <c r="I77" i="177"/>
  <c r="J77" i="177" s="1"/>
  <c r="J72" i="8"/>
  <c r="J76" i="8" s="1"/>
  <c r="T76" i="8" s="1"/>
  <c r="I43" i="177"/>
  <c r="I58" i="177" s="1"/>
  <c r="J52" i="177"/>
  <c r="I59" i="10"/>
  <c r="I56" i="10" s="1"/>
  <c r="H13" i="177"/>
  <c r="H12" i="177" s="1"/>
  <c r="AA65" i="6"/>
  <c r="AC57" i="8"/>
  <c r="T57" i="8" s="1"/>
  <c r="AA68" i="6"/>
  <c r="S68" i="6" s="1"/>
  <c r="T39" i="8"/>
  <c r="I39" i="8"/>
  <c r="AC60" i="8"/>
  <c r="T60" i="8" s="1"/>
  <c r="H65" i="6"/>
  <c r="G65" i="6" s="1"/>
  <c r="K39" i="8"/>
  <c r="J53" i="10"/>
  <c r="AC54" i="8" s="1"/>
  <c r="Q107" i="178"/>
  <c r="Q103" i="178"/>
  <c r="F43" i="181"/>
  <c r="N43" i="181" s="1"/>
  <c r="CX43" i="181" s="1"/>
  <c r="Q88" i="178"/>
  <c r="J8" i="8"/>
  <c r="Q87" i="178"/>
  <c r="J16" i="8"/>
  <c r="I36" i="9"/>
  <c r="X42" i="5" s="1"/>
  <c r="T33" i="8"/>
  <c r="I42" i="4"/>
  <c r="K32" i="8"/>
  <c r="K30" i="8"/>
  <c r="P17" i="178"/>
  <c r="P26" i="178" s="1"/>
  <c r="J26" i="8"/>
  <c r="J16" i="9"/>
  <c r="AC16" i="8" s="1"/>
  <c r="T16" i="8" s="1"/>
  <c r="V53" i="8"/>
  <c r="J38" i="177"/>
  <c r="L53" i="8"/>
  <c r="L61" i="4" s="1"/>
  <c r="J20" i="3"/>
  <c r="J17" i="3" s="1"/>
  <c r="I16" i="3"/>
  <c r="F8" i="3"/>
  <c r="L16" i="3"/>
  <c r="L24" i="3" s="1"/>
  <c r="V30" i="2" s="1"/>
  <c r="T17" i="3"/>
  <c r="O22" i="3"/>
  <c r="E78" i="2" s="1"/>
  <c r="P8" i="2"/>
  <c r="Z18" i="2"/>
  <c r="J20" i="2"/>
  <c r="R9" i="2"/>
  <c r="W130" i="1"/>
  <c r="W135" i="1" s="1"/>
  <c r="C27" i="195"/>
  <c r="H18" i="2"/>
  <c r="BY37" i="182" s="1"/>
  <c r="BY38" i="182" s="1"/>
  <c r="BX37" i="182"/>
  <c r="BX38" i="182" s="1"/>
  <c r="CF37" i="182"/>
  <c r="F9" i="2"/>
  <c r="D31" i="2"/>
  <c r="C23" i="2"/>
  <c r="H49" i="182"/>
  <c r="X49" i="182" s="1"/>
  <c r="O112" i="69"/>
  <c r="O105" i="69"/>
  <c r="F28" i="182"/>
  <c r="N28" i="182" s="1"/>
  <c r="CP28" i="182" s="1"/>
  <c r="L110" i="69"/>
  <c r="J43" i="9"/>
  <c r="AC40" i="8" s="1"/>
  <c r="T40" i="8" s="1"/>
  <c r="R20" i="184"/>
  <c r="CP8" i="182"/>
  <c r="Z6" i="182"/>
  <c r="Z32" i="182" s="1"/>
  <c r="CR8" i="182"/>
  <c r="F43" i="9"/>
  <c r="F51" i="5" s="1"/>
  <c r="Y54" i="4" s="1"/>
  <c r="P54" i="4" s="1"/>
  <c r="CL7" i="182"/>
  <c r="C8" i="182"/>
  <c r="AL6" i="182"/>
  <c r="AL32" i="182" s="1"/>
  <c r="W49" i="6"/>
  <c r="Q49" i="6" s="1"/>
  <c r="AC6" i="182"/>
  <c r="AC32" i="182" s="1"/>
  <c r="CR9" i="182"/>
  <c r="G40" i="10"/>
  <c r="C28" i="182"/>
  <c r="K28" i="182" s="1"/>
  <c r="CM28" i="182" s="1"/>
  <c r="H43" i="9"/>
  <c r="C26" i="182"/>
  <c r="K26" i="182" s="1"/>
  <c r="CM26" i="182" s="1"/>
  <c r="N6" i="182"/>
  <c r="J6" i="182"/>
  <c r="F49" i="6"/>
  <c r="R49" i="6" s="1"/>
  <c r="AK6" i="182"/>
  <c r="AK32" i="182" s="1"/>
  <c r="AE6" i="182"/>
  <c r="AE32" i="182" s="1"/>
  <c r="AA6" i="182"/>
  <c r="AA32" i="182" s="1"/>
  <c r="C9" i="182"/>
  <c r="AD6" i="182"/>
  <c r="AD32" i="182" s="1"/>
  <c r="C21" i="182"/>
  <c r="K21" i="182" s="1"/>
  <c r="CM21" i="182" s="1"/>
  <c r="H6" i="182"/>
  <c r="L22" i="182"/>
  <c r="CP7" i="182"/>
  <c r="CJ32" i="182"/>
  <c r="CP9" i="182"/>
  <c r="AF6" i="182"/>
  <c r="AF32" i="182" s="1"/>
  <c r="CO14" i="182"/>
  <c r="L14" i="182"/>
  <c r="R49" i="182"/>
  <c r="AH6" i="182"/>
  <c r="AH32" i="182" s="1"/>
  <c r="K55" i="181"/>
  <c r="CU55" i="181" s="1"/>
  <c r="C25" i="181"/>
  <c r="CW26" i="181"/>
  <c r="D26" i="181"/>
  <c r="L26" i="181" s="1"/>
  <c r="CV26" i="181" s="1"/>
  <c r="CU18" i="181"/>
  <c r="CU17" i="181"/>
  <c r="AI14" i="181"/>
  <c r="AI28" i="181"/>
  <c r="CE57" i="181"/>
  <c r="BG57" i="181"/>
  <c r="N21" i="181"/>
  <c r="CH57" i="181"/>
  <c r="CX21" i="181"/>
  <c r="CX15" i="181"/>
  <c r="AN14" i="181"/>
  <c r="CZ14" i="181" s="1"/>
  <c r="CY29" i="181"/>
  <c r="BO57" i="181"/>
  <c r="CU15" i="181"/>
  <c r="DA17" i="181"/>
  <c r="CX17" i="181"/>
  <c r="CU51" i="181"/>
  <c r="CU32" i="181"/>
  <c r="L13" i="181"/>
  <c r="CV13" i="181" s="1"/>
  <c r="G25" i="181"/>
  <c r="CW15" i="181"/>
  <c r="DA18" i="181"/>
  <c r="CU34" i="181"/>
  <c r="D30" i="181"/>
  <c r="L30" i="181" s="1"/>
  <c r="CV30" i="181" s="1"/>
  <c r="M29" i="181"/>
  <c r="AM14" i="181"/>
  <c r="CU30" i="181"/>
  <c r="U28" i="181"/>
  <c r="AM28" i="181"/>
  <c r="AT14" i="181"/>
  <c r="AT57" i="181" s="1"/>
  <c r="D8" i="181"/>
  <c r="E14" i="181"/>
  <c r="CX26" i="181"/>
  <c r="D24" i="181"/>
  <c r="L24" i="181" s="1"/>
  <c r="CV24" i="181" s="1"/>
  <c r="CU19" i="181"/>
  <c r="CW13" i="181"/>
  <c r="CW30" i="181"/>
  <c r="CY30" i="181"/>
  <c r="AQ14" i="181"/>
  <c r="AQ57" i="181" s="1"/>
  <c r="W28" i="181"/>
  <c r="DG28" i="181" s="1"/>
  <c r="DG57" i="181" s="1"/>
  <c r="F47" i="182" s="1"/>
  <c r="K14" i="181"/>
  <c r="T25" i="181"/>
  <c r="T57" i="181" s="1"/>
  <c r="CW17" i="181"/>
  <c r="V28" i="181"/>
  <c r="CX29" i="181"/>
  <c r="AJ14" i="181"/>
  <c r="CO60" i="181"/>
  <c r="D32" i="181"/>
  <c r="L32" i="181" s="1"/>
  <c r="AL25" i="181"/>
  <c r="M32" i="181"/>
  <c r="CQ60" i="181"/>
  <c r="CX24" i="181"/>
  <c r="CX30" i="181"/>
  <c r="AK28" i="181"/>
  <c r="DE28" i="181" s="1"/>
  <c r="DE57" i="181" s="1"/>
  <c r="D47" i="182" s="1"/>
  <c r="T47" i="182" s="1"/>
  <c r="BW57" i="181"/>
  <c r="AY57" i="181"/>
  <c r="B43" i="182" s="1"/>
  <c r="AC57" i="181"/>
  <c r="AL28" i="181"/>
  <c r="BG60" i="181"/>
  <c r="CZ16" i="181"/>
  <c r="CV17" i="181"/>
  <c r="E8" i="181"/>
  <c r="G8" i="181"/>
  <c r="K29" i="181"/>
  <c r="CU29" i="181" s="1"/>
  <c r="AK14" i="181"/>
  <c r="CU16" i="181"/>
  <c r="W25" i="181"/>
  <c r="W57" i="181" s="1"/>
  <c r="F41" i="182" s="1"/>
  <c r="S25" i="181"/>
  <c r="D14" i="181"/>
  <c r="V25" i="181"/>
  <c r="C8" i="181"/>
  <c r="L10" i="181"/>
  <c r="CW18" i="181"/>
  <c r="M10" i="181"/>
  <c r="CZ26" i="181"/>
  <c r="AS14" i="181"/>
  <c r="AS57" i="181" s="1"/>
  <c r="G14" i="181"/>
  <c r="O27" i="181"/>
  <c r="O25" i="181" s="1"/>
  <c r="CU26" i="181"/>
  <c r="CW24" i="181"/>
  <c r="K21" i="181"/>
  <c r="CU21" i="181" s="1"/>
  <c r="CY26" i="181"/>
  <c r="Y57" i="181"/>
  <c r="AK25" i="181"/>
  <c r="AF56" i="8"/>
  <c r="W56" i="8" s="1"/>
  <c r="AD64" i="6"/>
  <c r="K64" i="6"/>
  <c r="AA56" i="8"/>
  <c r="R56" i="8" s="1"/>
  <c r="Y64" i="6"/>
  <c r="F64" i="6"/>
  <c r="AE56" i="8"/>
  <c r="J64" i="6"/>
  <c r="AE69" i="4" s="1"/>
  <c r="Y6" i="3"/>
  <c r="W6" i="3"/>
  <c r="H92" i="69"/>
  <c r="H93" i="69" s="1"/>
  <c r="J54" i="8"/>
  <c r="M100" i="177"/>
  <c r="H69" i="177"/>
  <c r="M69" i="4"/>
  <c r="L68" i="177"/>
  <c r="L72" i="177" s="1"/>
  <c r="M72" i="177" s="1"/>
  <c r="T56" i="8"/>
  <c r="G55" i="10"/>
  <c r="H16" i="3"/>
  <c r="V22" i="3"/>
  <c r="L78" i="2" s="1"/>
  <c r="H20" i="3"/>
  <c r="H17" i="3" s="1"/>
  <c r="H6" i="3"/>
  <c r="G22" i="3"/>
  <c r="F22" i="3" s="1"/>
  <c r="F17" i="3"/>
  <c r="I46" i="2"/>
  <c r="J22" i="3"/>
  <c r="J140" i="1"/>
  <c r="G77" i="1"/>
  <c r="H13" i="1"/>
  <c r="F20" i="3"/>
  <c r="H7" i="3"/>
  <c r="L77" i="1"/>
  <c r="J125" i="1"/>
  <c r="U22" i="3"/>
  <c r="K78" i="2" s="1"/>
  <c r="BV37" i="182"/>
  <c r="BV38" i="182" s="1"/>
  <c r="H46" i="8"/>
  <c r="S54" i="64"/>
  <c r="T47" i="48"/>
  <c r="K72" i="177"/>
  <c r="J72" i="177" s="1"/>
  <c r="J68" i="177"/>
  <c r="G26" i="9"/>
  <c r="O50" i="5"/>
  <c r="I19" i="50"/>
  <c r="K19" i="50"/>
  <c r="I19" i="46"/>
  <c r="H45" i="46"/>
  <c r="F36" i="14"/>
  <c r="F41" i="4"/>
  <c r="G39" i="14"/>
  <c r="G39" i="5"/>
  <c r="P39" i="5"/>
  <c r="H37" i="5"/>
  <c r="J47" i="24"/>
  <c r="J59" i="24" s="1"/>
  <c r="J70" i="24" s="1"/>
  <c r="J52" i="4"/>
  <c r="K48" i="24"/>
  <c r="F246" i="177"/>
  <c r="E254" i="177"/>
  <c r="P235" i="177"/>
  <c r="AA27" i="24"/>
  <c r="S27" i="24" s="1"/>
  <c r="F27" i="6"/>
  <c r="Y27" i="6"/>
  <c r="R27" i="6" s="1"/>
  <c r="AT7" i="184"/>
  <c r="J42" i="17"/>
  <c r="J40" i="17" s="1"/>
  <c r="H81" i="11"/>
  <c r="H75" i="11"/>
  <c r="O33" i="11"/>
  <c r="AR18" i="184"/>
  <c r="AR20" i="184" s="1"/>
  <c r="G73" i="11"/>
  <c r="AQ18" i="184" s="1"/>
  <c r="AQ20" i="184" s="1"/>
  <c r="I24" i="3"/>
  <c r="S30" i="2" s="1"/>
  <c r="H38" i="1"/>
  <c r="K54" i="10"/>
  <c r="AC63" i="6"/>
  <c r="T63" i="6" s="1"/>
  <c r="S37" i="64"/>
  <c r="K8" i="37"/>
  <c r="AF8" i="36"/>
  <c r="X8" i="36" s="1"/>
  <c r="AA56" i="24"/>
  <c r="S56" i="24" s="1"/>
  <c r="G55" i="25"/>
  <c r="AU14" i="181"/>
  <c r="AU57" i="181" s="1"/>
  <c r="CY18" i="181"/>
  <c r="T178" i="68"/>
  <c r="O178" i="68"/>
  <c r="M8" i="182" s="1"/>
  <c r="CO8" i="182" s="1"/>
  <c r="L8" i="182"/>
  <c r="CN8" i="182" s="1"/>
  <c r="I117" i="177"/>
  <c r="J44" i="10"/>
  <c r="AC42" i="56"/>
  <c r="Q42" i="57"/>
  <c r="AA26" i="8"/>
  <c r="R26" i="8" s="1"/>
  <c r="H20" i="25"/>
  <c r="AA24" i="24"/>
  <c r="S24" i="24" s="1"/>
  <c r="G55" i="26"/>
  <c r="W64" i="6"/>
  <c r="Q64" i="6" s="1"/>
  <c r="Y55" i="24"/>
  <c r="Q55" i="24" s="1"/>
  <c r="P42" i="159"/>
  <c r="U42" i="158"/>
  <c r="U43" i="158" s="1"/>
  <c r="AF10" i="184"/>
  <c r="M60" i="9"/>
  <c r="M67" i="5"/>
  <c r="AB67" i="5"/>
  <c r="AF58" i="8"/>
  <c r="W58" i="8" s="1"/>
  <c r="J12" i="182"/>
  <c r="CL12" i="182" s="1"/>
  <c r="C12" i="182"/>
  <c r="K12" i="182" s="1"/>
  <c r="CM12" i="182" s="1"/>
  <c r="E5" i="1"/>
  <c r="AQ59" i="181"/>
  <c r="J42" i="182"/>
  <c r="E7" i="2"/>
  <c r="N31" i="181"/>
  <c r="M40" i="7"/>
  <c r="M37" i="17"/>
  <c r="I37" i="2"/>
  <c r="N47" i="182"/>
  <c r="D63" i="6"/>
  <c r="Y68" i="4" s="1"/>
  <c r="P68" i="4" s="1"/>
  <c r="J214" i="70"/>
  <c r="F77" i="64"/>
  <c r="CY17" i="181"/>
  <c r="O14" i="181"/>
  <c r="H27" i="182"/>
  <c r="P27" i="182" s="1"/>
  <c r="CR27" i="182" s="1"/>
  <c r="N196" i="70"/>
  <c r="G43" i="45"/>
  <c r="H40" i="45"/>
  <c r="AB43" i="44"/>
  <c r="T43" i="44" s="1"/>
  <c r="W32" i="8"/>
  <c r="AE55" i="4"/>
  <c r="K41" i="177"/>
  <c r="J41" i="177" s="1"/>
  <c r="J34" i="177"/>
  <c r="I56" i="5"/>
  <c r="R101" i="178"/>
  <c r="Q101" i="178" s="1"/>
  <c r="Q86" i="178"/>
  <c r="AE31" i="4"/>
  <c r="J35" i="6"/>
  <c r="AC35" i="6"/>
  <c r="K33" i="10"/>
  <c r="J224" i="177"/>
  <c r="S87" i="178"/>
  <c r="T90" i="178"/>
  <c r="BI60" i="181"/>
  <c r="AA14" i="6"/>
  <c r="S14" i="6" s="1"/>
  <c r="K27" i="26"/>
  <c r="K46" i="9"/>
  <c r="AE30" i="4"/>
  <c r="V30" i="4" s="1"/>
  <c r="R31" i="5"/>
  <c r="AA59" i="14"/>
  <c r="K35" i="66"/>
  <c r="AB35" i="64" s="1"/>
  <c r="S35" i="64" s="1"/>
  <c r="AC35" i="64"/>
  <c r="T35" i="64" s="1"/>
  <c r="J75" i="44"/>
  <c r="W45" i="123"/>
  <c r="W46" i="123" s="1"/>
  <c r="K63" i="44"/>
  <c r="AA52" i="14"/>
  <c r="R52" i="14" s="1"/>
  <c r="G53" i="16"/>
  <c r="Z44" i="28"/>
  <c r="R44" i="28" s="1"/>
  <c r="B8" i="184"/>
  <c r="I48" i="15"/>
  <c r="S52" i="64"/>
  <c r="I38" i="124"/>
  <c r="F85" i="177"/>
  <c r="AR14" i="181"/>
  <c r="AR57" i="181" s="1"/>
  <c r="CM8" i="182"/>
  <c r="M56" i="10"/>
  <c r="AD65" i="6" s="1"/>
  <c r="D47" i="15"/>
  <c r="K20" i="64"/>
  <c r="S20" i="64" s="1"/>
  <c r="L41" i="64"/>
  <c r="K41" i="64" s="1"/>
  <c r="K59" i="64" s="1"/>
  <c r="M68" i="177"/>
  <c r="Q52" i="6"/>
  <c r="Q64" i="178"/>
  <c r="J54" i="5"/>
  <c r="J53" i="5" s="1"/>
  <c r="G46" i="9"/>
  <c r="AC64" i="6"/>
  <c r="T64" i="6" s="1"/>
  <c r="K55" i="10"/>
  <c r="AC36" i="6"/>
  <c r="AC37" i="6"/>
  <c r="T37" i="6" s="1"/>
  <c r="J37" i="6"/>
  <c r="J36" i="6" s="1"/>
  <c r="P44" i="182"/>
  <c r="BM59" i="181"/>
  <c r="J45" i="9"/>
  <c r="F39" i="123"/>
  <c r="N40" i="26"/>
  <c r="AE33" i="6" s="1"/>
  <c r="J40" i="25"/>
  <c r="K40" i="25" s="1"/>
  <c r="AF63" i="28"/>
  <c r="X63" i="28" s="1"/>
  <c r="AF8" i="184"/>
  <c r="H71" i="14"/>
  <c r="AF53" i="24"/>
  <c r="X53" i="24" s="1"/>
  <c r="L32" i="10"/>
  <c r="K32" i="10" s="1"/>
  <c r="K68" i="6"/>
  <c r="M16" i="8"/>
  <c r="G35" i="6"/>
  <c r="AC52" i="6"/>
  <c r="T52" i="6" s="1"/>
  <c r="M38" i="5"/>
  <c r="L64" i="40"/>
  <c r="L67" i="5"/>
  <c r="L60" i="9"/>
  <c r="K61" i="9"/>
  <c r="Y67" i="5"/>
  <c r="U55" i="6"/>
  <c r="L54" i="5"/>
  <c r="J67" i="5"/>
  <c r="AB29" i="5"/>
  <c r="AG56" i="28"/>
  <c r="Y56" i="28" s="1"/>
  <c r="F50" i="182"/>
  <c r="V50" i="182" s="1"/>
  <c r="J47" i="45"/>
  <c r="K50" i="25"/>
  <c r="K49" i="25"/>
  <c r="K122" i="70"/>
  <c r="D34" i="181"/>
  <c r="L34" i="181" s="1"/>
  <c r="N207" i="70"/>
  <c r="H28" i="182"/>
  <c r="P28" i="182" s="1"/>
  <c r="CR28" i="182" s="1"/>
  <c r="AB59" i="36"/>
  <c r="T59" i="36" s="1"/>
  <c r="R56" i="5"/>
  <c r="G73" i="6"/>
  <c r="K30" i="4"/>
  <c r="O43" i="182" s="1"/>
  <c r="W43" i="182" s="1"/>
  <c r="P43" i="182"/>
  <c r="X43" i="182" s="1"/>
  <c r="L35" i="26"/>
  <c r="AE35" i="24" s="1"/>
  <c r="W35" i="24" s="1"/>
  <c r="G19" i="65"/>
  <c r="E56" i="177"/>
  <c r="E54" i="177" s="1"/>
  <c r="F37" i="24"/>
  <c r="F44" i="24" s="1"/>
  <c r="F80" i="24" s="1"/>
  <c r="AE21" i="4"/>
  <c r="V21" i="4" s="1"/>
  <c r="L110" i="178"/>
  <c r="M110" i="178" s="1"/>
  <c r="M106" i="178"/>
  <c r="D7" i="10"/>
  <c r="U26" i="5"/>
  <c r="O26" i="5" s="1"/>
  <c r="CV18" i="181"/>
  <c r="U44" i="105"/>
  <c r="M30" i="5"/>
  <c r="AB30" i="5"/>
  <c r="AK113" i="68"/>
  <c r="AM113" i="68" s="1"/>
  <c r="W53" i="8"/>
  <c r="J43" i="10"/>
  <c r="AC43" i="8" s="1"/>
  <c r="T43" i="8" s="1"/>
  <c r="G45" i="14"/>
  <c r="L37" i="5"/>
  <c r="AE39" i="4"/>
  <c r="R39" i="5"/>
  <c r="I60" i="14"/>
  <c r="I64" i="14" s="1"/>
  <c r="Q48" i="6"/>
  <c r="F54" i="5"/>
  <c r="M63" i="45"/>
  <c r="AG63" i="44" s="1"/>
  <c r="Y63" i="44" s="1"/>
  <c r="I12" i="61"/>
  <c r="O8" i="181"/>
  <c r="CY8" i="181" s="1"/>
  <c r="I48" i="26"/>
  <c r="O217" i="68"/>
  <c r="F43" i="8"/>
  <c r="N40" i="8"/>
  <c r="F40" i="25"/>
  <c r="AA55" i="4"/>
  <c r="R55" i="4" s="1"/>
  <c r="L47" i="24"/>
  <c r="L59" i="24" s="1"/>
  <c r="K40" i="61"/>
  <c r="K50" i="26"/>
  <c r="J41" i="25"/>
  <c r="W10" i="24"/>
  <c r="H57" i="5"/>
  <c r="G52" i="15"/>
  <c r="R110" i="178"/>
  <c r="Q106" i="178"/>
  <c r="AB38" i="5"/>
  <c r="K36" i="40"/>
  <c r="H29" i="107" s="1"/>
  <c r="M71" i="4"/>
  <c r="M70" i="4" s="1"/>
  <c r="V8" i="3" s="1"/>
  <c r="L45" i="9"/>
  <c r="K45" i="9" s="1"/>
  <c r="R40" i="178"/>
  <c r="Q40" i="178" s="1"/>
  <c r="AA52" i="5"/>
  <c r="R52" i="5" s="1"/>
  <c r="K44" i="9"/>
  <c r="AE33" i="8"/>
  <c r="T78" i="178"/>
  <c r="L56" i="8"/>
  <c r="V56" i="8" s="1"/>
  <c r="J100" i="177"/>
  <c r="Z46" i="126"/>
  <c r="L55" i="4"/>
  <c r="K41" i="8"/>
  <c r="F199" i="177"/>
  <c r="G46" i="126"/>
  <c r="H45" i="61"/>
  <c r="G40" i="49"/>
  <c r="N41" i="182"/>
  <c r="W59" i="181"/>
  <c r="M47" i="71"/>
  <c r="M102" i="71" s="1"/>
  <c r="H200" i="177"/>
  <c r="H199" i="177" s="1"/>
  <c r="H198" i="177" s="1"/>
  <c r="F51" i="181" s="1"/>
  <c r="N51" i="181" s="1"/>
  <c r="CX51" i="181" s="1"/>
  <c r="K27" i="8"/>
  <c r="AF42" i="4"/>
  <c r="W42" i="4" s="1"/>
  <c r="K56" i="5"/>
  <c r="AB10" i="184"/>
  <c r="AF20" i="28"/>
  <c r="X20" i="28" s="1"/>
  <c r="J59" i="37"/>
  <c r="J16" i="24"/>
  <c r="H73" i="8"/>
  <c r="R27" i="64"/>
  <c r="K50" i="9"/>
  <c r="Z56" i="5" s="1"/>
  <c r="F40" i="16"/>
  <c r="I73" i="6"/>
  <c r="S73" i="6"/>
  <c r="D35" i="6"/>
  <c r="W35" i="6"/>
  <c r="Y33" i="8"/>
  <c r="P33" i="8" s="1"/>
  <c r="O15" i="2"/>
  <c r="P15" i="2" s="1"/>
  <c r="C29" i="182"/>
  <c r="K29" i="182" s="1"/>
  <c r="CM29" i="182" s="1"/>
  <c r="J55" i="26"/>
  <c r="AA52" i="64"/>
  <c r="R52" i="64" s="1"/>
  <c r="I22" i="104"/>
  <c r="F14" i="181"/>
  <c r="I53" i="8"/>
  <c r="Y56" i="8"/>
  <c r="P56" i="8" s="1"/>
  <c r="F45" i="9"/>
  <c r="U53" i="5" s="1"/>
  <c r="AA47" i="6"/>
  <c r="S47" i="6" s="1"/>
  <c r="T26" i="6"/>
  <c r="K8" i="8"/>
  <c r="AE8" i="64"/>
  <c r="L8" i="26"/>
  <c r="I46" i="61"/>
  <c r="K8" i="53"/>
  <c r="K60" i="14"/>
  <c r="AF55" i="56"/>
  <c r="X55" i="56" s="1"/>
  <c r="T53" i="8"/>
  <c r="T32" i="8"/>
  <c r="J44" i="177"/>
  <c r="AB37" i="5"/>
  <c r="DA51" i="181"/>
  <c r="J198" i="177"/>
  <c r="J61" i="4"/>
  <c r="I61" i="4" s="1"/>
  <c r="AA63" i="6"/>
  <c r="V33" i="8"/>
  <c r="K33" i="8"/>
  <c r="AF28" i="8"/>
  <c r="W28" i="8" s="1"/>
  <c r="S31" i="5"/>
  <c r="K85" i="177"/>
  <c r="J85" i="177" s="1"/>
  <c r="J82" i="177"/>
  <c r="Z63" i="32"/>
  <c r="F13" i="182"/>
  <c r="N13" i="182" s="1"/>
  <c r="CP13" i="182" s="1"/>
  <c r="AA49" i="6"/>
  <c r="BH60" i="181"/>
  <c r="G34" i="126"/>
  <c r="AA38" i="5"/>
  <c r="R38" i="5" s="1"/>
  <c r="I50" i="49"/>
  <c r="L63" i="49"/>
  <c r="F63" i="49"/>
  <c r="E51" i="15"/>
  <c r="G60" i="16"/>
  <c r="G244" i="177"/>
  <c r="J37" i="177"/>
  <c r="AC27" i="6"/>
  <c r="T27" i="6" s="1"/>
  <c r="K27" i="10"/>
  <c r="I27" i="6" s="1"/>
  <c r="M8" i="64"/>
  <c r="M41" i="64" s="1"/>
  <c r="Y56" i="5"/>
  <c r="Q56" i="5" s="1"/>
  <c r="K88" i="4"/>
  <c r="AA54" i="5"/>
  <c r="R56" i="64"/>
  <c r="K56" i="64"/>
  <c r="AE72" i="4"/>
  <c r="V72" i="4" s="1"/>
  <c r="R68" i="5"/>
  <c r="AA8" i="56"/>
  <c r="S8" i="56" s="1"/>
  <c r="G8" i="57"/>
  <c r="K31" i="5"/>
  <c r="H55" i="24"/>
  <c r="G52" i="64"/>
  <c r="H50" i="64"/>
  <c r="G50" i="64" s="1"/>
  <c r="M42" i="60"/>
  <c r="J30" i="126"/>
  <c r="J31" i="126" s="1"/>
  <c r="R65" i="5"/>
  <c r="L64" i="5"/>
  <c r="K53" i="25"/>
  <c r="Q110" i="68"/>
  <c r="I17" i="181"/>
  <c r="I55" i="181"/>
  <c r="Q55" i="181" s="1"/>
  <c r="DA55" i="181" s="1"/>
  <c r="K53" i="8"/>
  <c r="K9" i="25"/>
  <c r="I42" i="21"/>
  <c r="G39" i="37"/>
  <c r="S18" i="64"/>
  <c r="I63" i="28"/>
  <c r="W26" i="6"/>
  <c r="Q26" i="6" s="1"/>
  <c r="C36" i="127"/>
  <c r="L63" i="33"/>
  <c r="AA35" i="24"/>
  <c r="S35" i="24" s="1"/>
  <c r="N153" i="68"/>
  <c r="T153" i="68" s="1"/>
  <c r="O47" i="52"/>
  <c r="Q116" i="68"/>
  <c r="J216" i="68"/>
  <c r="Q197" i="68"/>
  <c r="Y35" i="64"/>
  <c r="P35" i="64" s="1"/>
  <c r="AA8" i="64"/>
  <c r="R8" i="64" s="1"/>
  <c r="K43" i="45"/>
  <c r="I59" i="22"/>
  <c r="F53" i="181" s="1"/>
  <c r="N53" i="181" s="1"/>
  <c r="CX53" i="181" s="1"/>
  <c r="Z39" i="40"/>
  <c r="R39" i="40" s="1"/>
  <c r="F65" i="53"/>
  <c r="Z14" i="184" s="1"/>
  <c r="F135" i="1"/>
  <c r="D149" i="1"/>
  <c r="AE93" i="4"/>
  <c r="V93" i="4" s="1"/>
  <c r="R91" i="5"/>
  <c r="AE82" i="4"/>
  <c r="V82" i="4" s="1"/>
  <c r="R78" i="5"/>
  <c r="K55" i="5"/>
  <c r="R55" i="5"/>
  <c r="I50" i="6"/>
  <c r="T50" i="6"/>
  <c r="J28" i="7"/>
  <c r="AC28" i="4" s="1"/>
  <c r="T28" i="4" s="1"/>
  <c r="K36" i="11"/>
  <c r="W57" i="14"/>
  <c r="T32" i="14"/>
  <c r="R28" i="14"/>
  <c r="I34" i="15"/>
  <c r="T25" i="14"/>
  <c r="AE17" i="14"/>
  <c r="V17" i="14" s="1"/>
  <c r="I19" i="15"/>
  <c r="I46" i="17"/>
  <c r="I61" i="17" s="1"/>
  <c r="I53" i="181"/>
  <c r="Q53" i="181" s="1"/>
  <c r="K15" i="177"/>
  <c r="H23" i="182" s="1"/>
  <c r="P23" i="182" s="1"/>
  <c r="CR23" i="182" s="1"/>
  <c r="L47" i="72"/>
  <c r="Q26" i="181"/>
  <c r="DA26" i="181" s="1"/>
  <c r="Q163" i="68"/>
  <c r="I19" i="181"/>
  <c r="T146" i="68"/>
  <c r="E7" i="8"/>
  <c r="E7" i="4"/>
  <c r="AE35" i="4"/>
  <c r="R35" i="5"/>
  <c r="AE76" i="4"/>
  <c r="V76" i="4" s="1"/>
  <c r="T71" i="6"/>
  <c r="U8" i="6"/>
  <c r="E40" i="9"/>
  <c r="D63" i="11"/>
  <c r="K56" i="14"/>
  <c r="K47" i="14"/>
  <c r="J49" i="15"/>
  <c r="R32" i="14"/>
  <c r="R17" i="14"/>
  <c r="K14" i="14"/>
  <c r="K7" i="14"/>
  <c r="AE56" i="14"/>
  <c r="V56" i="14" s="1"/>
  <c r="I58" i="15"/>
  <c r="AE49" i="14"/>
  <c r="V49" i="14" s="1"/>
  <c r="I51" i="15"/>
  <c r="I42" i="15"/>
  <c r="I39" i="15"/>
  <c r="AE22" i="14"/>
  <c r="V22" i="14" s="1"/>
  <c r="I24" i="15"/>
  <c r="R21" i="14"/>
  <c r="AE7" i="14"/>
  <c r="I9" i="15"/>
  <c r="R33" i="28"/>
  <c r="I60" i="16"/>
  <c r="AN7" i="184"/>
  <c r="F32" i="177"/>
  <c r="G23" i="127"/>
  <c r="H28" i="8"/>
  <c r="L41" i="182"/>
  <c r="U59" i="181"/>
  <c r="P32" i="8"/>
  <c r="M38" i="26"/>
  <c r="M37" i="66"/>
  <c r="M41" i="66" s="1"/>
  <c r="M59" i="66" s="1"/>
  <c r="AE58" i="64" s="1"/>
  <c r="AB19" i="64"/>
  <c r="S19" i="64" s="1"/>
  <c r="BD7" i="182"/>
  <c r="BD6" i="182" s="1"/>
  <c r="BD32" i="182" s="1"/>
  <c r="K27" i="64"/>
  <c r="S27" i="64" s="1"/>
  <c r="G21" i="26"/>
  <c r="S42" i="107"/>
  <c r="C14" i="181"/>
  <c r="AA45" i="56"/>
  <c r="S45" i="56" s="1"/>
  <c r="AJ6" i="182"/>
  <c r="AJ32" i="182" s="1"/>
  <c r="D6" i="182"/>
  <c r="L40" i="65"/>
  <c r="L59" i="65" s="1"/>
  <c r="Y20" i="64"/>
  <c r="P20" i="64" s="1"/>
  <c r="J63" i="55"/>
  <c r="J31" i="158"/>
  <c r="C24" i="125"/>
  <c r="J135" i="1"/>
  <c r="S91" i="5"/>
  <c r="AE81" i="4"/>
  <c r="V81" i="4" s="1"/>
  <c r="R77" i="5"/>
  <c r="I55" i="5"/>
  <c r="D46" i="7"/>
  <c r="D77" i="7" s="1"/>
  <c r="G29" i="7"/>
  <c r="D7" i="7"/>
  <c r="D55" i="11"/>
  <c r="K61" i="14"/>
  <c r="I64" i="15" s="1"/>
  <c r="H64" i="15"/>
  <c r="P24" i="14"/>
  <c r="I22" i="14"/>
  <c r="AE59" i="14"/>
  <c r="V59" i="14" s="1"/>
  <c r="I61" i="15"/>
  <c r="I59" i="15"/>
  <c r="AE25" i="14"/>
  <c r="V12" i="14"/>
  <c r="M65" i="53"/>
  <c r="K34" i="14"/>
  <c r="L76" i="28"/>
  <c r="G37" i="65"/>
  <c r="G51" i="64"/>
  <c r="K38" i="64"/>
  <c r="S38" i="64" s="1"/>
  <c r="L36" i="57"/>
  <c r="K39" i="57"/>
  <c r="N54" i="24"/>
  <c r="G42" i="21"/>
  <c r="E53" i="181"/>
  <c r="M53" i="181" s="1"/>
  <c r="CW53" i="181" s="1"/>
  <c r="M19" i="178"/>
  <c r="H16" i="8"/>
  <c r="H42" i="56"/>
  <c r="S42" i="56" s="1"/>
  <c r="E48" i="24"/>
  <c r="G52" i="41"/>
  <c r="M188" i="68"/>
  <c r="I14" i="181"/>
  <c r="W52" i="64"/>
  <c r="N52" i="64" s="1"/>
  <c r="E43" i="65"/>
  <c r="V56" i="64"/>
  <c r="AB45" i="64"/>
  <c r="S45" i="64" s="1"/>
  <c r="G53" i="181"/>
  <c r="O53" i="181" s="1"/>
  <c r="CY53" i="181" s="1"/>
  <c r="K57" i="53"/>
  <c r="E32" i="104"/>
  <c r="F36" i="37"/>
  <c r="L38" i="29"/>
  <c r="I33" i="66"/>
  <c r="R77" i="68"/>
  <c r="AC28" i="6"/>
  <c r="T28" i="6" s="1"/>
  <c r="U66" i="6"/>
  <c r="D69" i="10"/>
  <c r="D74" i="10" s="1"/>
  <c r="D7" i="4"/>
  <c r="K79" i="5"/>
  <c r="AE83" i="4"/>
  <c r="V83" i="4" s="1"/>
  <c r="R79" i="5"/>
  <c r="K78" i="5"/>
  <c r="G71" i="5"/>
  <c r="Z74" i="4" s="1"/>
  <c r="AA74" i="4"/>
  <c r="J73" i="6"/>
  <c r="AE79" i="4"/>
  <c r="V79" i="4" s="1"/>
  <c r="T74" i="6"/>
  <c r="Q71" i="6"/>
  <c r="I33" i="9"/>
  <c r="M73" i="11"/>
  <c r="M81" i="11" s="1"/>
  <c r="T37" i="14"/>
  <c r="AA32" i="5"/>
  <c r="R32" i="5" s="1"/>
  <c r="I36" i="15"/>
  <c r="W13" i="14"/>
  <c r="E61" i="18"/>
  <c r="K46" i="20"/>
  <c r="E43" i="20"/>
  <c r="M42" i="21"/>
  <c r="K52" i="22"/>
  <c r="D42" i="159"/>
  <c r="Y34" i="158"/>
  <c r="J34" i="158"/>
  <c r="I41" i="24"/>
  <c r="G16" i="24"/>
  <c r="K23" i="25"/>
  <c r="Z30" i="5" s="1"/>
  <c r="K11" i="26"/>
  <c r="AF59" i="28"/>
  <c r="X59" i="28" s="1"/>
  <c r="I28" i="105"/>
  <c r="I29" i="105" s="1"/>
  <c r="K8" i="28"/>
  <c r="H28" i="105" s="1"/>
  <c r="H29" i="105" s="1"/>
  <c r="AG42" i="28"/>
  <c r="Y42" i="28" s="1"/>
  <c r="AG62" i="28"/>
  <c r="Y62" i="28" s="1"/>
  <c r="M61" i="30"/>
  <c r="AG61" i="28" s="1"/>
  <c r="Y61" i="28" s="1"/>
  <c r="Z45" i="28"/>
  <c r="R45" i="28" s="1"/>
  <c r="R38" i="105"/>
  <c r="L41" i="33"/>
  <c r="AH33" i="32"/>
  <c r="Z33" i="32" s="1"/>
  <c r="H42" i="34"/>
  <c r="AC42" i="32" s="1"/>
  <c r="U42" i="32" s="1"/>
  <c r="W23" i="106"/>
  <c r="D53" i="16"/>
  <c r="D61" i="18"/>
  <c r="M43" i="20"/>
  <c r="Q43" i="20" s="1"/>
  <c r="F58" i="21"/>
  <c r="E43" i="22"/>
  <c r="E37" i="158"/>
  <c r="AA22" i="158"/>
  <c r="U22" i="158"/>
  <c r="R22" i="158"/>
  <c r="W36" i="24"/>
  <c r="C10" i="194"/>
  <c r="F10" i="194" s="1"/>
  <c r="P47" i="182"/>
  <c r="X47" i="182" s="1"/>
  <c r="K26" i="26"/>
  <c r="J21" i="26"/>
  <c r="K24" i="26"/>
  <c r="F63" i="28"/>
  <c r="R63" i="28" s="1"/>
  <c r="D37" i="105"/>
  <c r="D38" i="105" s="1"/>
  <c r="Y33" i="28"/>
  <c r="K19" i="28"/>
  <c r="AD10" i="28"/>
  <c r="V10" i="28" s="1"/>
  <c r="E63" i="29"/>
  <c r="I50" i="29"/>
  <c r="AG33" i="28"/>
  <c r="Z8" i="28"/>
  <c r="R8" i="28" s="1"/>
  <c r="I24" i="181"/>
  <c r="Q24" i="181" s="1"/>
  <c r="DA24" i="181" s="1"/>
  <c r="I29" i="106"/>
  <c r="I30" i="106" s="1"/>
  <c r="K8" i="32"/>
  <c r="H29" i="106" s="1"/>
  <c r="E44" i="32"/>
  <c r="F61" i="34"/>
  <c r="AA61" i="32" s="1"/>
  <c r="S61" i="32" s="1"/>
  <c r="E61" i="35"/>
  <c r="E21" i="106"/>
  <c r="U45" i="106" s="1"/>
  <c r="AG23" i="106"/>
  <c r="Z23" i="106"/>
  <c r="W12" i="14"/>
  <c r="T66" i="6"/>
  <c r="G42" i="18"/>
  <c r="E46" i="18"/>
  <c r="G8" i="18"/>
  <c r="G39" i="20"/>
  <c r="M58" i="21"/>
  <c r="Q42" i="21" s="1"/>
  <c r="F43" i="22"/>
  <c r="O43" i="22" s="1"/>
  <c r="C31" i="158"/>
  <c r="C37" i="158"/>
  <c r="Z22" i="158"/>
  <c r="Q22" i="158"/>
  <c r="N41" i="24"/>
  <c r="S36" i="24"/>
  <c r="I9" i="24"/>
  <c r="J48" i="6"/>
  <c r="T48" i="6" s="1"/>
  <c r="AC48" i="6"/>
  <c r="K23" i="26"/>
  <c r="K18" i="26"/>
  <c r="K16" i="26"/>
  <c r="M40" i="27"/>
  <c r="AB58" i="28"/>
  <c r="T58" i="28" s="1"/>
  <c r="X35" i="105"/>
  <c r="K57" i="29"/>
  <c r="K39" i="29"/>
  <c r="AD45" i="28"/>
  <c r="V45" i="28" s="1"/>
  <c r="D61" i="31"/>
  <c r="F42" i="31"/>
  <c r="Z42" i="28" s="1"/>
  <c r="R42" i="28" s="1"/>
  <c r="AC23" i="105"/>
  <c r="K60" i="33"/>
  <c r="AE33" i="32"/>
  <c r="W33" i="32" s="1"/>
  <c r="L42" i="34"/>
  <c r="L9" i="184" s="1"/>
  <c r="AO23" i="106"/>
  <c r="AC23" i="106"/>
  <c r="J21" i="106"/>
  <c r="J23" i="106" s="1"/>
  <c r="C36" i="106"/>
  <c r="K46" i="36"/>
  <c r="H42" i="21"/>
  <c r="L30" i="5"/>
  <c r="AA30" i="5"/>
  <c r="K22" i="25"/>
  <c r="L20" i="25"/>
  <c r="J47" i="6"/>
  <c r="AC47" i="6"/>
  <c r="K48" i="25"/>
  <c r="J18" i="25"/>
  <c r="I18" i="25" s="1"/>
  <c r="K18" i="29"/>
  <c r="F61" i="31"/>
  <c r="Z61" i="28" s="1"/>
  <c r="R61" i="28" s="1"/>
  <c r="J32" i="105"/>
  <c r="E63" i="32"/>
  <c r="S19" i="32"/>
  <c r="K8" i="33"/>
  <c r="J8" i="106"/>
  <c r="M39" i="37"/>
  <c r="L57" i="38"/>
  <c r="AF57" i="36" s="1"/>
  <c r="X57" i="36" s="1"/>
  <c r="E57" i="38"/>
  <c r="F41" i="39"/>
  <c r="Z41" i="36" s="1"/>
  <c r="R41" i="36" s="1"/>
  <c r="I46" i="40"/>
  <c r="M39" i="41"/>
  <c r="AG39" i="40" s="1"/>
  <c r="Y39" i="40" s="1"/>
  <c r="D43" i="41"/>
  <c r="E41" i="42"/>
  <c r="C33" i="107"/>
  <c r="K50" i="44"/>
  <c r="V33" i="44"/>
  <c r="E63" i="45"/>
  <c r="K16" i="45"/>
  <c r="I40" i="47"/>
  <c r="C8" i="106"/>
  <c r="C33" i="106" s="1"/>
  <c r="I28" i="104"/>
  <c r="I29" i="104" s="1"/>
  <c r="K54" i="37"/>
  <c r="AG50" i="36"/>
  <c r="Y50" i="36" s="1"/>
  <c r="L39" i="37"/>
  <c r="AF39" i="36" s="1"/>
  <c r="X39" i="36" s="1"/>
  <c r="AG32" i="36"/>
  <c r="Y32" i="36" s="1"/>
  <c r="Z32" i="36"/>
  <c r="R32" i="36" s="1"/>
  <c r="C35" i="104"/>
  <c r="I8" i="104"/>
  <c r="M59" i="40"/>
  <c r="G39" i="40"/>
  <c r="E43" i="40"/>
  <c r="E59" i="41"/>
  <c r="K40" i="41"/>
  <c r="Y28" i="40"/>
  <c r="Y19" i="40"/>
  <c r="M57" i="42"/>
  <c r="D57" i="42"/>
  <c r="J41" i="42"/>
  <c r="J11" i="184" s="1"/>
  <c r="F41" i="43"/>
  <c r="C11" i="107"/>
  <c r="C21" i="107" s="1"/>
  <c r="T28" i="44"/>
  <c r="E47" i="44"/>
  <c r="G45" i="45"/>
  <c r="G33" i="46"/>
  <c r="F45" i="46"/>
  <c r="N43" i="46" s="1"/>
  <c r="I36" i="47"/>
  <c r="S22" i="104"/>
  <c r="R19" i="40"/>
  <c r="D43" i="40"/>
  <c r="AC21" i="107"/>
  <c r="M45" i="46"/>
  <c r="M12" i="184" s="1"/>
  <c r="D37" i="104"/>
  <c r="D38" i="104" s="1"/>
  <c r="AB19" i="36"/>
  <c r="T19" i="36" s="1"/>
  <c r="E57" i="39"/>
  <c r="I55" i="104"/>
  <c r="H19" i="104"/>
  <c r="H22" i="104" s="1"/>
  <c r="H41" i="42"/>
  <c r="M57" i="43"/>
  <c r="D41" i="43"/>
  <c r="AH21" i="107"/>
  <c r="R28" i="44"/>
  <c r="X33" i="44"/>
  <c r="H24" i="125"/>
  <c r="G8" i="47"/>
  <c r="L43" i="49"/>
  <c r="M61" i="50"/>
  <c r="E45" i="50"/>
  <c r="L61" i="51"/>
  <c r="F61" i="51"/>
  <c r="O43" i="51" s="1"/>
  <c r="M45" i="51"/>
  <c r="E45" i="51"/>
  <c r="I57" i="52"/>
  <c r="E32" i="125"/>
  <c r="G28" i="52"/>
  <c r="G26" i="52"/>
  <c r="G67" i="53"/>
  <c r="K59" i="53"/>
  <c r="I55" i="53"/>
  <c r="K54" i="53"/>
  <c r="K51" i="53"/>
  <c r="M40" i="53"/>
  <c r="M47" i="53" s="1"/>
  <c r="I17" i="53"/>
  <c r="E63" i="54"/>
  <c r="L45" i="55"/>
  <c r="C38" i="125"/>
  <c r="F27" i="181"/>
  <c r="N27" i="181" s="1"/>
  <c r="N25" i="181" s="1"/>
  <c r="K24" i="125"/>
  <c r="U34" i="56"/>
  <c r="W28" i="56"/>
  <c r="AA36" i="56"/>
  <c r="S36" i="56" s="1"/>
  <c r="E42" i="57"/>
  <c r="J55" i="58"/>
  <c r="M42" i="58"/>
  <c r="M15" i="184" s="1"/>
  <c r="L40" i="59"/>
  <c r="AE40" i="56" s="1"/>
  <c r="W40" i="56" s="1"/>
  <c r="E33" i="127"/>
  <c r="AI23" i="127"/>
  <c r="J13" i="127"/>
  <c r="J23" i="127" s="1"/>
  <c r="K26" i="60"/>
  <c r="E42" i="60"/>
  <c r="F54" i="63"/>
  <c r="AD23" i="126"/>
  <c r="Q23" i="126"/>
  <c r="I30" i="181"/>
  <c r="C20" i="126"/>
  <c r="C23" i="126" s="1"/>
  <c r="D8" i="126"/>
  <c r="F44" i="64"/>
  <c r="F54" i="64" s="1"/>
  <c r="CG32" i="182"/>
  <c r="E7" i="123"/>
  <c r="E31" i="123" s="1"/>
  <c r="E61" i="50"/>
  <c r="D66" i="52"/>
  <c r="K26" i="52"/>
  <c r="K67" i="53"/>
  <c r="K63" i="53"/>
  <c r="K62" i="53"/>
  <c r="G60" i="53"/>
  <c r="K58" i="53"/>
  <c r="I54" i="53"/>
  <c r="K53" i="53"/>
  <c r="D65" i="53"/>
  <c r="F43" i="53"/>
  <c r="L40" i="53"/>
  <c r="K18" i="53"/>
  <c r="H63" i="54"/>
  <c r="M63" i="54"/>
  <c r="S47" i="125"/>
  <c r="U38" i="125"/>
  <c r="S29" i="125"/>
  <c r="AE24" i="125"/>
  <c r="W26" i="56"/>
  <c r="AF25" i="56"/>
  <c r="X25" i="56" s="1"/>
  <c r="AF40" i="56"/>
  <c r="X40" i="56" s="1"/>
  <c r="I15" i="57"/>
  <c r="M55" i="58"/>
  <c r="H40" i="59"/>
  <c r="AA40" i="56" s="1"/>
  <c r="S40" i="56" s="1"/>
  <c r="I39" i="127"/>
  <c r="I33" i="127"/>
  <c r="W36" i="127"/>
  <c r="G45" i="60"/>
  <c r="G39" i="60"/>
  <c r="S26" i="60"/>
  <c r="AC22" i="60"/>
  <c r="S22" i="60" s="1"/>
  <c r="I53" i="61"/>
  <c r="D55" i="62"/>
  <c r="U34" i="126"/>
  <c r="AO23" i="126"/>
  <c r="V35" i="64"/>
  <c r="I48" i="47"/>
  <c r="BC22" i="123"/>
  <c r="AW22" i="123"/>
  <c r="J7" i="123"/>
  <c r="E63" i="48"/>
  <c r="K59" i="49"/>
  <c r="G17" i="49"/>
  <c r="K54" i="50"/>
  <c r="J61" i="50"/>
  <c r="I61" i="50" s="1"/>
  <c r="K8" i="50"/>
  <c r="D61" i="51"/>
  <c r="Y35" i="124"/>
  <c r="S35" i="124"/>
  <c r="K57" i="52"/>
  <c r="E47" i="52"/>
  <c r="K61" i="53"/>
  <c r="K14" i="53"/>
  <c r="G12" i="53"/>
  <c r="Z38" i="125"/>
  <c r="E55" i="56"/>
  <c r="I39" i="56"/>
  <c r="K57" i="57"/>
  <c r="K53" i="57"/>
  <c r="D55" i="57"/>
  <c r="F40" i="59"/>
  <c r="Z39" i="127"/>
  <c r="S42" i="127"/>
  <c r="H30" i="127"/>
  <c r="K45" i="60"/>
  <c r="K28" i="60"/>
  <c r="E55" i="61"/>
  <c r="I28" i="61"/>
  <c r="K28" i="61"/>
  <c r="N47" i="64"/>
  <c r="N33" i="64"/>
  <c r="K22" i="64"/>
  <c r="L22" i="24"/>
  <c r="AO22" i="123"/>
  <c r="L41" i="4"/>
  <c r="G26" i="48"/>
  <c r="G57" i="49"/>
  <c r="I36" i="49"/>
  <c r="D47" i="49"/>
  <c r="I27" i="181"/>
  <c r="Q27" i="181" s="1"/>
  <c r="DA27" i="181" s="1"/>
  <c r="Q28" i="56"/>
  <c r="E42" i="56"/>
  <c r="Y40" i="56"/>
  <c r="Q40" i="56" s="1"/>
  <c r="AE9" i="56"/>
  <c r="W9" i="56" s="1"/>
  <c r="K9" i="57"/>
  <c r="D55" i="60"/>
  <c r="D55" i="61"/>
  <c r="AE47" i="64"/>
  <c r="V47" i="64" s="1"/>
  <c r="W47" i="64"/>
  <c r="AC13" i="64"/>
  <c r="T13" i="64" s="1"/>
  <c r="AE11" i="64"/>
  <c r="V11" i="64" s="1"/>
  <c r="I34" i="66"/>
  <c r="M53" i="67"/>
  <c r="Q174" i="68"/>
  <c r="F178" i="68"/>
  <c r="AE124" i="68"/>
  <c r="T19" i="68"/>
  <c r="H26" i="182"/>
  <c r="P26" i="182" s="1"/>
  <c r="CR26" i="182" s="1"/>
  <c r="M167" i="70"/>
  <c r="M210" i="70" s="1"/>
  <c r="K145" i="70"/>
  <c r="I29" i="71"/>
  <c r="I102" i="71" s="1"/>
  <c r="F111" i="178"/>
  <c r="L87" i="178"/>
  <c r="K12" i="8"/>
  <c r="AC29" i="6"/>
  <c r="T29" i="6" s="1"/>
  <c r="K29" i="10"/>
  <c r="H160" i="177"/>
  <c r="H157" i="177" s="1"/>
  <c r="Q51" i="178"/>
  <c r="N80" i="178"/>
  <c r="Q49" i="178"/>
  <c r="Q75" i="178"/>
  <c r="G265" i="177"/>
  <c r="K230" i="177"/>
  <c r="J231" i="177"/>
  <c r="T12" i="64"/>
  <c r="M20" i="25"/>
  <c r="M19" i="25" s="1"/>
  <c r="L33" i="66"/>
  <c r="F20" i="66"/>
  <c r="W116" i="68"/>
  <c r="W138" i="68" s="1"/>
  <c r="H217" i="68"/>
  <c r="AO14" i="181"/>
  <c r="H22" i="182"/>
  <c r="P22" i="182" s="1"/>
  <c r="CR22" i="182" s="1"/>
  <c r="CL9" i="182"/>
  <c r="K40" i="8"/>
  <c r="Q80" i="178"/>
  <c r="J216" i="177"/>
  <c r="J29" i="125"/>
  <c r="J130" i="1"/>
  <c r="S49" i="182"/>
  <c r="O19" i="178"/>
  <c r="O17" i="178" s="1"/>
  <c r="G50" i="65"/>
  <c r="AB49" i="64"/>
  <c r="K21" i="65"/>
  <c r="AB22" i="64" s="1"/>
  <c r="K53" i="67"/>
  <c r="M218" i="68"/>
  <c r="T125" i="68"/>
  <c r="S123" i="68"/>
  <c r="AI116" i="68"/>
  <c r="F77" i="68"/>
  <c r="F216" i="68" s="1"/>
  <c r="M96" i="69"/>
  <c r="K158" i="70"/>
  <c r="K80" i="70"/>
  <c r="K3" i="70" s="1"/>
  <c r="K108" i="69" s="1"/>
  <c r="K11" i="8"/>
  <c r="K38" i="8"/>
  <c r="K74" i="8"/>
  <c r="L65" i="8"/>
  <c r="K65" i="8" s="1"/>
  <c r="K66" i="8"/>
  <c r="T88" i="178"/>
  <c r="R68" i="178"/>
  <c r="Q71" i="178"/>
  <c r="P51" i="182"/>
  <c r="CS59" i="181"/>
  <c r="CS60" i="181" s="1"/>
  <c r="K236" i="177"/>
  <c r="J237" i="177"/>
  <c r="I40" i="67"/>
  <c r="N10" i="64"/>
  <c r="AN6" i="182"/>
  <c r="AN32" i="182" s="1"/>
  <c r="CN7" i="182"/>
  <c r="C25" i="182"/>
  <c r="K25" i="182" s="1"/>
  <c r="CM25" i="182" s="1"/>
  <c r="K157" i="177"/>
  <c r="J160" i="177"/>
  <c r="R6" i="178"/>
  <c r="Q7" i="178"/>
  <c r="I39" i="106"/>
  <c r="E38" i="125"/>
  <c r="L29" i="8"/>
  <c r="Q12" i="178"/>
  <c r="AW15" i="181"/>
  <c r="Q43" i="68"/>
  <c r="J84" i="177"/>
  <c r="V79" i="8"/>
  <c r="L42" i="5"/>
  <c r="K36" i="9"/>
  <c r="Z42" i="5" s="1"/>
  <c r="AE11" i="56"/>
  <c r="W11" i="56" s="1"/>
  <c r="K11" i="57"/>
  <c r="K41" i="57"/>
  <c r="BX57" i="181"/>
  <c r="C50" i="182"/>
  <c r="S50" i="182" s="1"/>
  <c r="Q24" i="178"/>
  <c r="O30" i="178"/>
  <c r="O28" i="178" s="1"/>
  <c r="O40" i="178" s="1"/>
  <c r="Q31" i="178"/>
  <c r="Q37" i="178"/>
  <c r="Q46" i="178"/>
  <c r="K23" i="177"/>
  <c r="J24" i="177"/>
  <c r="H60" i="177"/>
  <c r="F42" i="181" s="1"/>
  <c r="N42" i="181" s="1"/>
  <c r="CX42" i="181" s="1"/>
  <c r="I12" i="181"/>
  <c r="Q12" i="181" s="1"/>
  <c r="DA12" i="181" s="1"/>
  <c r="J75" i="177"/>
  <c r="J97" i="177"/>
  <c r="I45" i="181"/>
  <c r="Q45" i="181" s="1"/>
  <c r="DA45" i="181" s="1"/>
  <c r="J106" i="177"/>
  <c r="H211" i="177"/>
  <c r="H210" i="177" s="1"/>
  <c r="H218" i="177" s="1"/>
  <c r="F32" i="181" s="1"/>
  <c r="K220" i="177"/>
  <c r="J220" i="177" s="1"/>
  <c r="J221" i="177"/>
  <c r="M41" i="8"/>
  <c r="J275" i="177"/>
  <c r="W29" i="105"/>
  <c r="W32" i="105"/>
  <c r="AE38" i="8"/>
  <c r="V38" i="8" s="1"/>
  <c r="K41" i="9"/>
  <c r="J28" i="9"/>
  <c r="L28" i="9"/>
  <c r="CZ32" i="181"/>
  <c r="BQ57" i="181"/>
  <c r="U49" i="182"/>
  <c r="L40" i="26"/>
  <c r="J35" i="177"/>
  <c r="F252" i="177"/>
  <c r="AJ25" i="181"/>
  <c r="M43" i="9"/>
  <c r="AF40" i="8" s="1"/>
  <c r="W40" i="8" s="1"/>
  <c r="AA27" i="8"/>
  <c r="R27" i="8" s="1"/>
  <c r="AE87" i="4"/>
  <c r="V87" i="4" s="1"/>
  <c r="T80" i="6"/>
  <c r="K28" i="66"/>
  <c r="AB28" i="64" s="1"/>
  <c r="S28" i="64" s="1"/>
  <c r="K48" i="57"/>
  <c r="K37" i="57"/>
  <c r="Q42" i="178"/>
  <c r="Q69" i="178"/>
  <c r="T95" i="178"/>
  <c r="Q98" i="178"/>
  <c r="P110" i="178"/>
  <c r="K21" i="177"/>
  <c r="J19" i="177"/>
  <c r="I13" i="181"/>
  <c r="Q13" i="181" s="1"/>
  <c r="DA13" i="181" s="1"/>
  <c r="J88" i="177"/>
  <c r="H13" i="182"/>
  <c r="P13" i="182" s="1"/>
  <c r="CR13" i="182" s="1"/>
  <c r="J120" i="177"/>
  <c r="J232" i="177"/>
  <c r="J238" i="177"/>
  <c r="J127" i="177"/>
  <c r="K258" i="177"/>
  <c r="J258" i="177" s="1"/>
  <c r="J256" i="177"/>
  <c r="J36" i="107"/>
  <c r="BP57" i="181"/>
  <c r="K45" i="62"/>
  <c r="L12" i="61"/>
  <c r="L8" i="62"/>
  <c r="K8" i="62" s="1"/>
  <c r="K12" i="62"/>
  <c r="BB57" i="181"/>
  <c r="E43" i="182" s="1"/>
  <c r="U43" i="182" s="1"/>
  <c r="J28" i="177"/>
  <c r="L60" i="4"/>
  <c r="G39" i="182"/>
  <c r="AU33" i="184"/>
  <c r="AU34" i="184" s="1"/>
  <c r="K28" i="26"/>
  <c r="L51" i="57"/>
  <c r="K52" i="57"/>
  <c r="D8" i="189"/>
  <c r="Q13" i="178"/>
  <c r="K49" i="9"/>
  <c r="J45" i="177"/>
  <c r="I42" i="181"/>
  <c r="Q42" i="181" s="1"/>
  <c r="DA42" i="181" s="1"/>
  <c r="J60" i="177"/>
  <c r="H14" i="182"/>
  <c r="P14" i="182" s="1"/>
  <c r="CR14" i="182" s="1"/>
  <c r="J132" i="177"/>
  <c r="J199" i="177"/>
  <c r="H11" i="182"/>
  <c r="P11" i="182" s="1"/>
  <c r="CR11" i="182" s="1"/>
  <c r="J208" i="177"/>
  <c r="K247" i="177"/>
  <c r="J248" i="177"/>
  <c r="J262" i="177"/>
  <c r="Q44" i="68"/>
  <c r="L50" i="5"/>
  <c r="K42" i="9"/>
  <c r="BS57" i="181"/>
  <c r="Y29" i="125"/>
  <c r="H24" i="182"/>
  <c r="P24" i="182" s="1"/>
  <c r="CR24" i="182" s="1"/>
  <c r="M4" i="69"/>
  <c r="K110" i="177"/>
  <c r="J112" i="177"/>
  <c r="M4" i="70"/>
  <c r="M217" i="70" s="1"/>
  <c r="M214" i="70" s="1"/>
  <c r="C9" i="194"/>
  <c r="D7" i="189"/>
  <c r="Q99" i="178"/>
  <c r="K36" i="4"/>
  <c r="K251" i="177"/>
  <c r="J252" i="177"/>
  <c r="Q15" i="68"/>
  <c r="S146" i="70"/>
  <c r="I25" i="15"/>
  <c r="K27" i="53"/>
  <c r="K10" i="57"/>
  <c r="BY57" i="181"/>
  <c r="Q23" i="178"/>
  <c r="Q30" i="178"/>
  <c r="Q36" i="178"/>
  <c r="H16" i="182"/>
  <c r="P16" i="182" s="1"/>
  <c r="CR16" i="182" s="1"/>
  <c r="J46" i="177"/>
  <c r="I10" i="181"/>
  <c r="J80" i="177"/>
  <c r="K94" i="177"/>
  <c r="J200" i="177"/>
  <c r="K240" i="177"/>
  <c r="J240" i="177" s="1"/>
  <c r="J241" i="177"/>
  <c r="J260" i="177"/>
  <c r="K265" i="177"/>
  <c r="J266" i="177"/>
  <c r="J280" i="177"/>
  <c r="K284" i="177"/>
  <c r="H30" i="182"/>
  <c r="P30" i="182" s="1"/>
  <c r="CR30" i="182" s="1"/>
  <c r="J285" i="177"/>
  <c r="I81" i="6" s="1"/>
  <c r="O57" i="178"/>
  <c r="O53" i="178" s="1"/>
  <c r="O64" i="178" s="1"/>
  <c r="Q57" i="178"/>
  <c r="F256" i="177"/>
  <c r="BR57" i="181"/>
  <c r="AO34" i="181"/>
  <c r="Q8" i="178"/>
  <c r="AN34" i="181" s="1"/>
  <c r="CZ34" i="181" s="1"/>
  <c r="E5" i="189"/>
  <c r="E12" i="189" s="1"/>
  <c r="R19" i="178"/>
  <c r="L26" i="8" s="1"/>
  <c r="Q20" i="178"/>
  <c r="L74" i="4"/>
  <c r="K74" i="4" s="1"/>
  <c r="K61" i="8"/>
  <c r="M130" i="70"/>
  <c r="M122" i="70" s="1"/>
  <c r="J35" i="104"/>
  <c r="W32" i="125"/>
  <c r="H29" i="182"/>
  <c r="P29" i="182" s="1"/>
  <c r="CR29" i="182" s="1"/>
  <c r="AC42" i="6"/>
  <c r="AC33" i="6"/>
  <c r="AC40" i="6"/>
  <c r="C27" i="182"/>
  <c r="K27" i="182" s="1"/>
  <c r="CM27" i="182" s="1"/>
  <c r="E42" i="182"/>
  <c r="C24" i="182"/>
  <c r="K24" i="182" s="1"/>
  <c r="CM24" i="182" s="1"/>
  <c r="H49" i="6"/>
  <c r="L13" i="182"/>
  <c r="AB6" i="182"/>
  <c r="AB32" i="182" s="1"/>
  <c r="B50" i="182"/>
  <c r="R50" i="182" s="1"/>
  <c r="CI60" i="181"/>
  <c r="P6" i="182"/>
  <c r="M37" i="10"/>
  <c r="C14" i="182"/>
  <c r="K14" i="182" s="1"/>
  <c r="CM14" i="182" s="1"/>
  <c r="C13" i="182"/>
  <c r="CL8" i="182"/>
  <c r="E6" i="182"/>
  <c r="B6" i="182"/>
  <c r="C11" i="182"/>
  <c r="K11" i="182" s="1"/>
  <c r="CM11" i="182" s="1"/>
  <c r="L28" i="182"/>
  <c r="CN28" i="182" s="1"/>
  <c r="C30" i="182"/>
  <c r="K30" i="182" s="1"/>
  <c r="CM30" i="182" s="1"/>
  <c r="F6" i="182"/>
  <c r="J49" i="6"/>
  <c r="AE54" i="4" s="1"/>
  <c r="AC49" i="6"/>
  <c r="K40" i="10"/>
  <c r="S57" i="181"/>
  <c r="S60" i="181" s="1"/>
  <c r="CU24" i="181"/>
  <c r="K21" i="107"/>
  <c r="C39" i="107"/>
  <c r="C32" i="104"/>
  <c r="C39" i="106"/>
  <c r="C38" i="105"/>
  <c r="Y78" i="4"/>
  <c r="P78" i="4" s="1"/>
  <c r="O74" i="5"/>
  <c r="E79" i="5"/>
  <c r="E93" i="5" s="1"/>
  <c r="E104" i="5" s="1"/>
  <c r="D79" i="5"/>
  <c r="D93" i="5" s="1"/>
  <c r="W59" i="4"/>
  <c r="P77" i="5"/>
  <c r="K77" i="5"/>
  <c r="Q76" i="5"/>
  <c r="F63" i="5"/>
  <c r="AC78" i="4"/>
  <c r="T78" i="4" s="1"/>
  <c r="F57" i="9"/>
  <c r="AA66" i="5"/>
  <c r="P75" i="5"/>
  <c r="AA81" i="4"/>
  <c r="R81" i="4" s="1"/>
  <c r="I77" i="5"/>
  <c r="U66" i="5"/>
  <c r="O66" i="5" s="1"/>
  <c r="L66" i="5"/>
  <c r="AA79" i="4"/>
  <c r="R79" i="4" s="1"/>
  <c r="AC76" i="4"/>
  <c r="T76" i="4" s="1"/>
  <c r="G77" i="5"/>
  <c r="AC80" i="4"/>
  <c r="T80" i="4" s="1"/>
  <c r="P78" i="5"/>
  <c r="P79" i="5"/>
  <c r="D73" i="9"/>
  <c r="D78" i="9" s="1"/>
  <c r="AC70" i="4"/>
  <c r="J63" i="5"/>
  <c r="AA82" i="4"/>
  <c r="R82" i="4" s="1"/>
  <c r="G79" i="5"/>
  <c r="AA80" i="4"/>
  <c r="R80" i="4" s="1"/>
  <c r="E73" i="9"/>
  <c r="E78" i="9" s="1"/>
  <c r="E89" i="9" s="1"/>
  <c r="L34" i="10"/>
  <c r="K7" i="10"/>
  <c r="P18" i="184"/>
  <c r="I81" i="11"/>
  <c r="R33" i="11"/>
  <c r="G81" i="11"/>
  <c r="U51" i="6"/>
  <c r="AE55" i="8"/>
  <c r="AE40" i="8"/>
  <c r="V40" i="8" s="1"/>
  <c r="K43" i="9"/>
  <c r="E69" i="10"/>
  <c r="E74" i="10" s="1"/>
  <c r="E85" i="10" s="1"/>
  <c r="W22" i="24"/>
  <c r="L5" i="1"/>
  <c r="L42" i="60"/>
  <c r="I45" i="126" s="1"/>
  <c r="I46" i="126" s="1"/>
  <c r="W26" i="60"/>
  <c r="I31" i="126"/>
  <c r="Y19" i="60"/>
  <c r="G50" i="53"/>
  <c r="G65" i="53"/>
  <c r="H53" i="5"/>
  <c r="I65" i="53"/>
  <c r="L50" i="53"/>
  <c r="K50" i="53" s="1"/>
  <c r="P57" i="5"/>
  <c r="I51" i="25"/>
  <c r="AF39" i="4"/>
  <c r="W39" i="4" s="1"/>
  <c r="S39" i="5"/>
  <c r="M37" i="5"/>
  <c r="S37" i="5" s="1"/>
  <c r="V39" i="4"/>
  <c r="AE39" i="24"/>
  <c r="W39" i="24" s="1"/>
  <c r="K38" i="25"/>
  <c r="K39" i="5" s="1"/>
  <c r="AE9" i="24"/>
  <c r="W9" i="24" s="1"/>
  <c r="AC8" i="64"/>
  <c r="T8" i="64" s="1"/>
  <c r="K8" i="65"/>
  <c r="AB8" i="64" s="1"/>
  <c r="S8" i="64" s="1"/>
  <c r="K18" i="25"/>
  <c r="AP20" i="184"/>
  <c r="AT20" i="184"/>
  <c r="AT34" i="184" s="1"/>
  <c r="S20" i="184"/>
  <c r="CU13" i="181"/>
  <c r="K8" i="181"/>
  <c r="CU8" i="181" s="1"/>
  <c r="CV22" i="181"/>
  <c r="L21" i="181"/>
  <c r="CV21" i="181" s="1"/>
  <c r="CY34" i="181"/>
  <c r="D21" i="181"/>
  <c r="AZ57" i="181"/>
  <c r="C43" i="182" s="1"/>
  <c r="BC57" i="181"/>
  <c r="F43" i="182" s="1"/>
  <c r="V43" i="182" s="1"/>
  <c r="AJ28" i="181"/>
  <c r="CG29" i="181"/>
  <c r="AI25" i="181"/>
  <c r="U25" i="181"/>
  <c r="U57" i="181" s="1"/>
  <c r="CV32" i="181"/>
  <c r="BA57" i="181"/>
  <c r="D43" i="182" s="1"/>
  <c r="T43" i="182" s="1"/>
  <c r="AM25" i="181"/>
  <c r="CZ28" i="181"/>
  <c r="CZ8" i="181"/>
  <c r="L102" i="4"/>
  <c r="V78" i="8"/>
  <c r="L101" i="4"/>
  <c r="M100" i="69"/>
  <c r="M101" i="69" s="1"/>
  <c r="AC56" i="64"/>
  <c r="T56" i="64" s="1"/>
  <c r="AB56" i="64"/>
  <c r="S56" i="64" s="1"/>
  <c r="AA51" i="5"/>
  <c r="R51" i="5" s="1"/>
  <c r="AE50" i="24"/>
  <c r="W50" i="24" s="1"/>
  <c r="AF49" i="24"/>
  <c r="X49" i="24" s="1"/>
  <c r="L47" i="26"/>
  <c r="L59" i="26" s="1"/>
  <c r="L45" i="61"/>
  <c r="AG45" i="60" s="1"/>
  <c r="W45" i="60" s="1"/>
  <c r="L55" i="62"/>
  <c r="K55" i="62" s="1"/>
  <c r="L47" i="25"/>
  <c r="L49" i="5" s="1"/>
  <c r="AD48" i="6"/>
  <c r="AF52" i="4"/>
  <c r="L41" i="25"/>
  <c r="K41" i="25" s="1"/>
  <c r="K40" i="26"/>
  <c r="J40" i="6"/>
  <c r="K41" i="61"/>
  <c r="L39" i="61"/>
  <c r="L36" i="61" s="1"/>
  <c r="K36" i="61" s="1"/>
  <c r="AF42" i="24"/>
  <c r="X42" i="24" s="1"/>
  <c r="L71" i="10"/>
  <c r="L37" i="26"/>
  <c r="K42" i="26"/>
  <c r="AE41" i="24"/>
  <c r="W41" i="24" s="1"/>
  <c r="L36" i="62"/>
  <c r="K39" i="62"/>
  <c r="K36" i="62" s="1"/>
  <c r="AD79" i="6"/>
  <c r="AD78" i="6"/>
  <c r="AI36" i="60"/>
  <c r="Y36" i="60" s="1"/>
  <c r="M42" i="62"/>
  <c r="AI42" i="60" s="1"/>
  <c r="Y42" i="60" s="1"/>
  <c r="K83" i="6"/>
  <c r="M40" i="26"/>
  <c r="S50" i="5"/>
  <c r="M50" i="25"/>
  <c r="K48" i="6"/>
  <c r="AF53" i="4" s="1"/>
  <c r="M45" i="61"/>
  <c r="AF48" i="24"/>
  <c r="X48" i="24" s="1"/>
  <c r="M46" i="25"/>
  <c r="M58" i="25" s="1"/>
  <c r="AB49" i="5"/>
  <c r="S49" i="5" s="1"/>
  <c r="AI39" i="60"/>
  <c r="Y39" i="60" s="1"/>
  <c r="AE29" i="24"/>
  <c r="W29" i="24" s="1"/>
  <c r="K28" i="25"/>
  <c r="Z29" i="5" s="1"/>
  <c r="L65" i="53"/>
  <c r="L59" i="25"/>
  <c r="W70" i="5"/>
  <c r="P70" i="5" s="1"/>
  <c r="AG8" i="32"/>
  <c r="Y8" i="32" s="1"/>
  <c r="R74" i="4"/>
  <c r="AB70" i="5"/>
  <c r="S70" i="5" s="1"/>
  <c r="K67" i="5"/>
  <c r="J23" i="126"/>
  <c r="J40" i="126"/>
  <c r="Z23" i="126"/>
  <c r="I37" i="126"/>
  <c r="J34" i="126"/>
  <c r="K36" i="60"/>
  <c r="H33" i="126" s="1"/>
  <c r="H34" i="126" s="1"/>
  <c r="AE39" i="56"/>
  <c r="W39" i="56" s="1"/>
  <c r="AE34" i="56"/>
  <c r="W34" i="56" s="1"/>
  <c r="L42" i="56"/>
  <c r="M40" i="24"/>
  <c r="M41" i="4" s="1"/>
  <c r="W77" i="1" s="1"/>
  <c r="M42" i="56"/>
  <c r="J44" i="127" s="1"/>
  <c r="J45" i="127" s="1"/>
  <c r="J35" i="127"/>
  <c r="J36" i="127" s="1"/>
  <c r="I36" i="127"/>
  <c r="U35" i="125"/>
  <c r="K27" i="181"/>
  <c r="Y50" i="125"/>
  <c r="C32" i="125"/>
  <c r="CW27" i="181"/>
  <c r="M25" i="181"/>
  <c r="D27" i="181"/>
  <c r="L27" i="181" s="1"/>
  <c r="CV27" i="181" s="1"/>
  <c r="E25" i="181"/>
  <c r="D25" i="181" s="1"/>
  <c r="W47" i="125"/>
  <c r="Z29" i="125"/>
  <c r="J41" i="125"/>
  <c r="J47" i="125"/>
  <c r="M88" i="52"/>
  <c r="V47" i="52"/>
  <c r="K42" i="53"/>
  <c r="K40" i="52"/>
  <c r="I31" i="125"/>
  <c r="I32" i="125" s="1"/>
  <c r="L47" i="52"/>
  <c r="U47" i="52" s="1"/>
  <c r="K43" i="53"/>
  <c r="I29" i="124"/>
  <c r="M47" i="48"/>
  <c r="J28" i="124"/>
  <c r="J29" i="124" s="1"/>
  <c r="M43" i="49"/>
  <c r="M40" i="49" s="1"/>
  <c r="M47" i="49" s="1"/>
  <c r="Q47" i="49" s="1"/>
  <c r="L40" i="49"/>
  <c r="L47" i="49" s="1"/>
  <c r="H13" i="184" s="1"/>
  <c r="K43" i="49"/>
  <c r="H37" i="124"/>
  <c r="K44" i="49"/>
  <c r="I7" i="123"/>
  <c r="I31" i="123" s="1"/>
  <c r="I34" i="123"/>
  <c r="I40" i="123"/>
  <c r="M47" i="44"/>
  <c r="J30" i="123"/>
  <c r="J31" i="123" s="1"/>
  <c r="Y40" i="44"/>
  <c r="M47" i="45"/>
  <c r="L40" i="45"/>
  <c r="AF43" i="44"/>
  <c r="X43" i="44" s="1"/>
  <c r="L85" i="44"/>
  <c r="K47" i="44"/>
  <c r="L68" i="44"/>
  <c r="J11" i="107"/>
  <c r="I30" i="107"/>
  <c r="M43" i="40"/>
  <c r="M64" i="40" s="1"/>
  <c r="AF40" i="40"/>
  <c r="X40" i="40" s="1"/>
  <c r="L39" i="41"/>
  <c r="J41" i="104"/>
  <c r="I32" i="104"/>
  <c r="I41" i="104"/>
  <c r="M36" i="37"/>
  <c r="AG36" i="36" s="1"/>
  <c r="Y36" i="36" s="1"/>
  <c r="AG39" i="36"/>
  <c r="Y39" i="36" s="1"/>
  <c r="AG40" i="36"/>
  <c r="Y40" i="36" s="1"/>
  <c r="J32" i="104"/>
  <c r="AF40" i="36"/>
  <c r="X40" i="36" s="1"/>
  <c r="K39" i="37"/>
  <c r="L36" i="37"/>
  <c r="K40" i="37"/>
  <c r="I12" i="106"/>
  <c r="I33" i="106"/>
  <c r="J32" i="106"/>
  <c r="J33" i="106" s="1"/>
  <c r="M44" i="32"/>
  <c r="M38" i="33"/>
  <c r="K87" i="32"/>
  <c r="I23" i="105"/>
  <c r="AG23" i="105"/>
  <c r="J12" i="105"/>
  <c r="J23" i="105" s="1"/>
  <c r="M41" i="29"/>
  <c r="M40" i="25"/>
  <c r="P39" i="25" s="1"/>
  <c r="K42" i="24"/>
  <c r="K56" i="177"/>
  <c r="L44" i="28"/>
  <c r="I31" i="105"/>
  <c r="I32" i="105" s="1"/>
  <c r="K38" i="28"/>
  <c r="H31" i="105" s="1"/>
  <c r="X41" i="28"/>
  <c r="L149" i="1"/>
  <c r="G46" i="2"/>
  <c r="F77" i="1"/>
  <c r="R22" i="3"/>
  <c r="I78" i="2"/>
  <c r="G16" i="177"/>
  <c r="L30" i="2"/>
  <c r="I30" i="2"/>
  <c r="I38" i="2" s="1"/>
  <c r="G140" i="1"/>
  <c r="H55" i="1"/>
  <c r="L101" i="177"/>
  <c r="N203" i="70"/>
  <c r="V55" i="8"/>
  <c r="L68" i="4"/>
  <c r="P42" i="16"/>
  <c r="G87" i="7"/>
  <c r="B22" i="182"/>
  <c r="F11" i="177"/>
  <c r="E9" i="177"/>
  <c r="F64" i="1"/>
  <c r="R17" i="3"/>
  <c r="K217" i="70"/>
  <c r="K214" i="70" s="1"/>
  <c r="G101" i="177"/>
  <c r="K9" i="177"/>
  <c r="AA53" i="4"/>
  <c r="R53" i="4" s="1"/>
  <c r="P50" i="5"/>
  <c r="G50" i="5"/>
  <c r="I50" i="5"/>
  <c r="F55" i="6"/>
  <c r="Y55" i="6"/>
  <c r="AA46" i="8"/>
  <c r="R46" i="8" s="1"/>
  <c r="H42" i="10"/>
  <c r="Y26" i="4"/>
  <c r="P26" i="4" s="1"/>
  <c r="H200" i="70"/>
  <c r="H201" i="70" s="1"/>
  <c r="Y55" i="8"/>
  <c r="P55" i="8" s="1"/>
  <c r="I73" i="4"/>
  <c r="CO7" i="182"/>
  <c r="M13" i="182"/>
  <c r="CO13" i="182" s="1"/>
  <c r="O32" i="181"/>
  <c r="G28" i="181"/>
  <c r="G43" i="22"/>
  <c r="I43" i="22"/>
  <c r="P43" i="22"/>
  <c r="K11" i="9"/>
  <c r="AE11" i="8"/>
  <c r="V11" i="8" s="1"/>
  <c r="AM32" i="182"/>
  <c r="G42" i="182" s="1"/>
  <c r="H37" i="17"/>
  <c r="H43" i="17" s="1"/>
  <c r="H40" i="7"/>
  <c r="F42" i="61"/>
  <c r="J81" i="11"/>
  <c r="P33" i="11"/>
  <c r="I37" i="6"/>
  <c r="H36" i="6"/>
  <c r="AC73" i="4"/>
  <c r="T73" i="4" s="1"/>
  <c r="G45" i="50"/>
  <c r="E288" i="177"/>
  <c r="K19" i="14"/>
  <c r="U27" i="6"/>
  <c r="M8" i="8"/>
  <c r="S86" i="178"/>
  <c r="G41" i="177"/>
  <c r="F41" i="177" s="1"/>
  <c r="F34" i="177"/>
  <c r="G44" i="127"/>
  <c r="G45" i="127" s="1"/>
  <c r="U42" i="56"/>
  <c r="K37" i="24"/>
  <c r="AA17" i="6"/>
  <c r="S17" i="6" s="1"/>
  <c r="G41" i="64"/>
  <c r="I60" i="8"/>
  <c r="AI6" i="182"/>
  <c r="AI32" i="182" s="1"/>
  <c r="CX18" i="181"/>
  <c r="F37" i="26"/>
  <c r="F44" i="26" s="1"/>
  <c r="W16" i="6"/>
  <c r="Q16" i="6" s="1"/>
  <c r="W7" i="6"/>
  <c r="Q7" i="6" s="1"/>
  <c r="AE48" i="14"/>
  <c r="V48" i="14" s="1"/>
  <c r="L40" i="7"/>
  <c r="L37" i="17"/>
  <c r="U68" i="6"/>
  <c r="L203" i="177"/>
  <c r="M44" i="8"/>
  <c r="S65" i="5"/>
  <c r="AF69" i="4"/>
  <c r="W69" i="4" s="1"/>
  <c r="G203" i="177"/>
  <c r="F198" i="177"/>
  <c r="D51" i="181" s="1"/>
  <c r="L51" i="181" s="1"/>
  <c r="CV51" i="181" s="1"/>
  <c r="W52" i="4"/>
  <c r="AF60" i="14"/>
  <c r="W60" i="14" s="1"/>
  <c r="M20" i="26"/>
  <c r="AF21" i="24"/>
  <c r="X21" i="24" s="1"/>
  <c r="J44" i="8"/>
  <c r="I203" i="177"/>
  <c r="Z39" i="60"/>
  <c r="Q39" i="60" s="1"/>
  <c r="G39" i="61"/>
  <c r="AE50" i="14"/>
  <c r="V50" i="14" s="1"/>
  <c r="AA53" i="5"/>
  <c r="L57" i="5"/>
  <c r="Y66" i="5"/>
  <c r="C15" i="182"/>
  <c r="K15" i="182" s="1"/>
  <c r="CM15" i="182" s="1"/>
  <c r="J15" i="182"/>
  <c r="J34" i="10"/>
  <c r="K34" i="10" s="1"/>
  <c r="K40" i="49"/>
  <c r="J12" i="25"/>
  <c r="J8" i="61"/>
  <c r="J42" i="61" s="1"/>
  <c r="AC49" i="24"/>
  <c r="U49" i="24" s="1"/>
  <c r="AC48" i="24"/>
  <c r="U48" i="24" s="1"/>
  <c r="K13" i="24"/>
  <c r="F36" i="62"/>
  <c r="F42" i="62" s="1"/>
  <c r="Z40" i="60"/>
  <c r="Q40" i="60" s="1"/>
  <c r="AD47" i="6"/>
  <c r="U47" i="6" s="1"/>
  <c r="J47" i="26"/>
  <c r="K72" i="40"/>
  <c r="K47" i="29"/>
  <c r="M79" i="36"/>
  <c r="K71" i="36"/>
  <c r="I38" i="107"/>
  <c r="I39" i="107" s="1"/>
  <c r="M18" i="14"/>
  <c r="AW53" i="181" s="1"/>
  <c r="K45" i="14"/>
  <c r="K65" i="6"/>
  <c r="U65" i="6" s="1"/>
  <c r="L40" i="9"/>
  <c r="M57" i="9"/>
  <c r="AD68" i="6"/>
  <c r="H45" i="9"/>
  <c r="AC58" i="8"/>
  <c r="T58" i="8" s="1"/>
  <c r="M110" i="177"/>
  <c r="AD27" i="8"/>
  <c r="G43" i="10"/>
  <c r="F157" i="177"/>
  <c r="H58" i="8"/>
  <c r="I63" i="49"/>
  <c r="AC13" i="184" s="1"/>
  <c r="AA54" i="24"/>
  <c r="S54" i="24" s="1"/>
  <c r="I54" i="24"/>
  <c r="F15" i="184"/>
  <c r="G29" i="107"/>
  <c r="G30" i="107" s="1"/>
  <c r="M71" i="69"/>
  <c r="P43" i="37"/>
  <c r="S19" i="24"/>
  <c r="G19" i="24"/>
  <c r="K12" i="61"/>
  <c r="Y49" i="5"/>
  <c r="K38" i="4"/>
  <c r="J46" i="25"/>
  <c r="P40" i="26"/>
  <c r="I49" i="26"/>
  <c r="M50" i="26"/>
  <c r="H48" i="6"/>
  <c r="AF47" i="28"/>
  <c r="X47" i="28" s="1"/>
  <c r="J60" i="104"/>
  <c r="J61" i="104" s="1"/>
  <c r="J42" i="16"/>
  <c r="P7" i="184" s="1"/>
  <c r="L36" i="14"/>
  <c r="L71" i="14"/>
  <c r="AE32" i="8"/>
  <c r="V32" i="8" s="1"/>
  <c r="AG43" i="44"/>
  <c r="Y43" i="44" s="1"/>
  <c r="N12" i="181"/>
  <c r="AB66" i="5"/>
  <c r="H63" i="6"/>
  <c r="F37" i="177"/>
  <c r="K20" i="15"/>
  <c r="K44" i="15" s="1"/>
  <c r="AA43" i="8"/>
  <c r="R43" i="8" s="1"/>
  <c r="Y52" i="6"/>
  <c r="R52" i="6" s="1"/>
  <c r="F47" i="6"/>
  <c r="K20" i="9"/>
  <c r="AE20" i="8"/>
  <c r="V20" i="8" s="1"/>
  <c r="D40" i="67"/>
  <c r="H47" i="24"/>
  <c r="G48" i="24"/>
  <c r="I36" i="56"/>
  <c r="I42" i="56" s="1"/>
  <c r="G35" i="127"/>
  <c r="G36" i="127" s="1"/>
  <c r="K12" i="9"/>
  <c r="AE12" i="8"/>
  <c r="V12" i="8" s="1"/>
  <c r="G61" i="104"/>
  <c r="N26" i="178"/>
  <c r="M17" i="178"/>
  <c r="L8" i="24"/>
  <c r="AA48" i="6"/>
  <c r="K52" i="4"/>
  <c r="AF30" i="4"/>
  <c r="W30" i="4" s="1"/>
  <c r="E119" i="177"/>
  <c r="H47" i="49"/>
  <c r="W64" i="5"/>
  <c r="H64" i="5"/>
  <c r="H27" i="6"/>
  <c r="AC27" i="8"/>
  <c r="T27" i="8" s="1"/>
  <c r="Y42" i="56"/>
  <c r="Q42" i="56" s="1"/>
  <c r="B15" i="184"/>
  <c r="K14" i="9"/>
  <c r="AE14" i="8"/>
  <c r="V14" i="8" s="1"/>
  <c r="N60" i="24"/>
  <c r="M101" i="4"/>
  <c r="M18" i="24"/>
  <c r="H13" i="24"/>
  <c r="I13" i="24" s="1"/>
  <c r="F30" i="4"/>
  <c r="I40" i="64"/>
  <c r="L34" i="178"/>
  <c r="M34" i="178" s="1"/>
  <c r="G36" i="37"/>
  <c r="H20" i="26"/>
  <c r="E59" i="25"/>
  <c r="F47" i="48"/>
  <c r="U46" i="123"/>
  <c r="E30" i="107"/>
  <c r="E7" i="9"/>
  <c r="H47" i="25"/>
  <c r="I47" i="25" s="1"/>
  <c r="I13" i="64"/>
  <c r="K38" i="29"/>
  <c r="J36" i="41"/>
  <c r="M13" i="24"/>
  <c r="AC27" i="24"/>
  <c r="G61" i="46"/>
  <c r="Y19" i="56"/>
  <c r="Q19" i="56" s="1"/>
  <c r="F284" i="177"/>
  <c r="U15" i="2"/>
  <c r="AF8" i="40"/>
  <c r="X8" i="40" s="1"/>
  <c r="J27" i="5"/>
  <c r="G33" i="24"/>
  <c r="I43" i="53"/>
  <c r="H40" i="24"/>
  <c r="AJ7" i="184"/>
  <c r="W29" i="5"/>
  <c r="P29" i="5" s="1"/>
  <c r="P52" i="64"/>
  <c r="L78" i="48"/>
  <c r="H42" i="24"/>
  <c r="N15" i="178"/>
  <c r="H8" i="8"/>
  <c r="H38" i="29"/>
  <c r="H33" i="8"/>
  <c r="I44" i="66"/>
  <c r="E56" i="27"/>
  <c r="I34" i="126"/>
  <c r="G36" i="57"/>
  <c r="D7" i="9"/>
  <c r="K61" i="4"/>
  <c r="P44" i="64"/>
  <c r="I39" i="41"/>
  <c r="R73" i="6"/>
  <c r="H40" i="16"/>
  <c r="K6" i="14"/>
  <c r="AN53" i="181" s="1"/>
  <c r="CZ53" i="181" s="1"/>
  <c r="K53" i="14"/>
  <c r="H54" i="66"/>
  <c r="M27" i="68"/>
  <c r="K7" i="182" s="1"/>
  <c r="N77" i="68"/>
  <c r="H216" i="68"/>
  <c r="D87" i="7"/>
  <c r="P42" i="21"/>
  <c r="Q22" i="24"/>
  <c r="X9" i="24"/>
  <c r="K47" i="33"/>
  <c r="J11" i="158"/>
  <c r="J22" i="158" s="1"/>
  <c r="R37" i="14"/>
  <c r="W14" i="14"/>
  <c r="AG22" i="158"/>
  <c r="G22" i="158"/>
  <c r="D68" i="11"/>
  <c r="D73" i="11" s="1"/>
  <c r="R54" i="14"/>
  <c r="P8" i="183"/>
  <c r="H13" i="183"/>
  <c r="AV33" i="184" s="1"/>
  <c r="G51" i="21"/>
  <c r="G34" i="158"/>
  <c r="K38" i="1"/>
  <c r="K29" i="4"/>
  <c r="J7" i="3" s="1"/>
  <c r="U33" i="32"/>
  <c r="K59" i="14"/>
  <c r="K55" i="14"/>
  <c r="K48" i="14"/>
  <c r="K46" i="14"/>
  <c r="K37" i="14"/>
  <c r="K28" i="14"/>
  <c r="K25" i="14"/>
  <c r="K24" i="14"/>
  <c r="V7" i="14"/>
  <c r="K42" i="18"/>
  <c r="E23" i="106"/>
  <c r="K58" i="14"/>
  <c r="K57" i="14"/>
  <c r="K54" i="14"/>
  <c r="M206" i="70" s="1"/>
  <c r="M207" i="70" s="1"/>
  <c r="K32" i="14"/>
  <c r="V14" i="14"/>
  <c r="K12" i="14"/>
  <c r="V25" i="14"/>
  <c r="J21" i="15"/>
  <c r="I21" i="15" s="1"/>
  <c r="L70" i="11"/>
  <c r="K70" i="11" s="1"/>
  <c r="M42" i="159"/>
  <c r="AE49" i="24"/>
  <c r="W49" i="24" s="1"/>
  <c r="Z61" i="40"/>
  <c r="R61" i="40" s="1"/>
  <c r="G16" i="45"/>
  <c r="Y14" i="24"/>
  <c r="Q14" i="24" s="1"/>
  <c r="H20" i="29"/>
  <c r="AG43" i="32"/>
  <c r="Y43" i="32" s="1"/>
  <c r="I26" i="107"/>
  <c r="I27" i="107" s="1"/>
  <c r="G55" i="41"/>
  <c r="Z65" i="44"/>
  <c r="R65" i="44" s="1"/>
  <c r="Y13" i="24"/>
  <c r="Q13" i="24" s="1"/>
  <c r="I40" i="48"/>
  <c r="F28" i="124" s="1"/>
  <c r="D63" i="45"/>
  <c r="C29" i="124"/>
  <c r="I33" i="46"/>
  <c r="K40" i="47"/>
  <c r="K36" i="47"/>
  <c r="J8" i="49"/>
  <c r="M39" i="57"/>
  <c r="G9" i="61"/>
  <c r="Z9" i="60"/>
  <c r="Q9" i="60" s="1"/>
  <c r="AG37" i="60"/>
  <c r="W37" i="60" s="1"/>
  <c r="E55" i="62"/>
  <c r="D10" i="182"/>
  <c r="S49" i="64"/>
  <c r="E49" i="65"/>
  <c r="E53" i="65" s="1"/>
  <c r="I10" i="66"/>
  <c r="I8" i="66" s="1"/>
  <c r="F60" i="26"/>
  <c r="G56" i="66"/>
  <c r="O206" i="68"/>
  <c r="B23" i="182"/>
  <c r="E14" i="177"/>
  <c r="N197" i="68"/>
  <c r="O198" i="68"/>
  <c r="T206" i="68"/>
  <c r="AG134" i="68"/>
  <c r="B47" i="182"/>
  <c r="D16" i="182"/>
  <c r="K214" i="177"/>
  <c r="L31" i="4"/>
  <c r="P45" i="182" s="1"/>
  <c r="X45" i="182" s="1"/>
  <c r="M106" i="8"/>
  <c r="O90" i="178"/>
  <c r="O87" i="178" s="1"/>
  <c r="O86" i="178" s="1"/>
  <c r="O101" i="178" s="1"/>
  <c r="F34" i="181"/>
  <c r="K42" i="4"/>
  <c r="K89" i="4"/>
  <c r="T87" i="4"/>
  <c r="F250" i="177"/>
  <c r="K12" i="4"/>
  <c r="M46" i="9"/>
  <c r="L237" i="177"/>
  <c r="I284" i="177"/>
  <c r="I288" i="177" s="1"/>
  <c r="K8" i="14"/>
  <c r="K16" i="14"/>
  <c r="K40" i="14"/>
  <c r="M3" i="70"/>
  <c r="M108" i="69" s="1"/>
  <c r="K41" i="14"/>
  <c r="L8" i="4"/>
  <c r="P46" i="182" s="1"/>
  <c r="K23" i="14"/>
  <c r="K35" i="4"/>
  <c r="K17" i="14"/>
  <c r="K11" i="14"/>
  <c r="K35" i="14"/>
  <c r="AN24" i="125"/>
  <c r="M8" i="4"/>
  <c r="N8" i="183"/>
  <c r="L8" i="183"/>
  <c r="B13" i="183"/>
  <c r="B17" i="183" s="1"/>
  <c r="K8" i="183"/>
  <c r="AG13" i="183"/>
  <c r="J13" i="183"/>
  <c r="R33" i="184" s="1"/>
  <c r="E13" i="183"/>
  <c r="AS33" i="184" s="1"/>
  <c r="G13" i="25" l="1"/>
  <c r="AA13" i="24"/>
  <c r="S13" i="24" s="1"/>
  <c r="J91" i="4"/>
  <c r="Y59" i="24"/>
  <c r="Q59" i="24" s="1"/>
  <c r="L92" i="69"/>
  <c r="L93" i="69" s="1"/>
  <c r="J20" i="24"/>
  <c r="L200" i="70"/>
  <c r="S6" i="3"/>
  <c r="N52" i="4"/>
  <c r="V6" i="2"/>
  <c r="P209" i="70"/>
  <c r="O210" i="70"/>
  <c r="J40" i="182"/>
  <c r="AI59" i="181"/>
  <c r="E27" i="1"/>
  <c r="E6" i="2"/>
  <c r="AC51" i="60"/>
  <c r="S51" i="60" s="1"/>
  <c r="G51" i="61"/>
  <c r="I11" i="25"/>
  <c r="AC11" i="24"/>
  <c r="U11" i="24" s="1"/>
  <c r="K11" i="25"/>
  <c r="H8" i="25"/>
  <c r="AA8" i="24" s="1"/>
  <c r="H53" i="24"/>
  <c r="U69" i="5"/>
  <c r="O69" i="5" s="1"/>
  <c r="Q57" i="5"/>
  <c r="AA55" i="24"/>
  <c r="S55" i="24" s="1"/>
  <c r="H65" i="5"/>
  <c r="W65" i="5"/>
  <c r="G54" i="25"/>
  <c r="H52" i="25"/>
  <c r="Y12" i="24"/>
  <c r="Q12" i="24" s="1"/>
  <c r="G12" i="25"/>
  <c r="F8" i="25"/>
  <c r="H36" i="61"/>
  <c r="AC39" i="60"/>
  <c r="S39" i="60" s="1"/>
  <c r="I39" i="61"/>
  <c r="H39" i="25"/>
  <c r="L37" i="4"/>
  <c r="K15" i="2"/>
  <c r="G52" i="4"/>
  <c r="I17" i="25"/>
  <c r="K17" i="25"/>
  <c r="P52" i="4"/>
  <c r="AF27" i="24"/>
  <c r="X27" i="24" s="1"/>
  <c r="AB27" i="5"/>
  <c r="M27" i="5"/>
  <c r="L38" i="2"/>
  <c r="L39" i="25"/>
  <c r="AE40" i="24" s="1"/>
  <c r="W40" i="24" s="1"/>
  <c r="R37" i="5"/>
  <c r="J55" i="61"/>
  <c r="AF61" i="4"/>
  <c r="W61" i="4" s="1"/>
  <c r="S57" i="5"/>
  <c r="AC8" i="60"/>
  <c r="S8" i="60" s="1"/>
  <c r="H42" i="61"/>
  <c r="G8" i="61"/>
  <c r="K26" i="25"/>
  <c r="Z27" i="5" s="1"/>
  <c r="AE27" i="24"/>
  <c r="W27" i="24" s="1"/>
  <c r="L27" i="5"/>
  <c r="AA27" i="5"/>
  <c r="G41" i="25"/>
  <c r="AA42" i="24"/>
  <c r="G19" i="61"/>
  <c r="H20" i="24"/>
  <c r="G21" i="24"/>
  <c r="N21" i="24"/>
  <c r="I8" i="26"/>
  <c r="H16" i="6"/>
  <c r="AA16" i="6"/>
  <c r="I46" i="7"/>
  <c r="K46" i="7"/>
  <c r="K40" i="7"/>
  <c r="K37" i="17"/>
  <c r="K43" i="17" s="1"/>
  <c r="S43" i="17" s="1"/>
  <c r="I77" i="1"/>
  <c r="H62" i="15"/>
  <c r="I70" i="5" s="1"/>
  <c r="G47" i="15"/>
  <c r="AC45" i="14"/>
  <c r="T45" i="14" s="1"/>
  <c r="K41" i="4"/>
  <c r="AD50" i="44"/>
  <c r="V50" i="44" s="1"/>
  <c r="I50" i="45"/>
  <c r="J63" i="45"/>
  <c r="K50" i="45"/>
  <c r="I13" i="25"/>
  <c r="AC13" i="24"/>
  <c r="U13" i="24" s="1"/>
  <c r="AC18" i="24"/>
  <c r="U18" i="24" s="1"/>
  <c r="CG38" i="182"/>
  <c r="I54" i="4"/>
  <c r="Q52" i="5"/>
  <c r="CH37" i="182"/>
  <c r="CH38" i="182" s="1"/>
  <c r="T8" i="2"/>
  <c r="K54" i="4"/>
  <c r="K8" i="45"/>
  <c r="AD8" i="44"/>
  <c r="V8" i="44" s="1"/>
  <c r="I8" i="45"/>
  <c r="I10" i="25"/>
  <c r="AC10" i="24"/>
  <c r="U10" i="24" s="1"/>
  <c r="K52" i="5"/>
  <c r="I52" i="5"/>
  <c r="I53" i="4"/>
  <c r="K37" i="25"/>
  <c r="K53" i="4"/>
  <c r="J36" i="25"/>
  <c r="AC37" i="24" s="1"/>
  <c r="U37" i="24" s="1"/>
  <c r="K39" i="25"/>
  <c r="J38" i="5"/>
  <c r="I37" i="25"/>
  <c r="I38" i="5" s="1"/>
  <c r="I37" i="5" s="1"/>
  <c r="Y37" i="5"/>
  <c r="AC38" i="24"/>
  <c r="U38" i="24" s="1"/>
  <c r="I16" i="2"/>
  <c r="J34" i="4"/>
  <c r="J33" i="4" s="1"/>
  <c r="J46" i="4"/>
  <c r="J119" i="4" s="1"/>
  <c r="T77" i="1"/>
  <c r="K38" i="5"/>
  <c r="K47" i="24"/>
  <c r="K52" i="25"/>
  <c r="I52" i="25"/>
  <c r="J27" i="24"/>
  <c r="J27" i="4" s="1"/>
  <c r="U28" i="24"/>
  <c r="S22" i="64"/>
  <c r="I41" i="64"/>
  <c r="J77" i="64"/>
  <c r="E28" i="182"/>
  <c r="M28" i="182" s="1"/>
  <c r="CO28" i="182" s="1"/>
  <c r="K110" i="69"/>
  <c r="Y51" i="5"/>
  <c r="J51" i="5"/>
  <c r="AC54" i="4" s="1"/>
  <c r="T54" i="4" s="1"/>
  <c r="F8" i="181"/>
  <c r="S65" i="6"/>
  <c r="T7" i="2"/>
  <c r="T54" i="8"/>
  <c r="J8" i="9"/>
  <c r="P111" i="178"/>
  <c r="J26" i="9"/>
  <c r="I26" i="8"/>
  <c r="J26" i="4"/>
  <c r="J7" i="8"/>
  <c r="J34" i="8" s="1"/>
  <c r="J104" i="8" s="1"/>
  <c r="N204" i="70"/>
  <c r="P203" i="70"/>
  <c r="P22" i="3"/>
  <c r="H22" i="3"/>
  <c r="T22" i="3"/>
  <c r="G24" i="3"/>
  <c r="H24" i="3" s="1"/>
  <c r="H50" i="182"/>
  <c r="N112" i="69"/>
  <c r="N114" i="69" s="1"/>
  <c r="N105" i="69"/>
  <c r="O114" i="69"/>
  <c r="O116" i="69" s="1"/>
  <c r="M110" i="69"/>
  <c r="R34" i="184"/>
  <c r="Y40" i="8"/>
  <c r="P40" i="8" s="1"/>
  <c r="F40" i="9"/>
  <c r="U48" i="5" s="1"/>
  <c r="G43" i="9"/>
  <c r="C6" i="182"/>
  <c r="E49" i="6"/>
  <c r="U51" i="5"/>
  <c r="O51" i="5" s="1"/>
  <c r="F42" i="182"/>
  <c r="CF14" i="182"/>
  <c r="CN14" i="182" s="1"/>
  <c r="CR6" i="182"/>
  <c r="CP6" i="182"/>
  <c r="AA40" i="8"/>
  <c r="R40" i="8" s="1"/>
  <c r="H51" i="5"/>
  <c r="W51" i="5"/>
  <c r="V41" i="182"/>
  <c r="I43" i="9"/>
  <c r="E50" i="182"/>
  <c r="U50" i="182" s="1"/>
  <c r="B42" i="182"/>
  <c r="R42" i="182" s="1"/>
  <c r="AB51" i="5"/>
  <c r="CH60" i="181"/>
  <c r="M51" i="5"/>
  <c r="CL6" i="182"/>
  <c r="AI57" i="181"/>
  <c r="B40" i="182" s="1"/>
  <c r="R40" i="182" s="1"/>
  <c r="CG32" i="181"/>
  <c r="AM57" i="181"/>
  <c r="F40" i="182" s="1"/>
  <c r="CY14" i="181"/>
  <c r="CW29" i="181"/>
  <c r="CY25" i="181"/>
  <c r="CY27" i="181"/>
  <c r="AQ60" i="181"/>
  <c r="CW32" i="181"/>
  <c r="AL57" i="181"/>
  <c r="E40" i="182" s="1"/>
  <c r="CU14" i="181"/>
  <c r="V57" i="181"/>
  <c r="E41" i="182" s="1"/>
  <c r="CW25" i="181"/>
  <c r="DF28" i="181"/>
  <c r="DF57" i="181" s="1"/>
  <c r="E47" i="182" s="1"/>
  <c r="U47" i="182" s="1"/>
  <c r="CX25" i="181"/>
  <c r="W60" i="181"/>
  <c r="G57" i="181"/>
  <c r="AD27" i="184" s="1"/>
  <c r="F25" i="181"/>
  <c r="CX27" i="181"/>
  <c r="DA53" i="181"/>
  <c r="L8" i="181"/>
  <c r="CV8" i="181" s="1"/>
  <c r="CV10" i="181"/>
  <c r="M8" i="181"/>
  <c r="CW8" i="181" s="1"/>
  <c r="CW10" i="181"/>
  <c r="U64" i="6"/>
  <c r="O92" i="69"/>
  <c r="O93" i="69" s="1"/>
  <c r="V7" i="3"/>
  <c r="R64" i="6"/>
  <c r="E64" i="6"/>
  <c r="AA69" i="4"/>
  <c r="H68" i="177"/>
  <c r="H72" i="177" s="1"/>
  <c r="I55" i="10"/>
  <c r="AE52" i="4"/>
  <c r="V52" i="4" s="1"/>
  <c r="D41" i="182"/>
  <c r="T41" i="182" s="1"/>
  <c r="K196" i="70"/>
  <c r="E27" i="182"/>
  <c r="M27" i="182" s="1"/>
  <c r="CO27" i="182" s="1"/>
  <c r="U47" i="53"/>
  <c r="K26" i="8"/>
  <c r="L26" i="9"/>
  <c r="M222" i="70"/>
  <c r="N32" i="181"/>
  <c r="CX32" i="181" s="1"/>
  <c r="F28" i="181"/>
  <c r="W89" i="178"/>
  <c r="T87" i="178"/>
  <c r="W92" i="178"/>
  <c r="AE41" i="64"/>
  <c r="V41" i="64" s="1"/>
  <c r="H47" i="45"/>
  <c r="AB40" i="44"/>
  <c r="T40" i="44" s="1"/>
  <c r="I40" i="45"/>
  <c r="G40" i="45"/>
  <c r="M33" i="7"/>
  <c r="M32" i="7" s="1"/>
  <c r="M42" i="7"/>
  <c r="M88" i="7" s="1"/>
  <c r="M89" i="7" s="1"/>
  <c r="AF71" i="4"/>
  <c r="W71" i="4" s="1"/>
  <c r="S67" i="5"/>
  <c r="V47" i="182"/>
  <c r="T52" i="4"/>
  <c r="I52" i="4"/>
  <c r="S6" i="2"/>
  <c r="F42" i="14"/>
  <c r="G36" i="14"/>
  <c r="AE42" i="24"/>
  <c r="W42" i="24" s="1"/>
  <c r="AE51" i="56"/>
  <c r="W51" i="56" s="1"/>
  <c r="L55" i="57"/>
  <c r="K51" i="57"/>
  <c r="AA29" i="5"/>
  <c r="AE28" i="8"/>
  <c r="N41" i="8"/>
  <c r="M55" i="4"/>
  <c r="AE42" i="4"/>
  <c r="V42" i="4" s="1"/>
  <c r="R42" i="5"/>
  <c r="K42" i="5"/>
  <c r="AD42" i="4" s="1"/>
  <c r="AW14" i="181"/>
  <c r="AW57" i="181" s="1"/>
  <c r="H42" i="182" s="1"/>
  <c r="DA15" i="181"/>
  <c r="X51" i="182"/>
  <c r="C5" i="189"/>
  <c r="C12" i="189" s="1"/>
  <c r="M87" i="178"/>
  <c r="F8" i="8"/>
  <c r="L86" i="178"/>
  <c r="T47" i="6"/>
  <c r="I47" i="6"/>
  <c r="BM60" i="181"/>
  <c r="H44" i="182"/>
  <c r="M77" i="64"/>
  <c r="M59" i="64"/>
  <c r="F244" i="177"/>
  <c r="E31" i="181"/>
  <c r="J16" i="6"/>
  <c r="AC16" i="6"/>
  <c r="K8" i="26"/>
  <c r="I59" i="37"/>
  <c r="AD59" i="36"/>
  <c r="V59" i="36" s="1"/>
  <c r="AD10" i="184"/>
  <c r="R43" i="37"/>
  <c r="W41" i="8"/>
  <c r="AD46" i="14"/>
  <c r="N55" i="24"/>
  <c r="M43" i="37"/>
  <c r="K222" i="70"/>
  <c r="V77" i="1"/>
  <c r="L78" i="56"/>
  <c r="K42" i="56"/>
  <c r="K78" i="56" s="1"/>
  <c r="T47" i="53"/>
  <c r="K40" i="65"/>
  <c r="M75" i="11"/>
  <c r="I8" i="181"/>
  <c r="Q10" i="181"/>
  <c r="L8" i="61"/>
  <c r="AG8" i="60" s="1"/>
  <c r="W8" i="60" s="1"/>
  <c r="L12" i="25"/>
  <c r="K12" i="25" s="1"/>
  <c r="AG12" i="60"/>
  <c r="W12" i="60" s="1"/>
  <c r="Y29" i="5"/>
  <c r="Q29" i="5" s="1"/>
  <c r="I28" i="9"/>
  <c r="AC28" i="8"/>
  <c r="T28" i="8" s="1"/>
  <c r="H15" i="182"/>
  <c r="P15" i="182" s="1"/>
  <c r="CR15" i="182" s="1"/>
  <c r="J157" i="177"/>
  <c r="K119" i="177"/>
  <c r="M41" i="182"/>
  <c r="V59" i="181"/>
  <c r="O26" i="178"/>
  <c r="G20" i="66"/>
  <c r="F41" i="66"/>
  <c r="Q30" i="181"/>
  <c r="L19" i="25"/>
  <c r="Y52" i="14"/>
  <c r="P52" i="14" s="1"/>
  <c r="D60" i="16"/>
  <c r="Y53" i="14"/>
  <c r="P53" i="14" s="1"/>
  <c r="L38" i="33"/>
  <c r="K41" i="33"/>
  <c r="AG41" i="32"/>
  <c r="Y41" i="32" s="1"/>
  <c r="AF38" i="28"/>
  <c r="X38" i="28" s="1"/>
  <c r="L44" i="29"/>
  <c r="CR7" i="182"/>
  <c r="I25" i="181"/>
  <c r="AF9" i="184"/>
  <c r="K63" i="33"/>
  <c r="AG63" i="32"/>
  <c r="Y63" i="32" s="1"/>
  <c r="AE68" i="4"/>
  <c r="R64" i="5"/>
  <c r="K64" i="5"/>
  <c r="J45" i="126"/>
  <c r="J46" i="126" s="1"/>
  <c r="M78" i="60"/>
  <c r="Q35" i="6"/>
  <c r="Y42" i="6"/>
  <c r="F43" i="15"/>
  <c r="H71" i="10"/>
  <c r="F40" i="6"/>
  <c r="F37" i="16"/>
  <c r="Y40" i="6"/>
  <c r="Y33" i="6"/>
  <c r="AC45" i="60"/>
  <c r="S45" i="60" s="1"/>
  <c r="H55" i="61"/>
  <c r="G45" i="61"/>
  <c r="K55" i="4"/>
  <c r="U9" i="2"/>
  <c r="I41" i="25"/>
  <c r="AC42" i="24"/>
  <c r="U42" i="24" s="1"/>
  <c r="G43" i="8"/>
  <c r="F57" i="4"/>
  <c r="P43" i="8"/>
  <c r="W20" i="64"/>
  <c r="N20" i="64" s="1"/>
  <c r="AC7" i="6"/>
  <c r="H69" i="4"/>
  <c r="S38" i="5"/>
  <c r="N16" i="8"/>
  <c r="M16" i="9"/>
  <c r="DD28" i="181"/>
  <c r="DD57" i="181" s="1"/>
  <c r="C47" i="182" s="1"/>
  <c r="Y53" i="5"/>
  <c r="Q53" i="5" s="1"/>
  <c r="J40" i="9"/>
  <c r="Y48" i="5" s="1"/>
  <c r="E47" i="15"/>
  <c r="Y45" i="14"/>
  <c r="P45" i="14" s="1"/>
  <c r="D62" i="15"/>
  <c r="E53" i="16"/>
  <c r="I35" i="6"/>
  <c r="T35" i="6"/>
  <c r="I45" i="61"/>
  <c r="S46" i="126"/>
  <c r="AF57" i="8"/>
  <c r="W57" i="8" s="1"/>
  <c r="M66" i="5"/>
  <c r="M63" i="5" s="1"/>
  <c r="O153" i="68"/>
  <c r="N19" i="181" s="1"/>
  <c r="CX19" i="181" s="1"/>
  <c r="E35" i="6"/>
  <c r="F254" i="177"/>
  <c r="C31" i="181"/>
  <c r="G45" i="46"/>
  <c r="I45" i="46"/>
  <c r="H59" i="4"/>
  <c r="H42" i="8"/>
  <c r="H37" i="8" s="1"/>
  <c r="N46" i="8"/>
  <c r="AE13" i="183"/>
  <c r="K13" i="183"/>
  <c r="S33" i="184" s="1"/>
  <c r="S34" i="184" s="1"/>
  <c r="J38" i="1"/>
  <c r="K41" i="182"/>
  <c r="T59" i="181"/>
  <c r="T60" i="181" s="1"/>
  <c r="AE29" i="4"/>
  <c r="R30" i="5"/>
  <c r="W44" i="106"/>
  <c r="W45" i="106" s="1"/>
  <c r="I63" i="32"/>
  <c r="V44" i="106" s="1"/>
  <c r="W63" i="32"/>
  <c r="J77" i="32"/>
  <c r="J20" i="26"/>
  <c r="I20" i="26" s="1"/>
  <c r="K21" i="26"/>
  <c r="AA20" i="6"/>
  <c r="S20" i="6" s="1"/>
  <c r="I21" i="26"/>
  <c r="AC21" i="24"/>
  <c r="U21" i="24" s="1"/>
  <c r="AF13" i="184"/>
  <c r="K63" i="49"/>
  <c r="X44" i="182"/>
  <c r="AF8" i="183"/>
  <c r="AF13" i="183" s="1"/>
  <c r="L13" i="183"/>
  <c r="T33" i="184" s="1"/>
  <c r="K14" i="177"/>
  <c r="L59" i="10" s="1"/>
  <c r="K63" i="32"/>
  <c r="K16" i="2"/>
  <c r="K22" i="2" s="1"/>
  <c r="L46" i="4"/>
  <c r="L119" i="4" s="1"/>
  <c r="J38" i="107"/>
  <c r="J39" i="107" s="1"/>
  <c r="M36" i="41"/>
  <c r="K37" i="5"/>
  <c r="AN19" i="184"/>
  <c r="P19" i="184"/>
  <c r="AC83" i="6"/>
  <c r="H17" i="184"/>
  <c r="K273" i="177"/>
  <c r="J265" i="177"/>
  <c r="D5" i="189"/>
  <c r="D12" i="189" s="1"/>
  <c r="J110" i="177"/>
  <c r="K114" i="177"/>
  <c r="J114" i="177" s="1"/>
  <c r="AE53" i="4"/>
  <c r="V53" i="4" s="1"/>
  <c r="K50" i="5"/>
  <c r="K246" i="177"/>
  <c r="J247" i="177"/>
  <c r="L43" i="8"/>
  <c r="I34" i="181"/>
  <c r="Q34" i="181" s="1"/>
  <c r="DA34" i="181" s="1"/>
  <c r="J21" i="177"/>
  <c r="K29" i="8"/>
  <c r="V29" i="8"/>
  <c r="L28" i="8"/>
  <c r="J236" i="177"/>
  <c r="Q68" i="178"/>
  <c r="R67" i="178"/>
  <c r="Q67" i="178" s="1"/>
  <c r="T123" i="68"/>
  <c r="S216" i="68"/>
  <c r="AO57" i="181"/>
  <c r="AC33" i="64"/>
  <c r="T33" i="64" s="1"/>
  <c r="L41" i="66"/>
  <c r="J230" i="177"/>
  <c r="K234" i="177"/>
  <c r="M80" i="178"/>
  <c r="N84" i="178"/>
  <c r="K22" i="24"/>
  <c r="L21" i="24"/>
  <c r="L20" i="24" s="1"/>
  <c r="F67" i="64"/>
  <c r="N54" i="64"/>
  <c r="Y59" i="40"/>
  <c r="M72" i="40"/>
  <c r="Z41" i="107"/>
  <c r="Z42" i="107" s="1"/>
  <c r="R43" i="105"/>
  <c r="R44" i="105" s="1"/>
  <c r="O43" i="28"/>
  <c r="G63" i="28"/>
  <c r="N44" i="28"/>
  <c r="G58" i="21"/>
  <c r="D53" i="181" s="1"/>
  <c r="L53" i="181" s="1"/>
  <c r="CV53" i="181" s="1"/>
  <c r="O42" i="21"/>
  <c r="C53" i="181"/>
  <c r="K53" i="181" s="1"/>
  <c r="CU53" i="181" s="1"/>
  <c r="AE78" i="4"/>
  <c r="V78" i="4" s="1"/>
  <c r="T73" i="6"/>
  <c r="AE21" i="24"/>
  <c r="G44" i="64"/>
  <c r="I49" i="15"/>
  <c r="AE47" i="14"/>
  <c r="V47" i="14" s="1"/>
  <c r="J47" i="15"/>
  <c r="AA50" i="5"/>
  <c r="R50" i="5" s="1"/>
  <c r="P50" i="64"/>
  <c r="H54" i="64"/>
  <c r="I50" i="64"/>
  <c r="K61" i="50"/>
  <c r="K55" i="26"/>
  <c r="I55" i="26"/>
  <c r="J53" i="26"/>
  <c r="AA64" i="6"/>
  <c r="AC55" i="24"/>
  <c r="U55" i="24" s="1"/>
  <c r="H64" i="6"/>
  <c r="H62" i="6" s="1"/>
  <c r="R73" i="8"/>
  <c r="G73" i="8"/>
  <c r="N73" i="8"/>
  <c r="AA52" i="6"/>
  <c r="H52" i="6"/>
  <c r="M29" i="5"/>
  <c r="S29" i="5" s="1"/>
  <c r="AF29" i="4"/>
  <c r="W29" i="4" s="1"/>
  <c r="S30" i="5"/>
  <c r="AE37" i="64"/>
  <c r="V37" i="64" s="1"/>
  <c r="AD47" i="44"/>
  <c r="V47" i="44" s="1"/>
  <c r="F12" i="184"/>
  <c r="I47" i="45"/>
  <c r="E12" i="184" s="1"/>
  <c r="AE57" i="4"/>
  <c r="R54" i="5"/>
  <c r="K54" i="5"/>
  <c r="K60" i="9"/>
  <c r="L57" i="9"/>
  <c r="K43" i="10"/>
  <c r="I40" i="25"/>
  <c r="AC41" i="24"/>
  <c r="U41" i="24" s="1"/>
  <c r="Z45" i="106"/>
  <c r="Q54" i="5"/>
  <c r="I54" i="5"/>
  <c r="X45" i="123"/>
  <c r="K75" i="44"/>
  <c r="K228" i="177"/>
  <c r="I214" i="70"/>
  <c r="I222" i="70" s="1"/>
  <c r="J222" i="70"/>
  <c r="CX31" i="181"/>
  <c r="K59" i="37"/>
  <c r="AA21" i="24"/>
  <c r="S21" i="24" s="1"/>
  <c r="G20" i="25"/>
  <c r="H19" i="25"/>
  <c r="AA20" i="24" s="1"/>
  <c r="I20" i="25"/>
  <c r="V65" i="8"/>
  <c r="E27" i="6"/>
  <c r="AA27" i="4"/>
  <c r="R27" i="4" s="1"/>
  <c r="G37" i="5"/>
  <c r="P37" i="5"/>
  <c r="E16" i="2"/>
  <c r="F34" i="4"/>
  <c r="F33" i="4" s="1"/>
  <c r="P77" i="1"/>
  <c r="F46" i="4"/>
  <c r="F119" i="4" s="1"/>
  <c r="O111" i="178"/>
  <c r="AJ8" i="183"/>
  <c r="AJ13" i="183" s="1"/>
  <c r="P13" i="183"/>
  <c r="X33" i="184" s="1"/>
  <c r="L42" i="61"/>
  <c r="H16" i="184" s="1"/>
  <c r="K60" i="4"/>
  <c r="V60" i="4"/>
  <c r="E15" i="182"/>
  <c r="M15" i="182" s="1"/>
  <c r="CO15" i="182" s="1"/>
  <c r="H119" i="177"/>
  <c r="F39" i="25"/>
  <c r="G43" i="53"/>
  <c r="F40" i="53"/>
  <c r="H16" i="9"/>
  <c r="I16" i="8"/>
  <c r="G16" i="8"/>
  <c r="N28" i="8"/>
  <c r="R28" i="8"/>
  <c r="G28" i="8"/>
  <c r="K56" i="8"/>
  <c r="L69" i="4"/>
  <c r="AH8" i="183"/>
  <c r="AH13" i="183" s="1"/>
  <c r="N13" i="183"/>
  <c r="V33" i="184" s="1"/>
  <c r="K218" i="177"/>
  <c r="J218" i="177" s="1"/>
  <c r="J214" i="177"/>
  <c r="J15" i="177"/>
  <c r="AE61" i="4"/>
  <c r="V61" i="4" s="1"/>
  <c r="R57" i="5"/>
  <c r="K54" i="177"/>
  <c r="J56" i="177"/>
  <c r="J44" i="105"/>
  <c r="C41" i="182"/>
  <c r="AG39" i="60"/>
  <c r="W39" i="60" s="1"/>
  <c r="K79" i="6"/>
  <c r="K78" i="6" s="1"/>
  <c r="U78" i="6" s="1"/>
  <c r="U83" i="6"/>
  <c r="L42" i="62"/>
  <c r="L103" i="4"/>
  <c r="Q25" i="181"/>
  <c r="DA25" i="181" s="1"/>
  <c r="R66" i="5"/>
  <c r="Q19" i="178"/>
  <c r="R17" i="178"/>
  <c r="J284" i="177"/>
  <c r="L73" i="8"/>
  <c r="K288" i="177"/>
  <c r="J288" i="177" s="1"/>
  <c r="L72" i="10"/>
  <c r="J94" i="177"/>
  <c r="K103" i="177"/>
  <c r="J103" i="177" s="1"/>
  <c r="K250" i="177"/>
  <c r="J250" i="177" s="1"/>
  <c r="J251" i="177"/>
  <c r="C7" i="194"/>
  <c r="F9" i="194"/>
  <c r="K32" i="177"/>
  <c r="J32" i="177" s="1"/>
  <c r="J23" i="177"/>
  <c r="Q6" i="178"/>
  <c r="R4" i="178"/>
  <c r="G273" i="177"/>
  <c r="F265" i="177"/>
  <c r="E29" i="182"/>
  <c r="M29" i="182" s="1"/>
  <c r="CO29" i="182" s="1"/>
  <c r="K40" i="53"/>
  <c r="L47" i="53"/>
  <c r="K33" i="66"/>
  <c r="AB33" i="64" s="1"/>
  <c r="S33" i="64" s="1"/>
  <c r="R216" i="68"/>
  <c r="Q216" i="68" s="1"/>
  <c r="Q16" i="181"/>
  <c r="Q77" i="68"/>
  <c r="Z36" i="36"/>
  <c r="R36" i="36" s="1"/>
  <c r="F43" i="37"/>
  <c r="E44" i="127"/>
  <c r="E45" i="127" s="1"/>
  <c r="G42" i="56"/>
  <c r="H78" i="56"/>
  <c r="AG42" i="32"/>
  <c r="Y42" i="32" s="1"/>
  <c r="AE36" i="56"/>
  <c r="W36" i="56" s="1"/>
  <c r="L42" i="57"/>
  <c r="K36" i="57"/>
  <c r="AD36" i="6"/>
  <c r="K37" i="6"/>
  <c r="AD37" i="6"/>
  <c r="I42" i="17"/>
  <c r="I40" i="17" s="1"/>
  <c r="M153" i="68"/>
  <c r="L19" i="181" s="1"/>
  <c r="CV19" i="181" s="1"/>
  <c r="M19" i="181"/>
  <c r="CW19" i="181" s="1"/>
  <c r="AN57" i="181"/>
  <c r="CZ59" i="181" s="1"/>
  <c r="Z13" i="184"/>
  <c r="O47" i="49"/>
  <c r="G63" i="49"/>
  <c r="AA13" i="184" s="1"/>
  <c r="V8" i="64"/>
  <c r="N44" i="64"/>
  <c r="J8" i="24"/>
  <c r="K8" i="24" s="1"/>
  <c r="U16" i="24"/>
  <c r="I16" i="24"/>
  <c r="K16" i="24"/>
  <c r="Q110" i="178"/>
  <c r="G57" i="5"/>
  <c r="AA61" i="4"/>
  <c r="R61" i="4" s="1"/>
  <c r="I57" i="5"/>
  <c r="F42" i="5"/>
  <c r="G42" i="5" s="1"/>
  <c r="G40" i="25"/>
  <c r="Y41" i="24"/>
  <c r="Q41" i="24" s="1"/>
  <c r="G54" i="5"/>
  <c r="Y57" i="4"/>
  <c r="F53" i="5"/>
  <c r="O54" i="5"/>
  <c r="E43" i="177"/>
  <c r="E58" i="177" s="1"/>
  <c r="F72" i="8"/>
  <c r="Q67" i="5"/>
  <c r="AE71" i="4"/>
  <c r="V71" i="4" s="1"/>
  <c r="R67" i="5"/>
  <c r="T36" i="6"/>
  <c r="L77" i="64"/>
  <c r="L59" i="64"/>
  <c r="AF38" i="24"/>
  <c r="X38" i="24" s="1"/>
  <c r="AD16" i="184"/>
  <c r="AE55" i="60"/>
  <c r="U55" i="60" s="1"/>
  <c r="I55" i="61"/>
  <c r="AC16" i="184" s="1"/>
  <c r="M43" i="17"/>
  <c r="T43" i="17" s="1"/>
  <c r="AF36" i="14"/>
  <c r="W36" i="14" s="1"/>
  <c r="AA53" i="6"/>
  <c r="H53" i="6"/>
  <c r="AC44" i="8"/>
  <c r="T44" i="8" s="1"/>
  <c r="J40" i="7"/>
  <c r="J37" i="17"/>
  <c r="J43" i="17" s="1"/>
  <c r="AG42" i="60"/>
  <c r="W42" i="60" s="1"/>
  <c r="AN16" i="184"/>
  <c r="P16" i="184"/>
  <c r="K42" i="62"/>
  <c r="K39" i="61"/>
  <c r="T40" i="6"/>
  <c r="J33" i="6"/>
  <c r="T33" i="6" s="1"/>
  <c r="L44" i="26"/>
  <c r="AC32" i="6"/>
  <c r="G49" i="6"/>
  <c r="S49" i="6"/>
  <c r="C42" i="182"/>
  <c r="T49" i="6"/>
  <c r="K13" i="182"/>
  <c r="CM13" i="182" s="1"/>
  <c r="CF13" i="182"/>
  <c r="CN13" i="182" s="1"/>
  <c r="I49" i="6"/>
  <c r="D42" i="182"/>
  <c r="B41" i="182"/>
  <c r="R41" i="182" s="1"/>
  <c r="Q63" i="5"/>
  <c r="L63" i="5"/>
  <c r="K66" i="5"/>
  <c r="U63" i="5"/>
  <c r="O63" i="5" s="1"/>
  <c r="AF14" i="184"/>
  <c r="K65" i="53"/>
  <c r="AA14" i="184"/>
  <c r="AC14" i="184"/>
  <c r="Q47" i="53"/>
  <c r="I53" i="5"/>
  <c r="K59" i="65"/>
  <c r="AR34" i="184"/>
  <c r="AQ34" i="184"/>
  <c r="CG28" i="181"/>
  <c r="CG57" i="181" s="1"/>
  <c r="U60" i="181"/>
  <c r="K47" i="25"/>
  <c r="K49" i="5"/>
  <c r="L46" i="25"/>
  <c r="AA48" i="5" s="1"/>
  <c r="AE48" i="24"/>
  <c r="W48" i="24" s="1"/>
  <c r="AA49" i="5"/>
  <c r="R49" i="5" s="1"/>
  <c r="K45" i="61"/>
  <c r="L55" i="61"/>
  <c r="AF16" i="184" s="1"/>
  <c r="J42" i="6"/>
  <c r="L70" i="10"/>
  <c r="J83" i="6"/>
  <c r="Q42" i="62"/>
  <c r="K37" i="26"/>
  <c r="AG36" i="60"/>
  <c r="W36" i="60" s="1"/>
  <c r="AD42" i="6"/>
  <c r="K40" i="6"/>
  <c r="M37" i="26"/>
  <c r="AD32" i="6" s="1"/>
  <c r="AD40" i="6"/>
  <c r="AD33" i="6"/>
  <c r="M52" i="5"/>
  <c r="AF51" i="24"/>
  <c r="X51" i="24" s="1"/>
  <c r="AB52" i="5"/>
  <c r="M55" i="61"/>
  <c r="AI45" i="60"/>
  <c r="Y45" i="60" s="1"/>
  <c r="U48" i="6"/>
  <c r="W53" i="4"/>
  <c r="K30" i="5"/>
  <c r="L29" i="5"/>
  <c r="AE28" i="4" s="1"/>
  <c r="T74" i="4"/>
  <c r="K42" i="60"/>
  <c r="K78" i="60" s="1"/>
  <c r="L78" i="60"/>
  <c r="I44" i="127"/>
  <c r="I45" i="127" s="1"/>
  <c r="L56" i="177"/>
  <c r="L54" i="177" s="1"/>
  <c r="M37" i="24"/>
  <c r="M78" i="56"/>
  <c r="CU27" i="181"/>
  <c r="K25" i="181"/>
  <c r="L25" i="181"/>
  <c r="CV25" i="181" s="1"/>
  <c r="I46" i="125"/>
  <c r="I47" i="125" s="1"/>
  <c r="K47" i="52"/>
  <c r="M34" i="4"/>
  <c r="M33" i="4" s="1"/>
  <c r="L16" i="2"/>
  <c r="L22" i="2" s="1"/>
  <c r="M88" i="48"/>
  <c r="V47" i="48"/>
  <c r="J37" i="124"/>
  <c r="J38" i="124" s="1"/>
  <c r="M85" i="44"/>
  <c r="J39" i="123"/>
  <c r="J40" i="123" s="1"/>
  <c r="M68" i="44"/>
  <c r="AG47" i="44"/>
  <c r="Y47" i="44" s="1"/>
  <c r="P47" i="45"/>
  <c r="M46" i="4"/>
  <c r="M119" i="4" s="1"/>
  <c r="K40" i="45"/>
  <c r="AF40" i="44"/>
  <c r="X40" i="44" s="1"/>
  <c r="L47" i="45"/>
  <c r="H12" i="184" s="1"/>
  <c r="H39" i="123"/>
  <c r="K68" i="44"/>
  <c r="K85" i="44"/>
  <c r="M43" i="41"/>
  <c r="AG36" i="40"/>
  <c r="Y36" i="40" s="1"/>
  <c r="M82" i="40"/>
  <c r="L36" i="41"/>
  <c r="K36" i="41" s="1"/>
  <c r="K39" i="41"/>
  <c r="AF39" i="40"/>
  <c r="X39" i="40" s="1"/>
  <c r="AF41" i="24"/>
  <c r="X41" i="24" s="1"/>
  <c r="K43" i="177"/>
  <c r="AF36" i="36"/>
  <c r="X36" i="36" s="1"/>
  <c r="L43" i="37"/>
  <c r="H10" i="184" s="1"/>
  <c r="K36" i="37"/>
  <c r="L41" i="5"/>
  <c r="L36" i="25"/>
  <c r="I45" i="106"/>
  <c r="I23" i="106"/>
  <c r="M87" i="32"/>
  <c r="J44" i="106"/>
  <c r="J45" i="106" s="1"/>
  <c r="M44" i="33"/>
  <c r="AH44" i="32" s="1"/>
  <c r="Z44" i="32" s="1"/>
  <c r="AH38" i="32"/>
  <c r="Z38" i="32" s="1"/>
  <c r="AG41" i="28"/>
  <c r="Y41" i="28" s="1"/>
  <c r="M38" i="29"/>
  <c r="I43" i="105"/>
  <c r="I44" i="105" s="1"/>
  <c r="K44" i="28"/>
  <c r="L84" i="28"/>
  <c r="O42" i="62"/>
  <c r="AH16" i="184"/>
  <c r="J16" i="184"/>
  <c r="P44" i="15"/>
  <c r="AF42" i="14"/>
  <c r="N44" i="26"/>
  <c r="K8" i="4"/>
  <c r="O46" i="182" s="1"/>
  <c r="K8" i="2"/>
  <c r="K20" i="1"/>
  <c r="L16" i="182"/>
  <c r="CN16" i="182" s="1"/>
  <c r="C16" i="182"/>
  <c r="K16" i="182" s="1"/>
  <c r="CM16" i="182" s="1"/>
  <c r="AF39" i="56"/>
  <c r="X39" i="56" s="1"/>
  <c r="M36" i="57"/>
  <c r="M39" i="25"/>
  <c r="L222" i="70"/>
  <c r="F27" i="182"/>
  <c r="N27" i="182" s="1"/>
  <c r="CP27" i="182" s="1"/>
  <c r="L204" i="70"/>
  <c r="AD36" i="40"/>
  <c r="V36" i="40" s="1"/>
  <c r="I36" i="41"/>
  <c r="J43" i="41"/>
  <c r="O47" i="48"/>
  <c r="C37" i="124"/>
  <c r="C38" i="124" s="1"/>
  <c r="N53" i="24"/>
  <c r="I53" i="24"/>
  <c r="G53" i="24"/>
  <c r="F44" i="10"/>
  <c r="E118" i="177"/>
  <c r="F119" i="177"/>
  <c r="S48" i="6"/>
  <c r="I48" i="6"/>
  <c r="G48" i="6"/>
  <c r="AC53" i="4"/>
  <c r="T53" i="4" s="1"/>
  <c r="Q66" i="5"/>
  <c r="J58" i="4"/>
  <c r="I44" i="8"/>
  <c r="CZ21" i="181"/>
  <c r="CZ57" i="181" s="1"/>
  <c r="CQ38" i="182" s="1"/>
  <c r="L236" i="177"/>
  <c r="L244" i="177" s="1"/>
  <c r="O247" i="177" s="1"/>
  <c r="M43" i="8"/>
  <c r="E13" i="177"/>
  <c r="F14" i="177"/>
  <c r="F59" i="10"/>
  <c r="F60" i="8"/>
  <c r="I8" i="49"/>
  <c r="K8" i="49"/>
  <c r="J47" i="49"/>
  <c r="L69" i="11"/>
  <c r="L8" i="11"/>
  <c r="L83" i="7"/>
  <c r="X19" i="184" s="1"/>
  <c r="O77" i="68"/>
  <c r="N16" i="181" s="1"/>
  <c r="M77" i="68"/>
  <c r="L16" i="181" s="1"/>
  <c r="M16" i="181"/>
  <c r="T77" i="68"/>
  <c r="G38" i="29"/>
  <c r="AB38" i="28"/>
  <c r="T38" i="28" s="1"/>
  <c r="I38" i="29"/>
  <c r="G40" i="24"/>
  <c r="H37" i="24"/>
  <c r="I40" i="24"/>
  <c r="I41" i="4" s="1"/>
  <c r="I46" i="4" s="1"/>
  <c r="N40" i="24"/>
  <c r="G56" i="177"/>
  <c r="H41" i="4"/>
  <c r="K13" i="177"/>
  <c r="L60" i="8"/>
  <c r="S63" i="6"/>
  <c r="AC68" i="4"/>
  <c r="T68" i="4" s="1"/>
  <c r="AF50" i="24"/>
  <c r="X50" i="24" s="1"/>
  <c r="K49" i="6"/>
  <c r="AD49" i="6"/>
  <c r="F22" i="182"/>
  <c r="H11" i="177"/>
  <c r="X44" i="106"/>
  <c r="K77" i="32"/>
  <c r="AC12" i="24"/>
  <c r="U12" i="24" s="1"/>
  <c r="I12" i="25"/>
  <c r="J8" i="25"/>
  <c r="CL15" i="182"/>
  <c r="M81" i="37"/>
  <c r="AG43" i="36"/>
  <c r="Y43" i="36" s="1"/>
  <c r="U43" i="37"/>
  <c r="L43" i="17"/>
  <c r="X7" i="184" s="1"/>
  <c r="AE36" i="14"/>
  <c r="F288" i="177"/>
  <c r="I36" i="6"/>
  <c r="G36" i="6"/>
  <c r="S36" i="6"/>
  <c r="P43" i="17"/>
  <c r="T7" i="184"/>
  <c r="T20" i="184" s="1"/>
  <c r="J11" i="177"/>
  <c r="H55" i="8"/>
  <c r="G99" i="177"/>
  <c r="F101" i="177"/>
  <c r="H101" i="177"/>
  <c r="H54" i="10"/>
  <c r="I63" i="6"/>
  <c r="AE19" i="14"/>
  <c r="V19" i="14" s="1"/>
  <c r="J20" i="15"/>
  <c r="I20" i="15" s="1"/>
  <c r="J73" i="8"/>
  <c r="J72" i="10"/>
  <c r="AC73" i="8" s="1"/>
  <c r="N33" i="8"/>
  <c r="G33" i="8"/>
  <c r="H32" i="8"/>
  <c r="I33" i="8"/>
  <c r="I32" i="8" s="1"/>
  <c r="R33" i="8"/>
  <c r="Q27" i="5"/>
  <c r="AC27" i="4"/>
  <c r="T27" i="4" s="1"/>
  <c r="I27" i="5"/>
  <c r="N18" i="24"/>
  <c r="X18" i="24"/>
  <c r="Q49" i="5"/>
  <c r="N18" i="184"/>
  <c r="N34" i="181"/>
  <c r="CX34" i="181" s="1"/>
  <c r="W69" i="6"/>
  <c r="Q69" i="6" s="1"/>
  <c r="Y60" i="24"/>
  <c r="Q60" i="24" s="1"/>
  <c r="AB54" i="5"/>
  <c r="M54" i="5"/>
  <c r="M45" i="9"/>
  <c r="AF43" i="8"/>
  <c r="J23" i="182"/>
  <c r="CL23" i="182" s="1"/>
  <c r="C23" i="182"/>
  <c r="K23" i="182" s="1"/>
  <c r="CM23" i="182" s="1"/>
  <c r="L10" i="182"/>
  <c r="CN10" i="182" s="1"/>
  <c r="C10" i="182"/>
  <c r="D32" i="182"/>
  <c r="H19" i="29"/>
  <c r="AB20" i="28"/>
  <c r="T20" i="28" s="1"/>
  <c r="CM7" i="182"/>
  <c r="H37" i="16"/>
  <c r="K71" i="10"/>
  <c r="AA42" i="6"/>
  <c r="I40" i="16"/>
  <c r="H40" i="6"/>
  <c r="H33" i="6" s="1"/>
  <c r="G40" i="16"/>
  <c r="AA33" i="6"/>
  <c r="AA40" i="6"/>
  <c r="H43" i="15"/>
  <c r="I43" i="15" s="1"/>
  <c r="H8" i="4"/>
  <c r="H8" i="9"/>
  <c r="I8" i="8"/>
  <c r="H7" i="8"/>
  <c r="G8" i="8"/>
  <c r="T15" i="2"/>
  <c r="Y26" i="6"/>
  <c r="Y7" i="6"/>
  <c r="F26" i="6"/>
  <c r="G20" i="26"/>
  <c r="H44" i="26"/>
  <c r="J43" i="182"/>
  <c r="E13" i="1"/>
  <c r="E6" i="3"/>
  <c r="F28" i="4"/>
  <c r="P30" i="4"/>
  <c r="G30" i="4"/>
  <c r="K43" i="182" s="1"/>
  <c r="S43" i="182" s="1"/>
  <c r="D13" i="184"/>
  <c r="G47" i="49"/>
  <c r="C13" i="184" s="1"/>
  <c r="P47" i="49"/>
  <c r="AB26" i="5"/>
  <c r="AF18" i="14"/>
  <c r="W18" i="14" s="1"/>
  <c r="M26" i="5"/>
  <c r="J58" i="25"/>
  <c r="AC47" i="24"/>
  <c r="U47" i="24" s="1"/>
  <c r="G47" i="48"/>
  <c r="P47" i="48" s="1"/>
  <c r="J64" i="40"/>
  <c r="K43" i="40"/>
  <c r="J82" i="40"/>
  <c r="I43" i="40"/>
  <c r="G38" i="107"/>
  <c r="G39" i="107" s="1"/>
  <c r="H71" i="4"/>
  <c r="G58" i="8"/>
  <c r="H61" i="9"/>
  <c r="N58" i="8"/>
  <c r="I58" i="8"/>
  <c r="H57" i="8"/>
  <c r="M42" i="14"/>
  <c r="M47" i="26"/>
  <c r="K26" i="6"/>
  <c r="AD26" i="6"/>
  <c r="AF20" i="24"/>
  <c r="X20" i="24" s="1"/>
  <c r="AD7" i="6"/>
  <c r="M44" i="26"/>
  <c r="M58" i="4"/>
  <c r="N44" i="8"/>
  <c r="W44" i="8"/>
  <c r="L33" i="7"/>
  <c r="L32" i="7" s="1"/>
  <c r="L42" i="7"/>
  <c r="K14" i="2"/>
  <c r="S101" i="178"/>
  <c r="Z36" i="60"/>
  <c r="Q36" i="60" s="1"/>
  <c r="O32" i="182"/>
  <c r="K27" i="5"/>
  <c r="AA59" i="4"/>
  <c r="R59" i="4" s="1"/>
  <c r="F51" i="6"/>
  <c r="F46" i="6" s="1"/>
  <c r="R55" i="6"/>
  <c r="J22" i="182"/>
  <c r="CL22" i="182" s="1"/>
  <c r="B32" i="182"/>
  <c r="C22" i="182"/>
  <c r="K68" i="4"/>
  <c r="M200" i="70" s="1"/>
  <c r="N200" i="70"/>
  <c r="U6" i="3"/>
  <c r="M54" i="10"/>
  <c r="M55" i="8"/>
  <c r="L99" i="177"/>
  <c r="M101" i="177"/>
  <c r="AJ17" i="184"/>
  <c r="I54" i="66"/>
  <c r="Y54" i="64"/>
  <c r="P54" i="64" s="1"/>
  <c r="H59" i="66"/>
  <c r="Y58" i="64" s="1"/>
  <c r="M15" i="178"/>
  <c r="T15" i="178"/>
  <c r="N13" i="24"/>
  <c r="X13" i="24"/>
  <c r="M8" i="24"/>
  <c r="W49" i="5"/>
  <c r="AA48" i="24"/>
  <c r="S48" i="24" s="1"/>
  <c r="H49" i="5"/>
  <c r="G47" i="25"/>
  <c r="H46" i="25"/>
  <c r="I46" i="25" s="1"/>
  <c r="H8" i="24"/>
  <c r="G13" i="24"/>
  <c r="M103" i="4"/>
  <c r="N101" i="4"/>
  <c r="S27" i="6"/>
  <c r="M26" i="178"/>
  <c r="T26" i="178"/>
  <c r="N111" i="178"/>
  <c r="G47" i="24"/>
  <c r="N47" i="24"/>
  <c r="H59" i="24"/>
  <c r="I47" i="24"/>
  <c r="R47" i="6"/>
  <c r="E47" i="6"/>
  <c r="G47" i="6"/>
  <c r="N8" i="181"/>
  <c r="CX12" i="181"/>
  <c r="K36" i="14"/>
  <c r="L42" i="14"/>
  <c r="V36" i="14"/>
  <c r="AB63" i="5"/>
  <c r="S63" i="5" s="1"/>
  <c r="V29" i="4"/>
  <c r="K47" i="26"/>
  <c r="I47" i="26"/>
  <c r="K57" i="5"/>
  <c r="L53" i="5"/>
  <c r="AF70" i="4"/>
  <c r="W70" i="4" s="1"/>
  <c r="K51" i="5"/>
  <c r="G37" i="26"/>
  <c r="M8" i="9"/>
  <c r="N8" i="8"/>
  <c r="M7" i="8"/>
  <c r="L70" i="24"/>
  <c r="K59" i="24"/>
  <c r="H42" i="7"/>
  <c r="H33" i="7"/>
  <c r="G40" i="7"/>
  <c r="CY32" i="181"/>
  <c r="O28" i="181"/>
  <c r="S8" i="3"/>
  <c r="T70" i="4"/>
  <c r="J67" i="4"/>
  <c r="Y51" i="6"/>
  <c r="H37" i="10"/>
  <c r="L8" i="2"/>
  <c r="L20" i="1"/>
  <c r="O197" i="68"/>
  <c r="N204" i="68"/>
  <c r="M197" i="68"/>
  <c r="T197" i="68"/>
  <c r="AF127" i="68"/>
  <c r="K31" i="4"/>
  <c r="K8" i="3"/>
  <c r="K49" i="1"/>
  <c r="L28" i="4"/>
  <c r="V31" i="4"/>
  <c r="Q42" i="159"/>
  <c r="J39" i="158"/>
  <c r="J40" i="158" s="1"/>
  <c r="AJ40" i="24"/>
  <c r="G42" i="24"/>
  <c r="I42" i="24"/>
  <c r="S42" i="24"/>
  <c r="N42" i="24"/>
  <c r="G64" i="5"/>
  <c r="P64" i="5"/>
  <c r="I64" i="5"/>
  <c r="I45" i="9"/>
  <c r="W53" i="5"/>
  <c r="P53" i="5" s="1"/>
  <c r="H40" i="9"/>
  <c r="G45" i="9"/>
  <c r="AA42" i="8"/>
  <c r="R42" i="8" s="1"/>
  <c r="I8" i="61"/>
  <c r="AE8" i="60"/>
  <c r="U8" i="60" s="1"/>
  <c r="K8" i="61"/>
  <c r="K42" i="61"/>
  <c r="B16" i="184"/>
  <c r="Z42" i="60"/>
  <c r="Q42" i="60" s="1"/>
  <c r="G42" i="61"/>
  <c r="C16" i="184" s="1"/>
  <c r="N42" i="61"/>
  <c r="S14" i="2"/>
  <c r="T142" i="1"/>
  <c r="J98" i="4"/>
  <c r="J86" i="4"/>
  <c r="L15" i="183"/>
  <c r="J9" i="177"/>
  <c r="L46" i="8"/>
  <c r="K8" i="177"/>
  <c r="L46" i="10"/>
  <c r="E8" i="177"/>
  <c r="F46" i="8"/>
  <c r="F9" i="177"/>
  <c r="F46" i="10"/>
  <c r="M203" i="70"/>
  <c r="M204" i="70" s="1"/>
  <c r="H140" i="1"/>
  <c r="F140" i="1"/>
  <c r="G149" i="1"/>
  <c r="Q30" i="2"/>
  <c r="AP33" i="184"/>
  <c r="AP34" i="184" s="1"/>
  <c r="AS34" i="184"/>
  <c r="G20" i="24" l="1"/>
  <c r="N20" i="24"/>
  <c r="H26" i="4"/>
  <c r="AA41" i="5"/>
  <c r="AA44" i="5" s="1"/>
  <c r="AA94" i="5" s="1"/>
  <c r="R27" i="5"/>
  <c r="AE27" i="4"/>
  <c r="V27" i="4" s="1"/>
  <c r="D16" i="184"/>
  <c r="AC42" i="60"/>
  <c r="S42" i="60" s="1"/>
  <c r="CJ37" i="182"/>
  <c r="CJ38" i="182" s="1"/>
  <c r="J15" i="2"/>
  <c r="CI37" i="182" s="1"/>
  <c r="CI38" i="182" s="1"/>
  <c r="P65" i="5"/>
  <c r="G65" i="5"/>
  <c r="I65" i="5"/>
  <c r="AF28" i="4"/>
  <c r="W28" i="4" s="1"/>
  <c r="L40" i="5"/>
  <c r="L34" i="5" s="1"/>
  <c r="AI55" i="60"/>
  <c r="Y55" i="60" s="1"/>
  <c r="AG16" i="184"/>
  <c r="AF27" i="4"/>
  <c r="W27" i="4" s="1"/>
  <c r="S27" i="5"/>
  <c r="CK59" i="181"/>
  <c r="CK60" i="181" s="1"/>
  <c r="P50" i="182"/>
  <c r="L34" i="4"/>
  <c r="L33" i="4" s="1"/>
  <c r="K64" i="1"/>
  <c r="K37" i="4"/>
  <c r="O50" i="182" s="1"/>
  <c r="W50" i="182" s="1"/>
  <c r="AC36" i="60"/>
  <c r="S36" i="60" s="1"/>
  <c r="I36" i="61"/>
  <c r="G36" i="61"/>
  <c r="G52" i="25"/>
  <c r="AA53" i="24"/>
  <c r="S53" i="24" s="1"/>
  <c r="I20" i="24"/>
  <c r="S20" i="24"/>
  <c r="X50" i="182"/>
  <c r="J16" i="2"/>
  <c r="J22" i="2" s="1"/>
  <c r="H36" i="25"/>
  <c r="AA37" i="24" s="1"/>
  <c r="AA40" i="24"/>
  <c r="S40" i="24" s="1"/>
  <c r="I39" i="25"/>
  <c r="G8" i="25"/>
  <c r="U16" i="5"/>
  <c r="F16" i="5"/>
  <c r="Y8" i="24"/>
  <c r="Q8" i="24" s="1"/>
  <c r="K21" i="24"/>
  <c r="I51" i="5"/>
  <c r="J48" i="5"/>
  <c r="S16" i="6"/>
  <c r="G16" i="6"/>
  <c r="I149" i="1"/>
  <c r="H77" i="1"/>
  <c r="AD7" i="184"/>
  <c r="AC60" i="14"/>
  <c r="T60" i="14" s="1"/>
  <c r="G62" i="15"/>
  <c r="AC7" i="184" s="1"/>
  <c r="Y70" i="5"/>
  <c r="Q70" i="5" s="1"/>
  <c r="I63" i="45"/>
  <c r="AC12" i="184" s="1"/>
  <c r="K63" i="45"/>
  <c r="AD63" i="44"/>
  <c r="V63" i="44" s="1"/>
  <c r="AD12" i="184"/>
  <c r="I36" i="25"/>
  <c r="U27" i="24"/>
  <c r="I48" i="2"/>
  <c r="J130" i="4"/>
  <c r="J132" i="4" s="1"/>
  <c r="Q51" i="5"/>
  <c r="K33" i="4"/>
  <c r="K34" i="4"/>
  <c r="I22" i="2"/>
  <c r="I14" i="2"/>
  <c r="I21" i="2" s="1"/>
  <c r="I45" i="2" s="1"/>
  <c r="I54" i="2" s="1"/>
  <c r="Q38" i="5"/>
  <c r="J37" i="5"/>
  <c r="Q37" i="5" s="1"/>
  <c r="I27" i="4"/>
  <c r="BJ59" i="181" s="1"/>
  <c r="BJ60" i="181" s="1"/>
  <c r="I44" i="1"/>
  <c r="I9" i="2"/>
  <c r="BK59" i="181"/>
  <c r="BK60" i="181" s="1"/>
  <c r="K27" i="4"/>
  <c r="BL59" i="181" s="1"/>
  <c r="BL60" i="181" s="1"/>
  <c r="K105" i="69"/>
  <c r="K112" i="69"/>
  <c r="K114" i="69" s="1"/>
  <c r="N28" i="181"/>
  <c r="CX28" i="181" s="1"/>
  <c r="Y8" i="5"/>
  <c r="AC8" i="8"/>
  <c r="T8" i="8" s="1"/>
  <c r="J8" i="5"/>
  <c r="N46" i="182"/>
  <c r="I8" i="2"/>
  <c r="CP37" i="182" s="1"/>
  <c r="I20" i="1"/>
  <c r="J20" i="1" s="1"/>
  <c r="I7" i="2"/>
  <c r="I5" i="1"/>
  <c r="I26" i="4"/>
  <c r="N42" i="182"/>
  <c r="V42" i="182" s="1"/>
  <c r="AU59" i="181"/>
  <c r="AU60" i="181" s="1"/>
  <c r="AC26" i="8"/>
  <c r="T26" i="8" s="1"/>
  <c r="Y26" i="5"/>
  <c r="J26" i="5"/>
  <c r="J7" i="9"/>
  <c r="I26" i="9"/>
  <c r="I7" i="8"/>
  <c r="I34" i="8" s="1"/>
  <c r="CZ60" i="181"/>
  <c r="N201" i="70"/>
  <c r="P112" i="69"/>
  <c r="P96" i="69" s="1"/>
  <c r="N116" i="69"/>
  <c r="L201" i="70"/>
  <c r="L112" i="69"/>
  <c r="L114" i="69" s="1"/>
  <c r="L105" i="69"/>
  <c r="O30" i="184"/>
  <c r="O31" i="184" s="1"/>
  <c r="T34" i="184"/>
  <c r="S51" i="5"/>
  <c r="K40" i="9"/>
  <c r="AA54" i="4"/>
  <c r="R54" i="4" s="1"/>
  <c r="G51" i="5"/>
  <c r="P51" i="5"/>
  <c r="AI60" i="181"/>
  <c r="U41" i="182"/>
  <c r="V60" i="181"/>
  <c r="F57" i="181"/>
  <c r="AC27" i="184" s="1"/>
  <c r="S41" i="182"/>
  <c r="AC68" i="6"/>
  <c r="K59" i="10"/>
  <c r="AE73" i="4"/>
  <c r="K60" i="8"/>
  <c r="L73" i="11"/>
  <c r="K73" i="11" s="1"/>
  <c r="K69" i="11"/>
  <c r="V73" i="8"/>
  <c r="K73" i="8"/>
  <c r="K53" i="5"/>
  <c r="R53" i="5"/>
  <c r="J79" i="6"/>
  <c r="J78" i="6" s="1"/>
  <c r="T83" i="6"/>
  <c r="K63" i="5"/>
  <c r="V7" i="184"/>
  <c r="V20" i="184" s="1"/>
  <c r="V34" i="184" s="1"/>
  <c r="R43" i="17"/>
  <c r="I40" i="7"/>
  <c r="I37" i="17"/>
  <c r="I43" i="17" s="1"/>
  <c r="D7" i="194"/>
  <c r="C14" i="194"/>
  <c r="C15" i="194" s="1"/>
  <c r="C33" i="194" s="1"/>
  <c r="I52" i="6"/>
  <c r="G52" i="6"/>
  <c r="S52" i="6"/>
  <c r="W21" i="24"/>
  <c r="H12" i="182"/>
  <c r="J234" i="177"/>
  <c r="J92" i="69"/>
  <c r="J93" i="69" s="1"/>
  <c r="I69" i="4"/>
  <c r="Q7" i="3"/>
  <c r="N69" i="4"/>
  <c r="R69" i="4"/>
  <c r="G69" i="4"/>
  <c r="AC10" i="184"/>
  <c r="Q43" i="37"/>
  <c r="M31" i="181"/>
  <c r="D31" i="181"/>
  <c r="V9" i="2"/>
  <c r="N55" i="4"/>
  <c r="T6" i="2"/>
  <c r="R6" i="2"/>
  <c r="J14" i="177"/>
  <c r="U79" i="6"/>
  <c r="AC78" i="6"/>
  <c r="AC79" i="6"/>
  <c r="T79" i="6" s="1"/>
  <c r="J33" i="7"/>
  <c r="J32" i="7" s="1"/>
  <c r="J42" i="7"/>
  <c r="J88" i="7" s="1"/>
  <c r="J89" i="7" s="1"/>
  <c r="O53" i="5"/>
  <c r="F48" i="5"/>
  <c r="H15" i="184"/>
  <c r="AE42" i="56"/>
  <c r="W42" i="56" s="1"/>
  <c r="K42" i="57"/>
  <c r="H14" i="184"/>
  <c r="K47" i="53"/>
  <c r="S47" i="53" s="1"/>
  <c r="E33" i="181"/>
  <c r="E28" i="181" s="1"/>
  <c r="E57" i="181" s="1"/>
  <c r="F273" i="177"/>
  <c r="K72" i="10"/>
  <c r="AE73" i="8"/>
  <c r="P41" i="182"/>
  <c r="X41" i="182" s="1"/>
  <c r="Y59" i="181"/>
  <c r="Y60" i="181" s="1"/>
  <c r="Q17" i="178"/>
  <c r="R26" i="178"/>
  <c r="F47" i="53"/>
  <c r="G40" i="53"/>
  <c r="E22" i="2"/>
  <c r="E14" i="2"/>
  <c r="E21" i="2" s="1"/>
  <c r="E45" i="2" s="1"/>
  <c r="M196" i="70"/>
  <c r="S64" i="6"/>
  <c r="G64" i="6"/>
  <c r="I64" i="6"/>
  <c r="AC69" i="4"/>
  <c r="T69" i="4" s="1"/>
  <c r="H67" i="64"/>
  <c r="G54" i="64"/>
  <c r="I54" i="64"/>
  <c r="I59" i="64" s="1"/>
  <c r="H59" i="64"/>
  <c r="K43" i="8"/>
  <c r="L57" i="4"/>
  <c r="K57" i="4" s="1"/>
  <c r="V43" i="8"/>
  <c r="AA19" i="6"/>
  <c r="S19" i="6" s="1"/>
  <c r="AA26" i="6"/>
  <c r="H26" i="6"/>
  <c r="K20" i="26"/>
  <c r="AC20" i="24"/>
  <c r="U20" i="24" s="1"/>
  <c r="J44" i="26"/>
  <c r="AA24" i="6" s="1"/>
  <c r="S24" i="6" s="1"/>
  <c r="AA7" i="6"/>
  <c r="S66" i="5"/>
  <c r="AF44" i="28"/>
  <c r="X44" i="28" s="1"/>
  <c r="H8" i="184"/>
  <c r="K44" i="29"/>
  <c r="K38" i="33"/>
  <c r="AG38" i="32"/>
  <c r="Y38" i="32" s="1"/>
  <c r="L44" i="33"/>
  <c r="J17" i="184"/>
  <c r="W41" i="64"/>
  <c r="N41" i="64" s="1"/>
  <c r="M86" i="178"/>
  <c r="L101" i="178"/>
  <c r="AF15" i="184"/>
  <c r="K55" i="57"/>
  <c r="R42" i="57"/>
  <c r="AE55" i="56"/>
  <c r="W55" i="56" s="1"/>
  <c r="AC55" i="6"/>
  <c r="J49" i="1"/>
  <c r="Z43" i="36"/>
  <c r="R43" i="36" s="1"/>
  <c r="B10" i="184"/>
  <c r="O43" i="37"/>
  <c r="G43" i="37"/>
  <c r="C10" i="184" s="1"/>
  <c r="N8" i="4"/>
  <c r="L46" i="182"/>
  <c r="K58" i="177"/>
  <c r="J58" i="177" s="1"/>
  <c r="J43" i="177"/>
  <c r="G53" i="6"/>
  <c r="S53" i="6"/>
  <c r="AC58" i="4"/>
  <c r="T58" i="4" s="1"/>
  <c r="P58" i="181"/>
  <c r="P60" i="181" s="1"/>
  <c r="G40" i="182"/>
  <c r="N92" i="69"/>
  <c r="N93" i="69" s="1"/>
  <c r="U7" i="3"/>
  <c r="AA6" i="3" s="1"/>
  <c r="V69" i="4"/>
  <c r="K69" i="4"/>
  <c r="M92" i="69" s="1"/>
  <c r="M93" i="69" s="1"/>
  <c r="AA16" i="8"/>
  <c r="R16" i="8" s="1"/>
  <c r="W16" i="5"/>
  <c r="G16" i="9"/>
  <c r="I16" i="9"/>
  <c r="H16" i="5"/>
  <c r="I44" i="10"/>
  <c r="H118" i="177"/>
  <c r="H117" i="177" s="1"/>
  <c r="H203" i="177" s="1"/>
  <c r="G19" i="25"/>
  <c r="W26" i="5"/>
  <c r="H26" i="5"/>
  <c r="G26" i="5" s="1"/>
  <c r="H43" i="25"/>
  <c r="I19" i="25"/>
  <c r="K57" i="9"/>
  <c r="AA63" i="5"/>
  <c r="R63" i="5" s="1"/>
  <c r="I53" i="26"/>
  <c r="K53" i="26"/>
  <c r="AC53" i="24"/>
  <c r="U53" i="24" s="1"/>
  <c r="AA62" i="6"/>
  <c r="S62" i="6" s="1"/>
  <c r="I47" i="15"/>
  <c r="AE45" i="14"/>
  <c r="V45" i="14" s="1"/>
  <c r="J62" i="15"/>
  <c r="H40" i="182"/>
  <c r="K28" i="8"/>
  <c r="V28" i="8"/>
  <c r="AF16" i="8"/>
  <c r="W16" i="8" s="1"/>
  <c r="M16" i="5"/>
  <c r="AB16" i="5"/>
  <c r="G57" i="4"/>
  <c r="P57" i="4"/>
  <c r="T9" i="2"/>
  <c r="R40" i="6"/>
  <c r="F42" i="6"/>
  <c r="F33" i="6"/>
  <c r="DA10" i="181"/>
  <c r="Q8" i="181"/>
  <c r="J59" i="26"/>
  <c r="AC59" i="24" s="1"/>
  <c r="U59" i="24" s="1"/>
  <c r="K8" i="11"/>
  <c r="L8" i="9"/>
  <c r="K46" i="4"/>
  <c r="F91" i="4"/>
  <c r="F76" i="8"/>
  <c r="F71" i="8"/>
  <c r="J16" i="4"/>
  <c r="J44" i="24"/>
  <c r="K36" i="6"/>
  <c r="U36" i="6" s="1"/>
  <c r="U37" i="6"/>
  <c r="DA16" i="181"/>
  <c r="Q14" i="181"/>
  <c r="DA14" i="181" s="1"/>
  <c r="R15" i="178"/>
  <c r="Q15" i="178" s="1"/>
  <c r="Q4" i="178"/>
  <c r="L16" i="8"/>
  <c r="G53" i="5"/>
  <c r="L72" i="8"/>
  <c r="J54" i="177"/>
  <c r="I32" i="181"/>
  <c r="Q32" i="181" s="1"/>
  <c r="DA32" i="181" s="1"/>
  <c r="J228" i="177"/>
  <c r="AC57" i="4"/>
  <c r="T57" i="4" s="1"/>
  <c r="M84" i="178"/>
  <c r="AJ34" i="181" s="1"/>
  <c r="AK34" i="181"/>
  <c r="P17" i="184"/>
  <c r="P20" i="184" s="1"/>
  <c r="L59" i="66"/>
  <c r="K41" i="66"/>
  <c r="AC41" i="64"/>
  <c r="T41" i="64" s="1"/>
  <c r="J244" i="177"/>
  <c r="I33" i="181"/>
  <c r="Q33" i="181" s="1"/>
  <c r="DA33" i="181" s="1"/>
  <c r="J273" i="177"/>
  <c r="K31" i="181"/>
  <c r="C28" i="181"/>
  <c r="C57" i="181" s="1"/>
  <c r="Z27" i="184" s="1"/>
  <c r="F70" i="5"/>
  <c r="Y60" i="14"/>
  <c r="P60" i="14" s="1"/>
  <c r="L44" i="15"/>
  <c r="U70" i="5"/>
  <c r="E62" i="15"/>
  <c r="Z7" i="184"/>
  <c r="L19" i="184"/>
  <c r="H70" i="10"/>
  <c r="AJ19" i="184"/>
  <c r="Y83" i="6"/>
  <c r="F83" i="6"/>
  <c r="AE20" i="24"/>
  <c r="K19" i="25"/>
  <c r="K26" i="5" s="1"/>
  <c r="AE12" i="24"/>
  <c r="W12" i="24" s="1"/>
  <c r="L8" i="25"/>
  <c r="AE8" i="24" s="1"/>
  <c r="W8" i="24" s="1"/>
  <c r="F7" i="8"/>
  <c r="F34" i="8" s="1"/>
  <c r="F104" i="8" s="1"/>
  <c r="F8" i="9"/>
  <c r="F8" i="4"/>
  <c r="F64" i="14"/>
  <c r="G42" i="14"/>
  <c r="U34" i="5"/>
  <c r="F41" i="5"/>
  <c r="G39" i="25"/>
  <c r="U41" i="5"/>
  <c r="U44" i="5" s="1"/>
  <c r="U94" i="5" s="1"/>
  <c r="Y40" i="24"/>
  <c r="Q40" i="24" s="1"/>
  <c r="F36" i="25"/>
  <c r="E48" i="2"/>
  <c r="F130" i="4"/>
  <c r="F132" i="4" s="1"/>
  <c r="R66" i="178"/>
  <c r="J246" i="177"/>
  <c r="K254" i="177"/>
  <c r="J254" i="177" s="1"/>
  <c r="H56" i="4"/>
  <c r="N59" i="4"/>
  <c r="AC55" i="60"/>
  <c r="S55" i="60" s="1"/>
  <c r="AB16" i="184"/>
  <c r="G55" i="61"/>
  <c r="AA16" i="184" s="1"/>
  <c r="O42" i="61"/>
  <c r="F42" i="16"/>
  <c r="Y32" i="6"/>
  <c r="F41" i="15"/>
  <c r="E43" i="15"/>
  <c r="V34" i="5" s="1"/>
  <c r="AA41" i="14"/>
  <c r="R41" i="14" s="1"/>
  <c r="D40" i="16"/>
  <c r="AH7" i="184"/>
  <c r="E60" i="16"/>
  <c r="AI7" i="184" s="1"/>
  <c r="J119" i="177"/>
  <c r="K118" i="177"/>
  <c r="L44" i="10"/>
  <c r="T16" i="6"/>
  <c r="I16" i="6"/>
  <c r="J7" i="6"/>
  <c r="T7" i="6" s="1"/>
  <c r="M41" i="7"/>
  <c r="R41" i="7" s="1"/>
  <c r="M43" i="7"/>
  <c r="M95" i="7" s="1"/>
  <c r="AB47" i="44"/>
  <c r="T47" i="44" s="1"/>
  <c r="D12" i="184"/>
  <c r="G47" i="45"/>
  <c r="C12" i="184" s="1"/>
  <c r="O47" i="45"/>
  <c r="K26" i="9"/>
  <c r="AE26" i="8"/>
  <c r="V26" i="8" s="1"/>
  <c r="AE34" i="4"/>
  <c r="J32" i="6"/>
  <c r="J43" i="6" s="1"/>
  <c r="J88" i="6"/>
  <c r="T42" i="6"/>
  <c r="K36" i="25"/>
  <c r="AA34" i="5"/>
  <c r="R34" i="5" s="1"/>
  <c r="AA33" i="5"/>
  <c r="L44" i="5"/>
  <c r="AE41" i="4"/>
  <c r="R41" i="5"/>
  <c r="AC43" i="6"/>
  <c r="AC41" i="6"/>
  <c r="T32" i="6"/>
  <c r="AH30" i="184"/>
  <c r="AJ30" i="184"/>
  <c r="J32" i="182"/>
  <c r="G46" i="182"/>
  <c r="V74" i="4"/>
  <c r="K29" i="5"/>
  <c r="R29" i="5"/>
  <c r="L33" i="5"/>
  <c r="L48" i="5"/>
  <c r="K48" i="5" s="1"/>
  <c r="AG55" i="60"/>
  <c r="W55" i="60" s="1"/>
  <c r="K55" i="61"/>
  <c r="K46" i="25"/>
  <c r="L58" i="25"/>
  <c r="AE47" i="24"/>
  <c r="W47" i="24" s="1"/>
  <c r="J41" i="6"/>
  <c r="K33" i="6"/>
  <c r="K42" i="6"/>
  <c r="U40" i="6"/>
  <c r="S52" i="5"/>
  <c r="AF55" i="4"/>
  <c r="W55" i="4" s="1"/>
  <c r="V55" i="4"/>
  <c r="H45" i="126"/>
  <c r="H46" i="126" s="1"/>
  <c r="M72" i="8"/>
  <c r="L43" i="177"/>
  <c r="L58" i="177" s="1"/>
  <c r="CU25" i="181"/>
  <c r="K88" i="52"/>
  <c r="T47" i="52"/>
  <c r="H46" i="125"/>
  <c r="H47" i="125" s="1"/>
  <c r="L48" i="2"/>
  <c r="M130" i="4"/>
  <c r="M132" i="4" s="1"/>
  <c r="L14" i="2"/>
  <c r="L21" i="2" s="1"/>
  <c r="L45" i="2" s="1"/>
  <c r="L54" i="2" s="1"/>
  <c r="K47" i="45"/>
  <c r="AF47" i="44"/>
  <c r="X47" i="44" s="1"/>
  <c r="AG43" i="40"/>
  <c r="Y43" i="40" s="1"/>
  <c r="U43" i="41"/>
  <c r="L43" i="41"/>
  <c r="H11" i="184" s="1"/>
  <c r="AF36" i="40"/>
  <c r="X36" i="40" s="1"/>
  <c r="L43" i="25"/>
  <c r="AE37" i="24"/>
  <c r="W37" i="24" s="1"/>
  <c r="AF43" i="36"/>
  <c r="X43" i="36" s="1"/>
  <c r="T43" i="37"/>
  <c r="K43" i="37"/>
  <c r="S43" i="37" s="1"/>
  <c r="AG38" i="28"/>
  <c r="Y38" i="28" s="1"/>
  <c r="M44" i="29"/>
  <c r="AG44" i="28" s="1"/>
  <c r="Y44" i="28" s="1"/>
  <c r="H43" i="105"/>
  <c r="G33" i="6"/>
  <c r="I33" i="6"/>
  <c r="S33" i="6"/>
  <c r="H32" i="6"/>
  <c r="D55" i="6"/>
  <c r="Y46" i="8"/>
  <c r="P46" i="8" s="1"/>
  <c r="W55" i="6"/>
  <c r="G46" i="10"/>
  <c r="K42" i="14"/>
  <c r="L64" i="14"/>
  <c r="L81" i="14"/>
  <c r="H67" i="5"/>
  <c r="H60" i="9"/>
  <c r="W67" i="5"/>
  <c r="AA58" i="8"/>
  <c r="R58" i="8" s="1"/>
  <c r="I61" i="9"/>
  <c r="I67" i="5" s="1"/>
  <c r="G61" i="9"/>
  <c r="L9" i="182"/>
  <c r="O204" i="68"/>
  <c r="M9" i="182" s="1"/>
  <c r="M204" i="68"/>
  <c r="K9" i="182" s="1"/>
  <c r="T204" i="68"/>
  <c r="H88" i="7"/>
  <c r="G42" i="7"/>
  <c r="I42" i="7"/>
  <c r="I88" i="7" s="1"/>
  <c r="M68" i="4"/>
  <c r="M54" i="8"/>
  <c r="N55" i="8"/>
  <c r="O203" i="70"/>
  <c r="O204" i="70" s="1"/>
  <c r="W55" i="8"/>
  <c r="N57" i="8"/>
  <c r="I57" i="8"/>
  <c r="K58" i="25"/>
  <c r="J69" i="5"/>
  <c r="Y69" i="5"/>
  <c r="F13" i="1"/>
  <c r="F59" i="4"/>
  <c r="G46" i="8"/>
  <c r="K28" i="4"/>
  <c r="O47" i="182" s="1"/>
  <c r="W47" i="182" s="1"/>
  <c r="V28" i="4"/>
  <c r="L123" i="4"/>
  <c r="K37" i="2"/>
  <c r="G59" i="24"/>
  <c r="I59" i="24"/>
  <c r="H70" i="24"/>
  <c r="N59" i="24"/>
  <c r="M44" i="24"/>
  <c r="M16" i="4"/>
  <c r="N8" i="24"/>
  <c r="X8" i="24"/>
  <c r="M53" i="10"/>
  <c r="AD63" i="6"/>
  <c r="AF55" i="8"/>
  <c r="K63" i="6"/>
  <c r="R51" i="6"/>
  <c r="AA56" i="4"/>
  <c r="R56" i="4" s="1"/>
  <c r="K21" i="2"/>
  <c r="M81" i="14"/>
  <c r="N42" i="14"/>
  <c r="W42" i="14"/>
  <c r="M64" i="14"/>
  <c r="I71" i="4"/>
  <c r="H70" i="4"/>
  <c r="N71" i="4"/>
  <c r="G71" i="4"/>
  <c r="R43" i="182"/>
  <c r="F7" i="6"/>
  <c r="R26" i="6"/>
  <c r="E26" i="6"/>
  <c r="H99" i="177"/>
  <c r="H103" i="177" s="1"/>
  <c r="I54" i="10"/>
  <c r="I53" i="10" s="1"/>
  <c r="CL32" i="182"/>
  <c r="N22" i="182"/>
  <c r="F32" i="182"/>
  <c r="J13" i="177"/>
  <c r="K12" i="177"/>
  <c r="J12" i="177" s="1"/>
  <c r="F56" i="177"/>
  <c r="H56" i="177"/>
  <c r="H54" i="177" s="1"/>
  <c r="H43" i="177" s="1"/>
  <c r="H58" i="177" s="1"/>
  <c r="G54" i="177"/>
  <c r="N216" i="68"/>
  <c r="CX16" i="181"/>
  <c r="N14" i="181"/>
  <c r="CX14" i="181" s="1"/>
  <c r="AV18" i="184"/>
  <c r="G60" i="8"/>
  <c r="F73" i="4"/>
  <c r="Y73" i="4"/>
  <c r="F57" i="8"/>
  <c r="M42" i="8"/>
  <c r="N43" i="8"/>
  <c r="W43" i="8"/>
  <c r="M57" i="4"/>
  <c r="I58" i="4"/>
  <c r="AF36" i="56"/>
  <c r="X36" i="56" s="1"/>
  <c r="M42" i="57"/>
  <c r="AF42" i="56" s="1"/>
  <c r="X42" i="56" s="1"/>
  <c r="J8" i="3"/>
  <c r="K16" i="3"/>
  <c r="O57" i="181"/>
  <c r="CY28" i="181"/>
  <c r="CY57" i="181" s="1"/>
  <c r="O58" i="181" s="1"/>
  <c r="T101" i="178"/>
  <c r="S111" i="178"/>
  <c r="H34" i="8"/>
  <c r="L42" i="10"/>
  <c r="AC51" i="6" s="1"/>
  <c r="AE46" i="8"/>
  <c r="V46" i="8" s="1"/>
  <c r="J55" i="6"/>
  <c r="I67" i="2"/>
  <c r="I103" i="1"/>
  <c r="AF8" i="8"/>
  <c r="W8" i="8" s="1"/>
  <c r="M8" i="5"/>
  <c r="M7" i="9"/>
  <c r="AB8" i="5"/>
  <c r="CF22" i="182"/>
  <c r="K22" i="182"/>
  <c r="CM22" i="182" s="1"/>
  <c r="L88" i="7"/>
  <c r="K42" i="7"/>
  <c r="K88" i="7" s="1"/>
  <c r="AF47" i="24"/>
  <c r="X47" i="24" s="1"/>
  <c r="M59" i="26"/>
  <c r="AF59" i="24" s="1"/>
  <c r="X59" i="24" s="1"/>
  <c r="AD46" i="6"/>
  <c r="S54" i="5"/>
  <c r="AF57" i="4"/>
  <c r="V57" i="4"/>
  <c r="M53" i="5"/>
  <c r="K4" i="177"/>
  <c r="I40" i="9"/>
  <c r="G40" i="9"/>
  <c r="W48" i="5"/>
  <c r="AA37" i="8"/>
  <c r="R37" i="8" s="1"/>
  <c r="AF138" i="68"/>
  <c r="AE127" i="68"/>
  <c r="AG127" i="68"/>
  <c r="E4" i="177"/>
  <c r="F8" i="177"/>
  <c r="L59" i="4"/>
  <c r="J85" i="4"/>
  <c r="S22" i="2"/>
  <c r="S21" i="2"/>
  <c r="S16" i="3"/>
  <c r="N7" i="8"/>
  <c r="M34" i="8"/>
  <c r="CX8" i="181"/>
  <c r="AA52" i="4"/>
  <c r="R52" i="4" s="1"/>
  <c r="P49" i="5"/>
  <c r="G49" i="5"/>
  <c r="H48" i="5"/>
  <c r="I49" i="5"/>
  <c r="T6" i="3"/>
  <c r="AD41" i="6"/>
  <c r="AD43" i="6"/>
  <c r="K82" i="40"/>
  <c r="H38" i="107"/>
  <c r="H39" i="107" s="1"/>
  <c r="K64" i="40"/>
  <c r="S26" i="5"/>
  <c r="AF26" i="4"/>
  <c r="W26" i="4" s="1"/>
  <c r="F123" i="4"/>
  <c r="G28" i="4"/>
  <c r="K47" i="182" s="1"/>
  <c r="S47" i="182" s="1"/>
  <c r="P28" i="4"/>
  <c r="J47" i="182"/>
  <c r="R47" i="182" s="1"/>
  <c r="E37" i="2"/>
  <c r="G44" i="26"/>
  <c r="Y41" i="6"/>
  <c r="O44" i="26"/>
  <c r="Y43" i="6"/>
  <c r="I44" i="26"/>
  <c r="W8" i="5"/>
  <c r="AA8" i="8"/>
  <c r="R8" i="8" s="1"/>
  <c r="H8" i="5"/>
  <c r="H7" i="9"/>
  <c r="I8" i="9"/>
  <c r="K10" i="182"/>
  <c r="CM10" i="182" s="1"/>
  <c r="C32" i="182"/>
  <c r="N32" i="8"/>
  <c r="R32" i="8"/>
  <c r="G32" i="8"/>
  <c r="AA26" i="5"/>
  <c r="J44" i="15"/>
  <c r="L26" i="5"/>
  <c r="AE18" i="14"/>
  <c r="V18" i="14" s="1"/>
  <c r="Y16" i="5"/>
  <c r="J43" i="25"/>
  <c r="K8" i="25"/>
  <c r="AC8" i="24"/>
  <c r="U8" i="24" s="1"/>
  <c r="J16" i="5"/>
  <c r="I8" i="25"/>
  <c r="F13" i="184"/>
  <c r="I47" i="49"/>
  <c r="E13" i="184" s="1"/>
  <c r="K47" i="49"/>
  <c r="D68" i="6"/>
  <c r="G59" i="10"/>
  <c r="W68" i="6"/>
  <c r="Y60" i="8"/>
  <c r="P60" i="8" s="1"/>
  <c r="F56" i="10"/>
  <c r="E117" i="177"/>
  <c r="F118" i="177"/>
  <c r="I43" i="41"/>
  <c r="R43" i="41"/>
  <c r="K43" i="41"/>
  <c r="S43" i="41" s="1"/>
  <c r="F11" i="184"/>
  <c r="AD43" i="40"/>
  <c r="V43" i="40" s="1"/>
  <c r="H32" i="7"/>
  <c r="G33" i="7"/>
  <c r="Q48" i="5"/>
  <c r="I8" i="4"/>
  <c r="M46" i="182" s="1"/>
  <c r="G20" i="1"/>
  <c r="G8" i="2"/>
  <c r="G8" i="4"/>
  <c r="K46" i="182" s="1"/>
  <c r="I71" i="10"/>
  <c r="Z42" i="6"/>
  <c r="G43" i="15"/>
  <c r="H83" i="6"/>
  <c r="J70" i="10"/>
  <c r="K70" i="10" s="1"/>
  <c r="AL19" i="184"/>
  <c r="AA83" i="6"/>
  <c r="N19" i="184"/>
  <c r="J75" i="9"/>
  <c r="M40" i="9"/>
  <c r="AF42" i="8"/>
  <c r="AB53" i="5"/>
  <c r="I73" i="8"/>
  <c r="T73" i="8"/>
  <c r="J71" i="8"/>
  <c r="F99" i="177"/>
  <c r="G103" i="177"/>
  <c r="E22" i="182"/>
  <c r="H9" i="177"/>
  <c r="AF54" i="4"/>
  <c r="W54" i="4" s="1"/>
  <c r="U49" i="6"/>
  <c r="V54" i="4"/>
  <c r="K46" i="6"/>
  <c r="J68" i="6"/>
  <c r="T68" i="6" s="1"/>
  <c r="AE60" i="8"/>
  <c r="V60" i="8" s="1"/>
  <c r="L56" i="10"/>
  <c r="CW16" i="181"/>
  <c r="M14" i="181"/>
  <c r="L78" i="7"/>
  <c r="L87" i="7" s="1"/>
  <c r="AV19" i="184"/>
  <c r="AV20" i="184" s="1"/>
  <c r="AV34" i="184" s="1"/>
  <c r="L79" i="7"/>
  <c r="CZ63" i="181"/>
  <c r="W53" i="6"/>
  <c r="Y44" i="8"/>
  <c r="D53" i="6"/>
  <c r="G44" i="10"/>
  <c r="F42" i="10"/>
  <c r="AE42" i="60"/>
  <c r="U42" i="60" s="1"/>
  <c r="I42" i="61"/>
  <c r="E16" i="184" s="1"/>
  <c r="F16" i="184"/>
  <c r="Y46" i="6"/>
  <c r="R46" i="6" s="1"/>
  <c r="G8" i="24"/>
  <c r="H16" i="4"/>
  <c r="I8" i="24"/>
  <c r="H44" i="24"/>
  <c r="S8" i="24"/>
  <c r="L103" i="177"/>
  <c r="L289" i="177" s="1"/>
  <c r="M99" i="177"/>
  <c r="U26" i="6"/>
  <c r="K7" i="6"/>
  <c r="F38" i="107"/>
  <c r="I64" i="40"/>
  <c r="E16" i="3"/>
  <c r="F6" i="3"/>
  <c r="K59" i="26"/>
  <c r="G46" i="25"/>
  <c r="H58" i="25"/>
  <c r="I58" i="25" s="1"/>
  <c r="AA47" i="24"/>
  <c r="S47" i="24" s="1"/>
  <c r="AK17" i="184"/>
  <c r="I59" i="66"/>
  <c r="W58" i="4"/>
  <c r="N58" i="4"/>
  <c r="H41" i="15"/>
  <c r="I41" i="15" s="1"/>
  <c r="AC41" i="14"/>
  <c r="T41" i="14" s="1"/>
  <c r="S40" i="6"/>
  <c r="H42" i="6"/>
  <c r="I40" i="6"/>
  <c r="I42" i="6" s="1"/>
  <c r="G40" i="6"/>
  <c r="G42" i="6" s="1"/>
  <c r="H42" i="16"/>
  <c r="AA32" i="6"/>
  <c r="G37" i="16"/>
  <c r="I37" i="16"/>
  <c r="AB19" i="28"/>
  <c r="T19" i="28" s="1"/>
  <c r="H44" i="29"/>
  <c r="AA55" i="8"/>
  <c r="R55" i="8" s="1"/>
  <c r="Y63" i="6"/>
  <c r="G54" i="10"/>
  <c r="H53" i="10"/>
  <c r="F63" i="6"/>
  <c r="J203" i="70"/>
  <c r="J204" i="70" s="1"/>
  <c r="H54" i="8"/>
  <c r="H68" i="4"/>
  <c r="G55" i="8"/>
  <c r="I55" i="8"/>
  <c r="J46" i="8"/>
  <c r="K46" i="8" s="1"/>
  <c r="I4" i="177"/>
  <c r="I16" i="177" s="1"/>
  <c r="I289" i="177" s="1"/>
  <c r="J46" i="10"/>
  <c r="K46" i="10" s="1"/>
  <c r="AC67" i="4"/>
  <c r="T67" i="4" s="1"/>
  <c r="L57" i="8"/>
  <c r="K57" i="8" s="1"/>
  <c r="L73" i="4"/>
  <c r="G16" i="2"/>
  <c r="R77" i="1"/>
  <c r="H34" i="4"/>
  <c r="H46" i="4"/>
  <c r="G41" i="4"/>
  <c r="N41" i="4"/>
  <c r="G37" i="24"/>
  <c r="N37" i="24"/>
  <c r="S37" i="24"/>
  <c r="I37" i="24"/>
  <c r="L14" i="181"/>
  <c r="CV16" i="181"/>
  <c r="L8" i="7"/>
  <c r="L7" i="11"/>
  <c r="E12" i="177"/>
  <c r="F12" i="177" s="1"/>
  <c r="F13" i="177"/>
  <c r="M41" i="5"/>
  <c r="AB41" i="5"/>
  <c r="AB44" i="5" s="1"/>
  <c r="AB94" i="5" s="1"/>
  <c r="AF40" i="24"/>
  <c r="X40" i="24" s="1"/>
  <c r="M36" i="25"/>
  <c r="M40" i="5"/>
  <c r="M34" i="5" s="1"/>
  <c r="K48" i="2" l="1"/>
  <c r="L130" i="4"/>
  <c r="L132" i="4" s="1"/>
  <c r="G7" i="2"/>
  <c r="F7" i="2" s="1"/>
  <c r="G5" i="1"/>
  <c r="F5" i="1" s="1"/>
  <c r="G26" i="4"/>
  <c r="L42" i="182"/>
  <c r="T42" i="182" s="1"/>
  <c r="AS59" i="181"/>
  <c r="AS60" i="181" s="1"/>
  <c r="N26" i="4"/>
  <c r="Q40" i="182"/>
  <c r="AP59" i="181"/>
  <c r="AP60" i="181" s="1"/>
  <c r="O16" i="5"/>
  <c r="Y16" i="4"/>
  <c r="P16" i="4" s="1"/>
  <c r="J64" i="1"/>
  <c r="K77" i="1"/>
  <c r="H7" i="2"/>
  <c r="I59" i="26"/>
  <c r="K44" i="26"/>
  <c r="I54" i="8"/>
  <c r="J14" i="2"/>
  <c r="I49" i="2"/>
  <c r="K43" i="25"/>
  <c r="K62" i="25" s="1"/>
  <c r="J9" i="2"/>
  <c r="H9" i="2"/>
  <c r="J44" i="1"/>
  <c r="H44" i="1"/>
  <c r="L116" i="69"/>
  <c r="K116" i="69"/>
  <c r="AC8" i="4"/>
  <c r="T8" i="4" s="1"/>
  <c r="Q8" i="5"/>
  <c r="J8" i="2"/>
  <c r="AT59" i="181"/>
  <c r="AT60" i="181" s="1"/>
  <c r="M42" i="182"/>
  <c r="U42" i="182" s="1"/>
  <c r="I26" i="5"/>
  <c r="Y7" i="5"/>
  <c r="AC7" i="8"/>
  <c r="T7" i="8" s="1"/>
  <c r="J37" i="9"/>
  <c r="Q26" i="5"/>
  <c r="M201" i="70"/>
  <c r="M105" i="69"/>
  <c r="M112" i="69"/>
  <c r="M114" i="69" s="1"/>
  <c r="J30" i="184"/>
  <c r="AB27" i="184"/>
  <c r="D39" i="182"/>
  <c r="B39" i="182"/>
  <c r="N57" i="181"/>
  <c r="CX59" i="181" s="1"/>
  <c r="K56" i="10"/>
  <c r="AC65" i="6"/>
  <c r="F8" i="5"/>
  <c r="Y8" i="8"/>
  <c r="P8" i="8" s="1"/>
  <c r="U8" i="5"/>
  <c r="F7" i="9"/>
  <c r="L16" i="9"/>
  <c r="K16" i="8"/>
  <c r="L7" i="8"/>
  <c r="L16" i="4"/>
  <c r="T7" i="3"/>
  <c r="S26" i="6"/>
  <c r="AC26" i="4"/>
  <c r="T26" i="4" s="1"/>
  <c r="I26" i="6"/>
  <c r="H7" i="6"/>
  <c r="H43" i="6" s="1"/>
  <c r="F34" i="182" s="1"/>
  <c r="O41" i="182"/>
  <c r="W41" i="182" s="1"/>
  <c r="X59" i="181"/>
  <c r="X60" i="181" s="1"/>
  <c r="L31" i="181"/>
  <c r="R7" i="3"/>
  <c r="P7" i="3"/>
  <c r="E7" i="194"/>
  <c r="D14" i="194"/>
  <c r="D15" i="194" s="1"/>
  <c r="D33" i="194" s="1"/>
  <c r="AA26" i="4"/>
  <c r="R26" i="4" s="1"/>
  <c r="E41" i="15"/>
  <c r="H41" i="5"/>
  <c r="W41" i="5"/>
  <c r="W44" i="5" s="1"/>
  <c r="W94" i="5" s="1"/>
  <c r="H40" i="5"/>
  <c r="F38" i="15"/>
  <c r="AA39" i="14"/>
  <c r="R39" i="14" s="1"/>
  <c r="Y78" i="6"/>
  <c r="Y79" i="6"/>
  <c r="AA7" i="184"/>
  <c r="G70" i="5"/>
  <c r="K59" i="66"/>
  <c r="AB41" i="64"/>
  <c r="S41" i="64" s="1"/>
  <c r="CV34" i="181"/>
  <c r="AJ57" i="181"/>
  <c r="F32" i="6"/>
  <c r="F43" i="6" s="1"/>
  <c r="D34" i="182" s="1"/>
  <c r="R33" i="6"/>
  <c r="AE60" i="14"/>
  <c r="V60" i="14" s="1"/>
  <c r="I62" i="15"/>
  <c r="AF7" i="184"/>
  <c r="L70" i="5"/>
  <c r="AA70" i="5"/>
  <c r="P26" i="5"/>
  <c r="AA16" i="4"/>
  <c r="G16" i="5"/>
  <c r="P16" i="5"/>
  <c r="H9" i="184"/>
  <c r="K44" i="33"/>
  <c r="AG44" i="32"/>
  <c r="Y44" i="32" s="1"/>
  <c r="W20" i="24"/>
  <c r="L26" i="4"/>
  <c r="K20" i="24"/>
  <c r="L44" i="24"/>
  <c r="U7" i="184"/>
  <c r="U20" i="184" s="1"/>
  <c r="U34" i="184" s="1"/>
  <c r="Q43" i="17"/>
  <c r="N40" i="182"/>
  <c r="AM59" i="181"/>
  <c r="AM60" i="181" s="1"/>
  <c r="I27" i="1"/>
  <c r="I6" i="2"/>
  <c r="I13" i="2" s="1"/>
  <c r="J7" i="4"/>
  <c r="J122" i="4" s="1"/>
  <c r="M101" i="178"/>
  <c r="L111" i="178"/>
  <c r="M111" i="178" s="1"/>
  <c r="O48" i="5"/>
  <c r="M103" i="177"/>
  <c r="L40" i="182"/>
  <c r="AK59" i="181"/>
  <c r="CX57" i="181"/>
  <c r="N58" i="181" s="1"/>
  <c r="AC53" i="6"/>
  <c r="K44" i="10"/>
  <c r="AE44" i="8"/>
  <c r="J53" i="6"/>
  <c r="J51" i="6" s="1"/>
  <c r="Y39" i="14"/>
  <c r="P39" i="14" s="1"/>
  <c r="D37" i="16"/>
  <c r="F71" i="10"/>
  <c r="D40" i="6"/>
  <c r="D83" i="6"/>
  <c r="W42" i="6"/>
  <c r="W40" i="6"/>
  <c r="W63" i="6"/>
  <c r="Q63" i="6" s="1"/>
  <c r="E40" i="16"/>
  <c r="X42" i="6" s="1"/>
  <c r="G36" i="25"/>
  <c r="Y37" i="24"/>
  <c r="Q37" i="24" s="1"/>
  <c r="U33" i="5"/>
  <c r="F43" i="25"/>
  <c r="G43" i="25" s="1"/>
  <c r="F34" i="5"/>
  <c r="O41" i="5"/>
  <c r="F44" i="5"/>
  <c r="F79" i="6"/>
  <c r="R83" i="6"/>
  <c r="E83" i="6"/>
  <c r="O70" i="5"/>
  <c r="L76" i="8"/>
  <c r="K72" i="8"/>
  <c r="L91" i="4"/>
  <c r="L75" i="9"/>
  <c r="L71" i="8"/>
  <c r="K71" i="8" s="1"/>
  <c r="R42" i="6"/>
  <c r="F88" i="6"/>
  <c r="AF16" i="4"/>
  <c r="W16" i="4" s="1"/>
  <c r="S16" i="5"/>
  <c r="B14" i="184"/>
  <c r="G47" i="53"/>
  <c r="N47" i="53"/>
  <c r="M33" i="181"/>
  <c r="CW33" i="181" s="1"/>
  <c r="D33" i="181"/>
  <c r="L33" i="181" s="1"/>
  <c r="CV33" i="181" s="1"/>
  <c r="F15" i="183"/>
  <c r="F17" i="183" s="1"/>
  <c r="CW31" i="181"/>
  <c r="M28" i="181"/>
  <c r="CW28" i="181" s="1"/>
  <c r="K16" i="177"/>
  <c r="J4" i="177"/>
  <c r="CW34" i="181"/>
  <c r="AK57" i="181"/>
  <c r="F86" i="4"/>
  <c r="F85" i="4" s="1"/>
  <c r="F98" i="4"/>
  <c r="P142" i="1"/>
  <c r="O14" i="2"/>
  <c r="P12" i="182"/>
  <c r="H32" i="182"/>
  <c r="AN30" i="184" s="1"/>
  <c r="G8" i="9"/>
  <c r="AE26" i="4"/>
  <c r="R26" i="5"/>
  <c r="T55" i="6"/>
  <c r="AE59" i="4"/>
  <c r="G7" i="8"/>
  <c r="G26" i="6"/>
  <c r="J118" i="177"/>
  <c r="K117" i="177"/>
  <c r="L7" i="184"/>
  <c r="L20" i="184" s="1"/>
  <c r="M42" i="16"/>
  <c r="H51" i="4"/>
  <c r="Q10" i="2"/>
  <c r="Q13" i="2" s="1"/>
  <c r="G59" i="2" s="1"/>
  <c r="Q66" i="178"/>
  <c r="R78" i="178"/>
  <c r="Q78" i="178" s="1"/>
  <c r="O34" i="5"/>
  <c r="J46" i="182"/>
  <c r="J53" i="182" s="1"/>
  <c r="E8" i="2"/>
  <c r="F8" i="2" s="1"/>
  <c r="CM37" i="182" s="1"/>
  <c r="E20" i="1"/>
  <c r="E54" i="1" s="1"/>
  <c r="F7" i="4"/>
  <c r="K28" i="181"/>
  <c r="CU31" i="181"/>
  <c r="I31" i="181"/>
  <c r="J80" i="24"/>
  <c r="J63" i="24"/>
  <c r="DA8" i="181"/>
  <c r="AA44" i="24"/>
  <c r="E54" i="2"/>
  <c r="E49" i="2"/>
  <c r="Q26" i="178"/>
  <c r="R111" i="178"/>
  <c r="Q111" i="178" s="1"/>
  <c r="J43" i="7"/>
  <c r="J95" i="7" s="1"/>
  <c r="J41" i="7"/>
  <c r="P41" i="7" s="1"/>
  <c r="T78" i="6"/>
  <c r="T43" i="6"/>
  <c r="H34" i="182"/>
  <c r="L94" i="5"/>
  <c r="AE46" i="4"/>
  <c r="T41" i="6"/>
  <c r="R33" i="5"/>
  <c r="AE33" i="4"/>
  <c r="AI30" i="184"/>
  <c r="AL30" i="184"/>
  <c r="F39" i="182"/>
  <c r="O60" i="181"/>
  <c r="W46" i="182"/>
  <c r="G53" i="182"/>
  <c r="R48" i="5"/>
  <c r="H7" i="184"/>
  <c r="I292" i="177"/>
  <c r="AE59" i="24"/>
  <c r="W59" i="24" s="1"/>
  <c r="L69" i="5"/>
  <c r="AA69" i="5"/>
  <c r="P44" i="26"/>
  <c r="U42" i="6"/>
  <c r="K88" i="6"/>
  <c r="K32" i="6"/>
  <c r="U32" i="6" s="1"/>
  <c r="U33" i="6"/>
  <c r="M75" i="9"/>
  <c r="M91" i="4"/>
  <c r="M71" i="8"/>
  <c r="M76" i="8"/>
  <c r="L49" i="2"/>
  <c r="AF43" i="40"/>
  <c r="X43" i="40" s="1"/>
  <c r="T43" i="41"/>
  <c r="AE44" i="24"/>
  <c r="W44" i="24" s="1"/>
  <c r="L62" i="25"/>
  <c r="L7" i="7"/>
  <c r="K8" i="7"/>
  <c r="L54" i="8"/>
  <c r="K54" i="8" s="1"/>
  <c r="S83" i="6"/>
  <c r="G83" i="6"/>
  <c r="H79" i="6"/>
  <c r="I83" i="6"/>
  <c r="G22" i="2"/>
  <c r="F22" i="2" s="1"/>
  <c r="F16" i="2"/>
  <c r="H16" i="2"/>
  <c r="H22" i="2" s="1"/>
  <c r="G14" i="2"/>
  <c r="Y62" i="6"/>
  <c r="P8" i="5"/>
  <c r="AA8" i="4"/>
  <c r="R8" i="4" s="1"/>
  <c r="H7" i="5"/>
  <c r="G8" i="5"/>
  <c r="I8" i="5"/>
  <c r="I77" i="2"/>
  <c r="AE138" i="68"/>
  <c r="AE158" i="68" s="1"/>
  <c r="AG138" i="68"/>
  <c r="AG158" i="68" s="1"/>
  <c r="AF158" i="68"/>
  <c r="S53" i="5"/>
  <c r="AF56" i="4"/>
  <c r="M48" i="5"/>
  <c r="S8" i="5"/>
  <c r="M7" i="5"/>
  <c r="AF8" i="4"/>
  <c r="W8" i="4" s="1"/>
  <c r="L37" i="10"/>
  <c r="AC46" i="6" s="1"/>
  <c r="AE42" i="8"/>
  <c r="AA8" i="5"/>
  <c r="AE8" i="8"/>
  <c r="V8" i="8" s="1"/>
  <c r="L7" i="9"/>
  <c r="L8" i="5"/>
  <c r="K8" i="9"/>
  <c r="D8" i="184"/>
  <c r="AB44" i="28"/>
  <c r="T44" i="28" s="1"/>
  <c r="I44" i="29"/>
  <c r="E8" i="184" s="1"/>
  <c r="O44" i="29"/>
  <c r="G44" i="29"/>
  <c r="C8" i="184" s="1"/>
  <c r="H88" i="6"/>
  <c r="S42" i="6"/>
  <c r="R16" i="4"/>
  <c r="G16" i="4"/>
  <c r="G27" i="1"/>
  <c r="I16" i="4"/>
  <c r="G6" i="2"/>
  <c r="W51" i="6"/>
  <c r="Y42" i="8"/>
  <c r="F37" i="10"/>
  <c r="G42" i="10"/>
  <c r="AE57" i="8"/>
  <c r="V57" i="8" s="1"/>
  <c r="L53" i="10"/>
  <c r="AC62" i="6" s="1"/>
  <c r="M22" i="182"/>
  <c r="CO22" i="182" s="1"/>
  <c r="E32" i="182"/>
  <c r="AB48" i="5"/>
  <c r="AF37" i="8"/>
  <c r="CN37" i="182"/>
  <c r="H8" i="2"/>
  <c r="CO37" i="182" s="1"/>
  <c r="H7" i="4"/>
  <c r="H41" i="7"/>
  <c r="G32" i="7"/>
  <c r="H43" i="7"/>
  <c r="E11" i="184"/>
  <c r="Q43" i="41"/>
  <c r="W65" i="6"/>
  <c r="G56" i="10"/>
  <c r="Y57" i="8"/>
  <c r="F53" i="10"/>
  <c r="G53" i="10" s="1"/>
  <c r="Q68" i="6"/>
  <c r="E68" i="6"/>
  <c r="D65" i="6"/>
  <c r="AC44" i="24"/>
  <c r="U44" i="24" s="1"/>
  <c r="J62" i="25"/>
  <c r="I43" i="25"/>
  <c r="I62" i="25" s="1"/>
  <c r="O44" i="15"/>
  <c r="AE42" i="14"/>
  <c r="V42" i="14" s="1"/>
  <c r="CN22" i="182"/>
  <c r="CF32" i="182"/>
  <c r="D50" i="182" s="1"/>
  <c r="T50" i="182" s="1"/>
  <c r="K24" i="3"/>
  <c r="J16" i="3"/>
  <c r="K30" i="2"/>
  <c r="K38" i="2" s="1"/>
  <c r="M56" i="4"/>
  <c r="N57" i="4"/>
  <c r="W57" i="4"/>
  <c r="P57" i="8"/>
  <c r="F54" i="8"/>
  <c r="G54" i="8" s="1"/>
  <c r="CP22" i="182"/>
  <c r="CP32" i="182" s="1"/>
  <c r="CP38" i="182" s="1"/>
  <c r="N32" i="182"/>
  <c r="E7" i="6"/>
  <c r="R7" i="6"/>
  <c r="F41" i="6"/>
  <c r="AD62" i="6"/>
  <c r="M74" i="10"/>
  <c r="AO18" i="184" s="1"/>
  <c r="AO20" i="184" s="1"/>
  <c r="AO31" i="184" s="1"/>
  <c r="AF54" i="8"/>
  <c r="W54" i="8" s="1"/>
  <c r="M80" i="24"/>
  <c r="N44" i="24"/>
  <c r="M63" i="24"/>
  <c r="P59" i="4"/>
  <c r="G59" i="4"/>
  <c r="G88" i="7"/>
  <c r="H89" i="7"/>
  <c r="CN9" i="182"/>
  <c r="L6" i="182"/>
  <c r="P67" i="5"/>
  <c r="G67" i="5"/>
  <c r="Q55" i="6"/>
  <c r="Y59" i="4"/>
  <c r="E55" i="6"/>
  <c r="M43" i="25"/>
  <c r="AF37" i="24"/>
  <c r="X37" i="24" s="1"/>
  <c r="AB34" i="5"/>
  <c r="S34" i="5" s="1"/>
  <c r="AB33" i="5"/>
  <c r="F62" i="6"/>
  <c r="R63" i="6"/>
  <c r="E63" i="6"/>
  <c r="G63" i="6"/>
  <c r="AA68" i="4"/>
  <c r="R68" i="4" s="1"/>
  <c r="H63" i="24"/>
  <c r="H80" i="24"/>
  <c r="O44" i="24"/>
  <c r="G44" i="24"/>
  <c r="S44" i="24"/>
  <c r="I44" i="24"/>
  <c r="I63" i="24" s="1"/>
  <c r="E53" i="6"/>
  <c r="Y58" i="4"/>
  <c r="Q53" i="6"/>
  <c r="D51" i="6"/>
  <c r="J65" i="6"/>
  <c r="AE70" i="4" s="1"/>
  <c r="I68" i="6"/>
  <c r="H119" i="4"/>
  <c r="N46" i="4"/>
  <c r="H38" i="15"/>
  <c r="I38" i="15" s="1"/>
  <c r="J40" i="5"/>
  <c r="J34" i="5" s="1"/>
  <c r="K40" i="5"/>
  <c r="AC39" i="14"/>
  <c r="T39" i="14" s="1"/>
  <c r="G41" i="15"/>
  <c r="I40" i="5" s="1"/>
  <c r="Y41" i="5"/>
  <c r="Y44" i="5" s="1"/>
  <c r="Y94" i="5" s="1"/>
  <c r="J41" i="5"/>
  <c r="U46" i="6"/>
  <c r="H8" i="177"/>
  <c r="H4" i="177" s="1"/>
  <c r="H16" i="177" s="1"/>
  <c r="H289" i="177" s="1"/>
  <c r="I46" i="10"/>
  <c r="I42" i="10" s="1"/>
  <c r="I37" i="10" s="1"/>
  <c r="I60" i="2"/>
  <c r="I68" i="2" s="1"/>
  <c r="I25" i="3"/>
  <c r="S24" i="3"/>
  <c r="S25" i="3"/>
  <c r="W42" i="8"/>
  <c r="M37" i="8"/>
  <c r="N42" i="8"/>
  <c r="CV14" i="181"/>
  <c r="I34" i="4"/>
  <c r="G34" i="4"/>
  <c r="N34" i="4"/>
  <c r="H33" i="4"/>
  <c r="J59" i="4"/>
  <c r="K59" i="4" s="1"/>
  <c r="I46" i="8"/>
  <c r="J42" i="8"/>
  <c r="M33" i="5"/>
  <c r="V34" i="4"/>
  <c r="AF34" i="4"/>
  <c r="W34" i="4" s="1"/>
  <c r="S41" i="5"/>
  <c r="V41" i="4"/>
  <c r="AF41" i="4"/>
  <c r="W41" i="4" s="1"/>
  <c r="M44" i="5"/>
  <c r="L33" i="11"/>
  <c r="X18" i="184" s="1"/>
  <c r="X20" i="184" s="1"/>
  <c r="X34" i="184" s="1"/>
  <c r="K7" i="11"/>
  <c r="K73" i="4"/>
  <c r="V73" i="4"/>
  <c r="L70" i="4"/>
  <c r="N42" i="16"/>
  <c r="N7" i="184"/>
  <c r="N20" i="184" s="1"/>
  <c r="G42" i="16"/>
  <c r="AA43" i="6"/>
  <c r="I42" i="16"/>
  <c r="AA41" i="6"/>
  <c r="U7" i="6"/>
  <c r="H74" i="10"/>
  <c r="L89" i="7"/>
  <c r="K87" i="7"/>
  <c r="F103" i="177"/>
  <c r="AD19" i="184"/>
  <c r="AC72" i="8"/>
  <c r="T72" i="8" s="1"/>
  <c r="J74" i="9"/>
  <c r="F19" i="184"/>
  <c r="J89" i="5"/>
  <c r="Y81" i="5"/>
  <c r="Y89" i="5"/>
  <c r="AA78" i="6"/>
  <c r="AA79" i="6"/>
  <c r="M19" i="184"/>
  <c r="I70" i="10"/>
  <c r="AK19" i="184"/>
  <c r="H20" i="1"/>
  <c r="F20" i="1"/>
  <c r="G54" i="1"/>
  <c r="Q16" i="5"/>
  <c r="I16" i="5"/>
  <c r="AC16" i="4"/>
  <c r="T16" i="4" s="1"/>
  <c r="J7" i="5"/>
  <c r="N34" i="8"/>
  <c r="M104" i="8"/>
  <c r="I80" i="2"/>
  <c r="H104" i="8"/>
  <c r="G34" i="8"/>
  <c r="M216" i="68"/>
  <c r="O216" i="68"/>
  <c r="T216" i="68"/>
  <c r="K45" i="2"/>
  <c r="J21" i="2"/>
  <c r="AF68" i="4"/>
  <c r="W68" i="4" s="1"/>
  <c r="V68" i="4"/>
  <c r="U63" i="6"/>
  <c r="K62" i="6"/>
  <c r="G57" i="8"/>
  <c r="S32" i="6"/>
  <c r="G32" i="6"/>
  <c r="I32" i="6"/>
  <c r="H55" i="6"/>
  <c r="J42" i="10"/>
  <c r="K42" i="10" s="1"/>
  <c r="AC46" i="8"/>
  <c r="T46" i="8" s="1"/>
  <c r="AA55" i="6"/>
  <c r="E30" i="2"/>
  <c r="F16" i="3"/>
  <c r="E24" i="3"/>
  <c r="E203" i="177"/>
  <c r="F117" i="177"/>
  <c r="F44" i="8"/>
  <c r="H37" i="9"/>
  <c r="W7" i="5"/>
  <c r="G7" i="9"/>
  <c r="V7" i="5" s="1"/>
  <c r="AA5" i="8"/>
  <c r="R7" i="8" s="1"/>
  <c r="AA7" i="8"/>
  <c r="I7" i="9"/>
  <c r="X7" i="5" s="1"/>
  <c r="P48" i="5"/>
  <c r="G48" i="5"/>
  <c r="AA51" i="4"/>
  <c r="R51" i="4" s="1"/>
  <c r="I48" i="5"/>
  <c r="V59" i="4"/>
  <c r="E16" i="177"/>
  <c r="F16" i="177" s="1"/>
  <c r="F4" i="177"/>
  <c r="J8" i="177"/>
  <c r="AF7" i="8"/>
  <c r="W7" i="8" s="1"/>
  <c r="M37" i="9"/>
  <c r="AB7" i="5"/>
  <c r="F54" i="177"/>
  <c r="H72" i="8"/>
  <c r="G43" i="177"/>
  <c r="N70" i="4"/>
  <c r="Q8" i="3"/>
  <c r="I70" i="4"/>
  <c r="E78" i="1"/>
  <c r="P13" i="1"/>
  <c r="Q69" i="5"/>
  <c r="N54" i="8"/>
  <c r="CM9" i="182"/>
  <c r="K6" i="182"/>
  <c r="H67" i="4"/>
  <c r="Q6" i="3"/>
  <c r="J200" i="70"/>
  <c r="J201" i="70" s="1"/>
  <c r="I68" i="4"/>
  <c r="G68" i="4"/>
  <c r="CW14" i="181"/>
  <c r="H69" i="5"/>
  <c r="I69" i="5" s="1"/>
  <c r="W69" i="5"/>
  <c r="AA59" i="24"/>
  <c r="S59" i="24" s="1"/>
  <c r="G58" i="25"/>
  <c r="H62" i="25"/>
  <c r="O43" i="25"/>
  <c r="CY59" i="181"/>
  <c r="CY60" i="181" s="1"/>
  <c r="F27" i="184"/>
  <c r="G73" i="4"/>
  <c r="P73" i="4"/>
  <c r="F70" i="4"/>
  <c r="L27" i="1"/>
  <c r="L54" i="1" s="1"/>
  <c r="C24" i="195" s="1"/>
  <c r="N16" i="4"/>
  <c r="L6" i="2"/>
  <c r="L13" i="2" s="1"/>
  <c r="M7" i="4"/>
  <c r="O200" i="70"/>
  <c r="N68" i="4"/>
  <c r="M67" i="4"/>
  <c r="V6" i="3"/>
  <c r="CO9" i="182"/>
  <c r="M6" i="182"/>
  <c r="H57" i="9"/>
  <c r="H66" i="5"/>
  <c r="AA57" i="8"/>
  <c r="R57" i="8" s="1"/>
  <c r="W66" i="5"/>
  <c r="G60" i="9"/>
  <c r="I60" i="9"/>
  <c r="O201" i="70" l="1"/>
  <c r="P200" i="70"/>
  <c r="B47" i="195"/>
  <c r="B49" i="195" s="1"/>
  <c r="B35" i="195"/>
  <c r="G62" i="25"/>
  <c r="K149" i="1"/>
  <c r="J149" i="1" s="1"/>
  <c r="J77" i="1"/>
  <c r="I19" i="184"/>
  <c r="I20" i="184" s="1"/>
  <c r="AG19" i="184"/>
  <c r="Q53" i="182"/>
  <c r="Y53" i="182" s="1"/>
  <c r="Y40" i="182"/>
  <c r="AR59" i="181"/>
  <c r="AR60" i="181" s="1"/>
  <c r="K42" i="182"/>
  <c r="S42" i="182" s="1"/>
  <c r="L53" i="182"/>
  <c r="H5" i="1"/>
  <c r="AC34" i="8"/>
  <c r="T34" i="8" s="1"/>
  <c r="F18" i="184"/>
  <c r="CX60" i="181"/>
  <c r="M116" i="69"/>
  <c r="N30" i="184"/>
  <c r="N31" i="184" s="1"/>
  <c r="N60" i="181"/>
  <c r="E27" i="184"/>
  <c r="CW57" i="181"/>
  <c r="M58" i="181" s="1"/>
  <c r="M57" i="181"/>
  <c r="D27" i="184" s="1"/>
  <c r="AK60" i="181"/>
  <c r="H35" i="182"/>
  <c r="T51" i="6"/>
  <c r="AE56" i="4"/>
  <c r="F94" i="5"/>
  <c r="O44" i="5"/>
  <c r="Y46" i="4"/>
  <c r="D33" i="6"/>
  <c r="D42" i="6"/>
  <c r="E40" i="6"/>
  <c r="Q31" i="181"/>
  <c r="I28" i="181"/>
  <c r="I57" i="181" s="1"/>
  <c r="E34" i="2"/>
  <c r="F122" i="4"/>
  <c r="F124" i="4" s="1"/>
  <c r="F127" i="4" s="1"/>
  <c r="F45" i="4"/>
  <c r="F48" i="4"/>
  <c r="F32" i="4"/>
  <c r="G87" i="1"/>
  <c r="G64" i="2"/>
  <c r="G65" i="2" s="1"/>
  <c r="L44" i="8"/>
  <c r="J117" i="177"/>
  <c r="K203" i="177"/>
  <c r="J203" i="177" s="1"/>
  <c r="D40" i="182"/>
  <c r="T40" i="182" s="1"/>
  <c r="Q40" i="6"/>
  <c r="AH19" i="184"/>
  <c r="J19" i="184"/>
  <c r="F75" i="10"/>
  <c r="F70" i="10"/>
  <c r="W83" i="6"/>
  <c r="Q83" i="6" s="1"/>
  <c r="F75" i="9"/>
  <c r="G71" i="10"/>
  <c r="I54" i="1"/>
  <c r="G40" i="5"/>
  <c r="H34" i="5"/>
  <c r="AO59" i="181"/>
  <c r="AO60" i="181" s="1"/>
  <c r="P40" i="182"/>
  <c r="K6" i="2"/>
  <c r="K27" i="1"/>
  <c r="K16" i="4"/>
  <c r="L7" i="4"/>
  <c r="AE16" i="8"/>
  <c r="V16" i="8" s="1"/>
  <c r="K16" i="9"/>
  <c r="AA16" i="5"/>
  <c r="L16" i="5"/>
  <c r="O8" i="5"/>
  <c r="F7" i="5"/>
  <c r="Y8" i="4"/>
  <c r="P8" i="4" s="1"/>
  <c r="AE8" i="4"/>
  <c r="V8" i="4" s="1"/>
  <c r="R8" i="5"/>
  <c r="O22" i="2"/>
  <c r="O21" i="2"/>
  <c r="E77" i="2" s="1"/>
  <c r="E86" i="2" s="1"/>
  <c r="J16" i="177"/>
  <c r="C14" i="184"/>
  <c r="O47" i="53"/>
  <c r="K91" i="4"/>
  <c r="L98" i="4"/>
  <c r="K98" i="4" s="1"/>
  <c r="V142" i="1"/>
  <c r="U14" i="2"/>
  <c r="L86" i="4"/>
  <c r="I53" i="6"/>
  <c r="AE58" i="4"/>
  <c r="I29" i="2"/>
  <c r="I23" i="2"/>
  <c r="S29" i="2" s="1"/>
  <c r="S31" i="2" s="1"/>
  <c r="P42" i="182"/>
  <c r="X42" i="182" s="1"/>
  <c r="AW59" i="181"/>
  <c r="AW60" i="181" s="1"/>
  <c r="K26" i="4"/>
  <c r="K5" i="1"/>
  <c r="K7" i="2"/>
  <c r="J7" i="2" s="1"/>
  <c r="V26" i="4"/>
  <c r="R32" i="6"/>
  <c r="W33" i="5"/>
  <c r="F44" i="15"/>
  <c r="AA36" i="14"/>
  <c r="R36" i="14" s="1"/>
  <c r="W34" i="5"/>
  <c r="E38" i="15"/>
  <c r="K40" i="182"/>
  <c r="K53" i="182" s="1"/>
  <c r="AJ59" i="181"/>
  <c r="AJ60" i="181" s="1"/>
  <c r="K69" i="5"/>
  <c r="R69" i="5"/>
  <c r="CR12" i="182"/>
  <c r="CR32" i="182" s="1"/>
  <c r="P32" i="182"/>
  <c r="V76" i="8"/>
  <c r="K76" i="8"/>
  <c r="R79" i="6"/>
  <c r="F78" i="6"/>
  <c r="F33" i="5"/>
  <c r="Y34" i="4"/>
  <c r="P34" i="4" s="1"/>
  <c r="D42" i="16"/>
  <c r="Y36" i="14"/>
  <c r="P36" i="14" s="1"/>
  <c r="W33" i="6"/>
  <c r="W32" i="6"/>
  <c r="E37" i="16"/>
  <c r="L63" i="24"/>
  <c r="K44" i="24"/>
  <c r="K63" i="24" s="1"/>
  <c r="L80" i="24"/>
  <c r="K70" i="5"/>
  <c r="R70" i="5"/>
  <c r="C40" i="182"/>
  <c r="D28" i="181"/>
  <c r="D57" i="181" s="1"/>
  <c r="Y7" i="8"/>
  <c r="P7" i="8" s="1"/>
  <c r="U7" i="5"/>
  <c r="F37" i="9"/>
  <c r="T65" i="6"/>
  <c r="M40" i="182"/>
  <c r="AL59" i="181"/>
  <c r="AL60" i="181" s="1"/>
  <c r="E80" i="2"/>
  <c r="I7" i="4"/>
  <c r="CU28" i="181"/>
  <c r="CU57" i="181" s="1"/>
  <c r="K57" i="181"/>
  <c r="CL37" i="182"/>
  <c r="E13" i="2"/>
  <c r="K75" i="9"/>
  <c r="AF19" i="184"/>
  <c r="H19" i="184"/>
  <c r="AA81" i="5"/>
  <c r="L74" i="9"/>
  <c r="AE72" i="8"/>
  <c r="V72" i="8" s="1"/>
  <c r="AA89" i="5"/>
  <c r="L89" i="5"/>
  <c r="Y41" i="4"/>
  <c r="P41" i="4" s="1"/>
  <c r="F62" i="25"/>
  <c r="O73" i="5" s="1"/>
  <c r="Y44" i="24"/>
  <c r="Q44" i="24" s="1"/>
  <c r="D88" i="6"/>
  <c r="E88" i="6" s="1"/>
  <c r="D79" i="6"/>
  <c r="E79" i="6" s="1"/>
  <c r="T53" i="6"/>
  <c r="I34" i="2"/>
  <c r="J124" i="4"/>
  <c r="J127" i="4" s="1"/>
  <c r="J32" i="4"/>
  <c r="J48" i="4"/>
  <c r="J45" i="4"/>
  <c r="N53" i="182"/>
  <c r="V40" i="182"/>
  <c r="P41" i="5"/>
  <c r="H44" i="5"/>
  <c r="G41" i="5"/>
  <c r="AA41" i="4"/>
  <c r="R41" i="4" s="1"/>
  <c r="CV31" i="181"/>
  <c r="L28" i="181"/>
  <c r="H41" i="6"/>
  <c r="I7" i="6"/>
  <c r="G7" i="6"/>
  <c r="S7" i="6"/>
  <c r="K7" i="8"/>
  <c r="L34" i="8"/>
  <c r="AE98" i="4"/>
  <c r="V98" i="4" s="1"/>
  <c r="R94" i="5"/>
  <c r="F46" i="182"/>
  <c r="V46" i="182" s="1"/>
  <c r="AK30" i="184"/>
  <c r="E39" i="182"/>
  <c r="AE54" i="8"/>
  <c r="V54" i="8" s="1"/>
  <c r="K53" i="10"/>
  <c r="K41" i="6"/>
  <c r="K43" i="6"/>
  <c r="U43" i="6" s="1"/>
  <c r="M98" i="4"/>
  <c r="M86" i="4"/>
  <c r="W142" i="1"/>
  <c r="V14" i="2"/>
  <c r="M89" i="5"/>
  <c r="M79" i="9"/>
  <c r="AB89" i="5"/>
  <c r="AF72" i="8"/>
  <c r="W72" i="8" s="1"/>
  <c r="AB81" i="5"/>
  <c r="M74" i="9"/>
  <c r="D46" i="6"/>
  <c r="Q51" i="6"/>
  <c r="Y56" i="4"/>
  <c r="E51" i="6"/>
  <c r="CN6" i="182"/>
  <c r="CN32" i="182" s="1"/>
  <c r="L32" i="182"/>
  <c r="G89" i="7"/>
  <c r="C15" i="183" s="1"/>
  <c r="C17" i="183" s="1"/>
  <c r="I89" i="7"/>
  <c r="H95" i="7"/>
  <c r="D15" i="183"/>
  <c r="D17" i="183" s="1"/>
  <c r="D35" i="182"/>
  <c r="R43" i="6"/>
  <c r="U30" i="2"/>
  <c r="J24" i="3"/>
  <c r="H27" i="1"/>
  <c r="F27" i="1"/>
  <c r="L74" i="10"/>
  <c r="AE37" i="8"/>
  <c r="F14" i="2"/>
  <c r="G21" i="2"/>
  <c r="H14" i="2"/>
  <c r="L34" i="2"/>
  <c r="M45" i="4"/>
  <c r="N7" i="4"/>
  <c r="M32" i="4"/>
  <c r="M122" i="4"/>
  <c r="M124" i="4" s="1"/>
  <c r="M127" i="4" s="1"/>
  <c r="M48" i="4"/>
  <c r="F67" i="4"/>
  <c r="G67" i="4" s="1"/>
  <c r="O8" i="3"/>
  <c r="O16" i="3" s="1"/>
  <c r="AC59" i="4"/>
  <c r="T59" i="4" s="1"/>
  <c r="H51" i="6"/>
  <c r="I51" i="6" s="1"/>
  <c r="S55" i="6"/>
  <c r="G55" i="6"/>
  <c r="AC91" i="4"/>
  <c r="T91" i="4" s="1"/>
  <c r="J81" i="5"/>
  <c r="Q89" i="5"/>
  <c r="J80" i="5"/>
  <c r="L29" i="2"/>
  <c r="L23" i="2"/>
  <c r="P69" i="5"/>
  <c r="G69" i="5"/>
  <c r="Z6" i="3"/>
  <c r="P6" i="3"/>
  <c r="Q16" i="3"/>
  <c r="R6" i="3"/>
  <c r="G43" i="6"/>
  <c r="E34" i="182" s="1"/>
  <c r="F35" i="182"/>
  <c r="I43" i="6"/>
  <c r="P8" i="3"/>
  <c r="R8" i="3"/>
  <c r="F203" i="177"/>
  <c r="E289" i="177"/>
  <c r="AF67" i="4"/>
  <c r="W67" i="4" s="1"/>
  <c r="U62" i="6"/>
  <c r="AC71" i="8"/>
  <c r="T71" i="8" s="1"/>
  <c r="J78" i="9"/>
  <c r="Y80" i="5"/>
  <c r="U41" i="6"/>
  <c r="M7" i="184"/>
  <c r="M20" i="184" s="1"/>
  <c r="Z43" i="6"/>
  <c r="M94" i="5"/>
  <c r="V44" i="4"/>
  <c r="AF46" i="4"/>
  <c r="J37" i="8"/>
  <c r="I42" i="8"/>
  <c r="I37" i="8" s="1"/>
  <c r="G48" i="2"/>
  <c r="G33" i="4"/>
  <c r="H130" i="4"/>
  <c r="H132" i="4" s="1"/>
  <c r="I33" i="4"/>
  <c r="N33" i="4"/>
  <c r="W37" i="8"/>
  <c r="N37" i="8"/>
  <c r="M75" i="8"/>
  <c r="AA70" i="4"/>
  <c r="R70" i="4" s="1"/>
  <c r="I66" i="5"/>
  <c r="P66" i="5"/>
  <c r="G66" i="5"/>
  <c r="AA71" i="4"/>
  <c r="R71" i="4" s="1"/>
  <c r="H63" i="5"/>
  <c r="V16" i="3"/>
  <c r="AB6" i="3"/>
  <c r="AC6" i="3" s="1"/>
  <c r="G67" i="2"/>
  <c r="H84" i="4"/>
  <c r="G103" i="1"/>
  <c r="I67" i="4"/>
  <c r="E81" i="1"/>
  <c r="P76" i="1"/>
  <c r="P78" i="1" s="1"/>
  <c r="F43" i="177"/>
  <c r="G58" i="177"/>
  <c r="AA34" i="8"/>
  <c r="R34" i="8" s="1"/>
  <c r="D18" i="184"/>
  <c r="G37" i="9"/>
  <c r="C18" i="184" s="1"/>
  <c r="I37" i="9"/>
  <c r="J37" i="10"/>
  <c r="K37" i="10" s="1"/>
  <c r="AA51" i="6"/>
  <c r="AC42" i="8"/>
  <c r="T42" i="8" s="1"/>
  <c r="K49" i="2"/>
  <c r="K54" i="2"/>
  <c r="J46" i="6"/>
  <c r="I7" i="5"/>
  <c r="AC7" i="4"/>
  <c r="T7" i="4" s="1"/>
  <c r="Q7" i="5"/>
  <c r="I74" i="10"/>
  <c r="K41" i="5"/>
  <c r="K44" i="5" s="1"/>
  <c r="K94" i="5" s="1"/>
  <c r="J44" i="5"/>
  <c r="I41" i="5"/>
  <c r="I44" i="5" s="1"/>
  <c r="I94" i="5" s="1"/>
  <c r="Q41" i="5"/>
  <c r="AC41" i="4"/>
  <c r="T41" i="4" s="1"/>
  <c r="R34" i="10"/>
  <c r="M82" i="10"/>
  <c r="M75" i="10"/>
  <c r="AD87" i="6"/>
  <c r="N56" i="4"/>
  <c r="V10" i="2"/>
  <c r="V13" i="2" s="1"/>
  <c r="W56" i="4"/>
  <c r="M51" i="4"/>
  <c r="W62" i="6"/>
  <c r="Y54" i="8"/>
  <c r="P54" i="8" s="1"/>
  <c r="G41" i="7"/>
  <c r="O41" i="7"/>
  <c r="I41" i="7"/>
  <c r="S48" i="5"/>
  <c r="AF51" i="4"/>
  <c r="S79" i="6"/>
  <c r="H78" i="6"/>
  <c r="G79" i="6"/>
  <c r="I79" i="6"/>
  <c r="J33" i="5"/>
  <c r="I34" i="5"/>
  <c r="AC34" i="4"/>
  <c r="T34" i="4" s="1"/>
  <c r="K34" i="5"/>
  <c r="R62" i="6"/>
  <c r="F87" i="6"/>
  <c r="M41" i="6" s="1"/>
  <c r="G62" i="6"/>
  <c r="M62" i="25"/>
  <c r="P43" i="25"/>
  <c r="AF44" i="24"/>
  <c r="X44" i="24" s="1"/>
  <c r="CF38" i="182"/>
  <c r="CG60" i="181"/>
  <c r="Q65" i="6"/>
  <c r="Y70" i="4"/>
  <c r="P70" i="4" s="1"/>
  <c r="D62" i="6"/>
  <c r="E65" i="6"/>
  <c r="H122" i="4"/>
  <c r="H124" i="4" s="1"/>
  <c r="H127" i="4" s="1"/>
  <c r="G34" i="2"/>
  <c r="G7" i="4"/>
  <c r="H32" i="4"/>
  <c r="H45" i="4"/>
  <c r="H48" i="4"/>
  <c r="L55" i="182" s="1"/>
  <c r="T55" i="182" s="1"/>
  <c r="H6" i="2"/>
  <c r="F6" i="2"/>
  <c r="G13" i="2"/>
  <c r="K8" i="5"/>
  <c r="L7" i="5"/>
  <c r="S7" i="5"/>
  <c r="AF7" i="4"/>
  <c r="W7" i="4" s="1"/>
  <c r="M45" i="5"/>
  <c r="R62" i="181" s="1"/>
  <c r="M43" i="5"/>
  <c r="I81" i="2"/>
  <c r="I86" i="2"/>
  <c r="P7" i="5"/>
  <c r="G7" i="5"/>
  <c r="AA7" i="4"/>
  <c r="R7" i="4" s="1"/>
  <c r="I57" i="9"/>
  <c r="W63" i="5"/>
  <c r="G57" i="9"/>
  <c r="AA54" i="8"/>
  <c r="R54" i="8" s="1"/>
  <c r="W13" i="1"/>
  <c r="L78" i="1"/>
  <c r="CM6" i="182"/>
  <c r="CM32" i="182" s="1"/>
  <c r="K32" i="182"/>
  <c r="G72" i="8"/>
  <c r="H71" i="8"/>
  <c r="N72" i="8"/>
  <c r="H91" i="4"/>
  <c r="H75" i="9"/>
  <c r="H76" i="8"/>
  <c r="I72" i="8"/>
  <c r="G44" i="8"/>
  <c r="F58" i="4"/>
  <c r="P44" i="8"/>
  <c r="F42" i="8"/>
  <c r="E38" i="2"/>
  <c r="I55" i="6"/>
  <c r="H15" i="183"/>
  <c r="H17" i="183" s="1"/>
  <c r="K15" i="183"/>
  <c r="K89" i="7"/>
  <c r="O42" i="16"/>
  <c r="V33" i="4"/>
  <c r="AF33" i="4"/>
  <c r="W33" i="4" s="1"/>
  <c r="S33" i="5"/>
  <c r="I59" i="4"/>
  <c r="J56" i="4"/>
  <c r="M32" i="182"/>
  <c r="CO6" i="182"/>
  <c r="CO32" i="182" s="1"/>
  <c r="E46" i="182" s="1"/>
  <c r="U46" i="182" s="1"/>
  <c r="L103" i="1"/>
  <c r="L67" i="2"/>
  <c r="N67" i="4"/>
  <c r="G70" i="4"/>
  <c r="AF34" i="8"/>
  <c r="W34" i="8" s="1"/>
  <c r="AB43" i="5"/>
  <c r="AB45" i="5" s="1"/>
  <c r="O30" i="2"/>
  <c r="F24" i="3"/>
  <c r="R13" i="1"/>
  <c r="G78" i="1"/>
  <c r="F54" i="1"/>
  <c r="H75" i="10"/>
  <c r="AJ18" i="184"/>
  <c r="AJ20" i="184" s="1"/>
  <c r="AJ31" i="184" s="1"/>
  <c r="H82" i="10"/>
  <c r="O34" i="10"/>
  <c r="Y87" i="6"/>
  <c r="K70" i="4"/>
  <c r="U8" i="3"/>
  <c r="V70" i="4"/>
  <c r="L67" i="4"/>
  <c r="L81" i="11"/>
  <c r="K33" i="11"/>
  <c r="K81" i="11" s="1"/>
  <c r="Q33" i="11"/>
  <c r="S60" i="2"/>
  <c r="K87" i="6"/>
  <c r="H44" i="15"/>
  <c r="I44" i="15" s="1"/>
  <c r="Y34" i="5"/>
  <c r="Y33" i="5"/>
  <c r="G38" i="15"/>
  <c r="X34" i="5" s="1"/>
  <c r="AC36" i="14"/>
  <c r="T36" i="14" s="1"/>
  <c r="I65" i="6"/>
  <c r="J62" i="6"/>
  <c r="T62" i="6" s="1"/>
  <c r="R41" i="6"/>
  <c r="G43" i="7"/>
  <c r="I43" i="7"/>
  <c r="Y37" i="8"/>
  <c r="W46" i="6"/>
  <c r="F74" i="10"/>
  <c r="G74" i="10" s="1"/>
  <c r="G37" i="10"/>
  <c r="G88" i="6"/>
  <c r="I88" i="6"/>
  <c r="K7" i="9"/>
  <c r="Z7" i="5" s="1"/>
  <c r="AE7" i="8"/>
  <c r="V7" i="8" s="1"/>
  <c r="AA7" i="5"/>
  <c r="L37" i="9"/>
  <c r="L41" i="7"/>
  <c r="L43" i="7"/>
  <c r="K43" i="7" s="1"/>
  <c r="K7" i="7"/>
  <c r="I23" i="184" l="1"/>
  <c r="Q55" i="182"/>
  <c r="Y55" i="182" s="1"/>
  <c r="E81" i="2"/>
  <c r="V24" i="2"/>
  <c r="I22" i="184"/>
  <c r="I28" i="184"/>
  <c r="L30" i="184"/>
  <c r="L31" i="184" s="1"/>
  <c r="K30" i="184"/>
  <c r="P30" i="184"/>
  <c r="P31" i="184" s="1"/>
  <c r="M30" i="184"/>
  <c r="S40" i="182"/>
  <c r="M60" i="181"/>
  <c r="CN38" i="182"/>
  <c r="CW59" i="181"/>
  <c r="CW60" i="181" s="1"/>
  <c r="AE7" i="4"/>
  <c r="V7" i="4" s="1"/>
  <c r="R7" i="5"/>
  <c r="D46" i="182"/>
  <c r="T46" i="182" s="1"/>
  <c r="U22" i="2"/>
  <c r="T22" i="2" s="1"/>
  <c r="U21" i="2"/>
  <c r="T14" i="2"/>
  <c r="P53" i="182"/>
  <c r="X40" i="182"/>
  <c r="CV28" i="181"/>
  <c r="CV57" i="181" s="1"/>
  <c r="L58" i="181" s="1"/>
  <c r="L57" i="181"/>
  <c r="G44" i="5"/>
  <c r="H94" i="5"/>
  <c r="AA46" i="4"/>
  <c r="E29" i="2"/>
  <c r="E23" i="2"/>
  <c r="M53" i="182"/>
  <c r="U40" i="182"/>
  <c r="R78" i="6"/>
  <c r="Y7" i="4"/>
  <c r="P7" i="4" s="1"/>
  <c r="O7" i="5"/>
  <c r="F43" i="5"/>
  <c r="F45" i="5"/>
  <c r="K62" i="181" s="1"/>
  <c r="J27" i="1"/>
  <c r="W78" i="6"/>
  <c r="W79" i="6"/>
  <c r="G70" i="10"/>
  <c r="V29" i="2"/>
  <c r="V31" i="2" s="1"/>
  <c r="K58" i="181"/>
  <c r="K60" i="181" s="1"/>
  <c r="B46" i="182"/>
  <c r="M44" i="15"/>
  <c r="D7" i="184"/>
  <c r="AA42" i="14"/>
  <c r="R42" i="14" s="1"/>
  <c r="E44" i="15"/>
  <c r="C7" i="184" s="1"/>
  <c r="I31" i="2"/>
  <c r="I43" i="2" s="1"/>
  <c r="I35" i="2"/>
  <c r="AN59" i="181"/>
  <c r="AN60" i="181" s="1"/>
  <c r="O40" i="182"/>
  <c r="N55" i="182"/>
  <c r="V55" i="182" s="1"/>
  <c r="J118" i="4"/>
  <c r="J120" i="4" s="1"/>
  <c r="S33" i="2"/>
  <c r="S35" i="2" s="1"/>
  <c r="F23" i="184"/>
  <c r="CL38" i="182"/>
  <c r="AA27" i="184"/>
  <c r="C39" i="182"/>
  <c r="J7" i="184"/>
  <c r="J20" i="184" s="1"/>
  <c r="J31" i="184" s="1"/>
  <c r="Y41" i="14"/>
  <c r="P41" i="14" s="1"/>
  <c r="Y42" i="14"/>
  <c r="P42" i="14" s="1"/>
  <c r="W43" i="6"/>
  <c r="W41" i="6"/>
  <c r="L42" i="16"/>
  <c r="E42" i="16"/>
  <c r="J5" i="1"/>
  <c r="K54" i="1"/>
  <c r="K13" i="2"/>
  <c r="J6" i="2"/>
  <c r="P34" i="5"/>
  <c r="G34" i="5"/>
  <c r="H33" i="5"/>
  <c r="AA34" i="4"/>
  <c r="R34" i="4" s="1"/>
  <c r="AI19" i="184"/>
  <c r="K19" i="184"/>
  <c r="K44" i="8"/>
  <c r="V44" i="8"/>
  <c r="L58" i="4"/>
  <c r="L42" i="8"/>
  <c r="F118" i="4"/>
  <c r="F120" i="4" s="1"/>
  <c r="O33" i="2"/>
  <c r="J55" i="182"/>
  <c r="R55" i="182" s="1"/>
  <c r="B23" i="184"/>
  <c r="H39" i="182"/>
  <c r="AF27" i="184"/>
  <c r="Q42" i="6"/>
  <c r="E42" i="6"/>
  <c r="Y98" i="4"/>
  <c r="P98" i="4" s="1"/>
  <c r="O94" i="5"/>
  <c r="G41" i="6"/>
  <c r="I41" i="6"/>
  <c r="S41" i="6"/>
  <c r="L105" i="5"/>
  <c r="AE91" i="4"/>
  <c r="V91" i="4" s="1"/>
  <c r="R89" i="5"/>
  <c r="L81" i="5"/>
  <c r="L80" i="5"/>
  <c r="Y33" i="4"/>
  <c r="P33" i="4" s="1"/>
  <c r="T13" i="1"/>
  <c r="I78" i="1"/>
  <c r="H78" i="1" s="1"/>
  <c r="I62" i="6"/>
  <c r="AE67" i="4"/>
  <c r="V67" i="4" s="1"/>
  <c r="H54" i="1"/>
  <c r="K89" i="5"/>
  <c r="AB98" i="4"/>
  <c r="W43" i="5"/>
  <c r="W45" i="5" s="1"/>
  <c r="K34" i="8"/>
  <c r="L104" i="8"/>
  <c r="D78" i="6"/>
  <c r="Q78" i="6" s="1"/>
  <c r="Q79" i="6"/>
  <c r="K74" i="9"/>
  <c r="AA80" i="5"/>
  <c r="AE71" i="8"/>
  <c r="V71" i="8" s="1"/>
  <c r="L78" i="9"/>
  <c r="L86" i="9" s="1"/>
  <c r="B27" i="184"/>
  <c r="CU59" i="181"/>
  <c r="CU60" i="181" s="1"/>
  <c r="O33" i="5"/>
  <c r="B18" i="184"/>
  <c r="Y34" i="8"/>
  <c r="P34" i="8" s="1"/>
  <c r="U43" i="5"/>
  <c r="U45" i="5" s="1"/>
  <c r="DB32" i="182"/>
  <c r="DB33" i="182" s="1"/>
  <c r="AV59" i="181"/>
  <c r="AV60" i="181" s="1"/>
  <c r="O42" i="182"/>
  <c r="W42" i="182" s="1"/>
  <c r="L85" i="4"/>
  <c r="K86" i="4"/>
  <c r="K289" i="177"/>
  <c r="J289" i="177" s="1"/>
  <c r="AE16" i="4"/>
  <c r="V16" i="4" s="1"/>
  <c r="R16" i="5"/>
  <c r="K16" i="5"/>
  <c r="K34" i="2"/>
  <c r="L32" i="4"/>
  <c r="K32" i="4" s="1"/>
  <c r="L48" i="4"/>
  <c r="L122" i="4"/>
  <c r="L124" i="4" s="1"/>
  <c r="L127" i="4" s="1"/>
  <c r="K7" i="4"/>
  <c r="L45" i="4"/>
  <c r="K45" i="4" s="1"/>
  <c r="B19" i="184"/>
  <c r="F89" i="5"/>
  <c r="Z19" i="184"/>
  <c r="F79" i="9"/>
  <c r="Y76" i="8" s="1"/>
  <c r="P76" i="8" s="1"/>
  <c r="U89" i="5"/>
  <c r="Y72" i="8"/>
  <c r="P72" i="8" s="1"/>
  <c r="U81" i="5"/>
  <c r="F74" i="9"/>
  <c r="DA31" i="181"/>
  <c r="Q28" i="181"/>
  <c r="Q33" i="6"/>
  <c r="D32" i="6"/>
  <c r="E33" i="6"/>
  <c r="G34" i="182"/>
  <c r="G35" i="182" s="1"/>
  <c r="AC87" i="6"/>
  <c r="Q34" i="10"/>
  <c r="E53" i="182"/>
  <c r="F53" i="182"/>
  <c r="V53" i="182" s="1"/>
  <c r="T46" i="6"/>
  <c r="AE51" i="4"/>
  <c r="H18" i="184"/>
  <c r="H20" i="184" s="1"/>
  <c r="AN18" i="184"/>
  <c r="AN20" i="184" s="1"/>
  <c r="AN31" i="184" s="1"/>
  <c r="M31" i="184"/>
  <c r="P41" i="6"/>
  <c r="AD98" i="4"/>
  <c r="AB80" i="5"/>
  <c r="AF71" i="8"/>
  <c r="W71" i="8" s="1"/>
  <c r="M78" i="9"/>
  <c r="AG18" i="184" s="1"/>
  <c r="AG20" i="184" s="1"/>
  <c r="AG28" i="184" s="1"/>
  <c r="M85" i="4"/>
  <c r="AF76" i="8"/>
  <c r="W76" i="8" s="1"/>
  <c r="M81" i="5"/>
  <c r="AF91" i="4"/>
  <c r="W91" i="4" s="1"/>
  <c r="M80" i="5"/>
  <c r="V22" i="2"/>
  <c r="V21" i="2"/>
  <c r="L77" i="2" s="1"/>
  <c r="S89" i="5"/>
  <c r="CO38" i="182"/>
  <c r="G82" i="10"/>
  <c r="AI18" i="184"/>
  <c r="AI20" i="184" s="1"/>
  <c r="AI31" i="184" s="1"/>
  <c r="G29" i="2"/>
  <c r="F13" i="2"/>
  <c r="Q24" i="2"/>
  <c r="G23" i="2"/>
  <c r="H13" i="2"/>
  <c r="G24" i="2"/>
  <c r="V24" i="3"/>
  <c r="V25" i="3"/>
  <c r="L60" i="2"/>
  <c r="L68" i="2" s="1"/>
  <c r="L25" i="3"/>
  <c r="I56" i="4"/>
  <c r="S10" i="2"/>
  <c r="J51" i="4"/>
  <c r="Q33" i="2"/>
  <c r="G48" i="4"/>
  <c r="D23" i="184"/>
  <c r="H118" i="4"/>
  <c r="H120" i="4" s="1"/>
  <c r="I48" i="4"/>
  <c r="M55" i="182" s="1"/>
  <c r="F7" i="184"/>
  <c r="F20" i="184" s="1"/>
  <c r="N44" i="15"/>
  <c r="AC42" i="14"/>
  <c r="T42" i="14" s="1"/>
  <c r="G44" i="15"/>
  <c r="E7" i="184" s="1"/>
  <c r="Y43" i="5"/>
  <c r="Y45" i="5" s="1"/>
  <c r="F37" i="8"/>
  <c r="P42" i="8"/>
  <c r="G42" i="8"/>
  <c r="I76" i="8"/>
  <c r="I71" i="8"/>
  <c r="I75" i="8" s="1"/>
  <c r="I91" i="4"/>
  <c r="G91" i="4"/>
  <c r="G98" i="4" s="1"/>
  <c r="N91" i="4"/>
  <c r="H86" i="4"/>
  <c r="Q14" i="2"/>
  <c r="H98" i="4"/>
  <c r="R142" i="1"/>
  <c r="G45" i="4"/>
  <c r="I45" i="4"/>
  <c r="Q34" i="5"/>
  <c r="L59" i="2"/>
  <c r="L24" i="2"/>
  <c r="J75" i="8"/>
  <c r="S94" i="5"/>
  <c r="AF98" i="4"/>
  <c r="W98" i="4" s="1"/>
  <c r="Q24" i="3"/>
  <c r="G60" i="2"/>
  <c r="P16" i="3"/>
  <c r="Q25" i="3"/>
  <c r="G25" i="3"/>
  <c r="R16" i="3"/>
  <c r="L35" i="2"/>
  <c r="L31" i="2"/>
  <c r="L43" i="2" s="1"/>
  <c r="V33" i="2"/>
  <c r="M118" i="4"/>
  <c r="M120" i="4" s="1"/>
  <c r="N48" i="4"/>
  <c r="S23" i="184"/>
  <c r="L82" i="10"/>
  <c r="G58" i="4"/>
  <c r="P58" i="4"/>
  <c r="F56" i="4"/>
  <c r="L45" i="5"/>
  <c r="Q62" i="181" s="1"/>
  <c r="K7" i="5"/>
  <c r="L43" i="5"/>
  <c r="K41" i="7"/>
  <c r="Q41" i="7"/>
  <c r="K67" i="4"/>
  <c r="K67" i="2"/>
  <c r="K103" i="1"/>
  <c r="J103" i="1" s="1"/>
  <c r="G15" i="183"/>
  <c r="G17" i="183" s="1"/>
  <c r="K95" i="7"/>
  <c r="H74" i="9"/>
  <c r="AA72" i="8"/>
  <c r="R72" i="8" s="1"/>
  <c r="H79" i="9"/>
  <c r="AA76" i="8" s="1"/>
  <c r="R76" i="8" s="1"/>
  <c r="H89" i="5"/>
  <c r="G75" i="9"/>
  <c r="AB19" i="184"/>
  <c r="W89" i="5"/>
  <c r="D19" i="184"/>
  <c r="D20" i="184" s="1"/>
  <c r="W81" i="5"/>
  <c r="I75" i="9"/>
  <c r="Q62" i="6"/>
  <c r="Y67" i="4"/>
  <c r="I82" i="10"/>
  <c r="AK18" i="184"/>
  <c r="AK20" i="184" s="1"/>
  <c r="AK31" i="184" s="1"/>
  <c r="AE34" i="8"/>
  <c r="V34" i="8" s="1"/>
  <c r="AA43" i="5"/>
  <c r="AA45" i="5" s="1"/>
  <c r="K37" i="9"/>
  <c r="F82" i="10"/>
  <c r="N34" i="10"/>
  <c r="W87" i="6"/>
  <c r="AH18" i="184"/>
  <c r="AH20" i="184" s="1"/>
  <c r="AH31" i="184" s="1"/>
  <c r="F76" i="10"/>
  <c r="U87" i="6"/>
  <c r="K89" i="6"/>
  <c r="I34" i="182" s="1"/>
  <c r="I35" i="182" s="1"/>
  <c r="T8" i="3"/>
  <c r="U16" i="3"/>
  <c r="F78" i="1"/>
  <c r="R76" i="1"/>
  <c r="R78" i="1" s="1"/>
  <c r="G81" i="1"/>
  <c r="L95" i="7"/>
  <c r="AF45" i="4"/>
  <c r="W45" i="4" s="1"/>
  <c r="S43" i="5"/>
  <c r="I32" i="4"/>
  <c r="G32" i="4"/>
  <c r="F89" i="6"/>
  <c r="R87" i="6"/>
  <c r="AC33" i="4"/>
  <c r="T33" i="4" s="1"/>
  <c r="I33" i="5"/>
  <c r="Q33" i="5"/>
  <c r="K33" i="5"/>
  <c r="G78" i="6"/>
  <c r="S78" i="6"/>
  <c r="I78" i="6"/>
  <c r="AC46" i="4"/>
  <c r="J94" i="5"/>
  <c r="Q44" i="5"/>
  <c r="J43" i="5"/>
  <c r="J45" i="5"/>
  <c r="O62" i="181" s="1"/>
  <c r="E18" i="184"/>
  <c r="X43" i="5"/>
  <c r="M94" i="8"/>
  <c r="M77" i="8"/>
  <c r="M83" i="8"/>
  <c r="M88" i="9" s="1"/>
  <c r="AA77" i="4"/>
  <c r="R77" i="4" s="1"/>
  <c r="N45" i="4"/>
  <c r="H21" i="2"/>
  <c r="G45" i="2"/>
  <c r="F21" i="2"/>
  <c r="Q46" i="6"/>
  <c r="Y51" i="4"/>
  <c r="E46" i="6"/>
  <c r="G120" i="1"/>
  <c r="H103" i="1"/>
  <c r="Y93" i="5"/>
  <c r="Y95" i="5" s="1"/>
  <c r="Q38" i="9"/>
  <c r="AD18" i="184"/>
  <c r="AD20" i="184" s="1"/>
  <c r="AD28" i="184" s="1"/>
  <c r="J86" i="9"/>
  <c r="E35" i="182"/>
  <c r="AC85" i="4"/>
  <c r="T85" i="4" s="1"/>
  <c r="Q80" i="5"/>
  <c r="J93" i="5"/>
  <c r="AC86" i="4"/>
  <c r="T86" i="4" s="1"/>
  <c r="Q81" i="5"/>
  <c r="O24" i="3"/>
  <c r="O60" i="2" s="1"/>
  <c r="E60" i="2"/>
  <c r="E25" i="3"/>
  <c r="O25" i="3"/>
  <c r="I95" i="7"/>
  <c r="E15" i="183"/>
  <c r="E17" i="183" s="1"/>
  <c r="K81" i="5"/>
  <c r="G71" i="8"/>
  <c r="N71" i="8"/>
  <c r="H75" i="8"/>
  <c r="W76" i="1"/>
  <c r="W78" i="1" s="1"/>
  <c r="L81" i="1"/>
  <c r="S45" i="5"/>
  <c r="M84" i="4"/>
  <c r="L87" i="1"/>
  <c r="L120" i="1" s="1"/>
  <c r="C25" i="195" s="1"/>
  <c r="W51" i="4"/>
  <c r="L64" i="2"/>
  <c r="M97" i="4"/>
  <c r="N51" i="4"/>
  <c r="AC77" i="4"/>
  <c r="T77" i="4" s="1"/>
  <c r="E62" i="6"/>
  <c r="J87" i="6"/>
  <c r="J74" i="10"/>
  <c r="AA46" i="6"/>
  <c r="AC37" i="8"/>
  <c r="T37" i="8" s="1"/>
  <c r="F58" i="177"/>
  <c r="G289" i="177"/>
  <c r="P63" i="5"/>
  <c r="G63" i="5"/>
  <c r="I63" i="5"/>
  <c r="AA67" i="4"/>
  <c r="R67" i="4" s="1"/>
  <c r="AC56" i="4"/>
  <c r="T56" i="4" s="1"/>
  <c r="S51" i="6"/>
  <c r="G51" i="6"/>
  <c r="H46" i="6"/>
  <c r="I46" i="6" s="1"/>
  <c r="E67" i="2"/>
  <c r="E103" i="1"/>
  <c r="F103" i="1" s="1"/>
  <c r="P67" i="4"/>
  <c r="K74" i="10" l="1"/>
  <c r="K82" i="10" s="1"/>
  <c r="J82" i="10"/>
  <c r="B53" i="195"/>
  <c r="B55" i="195" s="1"/>
  <c r="B36" i="195"/>
  <c r="C32" i="195"/>
  <c r="B40" i="195" s="1"/>
  <c r="I25" i="184"/>
  <c r="U53" i="182"/>
  <c r="AE75" i="8"/>
  <c r="B20" i="184"/>
  <c r="B28" i="184" s="1"/>
  <c r="B37" i="184" s="1"/>
  <c r="U55" i="182"/>
  <c r="D53" i="182"/>
  <c r="T53" i="182" s="1"/>
  <c r="C46" i="182"/>
  <c r="C27" i="184"/>
  <c r="L60" i="181"/>
  <c r="CV59" i="181"/>
  <c r="CV60" i="181" s="1"/>
  <c r="D43" i="6"/>
  <c r="D41" i="6"/>
  <c r="Q32" i="6"/>
  <c r="E32" i="6"/>
  <c r="F81" i="5"/>
  <c r="F80" i="5"/>
  <c r="Y91" i="4"/>
  <c r="P91" i="4" s="1"/>
  <c r="O89" i="5"/>
  <c r="AE85" i="4"/>
  <c r="R80" i="5"/>
  <c r="L93" i="5"/>
  <c r="AE97" i="4" s="1"/>
  <c r="O53" i="182"/>
  <c r="W40" i="182"/>
  <c r="B53" i="182"/>
  <c r="R53" i="182" s="1"/>
  <c r="R46" i="182"/>
  <c r="K77" i="2"/>
  <c r="T21" i="2"/>
  <c r="V58" i="4"/>
  <c r="K58" i="4"/>
  <c r="L56" i="4"/>
  <c r="E35" i="2"/>
  <c r="E31" i="2"/>
  <c r="E43" i="2" s="1"/>
  <c r="H23" i="184"/>
  <c r="P55" i="182"/>
  <c r="X55" i="182" s="1"/>
  <c r="L118" i="4"/>
  <c r="L120" i="4" s="1"/>
  <c r="K48" i="4"/>
  <c r="U33" i="2"/>
  <c r="K80" i="2"/>
  <c r="K85" i="4"/>
  <c r="T76" i="1"/>
  <c r="T78" i="1" s="1"/>
  <c r="I81" i="1"/>
  <c r="H81" i="1" s="1"/>
  <c r="AE86" i="4"/>
  <c r="R81" i="5"/>
  <c r="P33" i="5"/>
  <c r="G33" i="5"/>
  <c r="AA33" i="4"/>
  <c r="R33" i="4" s="1"/>
  <c r="H45" i="5"/>
  <c r="M62" i="181" s="1"/>
  <c r="H43" i="5"/>
  <c r="I43" i="5" s="1"/>
  <c r="J13" i="2"/>
  <c r="K29" i="2"/>
  <c r="K23" i="2"/>
  <c r="K7" i="184"/>
  <c r="K20" i="184" s="1"/>
  <c r="K31" i="184" s="1"/>
  <c r="X43" i="6"/>
  <c r="K80" i="5"/>
  <c r="O45" i="5"/>
  <c r="E78" i="6"/>
  <c r="G94" i="5"/>
  <c r="Z98" i="4" s="1"/>
  <c r="P94" i="5"/>
  <c r="AA98" i="4"/>
  <c r="P105" i="4"/>
  <c r="D87" i="6"/>
  <c r="D89" i="6" s="1"/>
  <c r="V35" i="2"/>
  <c r="DA28" i="181"/>
  <c r="DA57" i="181" s="1"/>
  <c r="Q57" i="181"/>
  <c r="DA59" i="181" s="1"/>
  <c r="Y71" i="8"/>
  <c r="P71" i="8" s="1"/>
  <c r="U80" i="5"/>
  <c r="F78" i="9"/>
  <c r="R38" i="9"/>
  <c r="AA93" i="5"/>
  <c r="AA95" i="5" s="1"/>
  <c r="AF18" i="184"/>
  <c r="AF20" i="184" s="1"/>
  <c r="AF28" i="184" s="1"/>
  <c r="K42" i="8"/>
  <c r="L37" i="8"/>
  <c r="V42" i="8"/>
  <c r="J54" i="1"/>
  <c r="V13" i="1"/>
  <c r="K78" i="1"/>
  <c r="K78" i="9"/>
  <c r="K86" i="9" s="1"/>
  <c r="O43" i="5"/>
  <c r="O29" i="2"/>
  <c r="O31" i="2" s="1"/>
  <c r="O35" i="2" s="1"/>
  <c r="AA23" i="2"/>
  <c r="CM38" i="182"/>
  <c r="C23" i="184"/>
  <c r="K55" i="182"/>
  <c r="S55" i="182" s="1"/>
  <c r="H22" i="184"/>
  <c r="R45" i="5"/>
  <c r="R43" i="5"/>
  <c r="AE45" i="4"/>
  <c r="V45" i="4" s="1"/>
  <c r="T87" i="6"/>
  <c r="AF85" i="4"/>
  <c r="W85" i="4" s="1"/>
  <c r="V85" i="4"/>
  <c r="M93" i="5"/>
  <c r="S80" i="5"/>
  <c r="L86" i="2"/>
  <c r="V86" i="4"/>
  <c r="AF86" i="4"/>
  <c r="W86" i="4" s="1"/>
  <c r="L80" i="2"/>
  <c r="L81" i="2" s="1"/>
  <c r="V23" i="2"/>
  <c r="V59" i="2" s="1"/>
  <c r="S81" i="5"/>
  <c r="M86" i="9"/>
  <c r="M90" i="9" s="1"/>
  <c r="AF75" i="8"/>
  <c r="W75" i="8" s="1"/>
  <c r="M80" i="9"/>
  <c r="AF77" i="8" s="1"/>
  <c r="W77" i="8" s="1"/>
  <c r="AB93" i="5"/>
  <c r="AB95" i="5" s="1"/>
  <c r="S38" i="9"/>
  <c r="AA87" i="6"/>
  <c r="P34" i="10"/>
  <c r="AL18" i="184"/>
  <c r="AL20" i="184" s="1"/>
  <c r="AL31" i="184" s="1"/>
  <c r="Q45" i="5"/>
  <c r="F81" i="1"/>
  <c r="K45" i="5"/>
  <c r="P62" i="181" s="1"/>
  <c r="Q93" i="5"/>
  <c r="J95" i="5"/>
  <c r="Q43" i="5"/>
  <c r="AC45" i="4"/>
  <c r="T45" i="4" s="1"/>
  <c r="E19" i="184"/>
  <c r="E20" i="184" s="1"/>
  <c r="AC19" i="184"/>
  <c r="I77" i="8"/>
  <c r="G54" i="2"/>
  <c r="G49" i="2"/>
  <c r="C19" i="184"/>
  <c r="C20" i="184" s="1"/>
  <c r="AA19" i="184"/>
  <c r="W80" i="5"/>
  <c r="G74" i="9"/>
  <c r="AA71" i="8"/>
  <c r="R71" i="8" s="1"/>
  <c r="H78" i="9"/>
  <c r="I74" i="9"/>
  <c r="K43" i="5"/>
  <c r="F25" i="3"/>
  <c r="H25" i="3"/>
  <c r="Q60" i="2"/>
  <c r="P24" i="3"/>
  <c r="R24" i="3"/>
  <c r="J94" i="8"/>
  <c r="J77" i="8"/>
  <c r="T77" i="8" s="1"/>
  <c r="J83" i="8"/>
  <c r="L61" i="2"/>
  <c r="L73" i="2" s="1"/>
  <c r="L65" i="2"/>
  <c r="H85" i="4"/>
  <c r="G86" i="4"/>
  <c r="N86" i="4"/>
  <c r="I98" i="4"/>
  <c r="I86" i="4"/>
  <c r="E23" i="184"/>
  <c r="I87" i="1"/>
  <c r="I64" i="2"/>
  <c r="I51" i="4"/>
  <c r="J84" i="4"/>
  <c r="J97" i="4"/>
  <c r="F23" i="2"/>
  <c r="Q29" i="2"/>
  <c r="Q31" i="2" s="1"/>
  <c r="Q35" i="2" s="1"/>
  <c r="H23" i="2"/>
  <c r="G292" i="177"/>
  <c r="F289" i="177"/>
  <c r="M289" i="177"/>
  <c r="AC75" i="8"/>
  <c r="T75" i="8" s="1"/>
  <c r="N98" i="4"/>
  <c r="R98" i="4"/>
  <c r="S13" i="2"/>
  <c r="R10" i="2"/>
  <c r="J89" i="6"/>
  <c r="P43" i="6"/>
  <c r="K95" i="6"/>
  <c r="Z43" i="5"/>
  <c r="G56" i="4"/>
  <c r="O10" i="2"/>
  <c r="P56" i="4"/>
  <c r="F51" i="4"/>
  <c r="S46" i="6"/>
  <c r="H87" i="6"/>
  <c r="I87" i="6" s="1"/>
  <c r="G46" i="6"/>
  <c r="AC51" i="4"/>
  <c r="T51" i="4" s="1"/>
  <c r="W121" i="1"/>
  <c r="L141" i="1"/>
  <c r="L148" i="1"/>
  <c r="E68" i="2"/>
  <c r="F95" i="6"/>
  <c r="M43" i="6"/>
  <c r="U24" i="3"/>
  <c r="K25" i="3"/>
  <c r="J25" i="3" s="1"/>
  <c r="T16" i="3"/>
  <c r="K60" i="2"/>
  <c r="K68" i="2" s="1"/>
  <c r="U25" i="3"/>
  <c r="D22" i="184"/>
  <c r="D25" i="184" s="1"/>
  <c r="D28" i="184"/>
  <c r="H81" i="5"/>
  <c r="G89" i="5"/>
  <c r="H80" i="5"/>
  <c r="P89" i="5"/>
  <c r="AA91" i="4"/>
  <c r="R91" i="4" s="1"/>
  <c r="I89" i="5"/>
  <c r="P37" i="8"/>
  <c r="F75" i="8"/>
  <c r="G37" i="8"/>
  <c r="V60" i="2"/>
  <c r="X24" i="3"/>
  <c r="M113" i="4"/>
  <c r="M100" i="4"/>
  <c r="Q39" i="182" s="1"/>
  <c r="Y39" i="182" s="1"/>
  <c r="G141" i="1"/>
  <c r="R121" i="1"/>
  <c r="G148" i="1"/>
  <c r="Q94" i="5"/>
  <c r="AC98" i="4"/>
  <c r="T98" i="4" s="1"/>
  <c r="H94" i="8"/>
  <c r="H77" i="8"/>
  <c r="H83" i="8"/>
  <c r="G68" i="2"/>
  <c r="G61" i="2"/>
  <c r="G73" i="2" s="1"/>
  <c r="Q22" i="2"/>
  <c r="P22" i="2" s="1"/>
  <c r="P14" i="2"/>
  <c r="Q21" i="2"/>
  <c r="R14" i="2"/>
  <c r="R22" i="2" s="1"/>
  <c r="F22" i="184"/>
  <c r="F25" i="184" s="1"/>
  <c r="F28" i="184"/>
  <c r="G35" i="2"/>
  <c r="G31" i="2"/>
  <c r="G43" i="2" s="1"/>
  <c r="I45" i="5" l="1"/>
  <c r="N62" i="181" s="1"/>
  <c r="H25" i="184"/>
  <c r="B22" i="184"/>
  <c r="B25" i="184" s="1"/>
  <c r="K93" i="5"/>
  <c r="AE95" i="4"/>
  <c r="V95" i="4" s="1"/>
  <c r="E87" i="6"/>
  <c r="M87" i="6"/>
  <c r="Q87" i="6"/>
  <c r="S46" i="182"/>
  <c r="C53" i="182"/>
  <c r="S53" i="182" s="1"/>
  <c r="L41" i="6"/>
  <c r="V61" i="2"/>
  <c r="DA60" i="181"/>
  <c r="H27" i="184"/>
  <c r="H28" i="184" s="1"/>
  <c r="L26" i="2"/>
  <c r="J23" i="2"/>
  <c r="U29" i="2"/>
  <c r="U31" i="2" s="1"/>
  <c r="U35" i="2" s="1"/>
  <c r="P45" i="5"/>
  <c r="G45" i="5"/>
  <c r="L62" i="181" s="1"/>
  <c r="G23" i="184"/>
  <c r="G25" i="184" s="1"/>
  <c r="O55" i="182"/>
  <c r="W55" i="182" s="1"/>
  <c r="L51" i="4"/>
  <c r="V56" i="4"/>
  <c r="K56" i="4"/>
  <c r="U10" i="2"/>
  <c r="L95" i="5"/>
  <c r="AE100" i="4" s="1"/>
  <c r="R93" i="5"/>
  <c r="O38" i="9"/>
  <c r="Z18" i="184"/>
  <c r="Z20" i="184" s="1"/>
  <c r="Z28" i="184" s="1"/>
  <c r="F80" i="9"/>
  <c r="Y77" i="8" s="1"/>
  <c r="U93" i="5"/>
  <c r="U95" i="5" s="1"/>
  <c r="F86" i="9"/>
  <c r="Y75" i="8"/>
  <c r="P75" i="8" s="1"/>
  <c r="H46" i="182"/>
  <c r="Q58" i="181"/>
  <c r="Q60" i="181" s="1"/>
  <c r="CR38" i="182"/>
  <c r="K35" i="2"/>
  <c r="K31" i="2"/>
  <c r="K43" i="2" s="1"/>
  <c r="J78" i="1"/>
  <c r="K81" i="1"/>
  <c r="J81" i="1" s="1"/>
  <c r="V76" i="1"/>
  <c r="V78" i="1" s="1"/>
  <c r="K86" i="2"/>
  <c r="K81" i="2"/>
  <c r="W53" i="182"/>
  <c r="O80" i="5"/>
  <c r="Y85" i="4"/>
  <c r="P85" i="4" s="1"/>
  <c r="F93" i="5"/>
  <c r="Y45" i="4"/>
  <c r="P45" i="4" s="1"/>
  <c r="Q41" i="6"/>
  <c r="E41" i="6"/>
  <c r="K37" i="8"/>
  <c r="L75" i="8"/>
  <c r="V37" i="8"/>
  <c r="G43" i="5"/>
  <c r="P43" i="5"/>
  <c r="AA45" i="4"/>
  <c r="R45" i="4" s="1"/>
  <c r="Y86" i="4"/>
  <c r="P86" i="4" s="1"/>
  <c r="O81" i="5"/>
  <c r="B34" i="182"/>
  <c r="B35" i="182" s="1"/>
  <c r="Q43" i="6"/>
  <c r="E43" i="6"/>
  <c r="G62" i="181"/>
  <c r="G63" i="181" s="1"/>
  <c r="O63" i="181"/>
  <c r="S93" i="5"/>
  <c r="AF95" i="4"/>
  <c r="W95" i="4" s="1"/>
  <c r="M95" i="5"/>
  <c r="AF97" i="4"/>
  <c r="W97" i="4" s="1"/>
  <c r="R141" i="1"/>
  <c r="R143" i="1" s="1"/>
  <c r="G144" i="1"/>
  <c r="G51" i="4"/>
  <c r="E87" i="1"/>
  <c r="F97" i="4"/>
  <c r="P51" i="4"/>
  <c r="F84" i="4"/>
  <c r="G84" i="4" s="1"/>
  <c r="E64" i="2"/>
  <c r="H87" i="1"/>
  <c r="I120" i="1"/>
  <c r="V63" i="2"/>
  <c r="M104" i="4"/>
  <c r="U60" i="2"/>
  <c r="T24" i="3"/>
  <c r="I84" i="4"/>
  <c r="AC97" i="4"/>
  <c r="T97" i="4" s="1"/>
  <c r="P81" i="5"/>
  <c r="G81" i="5"/>
  <c r="AA86" i="4"/>
  <c r="R86" i="4" s="1"/>
  <c r="I81" i="5"/>
  <c r="O13" i="2"/>
  <c r="P10" i="2"/>
  <c r="J95" i="6"/>
  <c r="W93" i="5"/>
  <c r="W95" i="5" s="1"/>
  <c r="AB18" i="184"/>
  <c r="AB20" i="184" s="1"/>
  <c r="AB28" i="184" s="1"/>
  <c r="G78" i="9"/>
  <c r="AA18" i="184" s="1"/>
  <c r="AA20" i="184" s="1"/>
  <c r="AA28" i="184" s="1"/>
  <c r="H80" i="9"/>
  <c r="AA77" i="8" s="1"/>
  <c r="R77" i="8" s="1"/>
  <c r="AA75" i="8"/>
  <c r="R75" i="8" s="1"/>
  <c r="P38" i="9"/>
  <c r="H86" i="9"/>
  <c r="I78" i="9"/>
  <c r="AC18" i="184" s="1"/>
  <c r="AC20" i="184" s="1"/>
  <c r="AC28" i="184" s="1"/>
  <c r="Q95" i="5"/>
  <c r="P80" i="5"/>
  <c r="G80" i="5"/>
  <c r="AA85" i="4"/>
  <c r="R85" i="4" s="1"/>
  <c r="H93" i="5"/>
  <c r="I80" i="5"/>
  <c r="E28" i="184"/>
  <c r="E22" i="184"/>
  <c r="E25" i="184" s="1"/>
  <c r="D95" i="6"/>
  <c r="L43" i="6"/>
  <c r="F94" i="8"/>
  <c r="F77" i="8"/>
  <c r="F83" i="8"/>
  <c r="I24" i="2"/>
  <c r="R13" i="2"/>
  <c r="S24" i="2"/>
  <c r="I59" i="2"/>
  <c r="S23" i="2"/>
  <c r="G85" i="4"/>
  <c r="F80" i="2" s="1"/>
  <c r="N85" i="4"/>
  <c r="G80" i="2"/>
  <c r="I85" i="4"/>
  <c r="H80" i="2" s="1"/>
  <c r="H97" i="4"/>
  <c r="G77" i="2"/>
  <c r="P21" i="2"/>
  <c r="Q23" i="2"/>
  <c r="R21" i="2"/>
  <c r="G75" i="8"/>
  <c r="G83" i="8" s="1"/>
  <c r="E89" i="6"/>
  <c r="L144" i="1"/>
  <c r="W141" i="1"/>
  <c r="W143" i="1" s="1"/>
  <c r="J113" i="4"/>
  <c r="J100" i="4"/>
  <c r="N39" i="182" s="1"/>
  <c r="V39" i="182" s="1"/>
  <c r="C22" i="184"/>
  <c r="C25" i="184" s="1"/>
  <c r="C28" i="184"/>
  <c r="J101" i="5"/>
  <c r="AC102" i="4" s="1"/>
  <c r="S87" i="6"/>
  <c r="H89" i="6"/>
  <c r="AC100" i="4" s="1"/>
  <c r="G87" i="6"/>
  <c r="AC95" i="4"/>
  <c r="T95" i="4" s="1"/>
  <c r="K95" i="5" l="1"/>
  <c r="P63" i="181" s="1"/>
  <c r="J62" i="181"/>
  <c r="J63" i="181" s="1"/>
  <c r="R63" i="181"/>
  <c r="P77" i="8"/>
  <c r="V65" i="2"/>
  <c r="R95" i="5"/>
  <c r="L101" i="5"/>
  <c r="Q63" i="181"/>
  <c r="I62" i="181"/>
  <c r="I63" i="181" s="1"/>
  <c r="V51" i="4"/>
  <c r="K64" i="2"/>
  <c r="L84" i="4"/>
  <c r="K84" i="4" s="1"/>
  <c r="K87" i="1"/>
  <c r="K51" i="4"/>
  <c r="L97" i="4"/>
  <c r="C34" i="182"/>
  <c r="C35" i="182" s="1"/>
  <c r="F95" i="5"/>
  <c r="O95" i="5" s="1"/>
  <c r="O93" i="5"/>
  <c r="Y95" i="4"/>
  <c r="P95" i="4" s="1"/>
  <c r="Y97" i="4"/>
  <c r="P97" i="4" s="1"/>
  <c r="T43" i="5"/>
  <c r="U13" i="2"/>
  <c r="T10" i="2"/>
  <c r="K75" i="8"/>
  <c r="L83" i="8"/>
  <c r="L94" i="8"/>
  <c r="L77" i="8"/>
  <c r="V75" i="8"/>
  <c r="H53" i="182"/>
  <c r="X53" i="182" s="1"/>
  <c r="X46" i="182"/>
  <c r="I89" i="6"/>
  <c r="M101" i="5"/>
  <c r="S95" i="5"/>
  <c r="AF100" i="4"/>
  <c r="W100" i="4" s="1"/>
  <c r="S22" i="184"/>
  <c r="T100" i="4"/>
  <c r="S63" i="2"/>
  <c r="J104" i="4"/>
  <c r="S59" i="2"/>
  <c r="S61" i="2" s="1"/>
  <c r="R23" i="2"/>
  <c r="F113" i="4"/>
  <c r="F100" i="4"/>
  <c r="G86" i="2"/>
  <c r="G81" i="2"/>
  <c r="I65" i="2"/>
  <c r="I61" i="2"/>
  <c r="I73" i="2" s="1"/>
  <c r="I141" i="1"/>
  <c r="H120" i="1"/>
  <c r="I148" i="1"/>
  <c r="E120" i="1"/>
  <c r="F87" i="1"/>
  <c r="H113" i="4"/>
  <c r="H100" i="4"/>
  <c r="L39" i="182" s="1"/>
  <c r="T39" i="182" s="1"/>
  <c r="G97" i="4"/>
  <c r="N97" i="4"/>
  <c r="O23" i="2"/>
  <c r="O59" i="2" s="1"/>
  <c r="O61" i="2" s="1"/>
  <c r="E24" i="2"/>
  <c r="E59" i="2"/>
  <c r="P13" i="2"/>
  <c r="O24" i="2"/>
  <c r="Q59" i="2"/>
  <c r="Q61" i="2" s="1"/>
  <c r="X23" i="2"/>
  <c r="I97" i="4"/>
  <c r="I100" i="4" s="1"/>
  <c r="M39" i="182" s="1"/>
  <c r="U39" i="182" s="1"/>
  <c r="G93" i="5"/>
  <c r="AA97" i="4"/>
  <c r="R97" i="4" s="1"/>
  <c r="P93" i="5"/>
  <c r="H95" i="5"/>
  <c r="AA95" i="4"/>
  <c r="R95" i="4" s="1"/>
  <c r="I93" i="5"/>
  <c r="G89" i="6"/>
  <c r="N43" i="6" s="1"/>
  <c r="H95" i="6"/>
  <c r="O43" i="6"/>
  <c r="Y13" i="2" l="1"/>
  <c r="Y14" i="2"/>
  <c r="H62" i="181"/>
  <c r="H63" i="181" s="1"/>
  <c r="K101" i="5"/>
  <c r="V77" i="8"/>
  <c r="K77" i="8"/>
  <c r="K120" i="1"/>
  <c r="J87" i="1"/>
  <c r="K59" i="2"/>
  <c r="K24" i="2"/>
  <c r="U24" i="2"/>
  <c r="U23" i="2"/>
  <c r="T13" i="2"/>
  <c r="K97" i="4"/>
  <c r="V97" i="4"/>
  <c r="L100" i="4"/>
  <c r="L113" i="4"/>
  <c r="C62" i="181"/>
  <c r="C63" i="181" s="1"/>
  <c r="K63" i="181"/>
  <c r="T45" i="5"/>
  <c r="F101" i="5"/>
  <c r="Y100" i="4"/>
  <c r="P100" i="4" s="1"/>
  <c r="E62" i="181"/>
  <c r="E63" i="181" s="1"/>
  <c r="M63" i="181"/>
  <c r="G100" i="4"/>
  <c r="K39" i="182" s="1"/>
  <c r="S39" i="182" s="1"/>
  <c r="Q63" i="2"/>
  <c r="Q65" i="2" s="1"/>
  <c r="H104" i="4"/>
  <c r="N100" i="4"/>
  <c r="P95" i="5"/>
  <c r="G95" i="5"/>
  <c r="AA100" i="4"/>
  <c r="R100" i="4" s="1"/>
  <c r="H101" i="5"/>
  <c r="I95" i="5"/>
  <c r="P23" i="2"/>
  <c r="P121" i="1"/>
  <c r="E141" i="1"/>
  <c r="E148" i="1"/>
  <c r="F120" i="1"/>
  <c r="O63" i="2"/>
  <c r="O65" i="2" s="1"/>
  <c r="J39" i="182"/>
  <c r="R39" i="182" s="1"/>
  <c r="C104" i="4"/>
  <c r="E61" i="2"/>
  <c r="E73" i="2" s="1"/>
  <c r="E65" i="2"/>
  <c r="T141" i="1"/>
  <c r="T143" i="1" s="1"/>
  <c r="I144" i="1"/>
  <c r="H144" i="1" s="1"/>
  <c r="H141" i="1"/>
  <c r="S65" i="2"/>
  <c r="U59" i="2" l="1"/>
  <c r="U61" i="2" s="1"/>
  <c r="T23" i="2"/>
  <c r="K61" i="2"/>
  <c r="K73" i="2" s="1"/>
  <c r="K65" i="2"/>
  <c r="K141" i="1"/>
  <c r="K148" i="1"/>
  <c r="J148" i="1" s="1"/>
  <c r="J120" i="1"/>
  <c r="P39" i="182"/>
  <c r="X39" i="182" s="1"/>
  <c r="V100" i="4"/>
  <c r="U63" i="2"/>
  <c r="L104" i="4"/>
  <c r="K100" i="4"/>
  <c r="O39" i="182" s="1"/>
  <c r="W39" i="182" s="1"/>
  <c r="D62" i="181"/>
  <c r="D63" i="181" s="1"/>
  <c r="L63" i="181"/>
  <c r="F62" i="181"/>
  <c r="F63" i="181" s="1"/>
  <c r="N63" i="181"/>
  <c r="I101" i="5"/>
  <c r="P141" i="1"/>
  <c r="P143" i="1" s="1"/>
  <c r="E144" i="1"/>
  <c r="F144" i="1" s="1"/>
  <c r="F141" i="1"/>
  <c r="F7" i="194"/>
  <c r="E14" i="194"/>
  <c r="E15" i="194" s="1"/>
  <c r="U65" i="2" l="1"/>
  <c r="F14" i="194"/>
  <c r="J141" i="1"/>
  <c r="V141" i="1"/>
  <c r="V143" i="1" s="1"/>
  <c r="K144" i="1"/>
  <c r="J144" i="1" s="1"/>
  <c r="E33" i="194"/>
  <c r="F33" i="194" s="1"/>
  <c r="F15" i="194"/>
</calcChain>
</file>

<file path=xl/sharedStrings.xml><?xml version="1.0" encoding="utf-8"?>
<sst xmlns="http://schemas.openxmlformats.org/spreadsheetml/2006/main" count="13110" uniqueCount="2639">
  <si>
    <t>B E V É T E L E K</t>
  </si>
  <si>
    <t>Sor-
szám</t>
  </si>
  <si>
    <t>Bevételi jogcím</t>
  </si>
  <si>
    <t>1.</t>
  </si>
  <si>
    <t>Működési célú támogatások államháztartáson belülről</t>
  </si>
  <si>
    <t>2.1.</t>
  </si>
  <si>
    <t>Elvonások és befizetések bevételei</t>
  </si>
  <si>
    <t>2.2.</t>
  </si>
  <si>
    <t>Működési célú garancia- és kezességvállalásból megtérülések</t>
  </si>
  <si>
    <t>2.3.</t>
  </si>
  <si>
    <t>Működési célú visszatérítendő támogatások, kölcsönök visszatérülése</t>
  </si>
  <si>
    <t>2.4.</t>
  </si>
  <si>
    <t>Működési célú visszatérítendő támogatások, kölcsönök igénybevétele</t>
  </si>
  <si>
    <t>2.5.</t>
  </si>
  <si>
    <t>Egyéb működési célú támogatások bevételei</t>
  </si>
  <si>
    <t>2.6.</t>
  </si>
  <si>
    <t>2.5.-ből EU-s támogatás</t>
  </si>
  <si>
    <t>2.</t>
  </si>
  <si>
    <t>Felhalmozási célú támogatások államháztartáson belülről</t>
  </si>
  <si>
    <t>3.1.</t>
  </si>
  <si>
    <t>Felhalmozási célú önkormányzati támogatások</t>
  </si>
  <si>
    <t>3.2.</t>
  </si>
  <si>
    <t>Felhalmozási célú garancia- és kezességvállalásból megtérülések</t>
  </si>
  <si>
    <t>3.3.</t>
  </si>
  <si>
    <t>Felhalmozási célú visszatérítendő támogatások, kölcsönök visszatérülése</t>
  </si>
  <si>
    <t>3.4.</t>
  </si>
  <si>
    <t>Felhalmozási célú visszatérítendő támogatások, kölcsönök igénybevétele</t>
  </si>
  <si>
    <t>3.5.</t>
  </si>
  <si>
    <t>Egyéb felhalmozási célú támogatások bevételei</t>
  </si>
  <si>
    <t>3.6.</t>
  </si>
  <si>
    <t>3.5.-ből EU-s támogatás</t>
  </si>
  <si>
    <t>3.</t>
  </si>
  <si>
    <t>Közhatalmi bevételek</t>
  </si>
  <si>
    <t>4.1.</t>
  </si>
  <si>
    <t>Helyi adók  (4.1.1.+4.1.2.)</t>
  </si>
  <si>
    <t>4.1.1.</t>
  </si>
  <si>
    <t>- Vagyoni típusú adók</t>
  </si>
  <si>
    <t>4.1.2.</t>
  </si>
  <si>
    <t>- Termékek és szolgáltatások adói</t>
  </si>
  <si>
    <t>4.2.</t>
  </si>
  <si>
    <t>Gépjárműadó</t>
  </si>
  <si>
    <t>4.3.</t>
  </si>
  <si>
    <t>Egyéb áruhasználati és szolgáltatási adók</t>
  </si>
  <si>
    <t>4.4.</t>
  </si>
  <si>
    <t>Egyéb közhatalmi bevételek</t>
  </si>
  <si>
    <t>4.</t>
  </si>
  <si>
    <t>Működési bevételek</t>
  </si>
  <si>
    <t>5.1.</t>
  </si>
  <si>
    <t>Készletértékesítés ellenértéke</t>
  </si>
  <si>
    <t>5.2.</t>
  </si>
  <si>
    <t>Szolgáltatások ellenértéke</t>
  </si>
  <si>
    <t>5.3.</t>
  </si>
  <si>
    <t>Közvetített szolgáltatások értéke</t>
  </si>
  <si>
    <t>5.4.</t>
  </si>
  <si>
    <t>Tulajdonosi bevételek</t>
  </si>
  <si>
    <t>5.5.</t>
  </si>
  <si>
    <t>Ellátási díjak</t>
  </si>
  <si>
    <t>5.6.</t>
  </si>
  <si>
    <t>Kiszámlázott általános forgalmi adó</t>
  </si>
  <si>
    <t>5.7.</t>
  </si>
  <si>
    <t>Általános forgalmi adó visszatérítése</t>
  </si>
  <si>
    <t>5.8.</t>
  </si>
  <si>
    <t>Kamatbevételek</t>
  </si>
  <si>
    <t>5.9.</t>
  </si>
  <si>
    <t>Egyéb pénzügyi műveletek bevételei</t>
  </si>
  <si>
    <t>5.10.</t>
  </si>
  <si>
    <t>Egyéb működési bevételek</t>
  </si>
  <si>
    <t>5.</t>
  </si>
  <si>
    <t>Felhalmozási bevételek</t>
  </si>
  <si>
    <t>6.1.</t>
  </si>
  <si>
    <t>Immateriális javak értékesítése</t>
  </si>
  <si>
    <t>6.2.</t>
  </si>
  <si>
    <t>Ingatlanok értékesítése</t>
  </si>
  <si>
    <t>6.3.</t>
  </si>
  <si>
    <t>Egyéb tárgyi eszközök értékesítése</t>
  </si>
  <si>
    <t>6.4.</t>
  </si>
  <si>
    <t>Részesedések értékesítése</t>
  </si>
  <si>
    <t>6.5.</t>
  </si>
  <si>
    <t>Részesedések megszűnéséhez kapcsolódó bevételek</t>
  </si>
  <si>
    <t>6.</t>
  </si>
  <si>
    <t>Működési célú átvett pénzeszközök</t>
  </si>
  <si>
    <t>7.1.</t>
  </si>
  <si>
    <t>Működési célú garancia- és kezességvállalásból megtérülések ÁH-n kívülről</t>
  </si>
  <si>
    <t>7.2.</t>
  </si>
  <si>
    <t>Működési célú visszatérítendő támogatások, kölcsönök visszatér. ÁH-n kívülről</t>
  </si>
  <si>
    <t>7.3.</t>
  </si>
  <si>
    <t>Egyéb működési célú átvett pénzeszköz</t>
  </si>
  <si>
    <t>7.4.</t>
  </si>
  <si>
    <t>7.3.-ból EU-s támogatás (közvetlen)</t>
  </si>
  <si>
    <t>7.</t>
  </si>
  <si>
    <t>Felhalmozási célú átvett pénzeszközök</t>
  </si>
  <si>
    <t>8.1.</t>
  </si>
  <si>
    <t>Felhalm. célú garancia- és kezességvállalásból megtérülések ÁH-n kívülről</t>
  </si>
  <si>
    <t>8.2.</t>
  </si>
  <si>
    <t>Felhalm. célú visszatérítendő támogatások, kölcsönök visszatér. ÁH-n kívülről</t>
  </si>
  <si>
    <t>8.3.</t>
  </si>
  <si>
    <t>Egyéb felhalmozási célú átvett pénzeszköz</t>
  </si>
  <si>
    <t>8.4.</t>
  </si>
  <si>
    <t>8.3.-ból EU-s támogatás (közvetlen)</t>
  </si>
  <si>
    <t>8.</t>
  </si>
  <si>
    <t>KÖLTSÉGVETÉSI BEVÉTELEK ÖSSZESEN: (1+…+7)</t>
  </si>
  <si>
    <t>9.</t>
  </si>
  <si>
    <t>Hitel-, kölcsönfelvétel államháztartáson kívülről</t>
  </si>
  <si>
    <t>10.1.</t>
  </si>
  <si>
    <t>Hosszú lejáratú  hitelek, kölcsönök felvétele</t>
  </si>
  <si>
    <t>10.2.</t>
  </si>
  <si>
    <t>Likviditási célú  hitelek, kölcsönök felvétele pénzügyi vállalkozástól</t>
  </si>
  <si>
    <t>10.3.</t>
  </si>
  <si>
    <t>Rövid lejáratú  hitelek, kölcsönök felvétele</t>
  </si>
  <si>
    <t>10.</t>
  </si>
  <si>
    <t>Belföldi értékpapírok bevételei</t>
  </si>
  <si>
    <t>11.1.</t>
  </si>
  <si>
    <t>Forgatási célú belföldi értékpapírok beváltása,  értékesítése</t>
  </si>
  <si>
    <t>11.2.</t>
  </si>
  <si>
    <t>Forgatási célú belföldi értékpapírok kibocsátása</t>
  </si>
  <si>
    <t>11.3.</t>
  </si>
  <si>
    <t>Befektetési célú belföldi értékpapírok beváltása,  értékesítése</t>
  </si>
  <si>
    <t>11.4.</t>
  </si>
  <si>
    <t>Befektetési célú belföldi értékpapírok kibocsátása</t>
  </si>
  <si>
    <t>11.</t>
  </si>
  <si>
    <t>Maradvány igénybevétele</t>
  </si>
  <si>
    <t>12.1.</t>
  </si>
  <si>
    <t>Előző év költségvetési maradványának igénybevétele</t>
  </si>
  <si>
    <t>12.2.</t>
  </si>
  <si>
    <t>Előző év vállalkozási maradványának igénybevétele</t>
  </si>
  <si>
    <t>12.</t>
  </si>
  <si>
    <t>Belföldi finanszírozás bevételei</t>
  </si>
  <si>
    <t>13.1.</t>
  </si>
  <si>
    <t>Államháztartáson belüli megelőlegezések</t>
  </si>
  <si>
    <t>13.2.</t>
  </si>
  <si>
    <t>Államháztartáson belüli megelőlegezések törlesztése</t>
  </si>
  <si>
    <t>13.3.</t>
  </si>
  <si>
    <t>Betétek megszüntetése</t>
  </si>
  <si>
    <t>13.</t>
  </si>
  <si>
    <t>Külföldi finanszírozás bevételei</t>
  </si>
  <si>
    <t>14.1.</t>
  </si>
  <si>
    <t>Forgatási célú külföldi értékpapírok beváltása,  értékesítése</t>
  </si>
  <si>
    <t>14.2.</t>
  </si>
  <si>
    <t>Befektetési célú külföldi értékpapírok beváltása,  értékesítése</t>
  </si>
  <si>
    <t>14.3.</t>
  </si>
  <si>
    <t>Külföldi értékpapírok kibocsátása</t>
  </si>
  <si>
    <t>14.4.</t>
  </si>
  <si>
    <t>Külföldi hitelek, kölcsönök felvétele</t>
  </si>
  <si>
    <t>14.</t>
  </si>
  <si>
    <t>Adóssághoz nem kapcsolódó származékos ügyletek bevételei</t>
  </si>
  <si>
    <t>15.</t>
  </si>
  <si>
    <t>FINANSZÍROZÁSI BEVÉTELEK ÖSSZESEN: (9. + … +14.)</t>
  </si>
  <si>
    <t>16.</t>
  </si>
  <si>
    <t>KÖLTSÉGVETÉSI ÉS FINANSZÍROZÁSI BEVÉTELEK ÖSSZESEN: (8+15)</t>
  </si>
  <si>
    <t>K I A D Á S O K</t>
  </si>
  <si>
    <t>Kiadási jogcímek</t>
  </si>
  <si>
    <t>Működési költségvetés kiadásai</t>
  </si>
  <si>
    <t>1.1.</t>
  </si>
  <si>
    <t>Személyi  juttatások</t>
  </si>
  <si>
    <t>1.2.</t>
  </si>
  <si>
    <t>Munkaadókat terhelő járulékok és szociális hozzájárulási adó</t>
  </si>
  <si>
    <t>1.3.</t>
  </si>
  <si>
    <t>Dologi  kiadások</t>
  </si>
  <si>
    <t>1.4.</t>
  </si>
  <si>
    <t>Ellátottak pénzbeli juttatásai</t>
  </si>
  <si>
    <t>1.5</t>
  </si>
  <si>
    <t>Egyéb működési célú kiadások</t>
  </si>
  <si>
    <t>1.6.</t>
  </si>
  <si>
    <t>- az 1.5-ből: - Elvonások és befizetések</t>
  </si>
  <si>
    <t>1.7.</t>
  </si>
  <si>
    <t>- Garancia- és kezességvállalásból kifizetés ÁH-n belülre</t>
  </si>
  <si>
    <t>1.8.</t>
  </si>
  <si>
    <t>-Visszatérítendő támogatások, kölcsönök nyújtása ÁH-n belülre</t>
  </si>
  <si>
    <t>1.9.</t>
  </si>
  <si>
    <t>- Visszatérítendő támogatások, kölcsönök törlesztése ÁH-n belülre</t>
  </si>
  <si>
    <t>1.10.</t>
  </si>
  <si>
    <t>- Egyéb működési célú támogatások ÁH-n belülre</t>
  </si>
  <si>
    <t>1.11.</t>
  </si>
  <si>
    <t>- Garancia és kezességvállalásból kifizetés ÁH-n kívülre</t>
  </si>
  <si>
    <t>1.12.</t>
  </si>
  <si>
    <t>- Visszatérítendő támogatások, kölcsönök nyújtása ÁH-n kívülre</t>
  </si>
  <si>
    <t>1.13.</t>
  </si>
  <si>
    <t>- Árkiegészítések, ártámogatások</t>
  </si>
  <si>
    <t>1.14.</t>
  </si>
  <si>
    <t>- Kamattámogatások</t>
  </si>
  <si>
    <t>1.15.</t>
  </si>
  <si>
    <t>- Egyéb működési célú támogatások államháztartáson kívülre</t>
  </si>
  <si>
    <t>Felhalmozási költségvetés kiadásai</t>
  </si>
  <si>
    <t>Beruházások</t>
  </si>
  <si>
    <t>2.1.-ből EU-s forrásból megvalósuló beruházás</t>
  </si>
  <si>
    <t>Felújítások</t>
  </si>
  <si>
    <t>2.3.-ból EU-s forrásból megvalósuló felújítás</t>
  </si>
  <si>
    <t>Egyéb felhalmozási kiadások</t>
  </si>
  <si>
    <t>2.5.-ből        - Garancia- és kezességvállalásból kifizetés ÁH-n belülre</t>
  </si>
  <si>
    <t>2.7.</t>
  </si>
  <si>
    <t>- Visszatérítendő támogatások, kölcsönök nyújtása ÁH-n belülre</t>
  </si>
  <si>
    <t>2.8.</t>
  </si>
  <si>
    <t>2.9.</t>
  </si>
  <si>
    <t>- Egyéb felhalmozási célú támogatások ÁH-n belülre</t>
  </si>
  <si>
    <t>2.10.</t>
  </si>
  <si>
    <t>- Garancia- és kezességvállalásból kifizetés ÁH-n kívülre</t>
  </si>
  <si>
    <t>2.11.</t>
  </si>
  <si>
    <t>2.12.</t>
  </si>
  <si>
    <t>- Lakástámogatás</t>
  </si>
  <si>
    <t>2.13.</t>
  </si>
  <si>
    <t>- Egyéb felhalmozási célú támogatások államháztartáson kívülre</t>
  </si>
  <si>
    <t>Tartalékok (3.1.+3.2.)</t>
  </si>
  <si>
    <t>Általános tartalék</t>
  </si>
  <si>
    <t>Céltartalék</t>
  </si>
  <si>
    <t>KÖLTSÉGVETÉSI KIADÁSOK ÖSSZESEN (1+2)</t>
  </si>
  <si>
    <t>Hitel-, kölcsöntörlesztés államháztartáson kívülre</t>
  </si>
  <si>
    <t>Hosszú lejáratú hitelek, kölcsönök törlesztése</t>
  </si>
  <si>
    <t>Likviditási célú hitelek, kölcsönök törlesztése pénzügyi vállalkozásnak</t>
  </si>
  <si>
    <t>Rövid lejáratú hitelek, kölcsönök törlesztése</t>
  </si>
  <si>
    <t>Belföldi értékpapírok kiadásai</t>
  </si>
  <si>
    <t>Forgatási célú belföldi értékpapírok vásárlása</t>
  </si>
  <si>
    <t>Forgatási célú belföldi értékpapírok beváltása</t>
  </si>
  <si>
    <t>Befektetési célú belföldi értékpapírok vásárlása</t>
  </si>
  <si>
    <t>Befektetési célú belföldi értékpapírok beváltása</t>
  </si>
  <si>
    <t>Belföldi finanszírozás kiadásai</t>
  </si>
  <si>
    <t>Államháztartáson belüli megelőlegezések folyósítása</t>
  </si>
  <si>
    <t>Államháztartáson belüli megelőlegezések visszafizetése</t>
  </si>
  <si>
    <t>Pénzeszközök betétként elhelyezése</t>
  </si>
  <si>
    <t>Pénzügyi lízing kiadásai</t>
  </si>
  <si>
    <t>Külföldi finanszírozás kiadásai</t>
  </si>
  <si>
    <t>Forgatási célú külföldi értékpapírok vásárlása</t>
  </si>
  <si>
    <t>Befektetési célú külföldi értékpapírok beváltása</t>
  </si>
  <si>
    <t>Külföldi értékpapírok beváltása</t>
  </si>
  <si>
    <t>Külföldi hitelek, kölcsönök törlesztése</t>
  </si>
  <si>
    <t>FINANSZÍROZÁSI KIADÁSOK ÖSSZESEN: (5.+…+8.)</t>
  </si>
  <si>
    <t>KIADÁSOK ÖSSZESEN: (4+9)</t>
  </si>
  <si>
    <t>KÖLTSÉGVETÉSI, FINANSZÍROZÁSI BEVÉTELEK ÉS KIADÁSOK EGYENLEGE</t>
  </si>
  <si>
    <t>Költségvetési hiány, többlet ( költségvetési bevételek 9. sor - költségvetési kiadások 4. sor) (+/-)</t>
  </si>
  <si>
    <t>Finanszírozási bevételek, kiadások egyenlege (finanszírozási bevételek 16. sor - finanszírozási kiadások 9. sor) (+/-)</t>
  </si>
  <si>
    <t>Működési bevételek és kiadások mérlege
(Önkormányzati szinten)</t>
  </si>
  <si>
    <t>Bevételek</t>
  </si>
  <si>
    <t>Kiadások</t>
  </si>
  <si>
    <t>Megnevezés</t>
  </si>
  <si>
    <t>2013. évi előirányzat</t>
  </si>
  <si>
    <t>Módosított előirányzat</t>
  </si>
  <si>
    <t>Működési bevételek</t>
  </si>
  <si>
    <t>Személyi juttatások</t>
  </si>
  <si>
    <t>Működési célú támogatások államháztartáson belülről</t>
  </si>
  <si>
    <t>Munkaadókat terhelő járulék és szociális hozz. Adó</t>
  </si>
  <si>
    <t>Közhatalmi bevételek</t>
  </si>
  <si>
    <t>Dologi kiadások</t>
  </si>
  <si>
    <t>Halmozódás kiszűrése</t>
  </si>
  <si>
    <t>Költségvetési bevételek összesen:</t>
  </si>
  <si>
    <t>Költségvetési kiadások összesen:</t>
  </si>
  <si>
    <t>Belföldi finanszírozás igénybevétele</t>
  </si>
  <si>
    <t>Irányítószervi támogatás</t>
  </si>
  <si>
    <t>17.</t>
  </si>
  <si>
    <t>18.</t>
  </si>
  <si>
    <t>19.</t>
  </si>
  <si>
    <t>22.</t>
  </si>
  <si>
    <t>24.</t>
  </si>
  <si>
    <t>Finanszírozási célú bevételek (14+…+24)</t>
  </si>
  <si>
    <t>Finanszírozási célú kiadások (14+…+24)</t>
  </si>
  <si>
    <t>25.</t>
  </si>
  <si>
    <t>BEVÉTELEK ÖSSZESEN (13-24)</t>
  </si>
  <si>
    <t>KIADÁSOK ÖSSZESEN (13+25)</t>
  </si>
  <si>
    <t>26.</t>
  </si>
  <si>
    <t>Költségvetési hiány:</t>
  </si>
  <si>
    <t>Költségvetési többlet:</t>
  </si>
  <si>
    <t>működési bevételek összesen:</t>
  </si>
  <si>
    <t>felhalmozási bevétlek összesen:</t>
  </si>
  <si>
    <t>összes bevétel:</t>
  </si>
  <si>
    <t>2. sz melléklet szerint bevétel össz.</t>
  </si>
  <si>
    <t>különbözet:</t>
  </si>
  <si>
    <t>működési kiadások összesen:</t>
  </si>
  <si>
    <t>felhalmozási kiadások összesen:</t>
  </si>
  <si>
    <t>összes kiadás:</t>
  </si>
  <si>
    <t>2. sz melléklet szerint kiadás össz.</t>
  </si>
  <si>
    <t>Felhalmozási  bevételek és kiadások mérlege
(Önkormányzati szinten)</t>
  </si>
  <si>
    <t>Felhalmozási célú támogatások államháztartáson belülről</t>
  </si>
  <si>
    <t>Beruházási kiadások</t>
  </si>
  <si>
    <t>Felhalmozási bevételek</t>
  </si>
  <si>
    <t>Felhalmozási célú átvett pénzeszközök</t>
  </si>
  <si>
    <t>Egyéb felhalmozási célú kiadások</t>
  </si>
  <si>
    <t>Felhalmozási célú pénzügyi műveletek kiadásai</t>
  </si>
  <si>
    <t>Finanszírozási célú kiad. (12+...+21)</t>
  </si>
  <si>
    <t>23.</t>
  </si>
  <si>
    <t>BEVÉTELEK ÖSSZESEN (11+22)</t>
  </si>
  <si>
    <t>KIADÁSOK ÖSSZESEN (11+22)</t>
  </si>
  <si>
    <t>Eltérés</t>
  </si>
  <si>
    <t>megnevezése</t>
  </si>
  <si>
    <t>Vecsés Város Önkormányzat és Intézményei</t>
  </si>
  <si>
    <t>2013. évi Terv</t>
  </si>
  <si>
    <t>Feladat megnevezése</t>
  </si>
  <si>
    <t>összesen</t>
  </si>
  <si>
    <t>Száma</t>
  </si>
  <si>
    <t>Előirányzat-csoport, kiemelt előirányzat megnevezése</t>
  </si>
  <si>
    <t>Előirányzat</t>
  </si>
  <si>
    <t>Módosított Előirányzat</t>
  </si>
  <si>
    <t>Teljesítés</t>
  </si>
  <si>
    <t>%</t>
  </si>
  <si>
    <t>I. Működési bevételek összesen:</t>
  </si>
  <si>
    <t>Működési bevételek</t>
  </si>
  <si>
    <t>Működési célú átvett pénzeszköz</t>
  </si>
  <si>
    <t>II. Felhalmozási  bevételek összesen:</t>
  </si>
  <si>
    <t>Felhalmozási célú támogatás Államháztartáson belülről</t>
  </si>
  <si>
    <t>Felhalmozási célú átvett pénzeszköz</t>
  </si>
  <si>
    <t>III. Finanszírozási bevételek összesen:</t>
  </si>
  <si>
    <t>Belföldi finanszírozás bevételei</t>
  </si>
  <si>
    <t>Bevételek összesen:</t>
  </si>
  <si>
    <t>Halmozódás miatti levonás</t>
  </si>
  <si>
    <t>HALMOZÓDÁS MENTES BEVÉTELEK ÖSSZESEN</t>
  </si>
  <si>
    <t>1.5.1</t>
  </si>
  <si>
    <t>Működési célú kiadás társulásnak</t>
  </si>
  <si>
    <t>1.5.2</t>
  </si>
  <si>
    <t>Egyéb működési célú támogatás államháztartáson kívülre</t>
  </si>
  <si>
    <t>1.5.3</t>
  </si>
  <si>
    <t>Tartalékok</t>
  </si>
  <si>
    <r>
      <t xml:space="preserve">II. Felhalmozási költségvetés kiadásai </t>
    </r>
    <r>
      <rPr>
        <sz val="8"/>
        <rFont val="Times New Roman CE"/>
        <family val="1"/>
        <charset val="238"/>
      </rPr>
      <t>(2.1+…+2.7)</t>
    </r>
  </si>
  <si>
    <t>2.1</t>
  </si>
  <si>
    <t>beruházási kiadások</t>
  </si>
  <si>
    <t>2.2</t>
  </si>
  <si>
    <t>2.3</t>
  </si>
  <si>
    <t>2.3.1</t>
  </si>
  <si>
    <t>Egyéb felhalmmozási célú támogatás államháztartáson kívülre</t>
  </si>
  <si>
    <t>2.3.2</t>
  </si>
  <si>
    <t>Kamatkiadások</t>
  </si>
  <si>
    <t>2.3.3</t>
  </si>
  <si>
    <t>III. Finanszírozási  kiadások</t>
  </si>
  <si>
    <t>3.1</t>
  </si>
  <si>
    <t>Irányító szervi támogatás folyósítása</t>
  </si>
  <si>
    <t>3.2</t>
  </si>
  <si>
    <t>KIADÁSOK ÖSSZESEN:</t>
  </si>
  <si>
    <t>Halmozódás mentes kiadás összesen:</t>
  </si>
  <si>
    <t>Éves engedélyezett létszám előirányzat (fő)</t>
  </si>
  <si>
    <t>Közfoglalkoztatottak létszáma (fő)</t>
  </si>
  <si>
    <t>Kötelező feladaellátás</t>
  </si>
  <si>
    <t>Önként vállalt feladatellátás</t>
  </si>
  <si>
    <t>Államigazgatási feladatellátás</t>
  </si>
  <si>
    <t>Vecsés Város Önkormányzat</t>
  </si>
  <si>
    <t>Önkormányzat működési bevételek</t>
  </si>
  <si>
    <t>BEVÉTELEK ÖSSZESEN (9+10+11)</t>
  </si>
  <si>
    <t>sorszám</t>
  </si>
  <si>
    <t>1.1.1.</t>
  </si>
  <si>
    <t>1.1.1.1.</t>
  </si>
  <si>
    <t>1.1.2.</t>
  </si>
  <si>
    <t>1.1.3.</t>
  </si>
  <si>
    <t>1.1.4.</t>
  </si>
  <si>
    <t>1.1.5.</t>
  </si>
  <si>
    <t>1.1.6.</t>
  </si>
  <si>
    <t>Kiszámlázott általános forgalmi adó</t>
  </si>
  <si>
    <t>1.1.7</t>
  </si>
  <si>
    <t>1.1.8</t>
  </si>
  <si>
    <t>Közvetített szolgáltatások ellenértéke</t>
  </si>
  <si>
    <t>Vagyoni típusú adok</t>
  </si>
  <si>
    <t>-Építményadó</t>
  </si>
  <si>
    <t>Termékek és szolgáltatások adói</t>
  </si>
  <si>
    <t>Értékesítési és forgalmi adók</t>
  </si>
  <si>
    <t>-Iparűzési adó</t>
  </si>
  <si>
    <t>Gépjárműadók</t>
  </si>
  <si>
    <t>-Gépjárműadó önkormányzatot megillető része</t>
  </si>
  <si>
    <t>-Idegenforgalmi adó tartózkodás után</t>
  </si>
  <si>
    <t>-Talajterhelési díj</t>
  </si>
  <si>
    <t>Működési célú támogatások államháztartáson belűlről</t>
  </si>
  <si>
    <t>1.3.1</t>
  </si>
  <si>
    <t>Önkormányzat működési támogatása</t>
  </si>
  <si>
    <t>1.3.2</t>
  </si>
  <si>
    <t>2.1.3.</t>
  </si>
  <si>
    <t>2.1.1</t>
  </si>
  <si>
    <t>Immateriális javak értékesítése (vagyonhasznosítás)</t>
  </si>
  <si>
    <t>2.1.2.</t>
  </si>
  <si>
    <t>2.2.1.</t>
  </si>
  <si>
    <t>2.2.2.</t>
  </si>
  <si>
    <t>3.1.1</t>
  </si>
  <si>
    <t>3.1.2</t>
  </si>
  <si>
    <t>3.1.3</t>
  </si>
  <si>
    <t>Előző évi vállalkozási maradvány igénybevétele</t>
  </si>
  <si>
    <t>3.1.3.</t>
  </si>
  <si>
    <t>3.1.4.</t>
  </si>
  <si>
    <t>2013.09.30. Módosított előirányzat</t>
  </si>
  <si>
    <t>Személyi juttatás</t>
  </si>
  <si>
    <t>Rehabilitációs hozzájárulás</t>
  </si>
  <si>
    <t>Folyószámlahitel kamatai</t>
  </si>
  <si>
    <t>Egyéb banki járulékok (tranzakciós illetékkel együtt)</t>
  </si>
  <si>
    <t>1.3.3</t>
  </si>
  <si>
    <t>1.5.</t>
  </si>
  <si>
    <t>Központi, Irányítószervi támogatás folyósítása</t>
  </si>
  <si>
    <t>Működési célú  kiadás a Vecsési Egészségügyi Szolgálatnak önkormányzati támogatás</t>
  </si>
  <si>
    <t>Működési célú  kiadás a gazdasági szervezettel nem rendelkező intézményeknek önkormányzati támogatás</t>
  </si>
  <si>
    <t>Működési célú  kiadás Polgármesteri Hivatalnak önkormányzati támogatás</t>
  </si>
  <si>
    <t>Alapítványok</t>
  </si>
  <si>
    <t>Vecsés Közrendjéért és  Közbiztonságáért Közalapítvány</t>
  </si>
  <si>
    <t>Vecsési Fúvószenekari Alapítvány</t>
  </si>
  <si>
    <t>Vecsés Egészségügyéért Közhasznú Közlapítvány</t>
  </si>
  <si>
    <t>Vecsés Sportjáért Alapítvány</t>
  </si>
  <si>
    <t>Polgárőr Egyesület</t>
  </si>
  <si>
    <t>Vecsési Tájházért Alapítvány (13/2010. (I.26.)</t>
  </si>
  <si>
    <t>Vecsés Közművelődéséért Alapítvány</t>
  </si>
  <si>
    <t>Bálint Ágnes Mesefesztivál</t>
  </si>
  <si>
    <t>Társadalmi célú szervezetek</t>
  </si>
  <si>
    <t>Sport támogatás</t>
  </si>
  <si>
    <t>- VFC támogatás</t>
  </si>
  <si>
    <t>- VSE támogatás</t>
  </si>
  <si>
    <t>WTV Kép és Hangstúdíó</t>
  </si>
  <si>
    <t>Vecsési Sportakadémia Kft.</t>
  </si>
  <si>
    <t>- ebből "Bozsik program"</t>
  </si>
  <si>
    <t>Bálint Á.Iroda.és Értékőrző Al.</t>
  </si>
  <si>
    <t>Egyéb támogatások</t>
  </si>
  <si>
    <t>Ösztöndíjak</t>
  </si>
  <si>
    <t>- Bursa ösztöndíj "A", "B"</t>
  </si>
  <si>
    <t>- Önkormányzati ösztöndíj pályázat</t>
  </si>
  <si>
    <t>Egyéb támogatás</t>
  </si>
  <si>
    <t>Kisegítő Iskola</t>
  </si>
  <si>
    <t>Ellátottak pénzbeli juttatása</t>
  </si>
  <si>
    <t>Működési céltartalék</t>
  </si>
  <si>
    <t>Egyéb felhalmozási célú támogatás államháztartáson kívülre</t>
  </si>
  <si>
    <t>Egyéb pe. Átadás DPMV Zrt.</t>
  </si>
  <si>
    <t>2.1.2</t>
  </si>
  <si>
    <t>Munkaadót terhelő járulékok</t>
  </si>
  <si>
    <t>2.1.3</t>
  </si>
  <si>
    <t>4. sz. melléklet</t>
  </si>
  <si>
    <t>Költségvetési szerv megnevezése</t>
  </si>
  <si>
    <t>Polgármesteri Hivatal</t>
  </si>
  <si>
    <t>I. Működési bevételek (1.1.+…+1.10.)</t>
  </si>
  <si>
    <t>Tulajdonosi bevételek (bérleti díj)</t>
  </si>
  <si>
    <t>Ellátási díjak ( ellátotti étkeztetés, gondozás, bölcsődei ellátás)</t>
  </si>
  <si>
    <t>Közvetített szolgáltatás ellenértéke</t>
  </si>
  <si>
    <t>Kamatbevétel</t>
  </si>
  <si>
    <t>Egyéb működési  bevétel</t>
  </si>
  <si>
    <t>II. Működési célú támogatások államháztartáson belűlről (2.1.+…+2.3.)</t>
  </si>
  <si>
    <t>Egyéb működési célú támogatások bevételei államháztartáson belűlről</t>
  </si>
  <si>
    <t>2.1.1.</t>
  </si>
  <si>
    <t>Társadalombiztosítás pénzügyi alapjából átvett pénzeszköz</t>
  </si>
  <si>
    <t>Egyéb működési célú támogatások  intézményeknél  (feladatalapú támogatások)</t>
  </si>
  <si>
    <t>EU-s forrásból származó bevételek</t>
  </si>
  <si>
    <t>Visszatérítendő támogatások, kölcsönök visszatérülése</t>
  </si>
  <si>
    <t>III. Működési célú átvett pénzeszköz (3.1.)</t>
  </si>
  <si>
    <t>Egyéb működési célú átvett pénzeszköz államháztartáson  kivülről</t>
  </si>
  <si>
    <t>IV. Felhalmozási  bevételek  (4.1+…+4.3.)</t>
  </si>
  <si>
    <t>V. Felhalmozási célú támogatások államháztartáson belűlről (5.1.)</t>
  </si>
  <si>
    <t>Egyéb felhalmozási célú támogatások bevételei államháztartáson belűlről</t>
  </si>
  <si>
    <t>VI. Felhalmozási célú átvett pénzeszköz (6.1.)</t>
  </si>
  <si>
    <t>Egyéb felhalmozási célú átvett pénzeszköz államháztartáson  kivülről</t>
  </si>
  <si>
    <t>VII. Finanszírozási bevételek (7.1+…+7.3.)</t>
  </si>
  <si>
    <t>Költségvetési  maradvány igénybevétele</t>
  </si>
  <si>
    <t>Válalkozási maradvány igénybevétele</t>
  </si>
  <si>
    <t>Irányító szervi (önkormányzati) támogatás (intézményfinanszírozás</t>
  </si>
  <si>
    <t>7.3.1.</t>
  </si>
  <si>
    <t>feladatalapú támogatás</t>
  </si>
  <si>
    <t>7.3.2</t>
  </si>
  <si>
    <t>önkormányzati támogatás</t>
  </si>
  <si>
    <t>BEVÉTELEK ÖSSZESEN (1+2+3+4+5+6+7)</t>
  </si>
  <si>
    <r>
      <t xml:space="preserve">I. Működési költségvetés kiadásai </t>
    </r>
    <r>
      <rPr>
        <sz val="11"/>
        <rFont val="Times New Roman CE"/>
        <family val="1"/>
        <charset val="238"/>
      </rPr>
      <t>(1.1+…+1.5.)</t>
    </r>
  </si>
  <si>
    <r>
      <t xml:space="preserve">II. Felhalmozási költségvetés kiadásai </t>
    </r>
    <r>
      <rPr>
        <sz val="11"/>
        <rFont val="Times New Roman CE"/>
        <family val="1"/>
        <charset val="238"/>
      </rPr>
      <t>(2.1+…+2.3)</t>
    </r>
  </si>
  <si>
    <t>Egyéb felhalmozási célú kiadás</t>
  </si>
  <si>
    <t>III. Kölcsön</t>
  </si>
  <si>
    <t>KIADÁSOK ÖSSZESEN: (1+2+3)</t>
  </si>
  <si>
    <t>4.a. sz. melléklet</t>
  </si>
  <si>
    <t>Egyéb fejlesztési célú kiadások</t>
  </si>
  <si>
    <t>4.b. sz. melléklet</t>
  </si>
  <si>
    <t>4.c. sz. melléklet</t>
  </si>
  <si>
    <t>4.1. sz. melléklet</t>
  </si>
  <si>
    <t>VIII. Függő, átfutó, kiegyenlítő bevételek</t>
  </si>
  <si>
    <t>4.2. sz. melléklet</t>
  </si>
  <si>
    <t>4.3. sz. melléklet</t>
  </si>
  <si>
    <t>III. Felhalmozási célú egyéb bevételek</t>
  </si>
  <si>
    <t>Iskolák technikai dolgozói</t>
  </si>
  <si>
    <t>Vecsés Város Önkormányzat Intézményei összesen</t>
  </si>
  <si>
    <t>VII. Függő, átfutó, kiegyenlítő bevételek</t>
  </si>
  <si>
    <t>IV. Függő,átfutó,kiegyenlítő kiadások</t>
  </si>
  <si>
    <t>BEVÉTELEK ÖSSZESEN (1+2+3+4+5+6)</t>
  </si>
  <si>
    <t>5.b. sz. melléklet</t>
  </si>
  <si>
    <t>Falusi Nemzetiségi Óvoda</t>
  </si>
  <si>
    <t>ebből: nemzetiségi</t>
  </si>
  <si>
    <r>
      <t xml:space="preserve">II. Felhalmozási költségvetés kiadásai </t>
    </r>
    <r>
      <rPr>
        <sz val="11"/>
        <rFont val="Times New Roman CE"/>
        <family val="1"/>
        <charset val="238"/>
      </rPr>
      <t>(2.1.+…+2.4.)</t>
    </r>
  </si>
  <si>
    <t>KIADÁSOK ÖSSZESEN: (1+2)</t>
  </si>
  <si>
    <r>
      <t xml:space="preserve">I. Működési költségvetés kiadásai </t>
    </r>
    <r>
      <rPr>
        <sz val="11"/>
        <rFont val="Times New Roman CE"/>
        <family val="1"/>
        <charset val="238"/>
      </rPr>
      <t>(1.1.+…+1.5.)</t>
    </r>
  </si>
  <si>
    <r>
      <t xml:space="preserve">II. Felhalmozási költségvetés kiadásai </t>
    </r>
    <r>
      <rPr>
        <sz val="11"/>
        <rFont val="Times New Roman CE"/>
        <family val="1"/>
        <charset val="238"/>
      </rPr>
      <t>(2.1.+…+2.3.)</t>
    </r>
  </si>
  <si>
    <r>
      <t xml:space="preserve">II. Felhalmozási költségvetés kiadásai </t>
    </r>
    <r>
      <rPr>
        <sz val="11"/>
        <rFont val="Times New Roman CE"/>
        <family val="1"/>
        <charset val="238"/>
      </rPr>
      <t>(2.1+…+2.4)</t>
    </r>
  </si>
  <si>
    <r>
      <t xml:space="preserve">II. Felhalmozási költségvetés kiadásai </t>
    </r>
    <r>
      <rPr>
        <sz val="11"/>
        <rFont val="Times New Roman CE"/>
        <family val="1"/>
        <charset val="238"/>
      </rPr>
      <t>(2.1+…+2.4.)</t>
    </r>
  </si>
  <si>
    <t>Mosolyország Óvoda</t>
  </si>
  <si>
    <t>Bálint Ágnes Óvoda</t>
  </si>
  <si>
    <t>Oktatási Intézmények Központi Konyhája</t>
  </si>
  <si>
    <t>IV. Kölcsön</t>
  </si>
  <si>
    <t>V. Pénzmaradvány, vállalk. tev. maradványa (5.1.+5.2.)</t>
  </si>
  <si>
    <t>Előző évi pénzmaradvány igénybevétele</t>
  </si>
  <si>
    <t>Semmelweis Bőlcsöde</t>
  </si>
  <si>
    <t>Összesen</t>
  </si>
  <si>
    <t>Kötelező feladatok</t>
  </si>
  <si>
    <t>Önként vállalt feladatok</t>
  </si>
  <si>
    <t>Államigazgatási feladatok</t>
  </si>
  <si>
    <t>Bálint Ágnes Művelődési Központ</t>
  </si>
  <si>
    <t>Közművelődés</t>
  </si>
  <si>
    <t>1.6</t>
  </si>
  <si>
    <t>EU-s forrásból finanszírozott támogatással megvalósuló programok, projektek kiadásai</t>
  </si>
  <si>
    <t>Róder Imre Városi Könyvtár</t>
  </si>
  <si>
    <t>Könyvtári szolgáltatás</t>
  </si>
  <si>
    <t>Kötelező feladatellátás</t>
  </si>
  <si>
    <t>Gondozási Központ</t>
  </si>
  <si>
    <t>Idősek ellátása</t>
  </si>
  <si>
    <t>Idősek ellátása (jelzőrendszer)</t>
  </si>
  <si>
    <t>Vecsési Egészségügyi Szolgálat</t>
  </si>
  <si>
    <t>Egészségügyi szolgáltatás</t>
  </si>
  <si>
    <t>Gazdasági szervezettel rendelkező költségvetési szerv</t>
  </si>
  <si>
    <t>2007.évi eredeti előirányzat</t>
  </si>
  <si>
    <t>2008.évi eredeti előirányzat</t>
  </si>
  <si>
    <t>2008.09.30. módosított előirányzat</t>
  </si>
  <si>
    <t>2009. évi tervezett előirányzat</t>
  </si>
  <si>
    <t>2013. évi Eredeti előirányzat</t>
  </si>
  <si>
    <t>2013.06.30. Módosított előirányzat</t>
  </si>
  <si>
    <t>I.</t>
  </si>
  <si>
    <t>Felhalmozási  bevételek</t>
  </si>
  <si>
    <t>1.3.1.1.</t>
  </si>
  <si>
    <t>Finanszírozási bevételek</t>
  </si>
  <si>
    <t>1.4.1</t>
  </si>
  <si>
    <t>Irányító szervi (önkormányzati) támogatás (intézményfinanszírozás)</t>
  </si>
  <si>
    <t>- Felhalmozási támogatás</t>
  </si>
  <si>
    <t>- Egyéb központi támogatás</t>
  </si>
  <si>
    <t>Egyéb finanszirozási bevétel</t>
  </si>
  <si>
    <t>Felhalmozási célú átvett pénzeszköz</t>
  </si>
  <si>
    <t>1.7</t>
  </si>
  <si>
    <t>Felhalmozási költségvetés kiadásai</t>
  </si>
  <si>
    <t>2.2.1</t>
  </si>
  <si>
    <t>Felújítás</t>
  </si>
  <si>
    <t>2.2.2</t>
  </si>
  <si>
    <t>Beruházás</t>
  </si>
  <si>
    <t>2.2.3</t>
  </si>
  <si>
    <t>Kiadások összesen:</t>
  </si>
  <si>
    <t>Létszámkeret  fő</t>
  </si>
  <si>
    <t>1.1.1</t>
  </si>
  <si>
    <t>Egészségügyi szolgálat összesítő</t>
  </si>
  <si>
    <t>eredeti</t>
  </si>
  <si>
    <t>2009. eredeti</t>
  </si>
  <si>
    <t>2010.eredeti EI</t>
  </si>
  <si>
    <t>2011. eredeti EI</t>
  </si>
  <si>
    <t>2011.mód.EI</t>
  </si>
  <si>
    <t>2013.évi Terv</t>
  </si>
  <si>
    <t>2013.Mód.EI</t>
  </si>
  <si>
    <t>Végleges pe.átvétel Áh.kivülről /Non-profit szervtől/</t>
  </si>
  <si>
    <t>Költségvetési támogatás</t>
  </si>
  <si>
    <t>- Működési támogatás</t>
  </si>
  <si>
    <t>Támogatás értékű bevételek OEP</t>
  </si>
  <si>
    <t>Önkormányzati támogatás</t>
  </si>
  <si>
    <t>Működési célú előző évi pénzmaradvány</t>
  </si>
  <si>
    <t>Egyéb finanszirozási kiadás</t>
  </si>
  <si>
    <t>Társönkormányzatnak átadott pénzeszköz</t>
  </si>
  <si>
    <t>LÉTSZÁM   fő</t>
  </si>
  <si>
    <t>Vecsési Egészségügyi Szolgálat                                             bevétel összesen</t>
  </si>
  <si>
    <t>Vecsési Egészségügyi Szolgálat                                             kiadás összesen</t>
  </si>
  <si>
    <t>Létszámkeret (fő) összesen:</t>
  </si>
  <si>
    <t>Sorszám</t>
  </si>
  <si>
    <t>Felújítás  megnevezése</t>
  </si>
  <si>
    <t>Teljes költség</t>
  </si>
  <si>
    <t>Kivitelezés kezdési és befejezési éve</t>
  </si>
  <si>
    <t>2013.09.30. Teljesítés</t>
  </si>
  <si>
    <t>VÁROSI FELÚJÍTÁSOK</t>
  </si>
  <si>
    <t>1.1</t>
  </si>
  <si>
    <t>INTÉZMÉNYI FELÚJÍTÁSOK</t>
  </si>
  <si>
    <t>Számítástechnika</t>
  </si>
  <si>
    <t>ÖSSZESEN:</t>
  </si>
  <si>
    <t>Beruházás megnevezése</t>
  </si>
  <si>
    <t>VÁROSI FEJLESZTÉSEK</t>
  </si>
  <si>
    <t>Egyéb fejlesztések</t>
  </si>
  <si>
    <t>1.2</t>
  </si>
  <si>
    <t>1.3</t>
  </si>
  <si>
    <t>1.4</t>
  </si>
  <si>
    <t>1.8</t>
  </si>
  <si>
    <t>1.9</t>
  </si>
  <si>
    <t>1.10</t>
  </si>
  <si>
    <t>1.11</t>
  </si>
  <si>
    <t>1.12</t>
  </si>
  <si>
    <t>1.13</t>
  </si>
  <si>
    <t>1.14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</si>
  <si>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</si>
  <si>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</si>
  <si>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</si>
  <si>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</si>
  <si>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</si>
  <si>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</si>
  <si>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</si>
  <si>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</si>
  <si>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</si>
  <si>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</si>
  <si>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</si>
  <si>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</si>
  <si>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</si>
  <si>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</si>
  <si>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</si>
  <si>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</si>
  <si>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</si>
  <si>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</si>
  <si>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</si>
  <si>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</si>
  <si>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</si>
  <si>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</si>
  <si>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</si>
  <si>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3.3</t>
  </si>
  <si>
    <t>3.4</t>
  </si>
  <si>
    <t>3.5</t>
  </si>
  <si>
    <t>3.6</t>
  </si>
  <si>
    <t>Intézmények, önkormányzati ingatlanok</t>
  </si>
  <si>
    <t>4.1</t>
  </si>
  <si>
    <t>7.1</t>
  </si>
  <si>
    <t>7.2</t>
  </si>
  <si>
    <t>9.2</t>
  </si>
  <si>
    <t>9.3</t>
  </si>
  <si>
    <t>10.1</t>
  </si>
  <si>
    <t>Bálint Ágnes Kúlturális Központ</t>
  </si>
  <si>
    <t>11.1</t>
  </si>
  <si>
    <t>11.2</t>
  </si>
  <si>
    <t>11.3</t>
  </si>
  <si>
    <t>11.4</t>
  </si>
  <si>
    <t>11.5</t>
  </si>
  <si>
    <t>11.6</t>
  </si>
  <si>
    <t>11.7</t>
  </si>
  <si>
    <t>11.8</t>
  </si>
  <si>
    <t>12.1</t>
  </si>
  <si>
    <t>Semmelwies Bölcsőde</t>
  </si>
  <si>
    <t>14.1</t>
  </si>
  <si>
    <t>15.1</t>
  </si>
  <si>
    <t>Beruházási kiadások összesen:</t>
  </si>
  <si>
    <t>2005.évi eredeti előirányzat</t>
  </si>
  <si>
    <t>2007. évi tervezett előirányzat</t>
  </si>
  <si>
    <t>2008. évi tervezett előirányzat</t>
  </si>
  <si>
    <t>2013. évi terv</t>
  </si>
  <si>
    <t>Pályázati céltartalék</t>
  </si>
  <si>
    <t>Pályázatok benyújtásához céltartalék</t>
  </si>
  <si>
    <t>Érdekeltségnövelő pályázat</t>
  </si>
  <si>
    <t>1.1.2</t>
  </si>
  <si>
    <t>1.1.3</t>
  </si>
  <si>
    <t>1.1.4</t>
  </si>
  <si>
    <t>- GYSIM Mobilitas - Alkotótábor</t>
  </si>
  <si>
    <t>- NKA: Alkotütábor</t>
  </si>
  <si>
    <t>- NKA: Szakmai tev., művészeti találkozók támogatása</t>
  </si>
  <si>
    <t>- NKA: Szamai előadássorozat</t>
  </si>
  <si>
    <t>-GYISM: Alkotótábor</t>
  </si>
  <si>
    <t>- Pest Megye Önk.: Alkotoótábor</t>
  </si>
  <si>
    <t>- Érdekeltségnövelő pályázat</t>
  </si>
  <si>
    <t>- NKA: Művészetek kisközösségének támogatása</t>
  </si>
  <si>
    <r>
      <t xml:space="preserve">Közterületen elhagyott hulladék begyűjtésére pályázathoz önrész biztosítása </t>
    </r>
    <r>
      <rPr>
        <i/>
        <sz val="8"/>
        <rFont val="Times New Roman"/>
        <family val="1"/>
        <charset val="238"/>
      </rPr>
      <t>(10/2006. Ök. hat.)</t>
    </r>
  </si>
  <si>
    <t>Vállalkozás fejl.pályázati önrész</t>
  </si>
  <si>
    <t>Oktatási céltartalék</t>
  </si>
  <si>
    <t>2.2.4</t>
  </si>
  <si>
    <t>2.2.5</t>
  </si>
  <si>
    <t>Tábori pályázatok</t>
  </si>
  <si>
    <t>Egyéb (néptánc, kult.kiadv., sport, egyéb)</t>
  </si>
  <si>
    <t>Néptánc, színjátszás</t>
  </si>
  <si>
    <t>Sportutánpótlás</t>
  </si>
  <si>
    <t>Reprezentációs anyag</t>
  </si>
  <si>
    <t>Kulturális kiadványok</t>
  </si>
  <si>
    <t>Ünnepségek, rendezvények</t>
  </si>
  <si>
    <t>2.2.6</t>
  </si>
  <si>
    <t>Nevelési tanácsadó</t>
  </si>
  <si>
    <t>2.2.7</t>
  </si>
  <si>
    <t>Szakértői díj</t>
  </si>
  <si>
    <t>2.2.8</t>
  </si>
  <si>
    <t>Tartalék</t>
  </si>
  <si>
    <t>Egyéb céltartalék</t>
  </si>
  <si>
    <t>Családsegítő nyári tábor</t>
  </si>
  <si>
    <t>Oktatási Bizottság kerete</t>
  </si>
  <si>
    <t>Sport Bizottság kerete</t>
  </si>
  <si>
    <t>Mezőgazdasági céltartalék</t>
  </si>
  <si>
    <t>Felmentések, végkielégítések egyéb tartalék</t>
  </si>
  <si>
    <t>3.7</t>
  </si>
  <si>
    <t>Közbeszerzési eljárások lefolytatása ( eljárási díjak, dokumentációk, hirdetménydíjak)</t>
  </si>
  <si>
    <t>3.8</t>
  </si>
  <si>
    <t>Rendezetlen ingatlanok kényszerrendbetétele</t>
  </si>
  <si>
    <t>3.9</t>
  </si>
  <si>
    <t>Környezetvédelmi keret</t>
  </si>
  <si>
    <t>3.9.2</t>
  </si>
  <si>
    <t>3.9.3</t>
  </si>
  <si>
    <t>Külterületen elszórt hulladékok összegyűjtése</t>
  </si>
  <si>
    <t>3.10</t>
  </si>
  <si>
    <t>Testvérvárosi kapcsolatok</t>
  </si>
  <si>
    <t>3.11</t>
  </si>
  <si>
    <t>Rendezvények támogatása</t>
  </si>
  <si>
    <t>3.11.1</t>
  </si>
  <si>
    <t>Vers és prózamondó verseny</t>
  </si>
  <si>
    <t>3.11.2</t>
  </si>
  <si>
    <t>3.11.3</t>
  </si>
  <si>
    <t>Lóti-Futi futóverseny</t>
  </si>
  <si>
    <t>3.11.4</t>
  </si>
  <si>
    <t>Június 14. újratelepítési ünnep</t>
  </si>
  <si>
    <t>3.11.5</t>
  </si>
  <si>
    <t>Augusztus 20.</t>
  </si>
  <si>
    <t>3.11.6</t>
  </si>
  <si>
    <t>Október 06.</t>
  </si>
  <si>
    <t>3.11.7</t>
  </si>
  <si>
    <t>Október 23.</t>
  </si>
  <si>
    <t>3.11.8</t>
  </si>
  <si>
    <t>Mindenki karácsonya</t>
  </si>
  <si>
    <t>3.11.9</t>
  </si>
  <si>
    <t>3.11.10</t>
  </si>
  <si>
    <t>Iskolák közötti sportverseny (tárgyi jutalmak)</t>
  </si>
  <si>
    <t>3.13</t>
  </si>
  <si>
    <t>Városi rendezvények</t>
  </si>
  <si>
    <t>3.14</t>
  </si>
  <si>
    <t>Jubileumi házassági évfordulók</t>
  </si>
  <si>
    <t>3.15</t>
  </si>
  <si>
    <t>Reprezentációs keret</t>
  </si>
  <si>
    <t>3.16</t>
  </si>
  <si>
    <t>90., 95. és 100. évesek ajándékozása</t>
  </si>
  <si>
    <t>3.17</t>
  </si>
  <si>
    <t>Városközpont-fejlesztő Kft felügyelő bizottsági tagok díjazása 182/2009. (VIII.31.)</t>
  </si>
  <si>
    <t>3.18</t>
  </si>
  <si>
    <t>3.19</t>
  </si>
  <si>
    <t>3.20</t>
  </si>
  <si>
    <t>Elismerő címek, díjak, kitüntetések</t>
  </si>
  <si>
    <t>3.21</t>
  </si>
  <si>
    <t>3.22</t>
  </si>
  <si>
    <t>3.23</t>
  </si>
  <si>
    <t>Esetenkénti tervezési feladatok</t>
  </si>
  <si>
    <t>3.25</t>
  </si>
  <si>
    <t>Iskolák szakmai feladatai</t>
  </si>
  <si>
    <t>Céltartalék összesen</t>
  </si>
  <si>
    <t>2009. évi tervezet</t>
  </si>
  <si>
    <t>1.1.5</t>
  </si>
  <si>
    <t>1.1.6</t>
  </si>
  <si>
    <t>1.1.9</t>
  </si>
  <si>
    <t>1.1.10</t>
  </si>
  <si>
    <t>Vis major keret</t>
  </si>
  <si>
    <t>Városi fejlesztésekre céltartalék</t>
  </si>
  <si>
    <t>Összesen:</t>
  </si>
  <si>
    <t>5.sz. melléklet</t>
  </si>
  <si>
    <t>5.a.sz. melléklet</t>
  </si>
  <si>
    <t>5.c.sz.melléklet</t>
  </si>
  <si>
    <t>5.1.sz.melléklet</t>
  </si>
  <si>
    <t>5.1.a.sz.melléklet</t>
  </si>
  <si>
    <t>5.1.b.sz.melléklet</t>
  </si>
  <si>
    <t>5.1.c.sz.melléklet</t>
  </si>
  <si>
    <t>5.2.sz.melléklet</t>
  </si>
  <si>
    <t>5.2.a.sz.melléklet</t>
  </si>
  <si>
    <t>5.2.b.sz.melléklet</t>
  </si>
  <si>
    <t>5.2.c.sz.melléklet</t>
  </si>
  <si>
    <t>5.3.sz.melléklet</t>
  </si>
  <si>
    <t>5.3.a.sz.melléklet</t>
  </si>
  <si>
    <t>5.3.b.sz.melléklet</t>
  </si>
  <si>
    <t>5.3.c.sz.melléklet</t>
  </si>
  <si>
    <t>5.4.sz.melléklet</t>
  </si>
  <si>
    <t>5.4.a.sz.melléklet</t>
  </si>
  <si>
    <t>5.4.b.sz.melléklet</t>
  </si>
  <si>
    <t>5.4.c.sz.melléklet</t>
  </si>
  <si>
    <t>5.5.sz.melléklet</t>
  </si>
  <si>
    <t>5.5.a.sz.melléklet</t>
  </si>
  <si>
    <t>5.5.b.sz.melléklet</t>
  </si>
  <si>
    <t>5.5.c.sz.melléklet</t>
  </si>
  <si>
    <t>5.6.sz.melléklet</t>
  </si>
  <si>
    <t>5.6.a.sz.melléklet</t>
  </si>
  <si>
    <t>5.6.b.sz.melléklet</t>
  </si>
  <si>
    <t>5.6.c.sz.melléklet</t>
  </si>
  <si>
    <t>5.7.sz.melléklet</t>
  </si>
  <si>
    <t>5.7.a.sz.melléklet</t>
  </si>
  <si>
    <t>5.7.b.sz.melléklet</t>
  </si>
  <si>
    <t>5.8.sz.melléklet</t>
  </si>
  <si>
    <t>5.8.a.sz.melléklet</t>
  </si>
  <si>
    <t>5.8.b.sz.melléklet</t>
  </si>
  <si>
    <t>5.8.c.sz.melléklet</t>
  </si>
  <si>
    <t>5.9.sz.melléklet</t>
  </si>
  <si>
    <t>5.9.a.sz.melléklet</t>
  </si>
  <si>
    <t>5.9.b.sz.melléklet</t>
  </si>
  <si>
    <t>5.9.c.sz.melléklet</t>
  </si>
  <si>
    <t>5.10.sz.melléklet</t>
  </si>
  <si>
    <t>5.10.a.sz.melléklet</t>
  </si>
  <si>
    <t>5.10.b.sz.melléklet</t>
  </si>
  <si>
    <t>5.10.c.sz.melléklet</t>
  </si>
  <si>
    <t>Egyéb Kisértékű Gép,berendezés felsz.</t>
  </si>
  <si>
    <t>16.1</t>
  </si>
  <si>
    <t>16.2</t>
  </si>
  <si>
    <t>16.3</t>
  </si>
  <si>
    <t>16.7</t>
  </si>
  <si>
    <t>16.8</t>
  </si>
  <si>
    <t>Belföldi értékpapírok beváltása</t>
  </si>
  <si>
    <t>Református Óvoda /Vecsési Református Egyházközség/</t>
  </si>
  <si>
    <t>Egyéb működési célú támogatás államháztartáson belülre</t>
  </si>
  <si>
    <t>Adóssághoz nem kapcsolódó származékos ügyletek kiadásai</t>
  </si>
  <si>
    <t>4.4. sz. melléklet</t>
  </si>
  <si>
    <t>a+b</t>
  </si>
  <si>
    <t>különbözet</t>
  </si>
  <si>
    <t>módosított</t>
  </si>
  <si>
    <t>teljesítés</t>
  </si>
  <si>
    <t>a+b+c</t>
  </si>
  <si>
    <t>Eredeti</t>
  </si>
  <si>
    <t>Különbözet</t>
  </si>
  <si>
    <t xml:space="preserve"> 01 tábla Költségvetési kiadások</t>
  </si>
  <si>
    <t xml:space="preserve"> 03 táblaFinanszírozási kiadások</t>
  </si>
  <si>
    <t>02 tábla Költségvetési bevétel</t>
  </si>
  <si>
    <t>04 tábla Finanszírozási bevétel</t>
  </si>
  <si>
    <t>Működési bevétel 2. sz. tábla szerint</t>
  </si>
  <si>
    <t>Különbözet:</t>
  </si>
  <si>
    <t>Felhalmozási bevétel a 2. sz. tábla szerint</t>
  </si>
  <si>
    <t>Költségvetési működési bevételek összesen:</t>
  </si>
  <si>
    <t>felhalmozási költségvetési  bevétlek összesen:</t>
  </si>
  <si>
    <t>Működési finanszírozási bevételek</t>
  </si>
  <si>
    <t>Működési finanszírozási bev. 2. sz. tábla szerint</t>
  </si>
  <si>
    <t>Felhalmozási finanszírozási bevételek</t>
  </si>
  <si>
    <t>Beszámoló 02 tábla szerinti bevétel összesen:</t>
  </si>
  <si>
    <t>Működési bevétel</t>
  </si>
  <si>
    <t>Felhalmozási bevétel</t>
  </si>
  <si>
    <t>Különbség:</t>
  </si>
  <si>
    <t>Finanszírozási bevételek:</t>
  </si>
  <si>
    <t>Hitel, Kölcsönfelvétel államháztatáson kívülről</t>
  </si>
  <si>
    <t>Működési kiadás 2. sz táblázat szerint</t>
  </si>
  <si>
    <t>Felhalmozási kiadás 2. sz. táblázat szerint</t>
  </si>
  <si>
    <t>Beszámoló 01 tábla szerinti kiadás összesen:</t>
  </si>
  <si>
    <t>Működési finanszírozási kiadások</t>
  </si>
  <si>
    <t>Felhalmozási finanszírozási kiadások</t>
  </si>
  <si>
    <t>Működési finanszírozási kiadások  2. sz. tábla szerint</t>
  </si>
  <si>
    <t>Működési kiadások</t>
  </si>
  <si>
    <t xml:space="preserve">Halmozódás </t>
  </si>
  <si>
    <t>7.3.2.</t>
  </si>
  <si>
    <t>4.6. sz. melléklet</t>
  </si>
  <si>
    <t>Beszámoló 03 sz tábla szerinti kiadás</t>
  </si>
  <si>
    <t>eltérés</t>
  </si>
  <si>
    <t>Működési maradvány igénybevétele</t>
  </si>
  <si>
    <t>Felhalmozási  maradvány igénybevétele</t>
  </si>
  <si>
    <t>beruh.+felúj</t>
  </si>
  <si>
    <t>PMINFO 02 tábla</t>
  </si>
  <si>
    <t>PMINFO 04 tábla</t>
  </si>
  <si>
    <t>Összesen 02+04 tábla</t>
  </si>
  <si>
    <t>PMINFO 01 tábla</t>
  </si>
  <si>
    <t>PMINFO 03 tábla</t>
  </si>
  <si>
    <t>Összesen 01+03 tábla</t>
  </si>
  <si>
    <t>ELTÉRÉS:</t>
  </si>
  <si>
    <t>Belföldi finanszírozás bevételei miatti levonás</t>
  </si>
  <si>
    <t>Belföldi finanszírozás kiadásai miatti levonás</t>
  </si>
  <si>
    <t>3a+4a+5a</t>
  </si>
  <si>
    <t>LEVONÁSOK UTÁNI BEVÉTELEK ÖSSZESEN (16-17-18)</t>
  </si>
  <si>
    <t>LEVONÁSOK UTÁNI KIADÁSOK ÖSSZESEN (10-11-12)</t>
  </si>
  <si>
    <t>Irányító szervi támogatás</t>
  </si>
  <si>
    <t>HALMOZÓDÁS MENTES KIADÁSOK ÖSSZESEN</t>
  </si>
  <si>
    <t>3.1.1.</t>
  </si>
  <si>
    <t>3.1.2.</t>
  </si>
  <si>
    <t>11.3.1</t>
  </si>
  <si>
    <t>11.3.2</t>
  </si>
  <si>
    <t>9.1</t>
  </si>
  <si>
    <t>14.2</t>
  </si>
  <si>
    <t>15.2</t>
  </si>
  <si>
    <t xml:space="preserve">Egyéb Kisértékű Informatikai eszköz </t>
  </si>
  <si>
    <t>Mód.EI</t>
  </si>
  <si>
    <t>1.5.4</t>
  </si>
  <si>
    <t>Települési támogatás (rendkívüli)</t>
  </si>
  <si>
    <t>BÁKK pályázatai:</t>
  </si>
  <si>
    <t xml:space="preserve">Egyház </t>
  </si>
  <si>
    <t>HIÁNY:</t>
  </si>
  <si>
    <t>pályázatokra önrész</t>
  </si>
  <si>
    <t>Ellátási díjak ( ellátotti étkeztetés)</t>
  </si>
  <si>
    <t>Bálint Ágnes Kulturális Központ</t>
  </si>
  <si>
    <t>1. Működési bevétel</t>
  </si>
  <si>
    <t>2. Intézményfinanszírozás</t>
  </si>
  <si>
    <t>2.1. Feladatalapú támogatás</t>
  </si>
  <si>
    <t>2.2. Önkormányzati támogatás</t>
  </si>
  <si>
    <t xml:space="preserve">Kiadások </t>
  </si>
  <si>
    <t>1. Személyi juttatások</t>
  </si>
  <si>
    <t>2. Járulékok</t>
  </si>
  <si>
    <t xml:space="preserve">3. Dologi kiadások </t>
  </si>
  <si>
    <t>4. Tárgyi eszköz beszerzés</t>
  </si>
  <si>
    <t>Semmelweis Bölcsőde</t>
  </si>
  <si>
    <t>Központi Konyha</t>
  </si>
  <si>
    <t>Járóbetegek gyógyító szakellátása 072210</t>
  </si>
  <si>
    <t>Háziorvosi ügyeleti ellátás szolgálat  072112</t>
  </si>
  <si>
    <t>Fogorvosi alapellátás  072311</t>
  </si>
  <si>
    <t>Ifjúság-egészségügyi gondozás  074032</t>
  </si>
  <si>
    <t>Család- és nővédelmi egészségügyi gondozás 074031</t>
  </si>
  <si>
    <r>
      <t>Háziorvosi alapellátás 072</t>
    </r>
    <r>
      <rPr>
        <i/>
        <sz val="13"/>
        <rFont val="Times New Roman"/>
        <family val="1"/>
        <charset val="238"/>
      </rPr>
      <t>111</t>
    </r>
  </si>
  <si>
    <t>Egy napos sebészeti ellátás  073160</t>
  </si>
  <si>
    <t>Foglalkozás-egészségügyi alapellátás  074011</t>
  </si>
  <si>
    <t>Igazgatási feladatok 011130</t>
  </si>
  <si>
    <t>Vagyongazdálkodás  013350</t>
  </si>
  <si>
    <t>Adó  011220</t>
  </si>
  <si>
    <t>Közterület rendjének fenntartása  031030</t>
  </si>
  <si>
    <t>bevétel-kiadás COFOG szerinti bontásban</t>
  </si>
  <si>
    <t>5.7.c. sz. melléklet</t>
  </si>
  <si>
    <t>Kisértékű Informatikai eszköz</t>
  </si>
  <si>
    <t>10.2</t>
  </si>
  <si>
    <t>12.2</t>
  </si>
  <si>
    <t>12.3</t>
  </si>
  <si>
    <t>Finanszírozási célú bev. (12+…+20)</t>
  </si>
  <si>
    <t>Eredeti EI</t>
  </si>
  <si>
    <t>Módosított EI</t>
  </si>
  <si>
    <t xml:space="preserve">Intézményi összesen            </t>
  </si>
  <si>
    <t>096025                                                                  Munkahelyi étkeztetés köznevelési intézményben</t>
  </si>
  <si>
    <t xml:space="preserve">082042                                                       Könyvtári állomány gyarapítása, nyilvántartása                     </t>
  </si>
  <si>
    <t>3. Működési célú tám. Álht-n belülről</t>
  </si>
  <si>
    <t>Egyéb Kisértékű Informatikai eszköz</t>
  </si>
  <si>
    <t>10.3</t>
  </si>
  <si>
    <t xml:space="preserve"> </t>
  </si>
  <si>
    <t>Egyéb elvonások, befizetések</t>
  </si>
  <si>
    <t>3.1.4</t>
  </si>
  <si>
    <t>3.1.5.</t>
  </si>
  <si>
    <t>2.  sz. melléklet összsen:</t>
  </si>
  <si>
    <t>ELTÉRÉS</t>
  </si>
  <si>
    <t>Önkormányzat: 3. sz. mell.</t>
  </si>
  <si>
    <t>Polgármesteri Hivatal 4. sz. mell.</t>
  </si>
  <si>
    <t>Intézmények összesen 5. sz. mell.</t>
  </si>
  <si>
    <t>20.</t>
  </si>
  <si>
    <t>21.</t>
  </si>
  <si>
    <t>4. Működési célú kiadások</t>
  </si>
  <si>
    <t>5. Tárgyi eszköz beszerzés</t>
  </si>
  <si>
    <t xml:space="preserve">5.4. tábla </t>
  </si>
  <si>
    <t>bevételek összesen</t>
  </si>
  <si>
    <t xml:space="preserve"> Önkormányzati támogatás</t>
  </si>
  <si>
    <t>Feladatalapú támogatás</t>
  </si>
  <si>
    <t xml:space="preserve"> Intézményfinanszírozás</t>
  </si>
  <si>
    <t>Eltérés:</t>
  </si>
  <si>
    <t>Összes bevétel</t>
  </si>
  <si>
    <t>Járulékok</t>
  </si>
  <si>
    <t xml:space="preserve">Dologi kiadások </t>
  </si>
  <si>
    <t>Működési célú kiadások</t>
  </si>
  <si>
    <t>Tárgyi eszköz beszerzés</t>
  </si>
  <si>
    <t>Összese kiadás</t>
  </si>
  <si>
    <t xml:space="preserve">5.5. tábla </t>
  </si>
  <si>
    <t xml:space="preserve">5.6. tábla </t>
  </si>
  <si>
    <t xml:space="preserve">5.7. tábla </t>
  </si>
  <si>
    <t xml:space="preserve">5.8. tábla </t>
  </si>
  <si>
    <t>egyéb műk. Cél. Tám. Int.</t>
  </si>
  <si>
    <t>3. Intézményfinanszírozás</t>
  </si>
  <si>
    <t>3.1. Feladatalapú támogatás</t>
  </si>
  <si>
    <t>3.2. Önkormányzati támogatás</t>
  </si>
  <si>
    <t>2. Működési célú tám. Áht-on belűlről</t>
  </si>
  <si>
    <t xml:space="preserve">5.9. tábla </t>
  </si>
  <si>
    <t xml:space="preserve">5.2. tábla </t>
  </si>
  <si>
    <t>3.Működési tám. Áht-n belülről</t>
  </si>
  <si>
    <t>Működési tám ÁHT-n belülről</t>
  </si>
  <si>
    <t xml:space="preserve">5.1. tábla </t>
  </si>
  <si>
    <t>3. Működési tám. Áht-n belülről</t>
  </si>
  <si>
    <t>Pedagógus nap</t>
  </si>
  <si>
    <t>3.11.11</t>
  </si>
  <si>
    <t>Választás</t>
  </si>
  <si>
    <t>Természetben nyújtott szoc. Ellátás</t>
  </si>
  <si>
    <t>-Bírságok, pótlékok</t>
  </si>
  <si>
    <t xml:space="preserve">Fehér János Alapítvány </t>
  </si>
  <si>
    <t>Étkezés miatti intézményi kompenzáció</t>
  </si>
  <si>
    <t>3.12</t>
  </si>
  <si>
    <t xml:space="preserve"> -  Andrássy Gyula Általános Iskola</t>
  </si>
  <si>
    <t xml:space="preserve"> - Halmi Téri Általános Iskola</t>
  </si>
  <si>
    <t xml:space="preserve"> - Városgazdálkodás</t>
  </si>
  <si>
    <t>Továbbszámlázott szolgáltatás</t>
  </si>
  <si>
    <t>Utólagos csatornabekötések</t>
  </si>
  <si>
    <t>Káposztafeszttel kapcsolatos útjavítás és forgalomtechnika</t>
  </si>
  <si>
    <t>Úttervezések készítése</t>
  </si>
  <si>
    <t>Járdaépítéshez térkő biztosítása</t>
  </si>
  <si>
    <t>Út- és járdaépítések</t>
  </si>
  <si>
    <t>Forgalomtechnikai eszközök telepítése</t>
  </si>
  <si>
    <t>104031                                                           Gyermekek bölcsődei ellátása</t>
  </si>
  <si>
    <t>102031                                                           Idősek nappali ellátása</t>
  </si>
  <si>
    <t>Forint</t>
  </si>
  <si>
    <t>Elvonások és befizetések</t>
  </si>
  <si>
    <t>1.5.5</t>
  </si>
  <si>
    <t>Elvonások, befizetések</t>
  </si>
  <si>
    <t>5.1.1</t>
  </si>
  <si>
    <t>5.1.2</t>
  </si>
  <si>
    <t>Játszótéri eszközök felújítása</t>
  </si>
  <si>
    <t>KGR 01 tábla</t>
  </si>
  <si>
    <t>KGR 03 tábla</t>
  </si>
  <si>
    <t>összesen:</t>
  </si>
  <si>
    <t>Kiadás:</t>
  </si>
  <si>
    <t>Bevétel:</t>
  </si>
  <si>
    <t>KGR 02 tábla:</t>
  </si>
  <si>
    <t>KGR 04 tábla</t>
  </si>
  <si>
    <t>Beszámoló 04 sz tábla szerinti bevétel</t>
  </si>
  <si>
    <t>6.Felújítás</t>
  </si>
  <si>
    <t xml:space="preserve">013350  Önkormányzati vagyonnal való gazdálkodás                  </t>
  </si>
  <si>
    <t xml:space="preserve">091140                                                                       Óvodai nevelés, ellátás működtetési feladatai                      </t>
  </si>
  <si>
    <t xml:space="preserve">096015                                                     Gyermekétkeztetés köznevelési intézményben               </t>
  </si>
  <si>
    <t xml:space="preserve">096025                                                                 Munkahelyi étkeztetés köznevelési intézményben          </t>
  </si>
  <si>
    <t>össz önkori tám</t>
  </si>
  <si>
    <t>12.4</t>
  </si>
  <si>
    <t>Eredeti EI.</t>
  </si>
  <si>
    <r>
      <t>Eltérés</t>
    </r>
    <r>
      <rPr>
        <b/>
        <sz val="8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(5.1.d-5.1.)</t>
    </r>
  </si>
  <si>
    <r>
      <t>Eltérés</t>
    </r>
    <r>
      <rPr>
        <b/>
        <sz val="8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(5.2.d-5.2.)</t>
    </r>
  </si>
  <si>
    <r>
      <t>Eltérés</t>
    </r>
    <r>
      <rPr>
        <b/>
        <sz val="8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(5.5.d-5.5.)</t>
    </r>
  </si>
  <si>
    <r>
      <t>Eltérés</t>
    </r>
    <r>
      <rPr>
        <b/>
        <sz val="8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(5.4.d-5.4.)</t>
    </r>
  </si>
  <si>
    <r>
      <t>Eltérés</t>
    </r>
    <r>
      <rPr>
        <b/>
        <sz val="8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(5.9.d-5.9.)</t>
    </r>
  </si>
  <si>
    <t>104035                                           Gyermekétkeztetés bölcsődében</t>
  </si>
  <si>
    <t>013330                                                       Pályázat</t>
  </si>
  <si>
    <t xml:space="preserve">096025                                              Munkahelyi étkeztetés köznevelési intézményben             </t>
  </si>
  <si>
    <t>4. Átvett pénzeszköz</t>
  </si>
  <si>
    <t xml:space="preserve"> 3. Működési célú tám. Álht-n belülről</t>
  </si>
  <si>
    <t xml:space="preserve"> 2.2. Önkormányzati támogatás</t>
  </si>
  <si>
    <r>
      <t xml:space="preserve">096015                                                        Gyermekétkeztetés köznevelési intézményben                </t>
    </r>
    <r>
      <rPr>
        <sz val="12"/>
        <rFont val="Times New Roman"/>
        <family val="1"/>
        <charset val="238"/>
      </rPr>
      <t xml:space="preserve"> </t>
    </r>
  </si>
  <si>
    <r>
      <t xml:space="preserve">096025                                                                   Munkahelyi étkeztetés köznevelési intézményben             </t>
    </r>
    <r>
      <rPr>
        <sz val="12"/>
        <rFont val="Times New Roman"/>
        <family val="1"/>
        <charset val="238"/>
      </rPr>
      <t xml:space="preserve"> </t>
    </r>
  </si>
  <si>
    <t xml:space="preserve">091140                                                                    Óvodai nevelés, ellátás működtetési feladatai                      </t>
  </si>
  <si>
    <t xml:space="preserve">096015                                       Gyermekétkeztetés köznevelési intézményben               </t>
  </si>
  <si>
    <t xml:space="preserve">018020                                                              Központi Költségvetési befizetések                       </t>
  </si>
  <si>
    <t xml:space="preserve">018030                                         Támogatási célú finansz.           </t>
  </si>
  <si>
    <t>Működési bevételek(táblázatból 5.10.1.)</t>
  </si>
  <si>
    <t>Biztosító által fizetett kártérítés</t>
  </si>
  <si>
    <t>Bevétel-Kiadás különbözet</t>
  </si>
  <si>
    <t xml:space="preserve">Ellátási díjak </t>
  </si>
  <si>
    <t>Egyéb működési bevétel</t>
  </si>
  <si>
    <t>Működési c.pe.átv.Áh.kivülről</t>
  </si>
  <si>
    <t xml:space="preserve">  Pénzeszközök betétként elhelyezése</t>
  </si>
  <si>
    <t>3.3. Működési célú tám.Állh.belülről</t>
  </si>
  <si>
    <t>3.26</t>
  </si>
  <si>
    <t>Belső forgalomtechnika</t>
  </si>
  <si>
    <t>Evangélikus</t>
  </si>
  <si>
    <t>Települési támogatás (jegyzős)</t>
  </si>
  <si>
    <t>Magyar Vöröskereszt Pest M.-i Szerv.</t>
  </si>
  <si>
    <t>1.15</t>
  </si>
  <si>
    <t>1.16</t>
  </si>
  <si>
    <t>Iskolák közötti sportverseny</t>
  </si>
  <si>
    <t>Vecsési Tájékoztató kiadási költségei</t>
  </si>
  <si>
    <t>Városközpont-fejlesztő Kft kiadásai:</t>
  </si>
  <si>
    <t>működési költsége</t>
  </si>
  <si>
    <t>3.17.1</t>
  </si>
  <si>
    <t>3.17.2</t>
  </si>
  <si>
    <t>3.17.3</t>
  </si>
  <si>
    <t xml:space="preserve">Teljesítés </t>
  </si>
  <si>
    <t xml:space="preserve">Teljesítés              </t>
  </si>
  <si>
    <t xml:space="preserve">Teljesítés   </t>
  </si>
  <si>
    <t>Vecsési Falusi Nemzetiségi Óvoda</t>
  </si>
  <si>
    <t>Vecsési Mosolyország Óvoda</t>
  </si>
  <si>
    <t>Vecsési Tündérkert Óvoda</t>
  </si>
  <si>
    <t>3.27</t>
  </si>
  <si>
    <t>3.28</t>
  </si>
  <si>
    <t>3.29</t>
  </si>
  <si>
    <t>Központi,irányító szervi tám./Áh belüli megelőlegezés</t>
  </si>
  <si>
    <t xml:space="preserve">Teljesítés          </t>
  </si>
  <si>
    <t xml:space="preserve">Iskolák technikai dolgozói </t>
  </si>
  <si>
    <t xml:space="preserve">Intézményi összesen           </t>
  </si>
  <si>
    <t>091220                                                    Iskola 1-4 évfolyam</t>
  </si>
  <si>
    <t>092120                                                         Iskola 5-8 évfolyam</t>
  </si>
  <si>
    <t>096015                                        Gyermekétkeztetés köznevelési intézményben</t>
  </si>
  <si>
    <t>Eredeti ei.</t>
  </si>
  <si>
    <r>
      <t xml:space="preserve">Intézményi összesen             </t>
    </r>
    <r>
      <rPr>
        <sz val="11"/>
        <rFont val="Times New Roman"/>
        <family val="1"/>
        <charset val="238"/>
      </rPr>
      <t xml:space="preserve"> </t>
    </r>
  </si>
  <si>
    <t>091220    Iskola 1-4 évfolyam</t>
  </si>
  <si>
    <t>092120  Iskola 5-8 évfolyam</t>
  </si>
  <si>
    <t>096015 Gyermekétkeztetés köznevelési intézményben</t>
  </si>
  <si>
    <t>Teljesí-tés</t>
  </si>
  <si>
    <t xml:space="preserve">4.6.1. tábla </t>
  </si>
  <si>
    <t>Bíztosító által fizetett kártérítés</t>
  </si>
  <si>
    <t>Bízutosító által fizetett kártérítés</t>
  </si>
  <si>
    <t>Felhalmozási támogatások államháztartáson belülről</t>
  </si>
  <si>
    <t>Egyéb felhalmozási célú támogatások bevételei államháztartáson belülről</t>
  </si>
  <si>
    <t>Betétek megszűntetése</t>
  </si>
  <si>
    <t>Ingatlanok felújítása</t>
  </si>
  <si>
    <t>107053                                                             Jelzőrendszeres házi segítségnyújtás</t>
  </si>
  <si>
    <r>
      <t>Eltérés</t>
    </r>
    <r>
      <rPr>
        <b/>
        <sz val="8"/>
        <rFont val="Times New Roman"/>
        <family val="1"/>
        <charset val="238"/>
      </rPr>
      <t xml:space="preserve"> </t>
    </r>
  </si>
  <si>
    <t>Érvényes előirányzat</t>
  </si>
  <si>
    <t>1.1.11</t>
  </si>
  <si>
    <t>Módosítás II. negyedév</t>
  </si>
  <si>
    <t>Módosítás III. negyedév</t>
  </si>
  <si>
    <t>Módosítás IV. negyedév</t>
  </si>
  <si>
    <t>Módosítás      II. negyedév</t>
  </si>
  <si>
    <t>Módosítás        III. negyedév</t>
  </si>
  <si>
    <t>Módosítás II.név</t>
  </si>
  <si>
    <t>Módosított EI I. félév</t>
  </si>
  <si>
    <t>Módosított EI  III. negyedév</t>
  </si>
  <si>
    <t>Módosítás</t>
  </si>
  <si>
    <t>Módosított EI  IV negyedév</t>
  </si>
  <si>
    <t>Felhalmozási célú támogatás ÁH-n belülről</t>
  </si>
  <si>
    <r>
      <t xml:space="preserve">I. Működési költségvetés kiadásai </t>
    </r>
    <r>
      <rPr>
        <sz val="10"/>
        <rFont val="Times New Roman CE"/>
        <family val="1"/>
        <charset val="238"/>
      </rPr>
      <t>(1.1+…+1.5.)</t>
    </r>
  </si>
  <si>
    <r>
      <t xml:space="preserve">II. Felhalmozási költségvetés kiadásai </t>
    </r>
    <r>
      <rPr>
        <sz val="10"/>
        <rFont val="Times New Roman CE"/>
        <family val="1"/>
        <charset val="238"/>
      </rPr>
      <t>(2.1+…+2.3)</t>
    </r>
  </si>
  <si>
    <t>3.30</t>
  </si>
  <si>
    <t>3.31</t>
  </si>
  <si>
    <t>3.32</t>
  </si>
  <si>
    <t>3.33</t>
  </si>
  <si>
    <t>1.1.12</t>
  </si>
  <si>
    <r>
      <t>Vállalkozás fejlesztés támogatása</t>
    </r>
    <r>
      <rPr>
        <b/>
        <sz val="10"/>
        <rFont val="Times New Roman CE"/>
        <family val="1"/>
        <charset val="238"/>
      </rPr>
      <t xml:space="preserve"> /Vecsési Ipartestület</t>
    </r>
  </si>
  <si>
    <t>3.34</t>
  </si>
  <si>
    <t>Sor-szám</t>
  </si>
  <si>
    <t>Finanszírozási kiadások</t>
  </si>
  <si>
    <t>4.Felhalmozási bevétel</t>
  </si>
  <si>
    <t>módosított félév</t>
  </si>
  <si>
    <t>módosított III. negyedév</t>
  </si>
  <si>
    <t>módosított IV. negyedév</t>
  </si>
  <si>
    <t>Módosított II. negyedév</t>
  </si>
  <si>
    <t>Módosított III. negyedév</t>
  </si>
  <si>
    <t>Módosított IV. negyedév</t>
  </si>
  <si>
    <t>5a+5b+bc</t>
  </si>
  <si>
    <t>félévi</t>
  </si>
  <si>
    <t>III.negyedévi</t>
  </si>
  <si>
    <t>IV. negyedév</t>
  </si>
  <si>
    <t>Önkormányzati többségű tulajdonú Nonprofit vállalkozás</t>
  </si>
  <si>
    <t>félév</t>
  </si>
  <si>
    <t>III. negyedév</t>
  </si>
  <si>
    <t>Módosítás II.negyedév</t>
  </si>
  <si>
    <t>Államháztartáson belüli megelőlegezés</t>
  </si>
  <si>
    <t>Módosítás      II.név</t>
  </si>
  <si>
    <t>Teljesítés 2017-12-31</t>
  </si>
  <si>
    <t>Módosított EI                         II. n.év</t>
  </si>
  <si>
    <t>Módosított EI                        III. n.év</t>
  </si>
  <si>
    <t>Módosított EI                         IV. n.év</t>
  </si>
  <si>
    <t>Módosított ei. II</t>
  </si>
  <si>
    <t>Módosított ei. III</t>
  </si>
  <si>
    <t>Módosított ei. IV</t>
  </si>
  <si>
    <t xml:space="preserve">Módosított III. negyedév </t>
  </si>
  <si>
    <t>107052                                                               Házi segítségnyújtás</t>
  </si>
  <si>
    <t>Módosított előirányzat IV. negyedév</t>
  </si>
  <si>
    <t>módosított             I félév</t>
  </si>
  <si>
    <t>2018. évi Terv</t>
  </si>
  <si>
    <t>2018. évi Eredeti előirányzat</t>
  </si>
  <si>
    <t>2018 évi Terv</t>
  </si>
  <si>
    <t>2018. évi terv</t>
  </si>
  <si>
    <t>2018. évi előirányzat</t>
  </si>
  <si>
    <t>2018 évi előirányzat</t>
  </si>
  <si>
    <t xml:space="preserve">Káposztafeszt </t>
  </si>
  <si>
    <t>Kis Epres szabadidőpark: kertészet, egyebek</t>
  </si>
  <si>
    <t>Alig utca - Felsőhalom utca szennyvízcsatorna kiépítési költésgeinek hozzájárulása</t>
  </si>
  <si>
    <t>Gyáli patak melletti futópálya kiegészítő költségek</t>
  </si>
  <si>
    <t>Gyalogos átjáró híd a Gyáli patak felett</t>
  </si>
  <si>
    <t>Sport célú fejlesztések (futópálya közvilágítás kiépítéséhez)</t>
  </si>
  <si>
    <t>Elektromos közvilágítási hálózat bővétse</t>
  </si>
  <si>
    <t>Bálint Ágnes Óvoda tervezése (II.ütem)</t>
  </si>
  <si>
    <t>Szent István tér parkosítása</t>
  </si>
  <si>
    <t>Andrássy iskola régi épület előtti térburkolás</t>
  </si>
  <si>
    <t>Egyéb csapadékvíz elvezetési munkálatok</t>
  </si>
  <si>
    <t>Kögyo árok burkolás</t>
  </si>
  <si>
    <t>Út-  és járdafelújítások</t>
  </si>
  <si>
    <t>Temető kerítés felújítása II.ütem</t>
  </si>
  <si>
    <t>Fő út 49. (ingatlan körüli járda, kerítés, villámvédelem, tereprendezés)</t>
  </si>
  <si>
    <t>Károly utca 2. üzletsor felújítása</t>
  </si>
  <si>
    <t>Halmy J. téri üzlet felújítása</t>
  </si>
  <si>
    <t>181/2017(VI.29) nagyméretű műfüves pálya:önrész</t>
  </si>
  <si>
    <t>264/2017(XII.14.) kézilabda munkacsarnokhoz hozzájárulás</t>
  </si>
  <si>
    <t>207/2017(IX.19.) 102.j. csatorna rekonstrukció önrész</t>
  </si>
  <si>
    <t>Róder I és a Keresz utca felújítása pályázaton kívüli költségek</t>
  </si>
  <si>
    <t>VEKOP 6.1.1-16 bölcsőde pályázat pályázaton kívüli költségek</t>
  </si>
  <si>
    <t>Grassalkovich Á. I. tetőfelújítáa önrész</t>
  </si>
  <si>
    <t xml:space="preserve">Korcsolyapálya </t>
  </si>
  <si>
    <t>Beruházásokhoz kapcsolódó kertészet (P+R parkolók felújítása)</t>
  </si>
  <si>
    <t>Lakossági faültetés</t>
  </si>
  <si>
    <t>273/2017(XII.14.)határozat alapján AEK kivitelezéséhez</t>
  </si>
  <si>
    <t>AEK többletköltségeik</t>
  </si>
  <si>
    <t>5635/16 hrsz. Terület rendezések és Sportparkok kialakításának tervezése I. ütem (Göci)</t>
  </si>
  <si>
    <t xml:space="preserve">Rendőőrs Alkalmazott Bére </t>
  </si>
  <si>
    <t>Elektromos töltőállomás pályázaton kívüli költsége</t>
  </si>
  <si>
    <t>700 éves Vecsés</t>
  </si>
  <si>
    <t>Közvilágítás 064010</t>
  </si>
  <si>
    <t>Zöldterület kezelés 066010</t>
  </si>
  <si>
    <t>Önkormányzat bevételeinek  cofogonkénti bontása</t>
  </si>
  <si>
    <t>helyiségek tartós bérbeadása</t>
  </si>
  <si>
    <t>1.1.2.1</t>
  </si>
  <si>
    <t>1.1.2.1.1</t>
  </si>
  <si>
    <t>1.1.2.1.2</t>
  </si>
  <si>
    <t xml:space="preserve"> - önkormányzati</t>
  </si>
  <si>
    <t xml:space="preserve"> - egyép építmények bérbeadása (DPMV Zrt.)</t>
  </si>
  <si>
    <t>1.1.2.1.3</t>
  </si>
  <si>
    <t xml:space="preserve"> -LRI telkek bérbeadása</t>
  </si>
  <si>
    <t>lakóingatlan lakbér</t>
  </si>
  <si>
    <t>Önkormányzatok működési támogatása</t>
  </si>
  <si>
    <t>Immateriális javak értékesításe</t>
  </si>
  <si>
    <t>3.11.12</t>
  </si>
  <si>
    <t>Tanulmányi verseny</t>
  </si>
  <si>
    <t xml:space="preserve">Egyéb működési célú kiadások </t>
  </si>
  <si>
    <t>101144 Szenvedélybetegek közösségi alapellátása (kivéve: alacsonyküszöbű ellátás)</t>
  </si>
  <si>
    <t>104043 Család és gyermekjóléti központ</t>
  </si>
  <si>
    <t>104042 Család és gyermekjóléti szolgáltatások</t>
  </si>
  <si>
    <t xml:space="preserve"> - Helyi önkormányzatok előző évi elszám. származó kiadások</t>
  </si>
  <si>
    <t>084031 Civil szervezetek működési támogatása</t>
  </si>
  <si>
    <t>107060 Egyéb szociális pénzbeli és természetbeni ellátások, támogatások</t>
  </si>
  <si>
    <t xml:space="preserve">Egyéb felhalmozási célú kiadások </t>
  </si>
  <si>
    <t xml:space="preserve"> Tartalékok</t>
  </si>
  <si>
    <t>Felhalmozási költségvetési kiadások</t>
  </si>
  <si>
    <t xml:space="preserve">Működési kiadások </t>
  </si>
  <si>
    <t>Lakóingatlan bérbeadása, üzemeltetése</t>
  </si>
  <si>
    <t xml:space="preserve">013350 Az önkormányzati vagyonnal való gazdálkodással kapcsolatos feladatok </t>
  </si>
  <si>
    <t>Nem lakóingatlan bérbeadása, üzemeltetése</t>
  </si>
  <si>
    <t xml:space="preserve">045160  Közutak, hidak, alagutak üzemeltetése, fenntartása </t>
  </si>
  <si>
    <t xml:space="preserve">066020 Város-, községgazdálkodási egyéb szolgáltatások </t>
  </si>
  <si>
    <t xml:space="preserve">081030 Sportlétesítmények, edzőtáborok működtetése és fejlesztése </t>
  </si>
  <si>
    <t xml:space="preserve"> 091212 Sajátos nevelési igényű tanulók nappali rendszerű nevelésének, oktatásának szakmai feladatai 1-4. évfolyamon </t>
  </si>
  <si>
    <t>2018. év utáni szükséglet</t>
  </si>
  <si>
    <t>Futópálya közvilágítás</t>
  </si>
  <si>
    <t>5.2</t>
  </si>
  <si>
    <t>Informatika</t>
  </si>
  <si>
    <t>Kulturális javak ( könyv)</t>
  </si>
  <si>
    <t>Forgatási célú értélpapírok beváltása</t>
  </si>
  <si>
    <t>106010 Lakóingatlan szociális célú bérbeadása, üzemeltetése</t>
  </si>
  <si>
    <t>096025 Munkahelyi étkeztetés köznevelési intézményben</t>
  </si>
  <si>
    <t>Egyéb felhalmozási célú bevételek</t>
  </si>
  <si>
    <r>
      <t xml:space="preserve">I. Működési költségvetési kiadások </t>
    </r>
    <r>
      <rPr>
        <sz val="8"/>
        <rFont val="Times New Roman CE"/>
        <family val="1"/>
        <charset val="238"/>
      </rPr>
      <t>(1.1+…+1.5.)</t>
    </r>
  </si>
  <si>
    <t>Pénzeszközök lekötött betétként elhelyezése</t>
  </si>
  <si>
    <t xml:space="preserve">Felhasz- nálás 2017. XII.31-ig
</t>
  </si>
  <si>
    <t>2018. év</t>
  </si>
  <si>
    <t>2.1.1.1</t>
  </si>
  <si>
    <t>2.1.1.1.1</t>
  </si>
  <si>
    <t>4.2</t>
  </si>
  <si>
    <t>4.3</t>
  </si>
  <si>
    <t>4.4</t>
  </si>
  <si>
    <t>5.1.1.1</t>
  </si>
  <si>
    <t>6.1.1</t>
  </si>
  <si>
    <t>7.1.1</t>
  </si>
  <si>
    <t>7.1.2</t>
  </si>
  <si>
    <t>011130  Önkormányzatok és önkormányzati hivatalok jogalkotó és általános igazgatási tevékenysége</t>
  </si>
  <si>
    <t>1.2.1</t>
  </si>
  <si>
    <t>1.2.1.1</t>
  </si>
  <si>
    <t>1.2.1.1.1</t>
  </si>
  <si>
    <t>4.1.2.1</t>
  </si>
  <si>
    <t>4.2.1.</t>
  </si>
  <si>
    <t>4.2.1.1</t>
  </si>
  <si>
    <t>4.2.1.2</t>
  </si>
  <si>
    <t xml:space="preserve"> Általános tartalékok</t>
  </si>
  <si>
    <t xml:space="preserve"> Működési céltartalék tartalékok</t>
  </si>
  <si>
    <t xml:space="preserve"> Felhalmozási céltartalék tartalékok</t>
  </si>
  <si>
    <t xml:space="preserve"> Szolidalitási hozzájárulás</t>
  </si>
  <si>
    <t xml:space="preserve"> Egyéb elvonások és befizetések</t>
  </si>
  <si>
    <t>5.1.1.</t>
  </si>
  <si>
    <t>5.1.1.1.1</t>
  </si>
  <si>
    <t>5.1.1.1.1.1</t>
  </si>
  <si>
    <t>5.1.1.1.1.2</t>
  </si>
  <si>
    <t xml:space="preserve"> -Német Nemzetiségi ÖK</t>
  </si>
  <si>
    <t xml:space="preserve"> -Cigány Nemzetiségi Önkormányzat</t>
  </si>
  <si>
    <t>5.1.1.2</t>
  </si>
  <si>
    <t>5.1.1.3</t>
  </si>
  <si>
    <t>5.2.1</t>
  </si>
  <si>
    <t>5.2.2</t>
  </si>
  <si>
    <t>5.2.3</t>
  </si>
  <si>
    <t>6.1.2</t>
  </si>
  <si>
    <t>6.1.3</t>
  </si>
  <si>
    <t>7.1.3</t>
  </si>
  <si>
    <t>8.1.1</t>
  </si>
  <si>
    <t>9.1.</t>
  </si>
  <si>
    <t>9.1.1.</t>
  </si>
  <si>
    <t>9.2.</t>
  </si>
  <si>
    <t>9.2.1</t>
  </si>
  <si>
    <t>9.2.2.</t>
  </si>
  <si>
    <t>10.1.1</t>
  </si>
  <si>
    <t>11.1.1</t>
  </si>
  <si>
    <t>11.1.2</t>
  </si>
  <si>
    <t>11.1.3</t>
  </si>
  <si>
    <t>11.1.3.1</t>
  </si>
  <si>
    <t>11.2.1</t>
  </si>
  <si>
    <t>11.2.2</t>
  </si>
  <si>
    <t>11.2.3</t>
  </si>
  <si>
    <t>12.1.1</t>
  </si>
  <si>
    <t>12.1.2</t>
  </si>
  <si>
    <t>12.1.3</t>
  </si>
  <si>
    <t>13.1</t>
  </si>
  <si>
    <t>13.1.1</t>
  </si>
  <si>
    <t>13.1.1.1</t>
  </si>
  <si>
    <t>13.1.1.1.1</t>
  </si>
  <si>
    <t>13.1.1.1.2</t>
  </si>
  <si>
    <t>13.1.1.1.1.1</t>
  </si>
  <si>
    <t>13.1.1.1.1.2</t>
  </si>
  <si>
    <t>13.1.1.1.1.3</t>
  </si>
  <si>
    <t>13.1.1.1.1.4</t>
  </si>
  <si>
    <t>13.1.1.1.1.5</t>
  </si>
  <si>
    <t>13.1.1.1.1.6</t>
  </si>
  <si>
    <t>13.1.1.1.1.7</t>
  </si>
  <si>
    <t>13.1.1.1.1.8</t>
  </si>
  <si>
    <t>13.1.1.1.1.9</t>
  </si>
  <si>
    <t>13.1.1.1.1.10</t>
  </si>
  <si>
    <t>13.1.1.1.2.1</t>
  </si>
  <si>
    <t>13.1.1.1.2.1.1</t>
  </si>
  <si>
    <t>13.1.1.1.2.1.2</t>
  </si>
  <si>
    <t>13.1.1.1.2.2</t>
  </si>
  <si>
    <t>13.1.1.1.2.3</t>
  </si>
  <si>
    <t>13.1.1.1.2.3.1</t>
  </si>
  <si>
    <t>13.1.1.1.3</t>
  </si>
  <si>
    <t>13.1.1.1.3.1</t>
  </si>
  <si>
    <t>13.1.1.1.3.2</t>
  </si>
  <si>
    <t>13.1.1.1.3.3</t>
  </si>
  <si>
    <t>13.1.1.1.3.4</t>
  </si>
  <si>
    <t>13.1.1.1.3.3.1</t>
  </si>
  <si>
    <t>13.1.1.1.3.3.2</t>
  </si>
  <si>
    <t>13.1.1.1.3.5</t>
  </si>
  <si>
    <t>13.1.1.1.3.6</t>
  </si>
  <si>
    <t>13.1.1.1.3.7</t>
  </si>
  <si>
    <t>13.1.1.1.3.8</t>
  </si>
  <si>
    <t>13.1.1.1.3.9</t>
  </si>
  <si>
    <t>13.2</t>
  </si>
  <si>
    <t>13.2.1</t>
  </si>
  <si>
    <t>13.2.1.1</t>
  </si>
  <si>
    <t>13.2.1.1.1</t>
  </si>
  <si>
    <t>14.1.1.</t>
  </si>
  <si>
    <t>15.1.</t>
  </si>
  <si>
    <t>15.1.1</t>
  </si>
  <si>
    <t>15.1.1.1.</t>
  </si>
  <si>
    <t>15.1.1.2.</t>
  </si>
  <si>
    <t>16.1.</t>
  </si>
  <si>
    <t>16.1.1</t>
  </si>
  <si>
    <t>16.1.1.1</t>
  </si>
  <si>
    <t>16.1.1.2</t>
  </si>
  <si>
    <t>17.1</t>
  </si>
  <si>
    <t>17.1.1</t>
  </si>
  <si>
    <t>17.1.1.1</t>
  </si>
  <si>
    <t>17.1.1.1.1</t>
  </si>
  <si>
    <t>18.1.</t>
  </si>
  <si>
    <t>18.1.1</t>
  </si>
  <si>
    <t>18.1.1.1.</t>
  </si>
  <si>
    <t>18.1.1.1.1</t>
  </si>
  <si>
    <t>19.1</t>
  </si>
  <si>
    <t>19.1.1</t>
  </si>
  <si>
    <t>19.1.1.1.</t>
  </si>
  <si>
    <t>19.1.1.1.1</t>
  </si>
  <si>
    <t>20.1.</t>
  </si>
  <si>
    <t>20.1.1</t>
  </si>
  <si>
    <t>21.1</t>
  </si>
  <si>
    <t>21.1.1</t>
  </si>
  <si>
    <t>21.1.1.1</t>
  </si>
  <si>
    <t>21.1.1.2</t>
  </si>
  <si>
    <t>21.1.1.3</t>
  </si>
  <si>
    <t>22.1.</t>
  </si>
  <si>
    <t>22.1.1</t>
  </si>
  <si>
    <t>22.1.1.1</t>
  </si>
  <si>
    <t>22.1.1.2</t>
  </si>
  <si>
    <t>22.1.1.3</t>
  </si>
  <si>
    <t>22.2.</t>
  </si>
  <si>
    <t>22.2.1</t>
  </si>
  <si>
    <t>22.2.2</t>
  </si>
  <si>
    <t>22.2.3</t>
  </si>
  <si>
    <t>22.3.1</t>
  </si>
  <si>
    <t>22.3.1.1</t>
  </si>
  <si>
    <t>Létszám összesen:</t>
  </si>
  <si>
    <t xml:space="preserve">900060   Forgatási és befektetési célú finanszírozási műveletek </t>
  </si>
  <si>
    <t xml:space="preserve">900020   Önkormányzatok funkcióira nem sorolható bevételei államháztartáson kívülről </t>
  </si>
  <si>
    <t xml:space="preserve"> 013350   Önkormányzati vagyonnal való gazdálkodással kapcsolatos feladatok </t>
  </si>
  <si>
    <t xml:space="preserve">018010   Önkormányzatok elszámolásai a központi költségvetéssel </t>
  </si>
  <si>
    <t xml:space="preserve">061030   Lakáshoz jutást segítő támogatások </t>
  </si>
  <si>
    <t>1.1.4.1</t>
  </si>
  <si>
    <t>1.1.4.1.1</t>
  </si>
  <si>
    <t>1.1.4.1.2</t>
  </si>
  <si>
    <t>018010   Önkormányzatok elszámolásai a központi költségvetéssel</t>
  </si>
  <si>
    <t xml:space="preserve">018020   Központi költségvetési befizetések  </t>
  </si>
  <si>
    <t>018030   Támogatási célú finanszírozási műveletek</t>
  </si>
  <si>
    <t xml:space="preserve">041233    Hosszabb időtartamú közfoglalkoztatás </t>
  </si>
  <si>
    <t xml:space="preserve">045120  Út, autópálya építése </t>
  </si>
  <si>
    <t>2016. évi tényadatok</t>
  </si>
  <si>
    <t>2017. évi várható</t>
  </si>
  <si>
    <t>Önkormányzat kiadásainak cofogonkénti bontása</t>
  </si>
  <si>
    <t xml:space="preserve">Vecsés Város Önkormányzat 2018. évi kötelező feladatai ellátásának költségvetési forrásai és kiadásai </t>
  </si>
  <si>
    <t>Kötelező feladatok
(Mötv. 13. § (1) bekezdés alapján)</t>
  </si>
  <si>
    <t>Feladatmutató 2013. évi
értéke</t>
  </si>
  <si>
    <t xml:space="preserve">Költségvetési kiadási előirányzat                         </t>
  </si>
  <si>
    <t xml:space="preserve">Költségvetési bevételi előirányzat                           </t>
  </si>
  <si>
    <t>A helyi önkormányzatok, helyi nemzetiségi önkormányzatok általános működéséhez és ágazati feladataihoz kapcsolódó támogatások</t>
  </si>
  <si>
    <t>A központi költségvetésből származó egyéb költségvetési támogatások</t>
  </si>
  <si>
    <t>Saját bevétel</t>
  </si>
  <si>
    <t>Támogatás Áht-n belülről</t>
  </si>
  <si>
    <t>Átvett pénzeszköz</t>
  </si>
  <si>
    <t>Önkormányzati hozzájárulás</t>
  </si>
  <si>
    <t>Intézményi működési bevétel</t>
  </si>
  <si>
    <t>Működési célú</t>
  </si>
  <si>
    <t>Felhalmozási célú</t>
  </si>
  <si>
    <t>Településfejlesztés</t>
  </si>
  <si>
    <t>Településrendezés</t>
  </si>
  <si>
    <t>Településüzemeltetés</t>
  </si>
  <si>
    <t xml:space="preserve">  Köztemetők kialakítása és fenntartása</t>
  </si>
  <si>
    <t xml:space="preserve">  Közvilágításról való gondoskodás</t>
  </si>
  <si>
    <t xml:space="preserve">  Kéményseprő-ipari szolgáltatás biztosítása</t>
  </si>
  <si>
    <t xml:space="preserve">  A helyi közutak és tartozékainak kialakítása és fenntartása</t>
  </si>
  <si>
    <t xml:space="preserve">  Közparkok és egyéb közterületek kialakítása és fenntartása</t>
  </si>
  <si>
    <t>Egészségügyi alapellátás</t>
  </si>
  <si>
    <t>Az egészséges életmód segítését célzó szolgáltatások</t>
  </si>
  <si>
    <t>Környezet-egészségügy</t>
  </si>
  <si>
    <t xml:space="preserve">  Rovar-és rágcsáróírtás</t>
  </si>
  <si>
    <t>Óvodai ellátás</t>
  </si>
  <si>
    <t>Kulturális szolgáltatás</t>
  </si>
  <si>
    <t xml:space="preserve">  Nyilvános könyvtári ellátás biztosítása</t>
  </si>
  <si>
    <t xml:space="preserve">  A helyi közművelődési tevékenység támogatása</t>
  </si>
  <si>
    <t>Szociális, gyermekjóléti szolgáltatások és ellátások</t>
  </si>
  <si>
    <t>Bölcsödei ellátás</t>
  </si>
  <si>
    <t>Idősek gondozása</t>
  </si>
  <si>
    <t>Családsegítő-, és gyermekjóléti szolgálat</t>
  </si>
  <si>
    <t>Étkeztetés</t>
  </si>
  <si>
    <t>Pénzbeli szociális ellátások</t>
  </si>
  <si>
    <t>Lakás-és helyiséggazdálkodás</t>
  </si>
  <si>
    <t>A területén hajléktalanná vált személyek ellátásának és rehabilitációjának, valamint a hajléktalanná válás megelőzésének biztosítása</t>
  </si>
  <si>
    <t>Helyi környezet-és természetvédelem</t>
  </si>
  <si>
    <t>Vízgazdálkodás</t>
  </si>
  <si>
    <t>Vízkárelhárítás</t>
  </si>
  <si>
    <t>Honvédelem</t>
  </si>
  <si>
    <t>Polgári védelem</t>
  </si>
  <si>
    <t>Katasztrófavédelem</t>
  </si>
  <si>
    <t>Helyi közfoglalkoztatás</t>
  </si>
  <si>
    <t>Helyi adóval, gazdaságszervezéssel és a turizmussal kapcsolatos feladatok</t>
  </si>
  <si>
    <t>A kistermelők, őstermelők számára értékesítési lehetőségeinek biztosítása, ideértve a hétvégi árusítás lehetőségét is</t>
  </si>
  <si>
    <t>Sport, ifjúsági ügyek</t>
  </si>
  <si>
    <t>Nemzetiségi ügyek</t>
  </si>
  <si>
    <t>Közreműködés a település közbiztonságának biztosításában</t>
  </si>
  <si>
    <t>Helyi közösségi közlekedés biztosítása</t>
  </si>
  <si>
    <t>Hulladékgazdálkodás</t>
  </si>
  <si>
    <t>Távhőszolgáltatás</t>
  </si>
  <si>
    <t>Víziközmű szolgáltatás</t>
  </si>
  <si>
    <t>Polgármesteri hivatal működtetése</t>
  </si>
  <si>
    <t xml:space="preserve">Vecsés Város Önkormányzat önként vállalt feladatai ellátásának költségvetési forrásai és kiadásai </t>
  </si>
  <si>
    <t xml:space="preserve">Önként vállalt feladatok                                                                    </t>
  </si>
  <si>
    <t>Egészségügyi szakellátás (Egészségügyi Szolgálat)</t>
  </si>
  <si>
    <t>Jelzőrendszeres házi segítségnyújtás (Gondozási Központ)</t>
  </si>
  <si>
    <t>Sérült gyerekek oktatásához hozzájárulás (Önkormányzat)</t>
  </si>
  <si>
    <t>Alapítványok támogatása (Önkormányzat)</t>
  </si>
  <si>
    <t>Társadalmi szervek támogatása (Önkormányzat)</t>
  </si>
  <si>
    <t>Egyéb támogatások (Önkormányzat)</t>
  </si>
  <si>
    <t>Hitelekkel kapcsolatos költségek (Önkormányzat)</t>
  </si>
  <si>
    <t>Banki egyéb költségek (Önkormányzat)</t>
  </si>
  <si>
    <t>Általános tartalék (Önkormányzat)</t>
  </si>
  <si>
    <t>Működési céltartalék (Önkormányzat)</t>
  </si>
  <si>
    <t>Felhalmozási céltartalék (Önkormányzat)</t>
  </si>
  <si>
    <t>Felújítások (Önkormányzat)</t>
  </si>
  <si>
    <t>Beruházások (Önkormányzat)</t>
  </si>
  <si>
    <t>Beruházások (Polgármesteri Hivatal)</t>
  </si>
  <si>
    <t>1.3+1.4+1.5</t>
  </si>
  <si>
    <t>tényleges</t>
  </si>
  <si>
    <t>Kiadás összesen:</t>
  </si>
  <si>
    <t>Feladatalapú támogatás+központosított támogatás</t>
  </si>
  <si>
    <t>Működési támogatás ÁHT-n belül</t>
  </si>
  <si>
    <t>Felhalmozási támogatás ÁHT-n belül</t>
  </si>
  <si>
    <t>Bevétel összesen:</t>
  </si>
  <si>
    <t>Vecsés Város Önkormányzat államigazgatási feladatai</t>
  </si>
  <si>
    <t>Ezer Ft</t>
  </si>
  <si>
    <t>Államigazgatási feladatok 
(Mötv. 18. § alapján)</t>
  </si>
  <si>
    <t xml:space="preserve">Polgármesteri Hivatal Igazgatási kiadásai </t>
  </si>
  <si>
    <t>Beruházások ( Intézmények)</t>
  </si>
  <si>
    <t>Felújítások (Intézmények)</t>
  </si>
  <si>
    <t>Felújítások (Polgármesteri Hivatal)</t>
  </si>
  <si>
    <t>22.3.</t>
  </si>
  <si>
    <t>Szenvedélybetegek közösségi alapellátása</t>
  </si>
  <si>
    <t xml:space="preserve">Költségvetési szerv </t>
  </si>
  <si>
    <t>Bevétel</t>
  </si>
  <si>
    <t>Kiadás</t>
  </si>
  <si>
    <t>Vecsés Város Önkormányzat és költségvetési szerveinek kötelező-, önként vállalt-, és államigazgatási feladatainak bevételei és kiadásai</t>
  </si>
  <si>
    <t xml:space="preserve">  Köztisztaság, települési környezet tisztaságának biztosítása</t>
  </si>
  <si>
    <t>Képviselő-testület működtetése</t>
  </si>
  <si>
    <t>Működési célú (NEAK is)</t>
  </si>
  <si>
    <t>Előző évi maradvány igénybevétele</t>
  </si>
  <si>
    <t>Önkormányzat</t>
  </si>
  <si>
    <t>Korrekció ( intézményi finanszírozás)</t>
  </si>
  <si>
    <t>Kötelező, önkénváll, állig összesen:</t>
  </si>
  <si>
    <t>2. számú melléklet összesen:</t>
  </si>
  <si>
    <t>1.17</t>
  </si>
  <si>
    <t>Róder Imre u. és Kereszt u pályázati önrész és kapott támogatás</t>
  </si>
  <si>
    <t>Elektromos töltőállomás pályázati önrész + támogatási előleg</t>
  </si>
  <si>
    <t>Óvodai és iskolai utánpótlás sport feljesztés MÁK támogatás</t>
  </si>
  <si>
    <t>Gyáli patak melletti futópálya önrész</t>
  </si>
  <si>
    <t>VEKOP-6.1.1-15-PT1-2016-00049 Bölcsőde támogatási előleg + kamat</t>
  </si>
  <si>
    <t>AEK 2017. évben a 1818/2016 (XII.22.) Kormányhatározat alapján  megkapott támogatás + kamat</t>
  </si>
  <si>
    <t>Nenzetiségi Önkormányzatok támogatása</t>
  </si>
  <si>
    <t>Térfigyelő rendszer működtetése, őrzési feladatok</t>
  </si>
  <si>
    <t>Karácsonyi díszvilágítás</t>
  </si>
  <si>
    <t>Városüzemeltetés egyéb feladatai:</t>
  </si>
  <si>
    <t>Belföldi értékpapírok vásárlása</t>
  </si>
  <si>
    <t>Értékpapírok beváltása</t>
  </si>
  <si>
    <t>2. számú melléklet szerinti bevétel</t>
  </si>
  <si>
    <t>1.3. számú melléklet összesen:</t>
  </si>
  <si>
    <t xml:space="preserve">1.4. sz </t>
  </si>
  <si>
    <t xml:space="preserve">1.5. sz </t>
  </si>
  <si>
    <t>Banki költségek</t>
  </si>
  <si>
    <t>"Vecsés Város Legjobb Bora"  vásárlás (50 palack) 16/2018. (I.30.) hat.</t>
  </si>
  <si>
    <t xml:space="preserve">Egyéb működési célú támogatások  intézményeknél  </t>
  </si>
  <si>
    <t xml:space="preserve">Egyéb működési célú támogatások  intézményeknél </t>
  </si>
  <si>
    <t xml:space="preserve">082044  Könyvtári szolgáltatások                </t>
  </si>
  <si>
    <t xml:space="preserve">Irányító szervi  támogatás </t>
  </si>
  <si>
    <t xml:space="preserve">Irányító szervi támogatás </t>
  </si>
  <si>
    <t>Irányító szervi  támogatás</t>
  </si>
  <si>
    <t xml:space="preserve"> Kötelező feladatok</t>
  </si>
  <si>
    <t>Önként vállalat feladatok</t>
  </si>
  <si>
    <t>Egyéb működési célú támogatások  intézményeknél</t>
  </si>
  <si>
    <t xml:space="preserve">Óvodai nevelés                                                        </t>
  </si>
  <si>
    <t xml:space="preserve">900060  Forgatási és befektetési célú finanszírozási műveletek </t>
  </si>
  <si>
    <t>Működési célú kiadás Társulásnak, Nemzetiségi Önkormányzatoknak</t>
  </si>
  <si>
    <t>Működési célú kiadás Társulásnak</t>
  </si>
  <si>
    <t xml:space="preserve">Működési célú kiadás Társulásnak </t>
  </si>
  <si>
    <t xml:space="preserve">Óvodai nevelés                                    </t>
  </si>
  <si>
    <t xml:space="preserve">Óvodai nevelés                                                       </t>
  </si>
  <si>
    <t xml:space="preserve"> Államigazgatási feladatok</t>
  </si>
  <si>
    <t xml:space="preserve">Óvodai nevelés                                                    </t>
  </si>
  <si>
    <t>Közétkeztetés</t>
  </si>
  <si>
    <t>Bölcsődei ellátás</t>
  </si>
  <si>
    <t>Bálint Ágnes Kultúrális Központ</t>
  </si>
  <si>
    <t xml:space="preserve">091110                                                               Óvodai nevelés, ellátás szakmai feladatai                 </t>
  </si>
  <si>
    <t xml:space="preserve">096015                                                        Gyermekétkeztetés köznevelési intézményben              </t>
  </si>
  <si>
    <t xml:space="preserve">091110                                                                     Óvodai nevelés, ellátás szakmai feladatai                 </t>
  </si>
  <si>
    <t>900020                                                               Önk.funkcióira nem sorolható</t>
  </si>
  <si>
    <t>104037                                                         Intézményen kívüli gyermekétkeztetés</t>
  </si>
  <si>
    <t>I.világháborús hadisírok felúj.Pályázat</t>
  </si>
  <si>
    <t xml:space="preserve">VEKOP 6.1.1-16 bölcsőde pályázat </t>
  </si>
  <si>
    <t>Mentőállomás és Alapell.Kp.Pályázat</t>
  </si>
  <si>
    <t>1.1.13</t>
  </si>
  <si>
    <t>Útfelúj.Pályázat Eötvös u. Önrész</t>
  </si>
  <si>
    <t>1.1.15</t>
  </si>
  <si>
    <t>1.1.16</t>
  </si>
  <si>
    <t>1.1.17</t>
  </si>
  <si>
    <t>NFM Sporteszközök Önrész</t>
  </si>
  <si>
    <t>Gyáli-patak mentén Futópálya</t>
  </si>
  <si>
    <t>0202/1 hrsz. Útépítés Előkészitése</t>
  </si>
  <si>
    <t>Sport célú fejlesztések</t>
  </si>
  <si>
    <t>Ph. Felújítása</t>
  </si>
  <si>
    <t>Ph. Kazánház beázás megszűntetése</t>
  </si>
  <si>
    <t>2.14</t>
  </si>
  <si>
    <t>2.15</t>
  </si>
  <si>
    <t>2.16</t>
  </si>
  <si>
    <t>2.17</t>
  </si>
  <si>
    <t>2.18</t>
  </si>
  <si>
    <t>2.19</t>
  </si>
  <si>
    <t>2.20</t>
  </si>
  <si>
    <t>2.21</t>
  </si>
  <si>
    <t>Gyalogos átjáró híd a Gyáli-patak felett</t>
  </si>
  <si>
    <t>Új Bölcsőde kerítés</t>
  </si>
  <si>
    <t>Mentőállomás és Alapell.Kp.Hátsó kerítés</t>
  </si>
  <si>
    <t>Lórántffíy u. Épület Bontása</t>
  </si>
  <si>
    <t>Új Bölcsőde Napelem terv és kivitelezés</t>
  </si>
  <si>
    <t>Elektromos töltőállomás pályázat</t>
  </si>
  <si>
    <t>Norvég Pályázat</t>
  </si>
  <si>
    <t>ASP Pályázat</t>
  </si>
  <si>
    <t>Sulpiter Pályázat</t>
  </si>
  <si>
    <t>Kompenzációs előleg</t>
  </si>
  <si>
    <t>Hungarocontroll Kúlturális rend.támogatás</t>
  </si>
  <si>
    <t>GDPR-el kapcsolatos költségek</t>
  </si>
  <si>
    <t>Nyári szociális gyermekétkeztetés</t>
  </si>
  <si>
    <t>3.35</t>
  </si>
  <si>
    <t>Vecsés Város Kultúrtört.Könyv</t>
  </si>
  <si>
    <t>195/2017.(VI.25) hat. Facsemeték lakossági vás.Környv.alap</t>
  </si>
  <si>
    <t>3.36</t>
  </si>
  <si>
    <t>Jégpálya Bérlet és üzemeltetési ktg.</t>
  </si>
  <si>
    <t>3.37</t>
  </si>
  <si>
    <t>3.38</t>
  </si>
  <si>
    <t>Csals.2017.évi Tábor keretből Épület karb. Fordítható</t>
  </si>
  <si>
    <t>MÁK Állami pénzek miatt</t>
  </si>
  <si>
    <t>Kisegitő Iskola</t>
  </si>
  <si>
    <t>Róder Imre és Kereszt u. Felúj.</t>
  </si>
  <si>
    <t>János u. Útburkolat Felúj.</t>
  </si>
  <si>
    <t>Pet.isk. Elektromos Felúj.</t>
  </si>
  <si>
    <t>Fal.óv. Udvari drótkerítés</t>
  </si>
  <si>
    <t>Gondozási Kp. Lépcsős kij.ép.</t>
  </si>
  <si>
    <t>Konyha Világítás korsz.pály.</t>
  </si>
  <si>
    <t>Konyha betáp.kábel csere</t>
  </si>
  <si>
    <t>1.18</t>
  </si>
  <si>
    <t>Ph Titkárság felúj.</t>
  </si>
  <si>
    <t>Konyha vízszigetelés felúj.</t>
  </si>
  <si>
    <t>Ph. Ép.építés és karb.munkák</t>
  </si>
  <si>
    <t>Ph. Titkárság helyreáll.és Teakonyha</t>
  </si>
  <si>
    <t>1.19</t>
  </si>
  <si>
    <t>1.20</t>
  </si>
  <si>
    <t>1.21</t>
  </si>
  <si>
    <t>1.22</t>
  </si>
  <si>
    <t>1.23</t>
  </si>
  <si>
    <t>1.24</t>
  </si>
  <si>
    <t>Vetüsz Orvosi rendelővé alakítása</t>
  </si>
  <si>
    <t>Tündérkert Óv. Kerítés javítás</t>
  </si>
  <si>
    <t>Halmi i. Riasztó rendszer</t>
  </si>
  <si>
    <t xml:space="preserve">Fő út 112 Keringető szivattyú </t>
  </si>
  <si>
    <t>Róder Imre és Kereszt u. Tolózár csere</t>
  </si>
  <si>
    <t>Gondozási Kp. Cirkó panel csere</t>
  </si>
  <si>
    <t>1.25</t>
  </si>
  <si>
    <t>1.26</t>
  </si>
  <si>
    <t>1.27</t>
  </si>
  <si>
    <t>1.28</t>
  </si>
  <si>
    <t>1.29</t>
  </si>
  <si>
    <t>Ph belső udv.térkő,csat.beköt.</t>
  </si>
  <si>
    <t>BÁKK szinházterem padozat felúj.</t>
  </si>
  <si>
    <t>Jókai Szab.Színpad felúj.</t>
  </si>
  <si>
    <t>DPMV Házi kisátemelő csere</t>
  </si>
  <si>
    <t>Víztározó burkolat felúj.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</si>
  <si>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</si>
  <si>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</si>
  <si>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</si>
  <si>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</si>
  <si>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</si>
  <si>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</si>
  <si>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</si>
  <si>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</si>
  <si>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</si>
  <si>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</si>
  <si>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Róder Imre és Kereszt u. Ivóvízhálózat rekonstr.</t>
  </si>
  <si>
    <t>Csals.Nagykapu csere</t>
  </si>
  <si>
    <t>Mos.óv. Laminált parketta</t>
  </si>
  <si>
    <t>Pet.isk. Hátsó udv.ker.felúj.</t>
  </si>
  <si>
    <t>Andr.isk. Lámpatestek csere</t>
  </si>
  <si>
    <t>Andr.isk. Bej.előtti burkolat csere</t>
  </si>
  <si>
    <t>Halmi isk. Szellőző mot.felúj.</t>
  </si>
  <si>
    <t>Halmi isk. Fek.mosogató csempézés</t>
  </si>
  <si>
    <t>Halmi isk. Álemnnyezet csere</t>
  </si>
  <si>
    <t>Halmi isk. Gond.lak. Terasz burkolás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</si>
  <si>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</si>
  <si>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</si>
  <si>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</si>
  <si>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</si>
  <si>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</si>
  <si>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</si>
  <si>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</si>
  <si>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</si>
  <si>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</si>
  <si>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</si>
  <si>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Fal.óv. Udvari ker. felúj.</t>
  </si>
  <si>
    <t>Tünd.óv. Kerítés felúj.</t>
  </si>
  <si>
    <t>Konyha tésztaraktár burkolás</t>
  </si>
  <si>
    <t>Csals.kerítés felúj.</t>
  </si>
  <si>
    <t>Gondozási Kp. Ebédlő burkolás</t>
  </si>
  <si>
    <t>Ph. Belső ajtók cseréje</t>
  </si>
  <si>
    <t>Ph. Parkettázás, ajtótok</t>
  </si>
  <si>
    <t>066020</t>
  </si>
  <si>
    <t>045120</t>
  </si>
  <si>
    <t>064010</t>
  </si>
  <si>
    <t>081030</t>
  </si>
  <si>
    <t>096015</t>
  </si>
  <si>
    <t>096025</t>
  </si>
  <si>
    <t>Változás</t>
  </si>
  <si>
    <t>Lakótelepi Belső Járda</t>
  </si>
  <si>
    <t>Kikindai u. Járdaépítés</t>
  </si>
  <si>
    <t>Dózsa Gy.u. Járdaépítés</t>
  </si>
  <si>
    <t>Arany J.u. gyalogos híd terv</t>
  </si>
  <si>
    <t>Sportpálya Elektromos vízmelegitő</t>
  </si>
  <si>
    <t>Halmi isk. Konyha éttermi asztal</t>
  </si>
  <si>
    <t xml:space="preserve">Csapadékvíz elvezetési munkálatok </t>
  </si>
  <si>
    <t xml:space="preserve">Útépítések, közutak, járdák </t>
  </si>
  <si>
    <t>Kossuth L.u.36 Ép.eng.kiv.terv</t>
  </si>
  <si>
    <t>30 db Roll-up</t>
  </si>
  <si>
    <t xml:space="preserve">Szivattyúk,átemelők </t>
  </si>
  <si>
    <t>Halmi isk. 4 tanteremmel bővítése</t>
  </si>
  <si>
    <t>Temető kerítés</t>
  </si>
  <si>
    <t>Lakótelepi Focipálya tároló-öltöző</t>
  </si>
  <si>
    <t>4.5</t>
  </si>
  <si>
    <t>Halmi isk. Konyha eszközök</t>
  </si>
  <si>
    <t>4.6</t>
  </si>
  <si>
    <t>Kp.Konyha Új légkezelő berend.</t>
  </si>
  <si>
    <t>1 db kerékpártároló</t>
  </si>
  <si>
    <t>4.7</t>
  </si>
  <si>
    <t>Ph. Hangosító, videó eszköz</t>
  </si>
  <si>
    <t>4.8</t>
  </si>
  <si>
    <t>Ph. Új bútorok</t>
  </si>
  <si>
    <t>Dózsa Gy.u. 52 kerítés építés</t>
  </si>
  <si>
    <t>Mentő és Alapell.Kp. Hidraulikai felülvizsg.</t>
  </si>
  <si>
    <t>4.9</t>
  </si>
  <si>
    <t>Fő út 192 bojler</t>
  </si>
  <si>
    <t>Anna u. 5 Vízbekötés</t>
  </si>
  <si>
    <t>4.10</t>
  </si>
  <si>
    <t>Kálmán u. 4. bojler</t>
  </si>
  <si>
    <t>4.11</t>
  </si>
  <si>
    <t>Dózsa Gy.u.35 gáztűzhely</t>
  </si>
  <si>
    <t>Focikapu pótlás</t>
  </si>
  <si>
    <t>Kossuth L.u.36 Épités</t>
  </si>
  <si>
    <t>AEG Akkus furó</t>
  </si>
  <si>
    <t>Fuvógép</t>
  </si>
  <si>
    <t>4919/1.hrsz. Dózsa Gy.48 kisajátitás</t>
  </si>
  <si>
    <t>Lörinci út áteresz építése</t>
  </si>
  <si>
    <t>4.12</t>
  </si>
  <si>
    <t>Andr.i. előtti kerti butorok</t>
  </si>
  <si>
    <t>Pecsétnyomó</t>
  </si>
  <si>
    <t>4.13</t>
  </si>
  <si>
    <t>4.14</t>
  </si>
  <si>
    <t>Ph HK klimatizálása kiépítése</t>
  </si>
  <si>
    <t>Ph irodák butorozása</t>
  </si>
  <si>
    <t>Mobilgarázs</t>
  </si>
  <si>
    <t>Szusszanó ülőpad</t>
  </si>
  <si>
    <t>1.vízbázis frekvenciaváltó</t>
  </si>
  <si>
    <t>Fűszegélyvágó</t>
  </si>
  <si>
    <t>Halmi tér kézilabda csarnok</t>
  </si>
  <si>
    <t>4.15</t>
  </si>
  <si>
    <t>Konyha udvari csatorna</t>
  </si>
  <si>
    <t>12.2.1</t>
  </si>
  <si>
    <t>12.2.3</t>
  </si>
  <si>
    <t>12.2.2</t>
  </si>
  <si>
    <t>15.2.</t>
  </si>
  <si>
    <t>15.2.1</t>
  </si>
  <si>
    <t>15.2.2</t>
  </si>
  <si>
    <t>15.2.3</t>
  </si>
  <si>
    <t>16.2.</t>
  </si>
  <si>
    <t>16.2.1</t>
  </si>
  <si>
    <t>16.2.2</t>
  </si>
  <si>
    <t>16.2.3</t>
  </si>
  <si>
    <t>2.3.1.4.</t>
  </si>
  <si>
    <t>Kamatbevételek és más nyereségjellegű bevételek</t>
  </si>
  <si>
    <t>2.1.1.2</t>
  </si>
  <si>
    <t>Egyéb működési célú támogatások államháztartáson belülről</t>
  </si>
  <si>
    <t>2.3.1.3.</t>
  </si>
  <si>
    <t>Előző évi költségvetési maradvány igénybevétele</t>
  </si>
  <si>
    <t>031030 Közterület rendjének fenntartása</t>
  </si>
  <si>
    <t>Felhalmozási  célú átvett pénzeszközök</t>
  </si>
  <si>
    <t>Áfa visszatérülés</t>
  </si>
  <si>
    <t>Tulajdonosi bevételek /osztalék/</t>
  </si>
  <si>
    <t>Működési célú kiadások központi költségvetési szervnek</t>
  </si>
  <si>
    <t>Működési célú kiadások Fejezeti kez.Előirányzatnak</t>
  </si>
  <si>
    <t>Működési célú kiadások helyi nemzetiségi önkormányzatoknak</t>
  </si>
  <si>
    <t>Egyéb pe. Átadás Vecsési Városgondnok Nonpr.Kft.</t>
  </si>
  <si>
    <t>Honismereti Kör</t>
  </si>
  <si>
    <t>Vecsési Hagyományőrző Zeneegyesület</t>
  </si>
  <si>
    <t>VSE Kézilabda Szakosztály</t>
  </si>
  <si>
    <t>I.sz.Nyugdíjas Klub</t>
  </si>
  <si>
    <t>II.sz.Nyugdíjas Klub</t>
  </si>
  <si>
    <t>III.sz.Nyugdíjas Klub</t>
  </si>
  <si>
    <t>Concertó Harmonico</t>
  </si>
  <si>
    <t>Dél-pesti ILCO Club</t>
  </si>
  <si>
    <t>Rosmarein Táncegyesület</t>
  </si>
  <si>
    <t>Lumpen-Klumpen Tánccsoport</t>
  </si>
  <si>
    <t>Balla Péter Népdalkör H.E.</t>
  </si>
  <si>
    <t>Break Tánc</t>
  </si>
  <si>
    <t>Városi Nemzeti Szövetség</t>
  </si>
  <si>
    <t>Mozgássérültek Budapesti Egy. Vecsési Szerv.</t>
  </si>
  <si>
    <t>Megmaradunk 3000 Al.</t>
  </si>
  <si>
    <t>Dinoszaurusz Band</t>
  </si>
  <si>
    <t>Vecsési Óváros Plébánia</t>
  </si>
  <si>
    <t>VFC Oldboys Csapat</t>
  </si>
  <si>
    <t>Pet.S.Róm.Kat. Ált.Iskola és Gimnázium</t>
  </si>
  <si>
    <t>Vecsési Gaszto KFt.</t>
  </si>
  <si>
    <t>Varsa Mátyás Előadás</t>
  </si>
  <si>
    <t>Vecsési Református Egyházközség</t>
  </si>
  <si>
    <t>Rákóczi Ferenc Szöv.Ösztöndíj Program</t>
  </si>
  <si>
    <t>Diák Művészeti Csoport</t>
  </si>
  <si>
    <t>Hulladékkommandó Települési Járőrszolgálat</t>
  </si>
  <si>
    <t>VSE Ritmikus Gimnasztika Szakosztály</t>
  </si>
  <si>
    <t>Maroshévizi Fitnness Iskola SE</t>
  </si>
  <si>
    <t>Vecsési Bárka Paptista Gyülekezet</t>
  </si>
  <si>
    <t>Vecsés VárosKp. Fejl.Nonprofit Kft</t>
  </si>
  <si>
    <t>Kátyúkár Lakosságnak</t>
  </si>
  <si>
    <t>Játékszín Nonprofit Kft.</t>
  </si>
  <si>
    <t>Osterball Bál Illés Mihály</t>
  </si>
  <si>
    <t>Sváb Fesztivál</t>
  </si>
  <si>
    <t>Moto-Rock Fesztivál</t>
  </si>
  <si>
    <t>Magyar Muaythai Orsz.Szöv.</t>
  </si>
  <si>
    <t>Köztemetés</t>
  </si>
  <si>
    <t>Járadék</t>
  </si>
  <si>
    <t>Forgatási célú értélpapírok vásárlása</t>
  </si>
  <si>
    <t>Hitel-kölcsöntörlesztés államháztartáson kivülre</t>
  </si>
  <si>
    <t>104036                                                                     Munkahelyi étkeztetés bölcsődében</t>
  </si>
  <si>
    <t>Irodabútor</t>
  </si>
  <si>
    <t>6.4</t>
  </si>
  <si>
    <t>Notebook virusírtóval</t>
  </si>
  <si>
    <t>Csoportszobák árnyékolása</t>
  </si>
  <si>
    <t>Sütő-főző berendezések</t>
  </si>
  <si>
    <t>Gázüzemű főzőüst</t>
  </si>
  <si>
    <t>5.1.2.</t>
  </si>
  <si>
    <t>5.1.3.</t>
  </si>
  <si>
    <t>5.1.4.</t>
  </si>
  <si>
    <t>5.2.2.</t>
  </si>
  <si>
    <t>5.2.3.</t>
  </si>
  <si>
    <t>5.2.4.</t>
  </si>
  <si>
    <t>Egyéb kisértékű gép berendezés</t>
  </si>
  <si>
    <t>Konyhai elszívó</t>
  </si>
  <si>
    <t>Beltéri árnyékoló</t>
  </si>
  <si>
    <t>Árnyékoló ablakokra</t>
  </si>
  <si>
    <t>Egyéb kisért.inform.eszköz</t>
  </si>
  <si>
    <t>Fali rack,switch</t>
  </si>
  <si>
    <t>ASP miatti inf.eszköz</t>
  </si>
  <si>
    <t>Számítógép 6 db, monitor bill.</t>
  </si>
  <si>
    <t>082091                                                                         Közművelődés - közösségi és társadalmi részvétel fejlesztése</t>
  </si>
  <si>
    <t>082092                                                                     Közművelődés - hagyományos közösségi kulturális értékek gondozása</t>
  </si>
  <si>
    <t>Módosított EI     II.név</t>
  </si>
  <si>
    <t>Módosított EI   II.név</t>
  </si>
  <si>
    <t>018020                                                                         Központi ktgvetési befizetések</t>
  </si>
  <si>
    <t>16.4</t>
  </si>
  <si>
    <t>16.5</t>
  </si>
  <si>
    <t>16.6</t>
  </si>
  <si>
    <t>Inform.eszk.monitor, nyomtatók (járó)</t>
  </si>
  <si>
    <t>Kisért.inf.eszközök</t>
  </si>
  <si>
    <t>Egyéb gépek (járó)</t>
  </si>
  <si>
    <t>Szakmai gépek (járó)</t>
  </si>
  <si>
    <t>Jármű (személygépkocsi)</t>
  </si>
  <si>
    <t>2.1.4.</t>
  </si>
  <si>
    <t>Egyéb működési célú támogatások bevételei államháztartáson belűlről (Választás)</t>
  </si>
  <si>
    <t>Államháztrtáson belüli megelőlegezések</t>
  </si>
  <si>
    <t>Eredeti Előirányzat</t>
  </si>
  <si>
    <t>Módosított Ei                   18-06-30</t>
  </si>
  <si>
    <t xml:space="preserve">Költségvetési kiadási eredeti előirányzat                         </t>
  </si>
  <si>
    <t xml:space="preserve">Költségvetési bevételi eredeti előirányzat                           </t>
  </si>
  <si>
    <t xml:space="preserve">Költségvetési kiadási módosított előirányzat      2018-06-30                  </t>
  </si>
  <si>
    <t>Költségvetési bevételi módosított előirányzat                           2018-06-30</t>
  </si>
  <si>
    <t>Eredeti előirányzat</t>
  </si>
  <si>
    <t>Módosított előirányzat 2018-06-30</t>
  </si>
  <si>
    <t>Módosított előirányzat 2018-09-30</t>
  </si>
  <si>
    <t>Módosított előirányzat 2018-12-31</t>
  </si>
  <si>
    <t>Módosított előirányzat                  2018-09-30</t>
  </si>
  <si>
    <t>Módosított előirányzat                  2018-12-31</t>
  </si>
  <si>
    <t>3.1.1.1</t>
  </si>
  <si>
    <t>3.1.1.1.1</t>
  </si>
  <si>
    <t>3.1.1.2</t>
  </si>
  <si>
    <t>3.1.1.3</t>
  </si>
  <si>
    <t>3.3.1</t>
  </si>
  <si>
    <t>3.3.1.3.</t>
  </si>
  <si>
    <t>3.3.1.4.</t>
  </si>
  <si>
    <t>5.2.1.</t>
  </si>
  <si>
    <t>6.1.4</t>
  </si>
  <si>
    <t>6.1.5</t>
  </si>
  <si>
    <t>6.1.6</t>
  </si>
  <si>
    <t>6.1.7</t>
  </si>
  <si>
    <t>6.1.8</t>
  </si>
  <si>
    <t>6.2</t>
  </si>
  <si>
    <t>6.3</t>
  </si>
  <si>
    <t>7.3</t>
  </si>
  <si>
    <t>8.1.1.1</t>
  </si>
  <si>
    <t>8.1.2</t>
  </si>
  <si>
    <t>9.1.1</t>
  </si>
  <si>
    <t>9.1.1.1.</t>
  </si>
  <si>
    <t>9.1.1.1.1.</t>
  </si>
  <si>
    <t>9.1.1.2.</t>
  </si>
  <si>
    <t>9.1.1.2.1.</t>
  </si>
  <si>
    <t>9.1.1.2.1.1.</t>
  </si>
  <si>
    <t>9.1.1.2.2.</t>
  </si>
  <si>
    <t>9.1.1.2.2.1</t>
  </si>
  <si>
    <t>9.1.1.2.3.</t>
  </si>
  <si>
    <t>9.1.1.2.3.1</t>
  </si>
  <si>
    <t>9.1.1.2.3.2</t>
  </si>
  <si>
    <t>9.1.1.3.</t>
  </si>
  <si>
    <t>9.1.1.3.1</t>
  </si>
  <si>
    <t>9.1.1.3.2</t>
  </si>
  <si>
    <t>10.1.2</t>
  </si>
  <si>
    <t>10.2.1</t>
  </si>
  <si>
    <t>10.2.1.1</t>
  </si>
  <si>
    <t>10.2.1.2</t>
  </si>
  <si>
    <t>13.1.1.1.3.10</t>
  </si>
  <si>
    <t>13.1.1.1.3.11</t>
  </si>
  <si>
    <t>13.1.1.1.3.12</t>
  </si>
  <si>
    <t>13.1.1.1.3.13</t>
  </si>
  <si>
    <t>13.1.1.1.3.14</t>
  </si>
  <si>
    <t>13.1.1.1.3.15</t>
  </si>
  <si>
    <t>13.1.1.1.3.16</t>
  </si>
  <si>
    <t>13.1.1.1.3.17</t>
  </si>
  <si>
    <t>13.1.1.1.3.18</t>
  </si>
  <si>
    <t>13.1.1.1.3.19</t>
  </si>
  <si>
    <t>13.1.1.1.3.20</t>
  </si>
  <si>
    <t>13.1.1.1.3.21</t>
  </si>
  <si>
    <t>13.1.1.1.3.22</t>
  </si>
  <si>
    <t>13.1.1.1.3.23</t>
  </si>
  <si>
    <t>13.1.1.1.3.24</t>
  </si>
  <si>
    <t>13.1.1.1.3.25</t>
  </si>
  <si>
    <t>13.1.1.1.3.26</t>
  </si>
  <si>
    <t>13.1.1.1.3.27</t>
  </si>
  <si>
    <t>13.1.1.1.3.28</t>
  </si>
  <si>
    <t>13.2.1.1.2</t>
  </si>
  <si>
    <t>II. negyedév módosított</t>
  </si>
  <si>
    <t>III. negyedév módosított</t>
  </si>
  <si>
    <t>Telejsítés</t>
  </si>
  <si>
    <t>IV. negyedév módosított</t>
  </si>
  <si>
    <t xml:space="preserve">Eredeti </t>
  </si>
  <si>
    <r>
      <t>Háziorvosi alapellátás 072</t>
    </r>
    <r>
      <rPr>
        <i/>
        <sz val="11"/>
        <rFont val="Times New Roman"/>
        <family val="1"/>
        <charset val="238"/>
      </rPr>
      <t>111</t>
    </r>
  </si>
  <si>
    <t>13.1.1.1.2.4</t>
  </si>
  <si>
    <t>13.1.1.1.2.5</t>
  </si>
  <si>
    <t>13.1.1.1.2.6</t>
  </si>
  <si>
    <t>13.1.1.1.2.7</t>
  </si>
  <si>
    <t>13.1.1.1.2.8</t>
  </si>
  <si>
    <t>13.1.1.1.2.9</t>
  </si>
  <si>
    <t>13.1.1.1.2.10</t>
  </si>
  <si>
    <t>13.1.1.1.2.11</t>
  </si>
  <si>
    <t>13.1.1.1.2.12</t>
  </si>
  <si>
    <t>13.1.1.1.2.13</t>
  </si>
  <si>
    <t>13.1.1.1.2.14</t>
  </si>
  <si>
    <t>13.1.1.1.2.15</t>
  </si>
  <si>
    <t>13.1.1.1.2.16</t>
  </si>
  <si>
    <t>13.1.1.1.2.17</t>
  </si>
  <si>
    <t>13.1.1.1.2.18</t>
  </si>
  <si>
    <t>13.1.1.1.2.19</t>
  </si>
  <si>
    <t>13.1.1.1.2.20</t>
  </si>
  <si>
    <t>13.1.1.1.2.21</t>
  </si>
  <si>
    <t>Hitelfelvétel</t>
  </si>
  <si>
    <t xml:space="preserve">Hitel-, kölcsön törlesztés/visszafizetés  államháztartáson kívülre </t>
  </si>
  <si>
    <t>Hitel-, kölcsön törlesztése államháztartáson kívülről</t>
  </si>
  <si>
    <t>Hitel-, Kölcsön felvétel államháztatáson kívülről</t>
  </si>
  <si>
    <t>Intézméy finanszírozás miatti levonás</t>
  </si>
  <si>
    <t>2. sz mell. Eredeti</t>
  </si>
  <si>
    <t>Módosított</t>
  </si>
  <si>
    <t>2. sz. mell. Módosított</t>
  </si>
  <si>
    <t>013350                                                                                        Önkormányzati vagyonnal való gazdálkodás</t>
  </si>
  <si>
    <t>Önkormányzat egyéb kiadások</t>
  </si>
  <si>
    <t xml:space="preserve">091110                                                                                       Óvodai nevelés, ellátás szakmai feladatai                 </t>
  </si>
  <si>
    <t xml:space="preserve">091140                                                                             Óvodai nevelés, ellátás működtetési feladatai                      </t>
  </si>
  <si>
    <t>Módosított EI     III.név</t>
  </si>
  <si>
    <t>107051                                                             Szociális étkeztetés</t>
  </si>
  <si>
    <t xml:space="preserve">091110                                                                       Óvodai nevelés, ellátás szakmai feladatai                 </t>
  </si>
  <si>
    <t xml:space="preserve">091140                                                                     Óvodai nevelés, ellátás működtetési feladatai                      </t>
  </si>
  <si>
    <t>Bál.Á.óv. Villámvédelem kial.</t>
  </si>
  <si>
    <t>Telepi út 31/A Ingatlan Elővásárlási jog</t>
  </si>
  <si>
    <t>Temetőben zsidó sírok felújítása</t>
  </si>
  <si>
    <t>Új Bölcsőde Parkoló</t>
  </si>
  <si>
    <t>Új Bölcsőde ép.bontás és terület rendezés</t>
  </si>
  <si>
    <t>Mentőállomás és Alapell.Kp.Csapadékvízelv.kiv.</t>
  </si>
  <si>
    <t>Mentőállomás és Alapell.Kp.Villamosenergia bőv.</t>
  </si>
  <si>
    <t>Mentőállomás és Alapell.Kp.Elektromos hálózat árhelyezése</t>
  </si>
  <si>
    <t>Mentőállomás és Alapell.Kp. Parkoló és fedett árok</t>
  </si>
  <si>
    <t>Sándor tanya viacolor burkolat</t>
  </si>
  <si>
    <t>Tündér u. Burkolat felúj.</t>
  </si>
  <si>
    <t>Ady köz Burkolat felúj.</t>
  </si>
  <si>
    <t>Zrínyi u. Járda felúj.</t>
  </si>
  <si>
    <t>1.50</t>
  </si>
  <si>
    <t>Grass i. Tornaterem felúj. Pály.</t>
  </si>
  <si>
    <t>1.51</t>
  </si>
  <si>
    <t>Ph. Külső lépcső burkolat</t>
  </si>
  <si>
    <t>1.52</t>
  </si>
  <si>
    <t>Ph. Folyósok burkolása</t>
  </si>
  <si>
    <t>1.53</t>
  </si>
  <si>
    <t>Ph. HK álmennyezet bontás és építés</t>
  </si>
  <si>
    <t>1.54</t>
  </si>
  <si>
    <t>Pet.isk. Elektromos Felúj. Gondnoki lakás</t>
  </si>
  <si>
    <t>1.55</t>
  </si>
  <si>
    <t>1.56</t>
  </si>
  <si>
    <t>1.57</t>
  </si>
  <si>
    <t>1.58</t>
  </si>
  <si>
    <t>1.59</t>
  </si>
  <si>
    <t>1.60</t>
  </si>
  <si>
    <t>1.61</t>
  </si>
  <si>
    <t>Anna u. 5 felújítás</t>
  </si>
  <si>
    <t>Fő út 102 felújítása</t>
  </si>
  <si>
    <t>Szivattyú, Kp. Átemelő stb. DPMV</t>
  </si>
  <si>
    <t>Ph. Mossók felúj</t>
  </si>
  <si>
    <t>Sándor tanya 0291/2 Vill.rendsz.</t>
  </si>
  <si>
    <t xml:space="preserve">BÁKK szinházterem légkezelő stb. </t>
  </si>
  <si>
    <t>Petőfi u. 14/b felújítása</t>
  </si>
  <si>
    <t>Üllői u. Útépítés</t>
  </si>
  <si>
    <t>Tamási Áron u. Útépítés</t>
  </si>
  <si>
    <t>Besztercei u. Járda Térkő</t>
  </si>
  <si>
    <t>Sorompó u. Útépítés</t>
  </si>
  <si>
    <t>Kis patak lp. Futópálya mellett Viacolor</t>
  </si>
  <si>
    <t>Kis patak lp. Futópálya mellett Pihenő</t>
  </si>
  <si>
    <t xml:space="preserve">Gyalogos átkelőhely terv Dózsa </t>
  </si>
  <si>
    <t>Budai N.A.MLSZ Futballpálya</t>
  </si>
  <si>
    <t>Külső Gyáli szivattyú vez. Bőv.</t>
  </si>
  <si>
    <t>Telepi út 31/A Ingatlan vétel</t>
  </si>
  <si>
    <t>Kávéfőző</t>
  </si>
  <si>
    <t>4.16</t>
  </si>
  <si>
    <t>Petőfi u. 14/b Gáztűzhely</t>
  </si>
  <si>
    <t>Új Bölcsőde külső Közműell.</t>
  </si>
  <si>
    <t>József u. Átemelő szivattyú</t>
  </si>
  <si>
    <t>Tűzcsap cserék</t>
  </si>
  <si>
    <t>Sándor tanya ivóvíz ellát.</t>
  </si>
  <si>
    <t>4.17</t>
  </si>
  <si>
    <t>Anna u. 5 Minikonyha</t>
  </si>
  <si>
    <t>Sándor tanya elektromos mérőhely</t>
  </si>
  <si>
    <t>Kézilabda csarnok elektromos mérőhely</t>
  </si>
  <si>
    <t>Új Bölcsőde belső Víziközműell.</t>
  </si>
  <si>
    <t>Új Bölcsőde elektromos mérőhely</t>
  </si>
  <si>
    <t>Alapell.Kp. Elektromos mérőhely</t>
  </si>
  <si>
    <t>Rozsdamentes ívókút</t>
  </si>
  <si>
    <t>Pad, kuka és kerékpártároló</t>
  </si>
  <si>
    <t>Működési célú kiadások Kp.Kez. Előirányzatnak</t>
  </si>
  <si>
    <t>Vecsési Open Teniszbajnokság</t>
  </si>
  <si>
    <t>13.1.1.1.3.29</t>
  </si>
  <si>
    <t>Kolping Támogató Szolgálat</t>
  </si>
  <si>
    <t>13.1.1.1.3.30</t>
  </si>
  <si>
    <t>Vecsési Városgondnok Kft.</t>
  </si>
  <si>
    <t>13.1.1.1.3.31</t>
  </si>
  <si>
    <t>Szüreti Bál</t>
  </si>
  <si>
    <t>13.1.1.1.3.32</t>
  </si>
  <si>
    <t>Arató Bál Palotai V.</t>
  </si>
  <si>
    <t>13.1.1.1.3.33</t>
  </si>
  <si>
    <t>13.1.1.1.3.34</t>
  </si>
  <si>
    <t>Összjáték Kam.Tábor Czövek I.</t>
  </si>
  <si>
    <t>Légiközl. Kult. Kp.Kh. Nonprofit Kft.</t>
  </si>
  <si>
    <t>13.1.1.1.3.35</t>
  </si>
  <si>
    <t>13.1.1.1.3.36</t>
  </si>
  <si>
    <t>Gál István Ismeretterjesztő füzet</t>
  </si>
  <si>
    <t>Nagy Dániel Kerékpártúra</t>
  </si>
  <si>
    <t>104051 Gyermekvéd. pénzbeli és term.b</t>
  </si>
  <si>
    <t>Ellátottak pénzbeli juttatása /Erzsébet utalvány/</t>
  </si>
  <si>
    <t xml:space="preserve"> Fizetendő általános forgalmi adó </t>
  </si>
  <si>
    <t>Módosított EI   III.név</t>
  </si>
  <si>
    <t>018030                                                                                            Támogatási célú finanszírozás</t>
  </si>
  <si>
    <t>5.2.5.</t>
  </si>
  <si>
    <t>Intel Core számítógép 3 db</t>
  </si>
  <si>
    <t>018030                                                                                                              Támogatási célú finanszírozás</t>
  </si>
  <si>
    <t>096015                                                                                              Gyermekétkeztetés köznevelési intézményben</t>
  </si>
  <si>
    <t>II. negyedév</t>
  </si>
  <si>
    <t>Eredei</t>
  </si>
  <si>
    <t>IV: neygedév</t>
  </si>
  <si>
    <t>Módosított Ei                   18-09-30</t>
  </si>
  <si>
    <t>Módosított Ei                   18-12-31</t>
  </si>
  <si>
    <t xml:space="preserve">Költségvetési kiadási módosított előirányzat      2018-09-30                  </t>
  </si>
  <si>
    <t xml:space="preserve">Költségvetésibevételi módosított előirányzat      2018-09-30                  </t>
  </si>
  <si>
    <t>Módosított előirányzat                 2018-09-30</t>
  </si>
  <si>
    <t>Módosított EI               2018-09-30</t>
  </si>
  <si>
    <t>Módosított előirányzat                  2018-06-30</t>
  </si>
  <si>
    <t>Módosított I. félév</t>
  </si>
  <si>
    <t>Módosított  szeptember</t>
  </si>
  <si>
    <t>2.a sz. melléklet</t>
  </si>
  <si>
    <t>2.c melléklet</t>
  </si>
  <si>
    <t>2. b sz. melléklet</t>
  </si>
  <si>
    <t>Módosított előirányzat    2018-09-30</t>
  </si>
  <si>
    <t>Teljesítés 2018-12-31</t>
  </si>
  <si>
    <t>Módosított EI     IV.név</t>
  </si>
  <si>
    <t>Teljesítés                  2018-12-31</t>
  </si>
  <si>
    <t>Teljesítés           2018-12-31</t>
  </si>
  <si>
    <t>Teljesítés     2018-12-31</t>
  </si>
  <si>
    <t>Teljesítés    2018-12-31</t>
  </si>
  <si>
    <t>Teljesítés                 2018-12-31</t>
  </si>
  <si>
    <t>Teljesítés             2018-12-31</t>
  </si>
  <si>
    <t>Teljesítés            2018.12.31</t>
  </si>
  <si>
    <t>Zajtérkép és Int.terv Pályázat</t>
  </si>
  <si>
    <t>Ajándék utalvány /Halmi i.,Andr.i.,Zenei.,Rendőőrs, Tech.dolg./</t>
  </si>
  <si>
    <t>2019.évi Rendezvények keret OB</t>
  </si>
  <si>
    <t>VSE Darts Szakosztály</t>
  </si>
  <si>
    <t>13.1.1.1.3.37</t>
  </si>
  <si>
    <t>13.1.1.1.3.38</t>
  </si>
  <si>
    <t>Böllérfesztivál</t>
  </si>
  <si>
    <t xml:space="preserve">SZIGÜ-INRI Kft. </t>
  </si>
  <si>
    <t>Érvényes EI</t>
  </si>
  <si>
    <t>1.62</t>
  </si>
  <si>
    <t>1.63</t>
  </si>
  <si>
    <t>1.64</t>
  </si>
  <si>
    <t>1.65</t>
  </si>
  <si>
    <t>1.66</t>
  </si>
  <si>
    <t>1.67</t>
  </si>
  <si>
    <t>1.68</t>
  </si>
  <si>
    <t>Fő út 102 nyilászáró csere</t>
  </si>
  <si>
    <t>Károly u. 12/c konvektor csere</t>
  </si>
  <si>
    <t>Petőfi u. 14 Önk lakás felújítása</t>
  </si>
  <si>
    <t>Konyha elektromos szekrény csere</t>
  </si>
  <si>
    <t>Ph. Fszt.ir.és vízesblokk felúj.</t>
  </si>
  <si>
    <t>Ph. Vízesblokk burkolása</t>
  </si>
  <si>
    <t>Ph.Em iroda és vízesblokk felú.</t>
  </si>
  <si>
    <t>Eötvös u.felúj.</t>
  </si>
  <si>
    <t>János u. 5 db beton akna rekonst.</t>
  </si>
  <si>
    <t xml:space="preserve">Mátyás u. </t>
  </si>
  <si>
    <t>Térburkolat Evangélikus templomnál</t>
  </si>
  <si>
    <t>4.18</t>
  </si>
  <si>
    <t>Halmi isk. Pénzkazetta ebéb bef,</t>
  </si>
  <si>
    <t>Kinizsi u.</t>
  </si>
  <si>
    <t>4.19</t>
  </si>
  <si>
    <t>Konvektor Fő út 60</t>
  </si>
  <si>
    <t>4.20</t>
  </si>
  <si>
    <t>Fő ú. Szlak. Elektromos tűzhely</t>
  </si>
  <si>
    <t>4.21</t>
  </si>
  <si>
    <t>Gyár u. 9 Gázkonvektor</t>
  </si>
  <si>
    <t>4.22</t>
  </si>
  <si>
    <t>Gyár u. 9 Kapu gyártás</t>
  </si>
  <si>
    <t>4.23</t>
  </si>
  <si>
    <t>Vörösmarty u. Kuka</t>
  </si>
  <si>
    <t>4.24</t>
  </si>
  <si>
    <t>Halmi i. Hangdoboz</t>
  </si>
  <si>
    <t>Állkamera</t>
  </si>
  <si>
    <t>VFC székház terv adaptálása Új Műfű-re</t>
  </si>
  <si>
    <t>Konténerek Sándor tanya Műfú</t>
  </si>
  <si>
    <t>018030 Támogatás célú finanszírozási műveletek</t>
  </si>
  <si>
    <t xml:space="preserve"> - Egyéb működési célú támogatások államháztartésin belülre</t>
  </si>
  <si>
    <t>Egyéb felhalmmozási célú támogatás államháztartáson belülre</t>
  </si>
  <si>
    <t>18.2</t>
  </si>
  <si>
    <t>18.2.1</t>
  </si>
  <si>
    <t>18.2.1.1</t>
  </si>
  <si>
    <t>Egyéb felhalmozási célú támogatás államháztartáson belülre</t>
  </si>
  <si>
    <t>Felhalmozási célú kiadás társulásnak</t>
  </si>
  <si>
    <t>19.2</t>
  </si>
  <si>
    <t>19.2.1</t>
  </si>
  <si>
    <t>19.2.1.1</t>
  </si>
  <si>
    <t>19.2.1.1.1</t>
  </si>
  <si>
    <t>18.2.1.1.1</t>
  </si>
  <si>
    <t>Egyéb működési célú visszatéritendő tám.,kölcsönök nyújtása államháztartáson kivülre</t>
  </si>
  <si>
    <t>5.2.6.</t>
  </si>
  <si>
    <t>Intel Core számítógép 2 db</t>
  </si>
  <si>
    <t>Műk.célú tám.Áht.-n belülről</t>
  </si>
  <si>
    <t>kiadások összesen</t>
  </si>
  <si>
    <t>2.3.4</t>
  </si>
  <si>
    <t>1.5.6</t>
  </si>
  <si>
    <t>1.5.7</t>
  </si>
  <si>
    <t>1.5.8</t>
  </si>
  <si>
    <t>1.5.9</t>
  </si>
  <si>
    <t>1.5.10</t>
  </si>
  <si>
    <t>1.5.11</t>
  </si>
  <si>
    <t>Költségvetési kiadási módosított előirányzat      2018-12-31</t>
  </si>
  <si>
    <t>Módosított előirányzat                 2018-12-31</t>
  </si>
  <si>
    <t>Módosított előirányzat    2018-12-31</t>
  </si>
  <si>
    <t>Átvett pénzeszköz:</t>
  </si>
  <si>
    <t>Költségvetési bevételi módosított előirányzat      2018-0121-31</t>
  </si>
  <si>
    <t>21.1.1.4</t>
  </si>
  <si>
    <t>21.1.1.5</t>
  </si>
  <si>
    <t>21.1.1.6</t>
  </si>
  <si>
    <t>22.3.1.2</t>
  </si>
  <si>
    <t>Módosított EI   12-31</t>
  </si>
  <si>
    <t>Felhalmozási bevétel, átvett pénzeszköz</t>
  </si>
  <si>
    <t>Irgalmas Jézus Róm. Kat. Plébánia</t>
  </si>
  <si>
    <t xml:space="preserve">Vecsés Város Önkormányzat adósságot keletkeztető ügyletekből és kezességvállalásokból fennálló kötelezettségei </t>
  </si>
  <si>
    <t>MEGNEVEZÉS</t>
  </si>
  <si>
    <t>Évek</t>
  </si>
  <si>
    <t>Összesen
(7=3+4+5+6)</t>
  </si>
  <si>
    <t>2018.</t>
  </si>
  <si>
    <t>2019.</t>
  </si>
  <si>
    <t>ÖSSZES KÖTELEZETTSÉG</t>
  </si>
  <si>
    <t>2020.</t>
  </si>
  <si>
    <t>2020. 
után</t>
  </si>
  <si>
    <t>Vecsés Város Önkormányzat saját bevételeinek részletezése az adósságot keletkeztető ügyletből származó tárgyévi fizetési kötelezettség megállapításához</t>
  </si>
  <si>
    <t>Bevételi jogcímek</t>
  </si>
  <si>
    <t>Osztalékok, koncessziós díjak, hozam</t>
  </si>
  <si>
    <t>Díjak, pótlékok bírságok</t>
  </si>
  <si>
    <t>Tárgyi eszközök, immateriális javak, vagyoni értékű jog értékesítése, 
vagyonhasznosításból származó bevétel</t>
  </si>
  <si>
    <t>Részvények, részesedések értékesítése</t>
  </si>
  <si>
    <t>Vállalatértékesítésből, privatizációból származó bevételek</t>
  </si>
  <si>
    <t>Kezességvállalással kapcsolatos megtérülés</t>
  </si>
  <si>
    <t>SAJÁT BEVÉTELEK ÖSSZESEN*</t>
  </si>
  <si>
    <t>2018. évi Módosított előirányzat</t>
  </si>
  <si>
    <t>2018. évi Teljesítés</t>
  </si>
  <si>
    <t>Fejlesztési cél leírása</t>
  </si>
  <si>
    <t>Fejlesztés várható kiadása</t>
  </si>
  <si>
    <t>ADÓSSÁGOT KELETKEZTETŐ ÜGYLETEK VÁRHATÓ EGYÜTTES ÖSSZEGE</t>
  </si>
  <si>
    <t>Vecsés Város Önkormányzat 2018. évi adósságot keletkeztető fejlesztési céljai</t>
  </si>
  <si>
    <t>Ft</t>
  </si>
  <si>
    <t xml:space="preserve"> Ft</t>
  </si>
  <si>
    <t>Támogatott szervezet neve</t>
  </si>
  <si>
    <t>Támogatás célja</t>
  </si>
  <si>
    <t xml:space="preserve">Támogatás összge 
</t>
  </si>
  <si>
    <t>Működési célú támog.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</si>
  <si>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</si>
  <si>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</si>
  <si>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</si>
  <si>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</si>
  <si>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</si>
  <si>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</si>
  <si>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</si>
  <si>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</si>
  <si>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</si>
  <si>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</si>
  <si>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</si>
  <si>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</si>
  <si>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</si>
  <si>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</si>
  <si>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</si>
  <si>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</si>
  <si>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</si>
  <si>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</si>
  <si>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</si>
  <si>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</si>
  <si>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</si>
  <si>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</si>
  <si>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</si>
  <si>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</si>
  <si>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</si>
  <si>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</si>
  <si>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</si>
  <si>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</si>
  <si>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</si>
  <si>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</si>
  <si>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</si>
  <si>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</si>
  <si>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</si>
  <si>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</si>
  <si>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</si>
  <si>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</si>
  <si>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</si>
  <si>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</si>
  <si>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</si>
  <si>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</si>
  <si>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</si>
  <si>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</si>
  <si>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</si>
  <si>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</si>
  <si>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</si>
  <si>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</si>
  <si>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</si>
  <si>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</si>
  <si>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</si>
  <si>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13.1.1.1.1.11</t>
  </si>
  <si>
    <t>Kötelezettség jogcíme</t>
  </si>
  <si>
    <t>Köt. váll.
 éve</t>
  </si>
  <si>
    <t>9=(4+5+6+7+8)</t>
  </si>
  <si>
    <t>Működési célú hiteltörlesztés (tőke+kamat)</t>
  </si>
  <si>
    <t>Felhalmozási célú hiteltörlesztés (tőke+kamat)</t>
  </si>
  <si>
    <t>Beruházás feladatonként</t>
  </si>
  <si>
    <t>Felújítás célonként</t>
  </si>
  <si>
    <t xml:space="preserve">Egyéb </t>
  </si>
  <si>
    <t>Összesen (1+3+9+11+13)</t>
  </si>
  <si>
    <t>2018. előtti kifizetés</t>
  </si>
  <si>
    <t xml:space="preserve"> forintban</t>
  </si>
  <si>
    <t>Kedvezmény nélkül elérhető bevétel</t>
  </si>
  <si>
    <t>Kedvezmények összege</t>
  </si>
  <si>
    <t>Ellátottak térítési díjának méltányosságból történő elengedése</t>
  </si>
  <si>
    <t>Ellátottak kártérítésének méltányosságból történő elengedése</t>
  </si>
  <si>
    <t>Lakosság részére lakásépítéshez nyújtott kölcsön elengedése</t>
  </si>
  <si>
    <t>Lakosság részére lakásfelújításhoz nyújtott kölcsön elengedése</t>
  </si>
  <si>
    <t>Helyi adóból biztosított kedvezmény, mentesség összesen</t>
  </si>
  <si>
    <t xml:space="preserve">-ebből:            Építményadó </t>
  </si>
  <si>
    <t xml:space="preserve">Telekadó </t>
  </si>
  <si>
    <t xml:space="preserve">Vállalkozók kommunális adója </t>
  </si>
  <si>
    <t xml:space="preserve">Magánszemélyek kommunális adója </t>
  </si>
  <si>
    <t xml:space="preserve">Idegenforgalmi adó tartózkodás után </t>
  </si>
  <si>
    <t xml:space="preserve">Idegenforgalmi adó épület után </t>
  </si>
  <si>
    <t xml:space="preserve">Iparűzési adó állandó jelleggel végzett iparűzési tevékenység után </t>
  </si>
  <si>
    <t>Gépjárműadóból biztosított kedvezmény, mentesség</t>
  </si>
  <si>
    <t>Helyiségek hasznosítása utáni kedvezmény, menteség</t>
  </si>
  <si>
    <t>Eszközök hasznosítása utáni kedvezmény, menteség</t>
  </si>
  <si>
    <t>Egyéb kedvezmény</t>
  </si>
  <si>
    <t>Egyéb kölcsön elengedése</t>
  </si>
  <si>
    <t>Hitel, kölcsön</t>
  </si>
  <si>
    <t>Kölcsön-
nyújtás
éve</t>
  </si>
  <si>
    <t>Lejárat
éve</t>
  </si>
  <si>
    <t>Hitel, kölcsön állomány január 1-jén</t>
  </si>
  <si>
    <t>Rövid lejáratú</t>
  </si>
  <si>
    <t>Hosszú lejáratú</t>
  </si>
  <si>
    <t>Összesen (1+6)</t>
  </si>
  <si>
    <t>2020. után</t>
  </si>
  <si>
    <t>Forintban</t>
  </si>
  <si>
    <t>Vecsés Város Önkormányzat adósságot keletkeztető ügyleteiből eredő fizetési kötelezettségeinek bemutatása</t>
  </si>
  <si>
    <t xml:space="preserve">Ezer Forint </t>
  </si>
  <si>
    <t>Saját bevétel és adósságot keletkeztető ügyletből eredő fizetési kötelezettség összegei</t>
  </si>
  <si>
    <t>ÖSSZESEN
7=(3+4+5+6)</t>
  </si>
  <si>
    <t>01</t>
  </si>
  <si>
    <t>Osztalék, koncessziós díjak</t>
  </si>
  <si>
    <t>02</t>
  </si>
  <si>
    <t>Díjak, pótlékok, bírságok</t>
  </si>
  <si>
    <t>03</t>
  </si>
  <si>
    <t>Tárgyi eszközök, immateriális javak, vagyoni értékű jog értékesítése, vagyonhasznosításból származó bevétel</t>
  </si>
  <si>
    <t>04</t>
  </si>
  <si>
    <t>05</t>
  </si>
  <si>
    <t>06</t>
  </si>
  <si>
    <t>07</t>
  </si>
  <si>
    <t>Saját bevételek (01+… .+07)</t>
  </si>
  <si>
    <t>08</t>
  </si>
  <si>
    <t>Saját bevételek  (08. sor)  50%-a</t>
  </si>
  <si>
    <t>09</t>
  </si>
  <si>
    <t>Előző év(ek)ben keletkezett tárgyévi fizetési kötelezettség (11+…..+17)</t>
  </si>
  <si>
    <t>Felvett, átvállalt hitel és annak tőketartozása</t>
  </si>
  <si>
    <t>Felvett, átvállalt kölcsön és annak tőketartozása</t>
  </si>
  <si>
    <t>Hitelviszonyt megtestesítő értékpapír</t>
  </si>
  <si>
    <t>Adott váltó</t>
  </si>
  <si>
    <t>Pénzügyi lízing</t>
  </si>
  <si>
    <t>Halasztott fizetés</t>
  </si>
  <si>
    <t>Kezességvállalásból eredő fizetési kötelezettség</t>
  </si>
  <si>
    <t>Tárgyévben keletkezett, illetve keletkező, tárgyévet terhelő fizetési kötelezettség (19+…..+25)</t>
  </si>
  <si>
    <t>Fizetési kötelezettség összesen (10+18)</t>
  </si>
  <si>
    <t>Fizetési kötelezettséggel csökkentett saját bevétel (09-26)</t>
  </si>
  <si>
    <t>Intézmény megnevezése</t>
  </si>
  <si>
    <t>32-33 számlák nyitó tárgyidőszaki egyenlege</t>
  </si>
  <si>
    <t>kiadások</t>
  </si>
  <si>
    <t>pénzeszközök lekötött bankbetétként elhelyezése teljesítés</t>
  </si>
  <si>
    <t>bevételek</t>
  </si>
  <si>
    <t>előző évi maradvány igénybevétele</t>
  </si>
  <si>
    <t>lekötött bankbetétek megszüntetése teljesítés</t>
  </si>
  <si>
    <t>adott-, kapott előlegek, korrekciós összegek</t>
  </si>
  <si>
    <t>32-33 számlák záró tárgyidőszaki egyenlege</t>
  </si>
  <si>
    <t>31 számlák nyitó tárgyidőszaki egyenlege</t>
  </si>
  <si>
    <t>Tárgyidőszaki forgalom</t>
  </si>
  <si>
    <t>31 számlák záró tárgyidőszaki egyenlege</t>
  </si>
  <si>
    <t>Záró pénzkészlet</t>
  </si>
  <si>
    <t>Semmelweis Böcsőde</t>
  </si>
  <si>
    <t>Róder Imre Könyvtár</t>
  </si>
  <si>
    <t>Egészségügyi Szolgálat</t>
  </si>
  <si>
    <t>Vecsés Város Önkormányzata</t>
  </si>
  <si>
    <t>Ezer Forint</t>
  </si>
  <si>
    <t>Induló pénzkészlet:</t>
  </si>
  <si>
    <t>Pénztár, csekk, betétkönyv</t>
  </si>
  <si>
    <t>Forintszámlák</t>
  </si>
  <si>
    <t>Devizaszámlák</t>
  </si>
  <si>
    <t>Lekötött betét</t>
  </si>
  <si>
    <t>Költségvetési bevétel:</t>
  </si>
  <si>
    <t>Költségvetési kiadás:</t>
  </si>
  <si>
    <t>Finanszírozási bevétel:</t>
  </si>
  <si>
    <t>Finanszírozási kiadás</t>
  </si>
  <si>
    <t>Maradvány felhasznállása</t>
  </si>
  <si>
    <t>Lekötött betét felszabadítása</t>
  </si>
  <si>
    <t>Záró Pénzkészlet:</t>
  </si>
  <si>
    <t>bevételek eltérés</t>
  </si>
  <si>
    <t>Kiadások eltérés</t>
  </si>
  <si>
    <t>KGR Mérleg pénzeszközök</t>
  </si>
  <si>
    <t>Pénzkészlet  Mérleg szerint:</t>
  </si>
  <si>
    <t>Vecsés Város Önkormányzata 2018. évi vagyonkimutatása</t>
  </si>
  <si>
    <t>[Tájékoztató adatok az Áht. 91. § (2) bekezdés c.) pontja alapján]</t>
  </si>
  <si>
    <t>adatok Ft-ban</t>
  </si>
  <si>
    <t>A</t>
  </si>
  <si>
    <t>B</t>
  </si>
  <si>
    <t>C</t>
  </si>
  <si>
    <t>D</t>
  </si>
  <si>
    <t>E</t>
  </si>
  <si>
    <t>Eszközök</t>
  </si>
  <si>
    <t>Előző év</t>
  </si>
  <si>
    <t>Tárgyév</t>
  </si>
  <si>
    <t>Bruttó érték</t>
  </si>
  <si>
    <t>Változás %-a</t>
  </si>
  <si>
    <t>01.</t>
  </si>
  <si>
    <t>I. Immateriális javak</t>
  </si>
  <si>
    <t>02.</t>
  </si>
  <si>
    <t>II. Tárgyi eszközök (3+11)</t>
  </si>
  <si>
    <t>03.</t>
  </si>
  <si>
    <t>II/1. Törzsvagyon (4+7+8)</t>
  </si>
  <si>
    <t>04.</t>
  </si>
  <si>
    <t>a./ Forgalomképtelen ingatlanok (5+6))</t>
  </si>
  <si>
    <t>05.</t>
  </si>
  <si>
    <t>1. Ingatlanok és kapcsolódó vagyoni értékű jogok</t>
  </si>
  <si>
    <t>06.</t>
  </si>
  <si>
    <t>2. Folyamatban lévő ingatlan beruházás, felújítás</t>
  </si>
  <si>
    <t>07.</t>
  </si>
  <si>
    <t>b./ Nemzetgazdasági szempontból kiemelt jelentőségű ingatlanok</t>
  </si>
  <si>
    <t>08.</t>
  </si>
  <si>
    <t>c./ Korlátozottan forgalomképes ingatlanok (9+10)</t>
  </si>
  <si>
    <t>09.</t>
  </si>
  <si>
    <t>II/2. Üzleti vagyon (12+16)</t>
  </si>
  <si>
    <t>a./ Forgalomképes ingatlanok (13+14+15)</t>
  </si>
  <si>
    <t>1. Telkek, zártkerti-és külterületi földterületek</t>
  </si>
  <si>
    <t>2. Épületek</t>
  </si>
  <si>
    <t>3. Folyamatban lévő ingatlan beruházás, felújítás</t>
  </si>
  <si>
    <t>b./ Egyéb tárgyi eszközök (17+18+19+20)</t>
  </si>
  <si>
    <t>1. Gépek, berendezések, felszerelések, járművek</t>
  </si>
  <si>
    <t>2. Tenyészállatok</t>
  </si>
  <si>
    <t>3. Folyamatban lévő egyéb tárgyi eszköz beruházás, felújítás</t>
  </si>
  <si>
    <t>4. Tárgyi eszközök értékhelyesbítése</t>
  </si>
  <si>
    <t>III. Befektetett pénzügyi eszközök (22+26)</t>
  </si>
  <si>
    <t>III/1. Törzsvagyon (23+24)</t>
  </si>
  <si>
    <t>a./ Forgalomképtelen</t>
  </si>
  <si>
    <t>b./ Korlátozottan forgalomképes (25)</t>
  </si>
  <si>
    <t>1. Tartós részesedések</t>
  </si>
  <si>
    <t>III/2. Üzleti vagyon (27+28)</t>
  </si>
  <si>
    <t>1. Tartós hitelviszonyt megtestesítő értékpapírok</t>
  </si>
  <si>
    <t>2. Befektetett pénzügyi eszközök értékhelyesbítése</t>
  </si>
  <si>
    <t>IV. Koncesszióba, vagyonkezelésbe adott eszközök</t>
  </si>
  <si>
    <t>A.) Nemzeti vagyonba tartozó befektetett  eszközök összesen (1+2+21+29)</t>
  </si>
  <si>
    <t>I.  Készletek</t>
  </si>
  <si>
    <t>II. Értékpapírok</t>
  </si>
  <si>
    <t>B.) Nemzeti vagyonba tartozó forgóeszközök (31+32)</t>
  </si>
  <si>
    <t>I.    Lekötött bankbetétek</t>
  </si>
  <si>
    <t>II.   Pénztárak, csekkek, betétkönyvek</t>
  </si>
  <si>
    <t>III.  Forintszámlák</t>
  </si>
  <si>
    <t>IV. Devizaszámlák</t>
  </si>
  <si>
    <t>V.  Idegen pénzeszközök</t>
  </si>
  <si>
    <t>C.) Pénzeszközök (34+35+36+37+38)</t>
  </si>
  <si>
    <t>I.     Költségvetési évben esedékes követelések</t>
  </si>
  <si>
    <t>II.   Költségvetési évet követően esedékes követelések</t>
  </si>
  <si>
    <t>III. Követelés jellegű sajátos elszámolások</t>
  </si>
  <si>
    <t>D.)Követelések összesen (40+41+42)</t>
  </si>
  <si>
    <t>I.  Előzetesen felszámított ÁFA elszámolása</t>
  </si>
  <si>
    <t>II. Fizetendő ÁFA elszámolása</t>
  </si>
  <si>
    <t>I.   December havi illetmények, munkabérek elszámolása</t>
  </si>
  <si>
    <t>II. Utalványok, bérletek és más hasonló készpénz-helyettesítő fizetési eszköznek nem minősülő eszközök elszámolásai</t>
  </si>
  <si>
    <t>III. Egyéb sajátos eszközoldali elszámolások (44+45)</t>
  </si>
  <si>
    <t>Egyéb sajátos elszámolások</t>
  </si>
  <si>
    <t>F.) Aktív időbeli elhatárolások</t>
  </si>
  <si>
    <t>Eszközök összesen: (30+33+39+43+46+47)</t>
  </si>
  <si>
    <t xml:space="preserve">Források  </t>
  </si>
  <si>
    <t>I.    Nemzeti vagyon induláskori értéke</t>
  </si>
  <si>
    <t>II.   Nemzeti vagyon változásai</t>
  </si>
  <si>
    <t>III.  Egyéb eszközök induláskori értéke és változásai</t>
  </si>
  <si>
    <t>IV. Felhalmozott eredmény</t>
  </si>
  <si>
    <t>V.  Eszközök értékhelyesbítésének forrása</t>
  </si>
  <si>
    <t>VI. Mérleg szerinti eredmény</t>
  </si>
  <si>
    <t>G.) Saját tőke összesen (49+50+51+52+53+54)</t>
  </si>
  <si>
    <t>I.    Költségvetési évben esedékes kötelezettségek</t>
  </si>
  <si>
    <t>II.  Költségvetési évet követően esedékes kötelezettségek</t>
  </si>
  <si>
    <t>III. Kötelezettség jellegű sajátos elszámolások</t>
  </si>
  <si>
    <t>H.) Kötelezettségek összesen (56+57+58)</t>
  </si>
  <si>
    <t>I.) Egyéb sajátos forrásoldali elszámolások</t>
  </si>
  <si>
    <t>J.)  Kincstári számlavezetéssel kapcsolatos elszámolások</t>
  </si>
  <si>
    <t>K.)  Passzív időbeli elhatárolások</t>
  </si>
  <si>
    <t>Források összesen: (55+59+60+61+62)</t>
  </si>
  <si>
    <t>ESZKÖZÖK</t>
  </si>
  <si>
    <t>Nettó érték</t>
  </si>
  <si>
    <t>Önkormányzat VAGYONKIMUTATÁS a "0"-ra leírt eszközökről 2018.</t>
  </si>
  <si>
    <t>A/I. Immateriális javak (2+3)</t>
  </si>
  <si>
    <t>"0"-ra leírt, de használatban lévő</t>
  </si>
  <si>
    <t>"0"-ra leírt, használaton kívüli</t>
  </si>
  <si>
    <t>A/II. Tárgyi eszközök (5+8+11+14)</t>
  </si>
  <si>
    <t>1. Ingatlanok és kapcsolódó vagyoni értékű jogok (6+7)</t>
  </si>
  <si>
    <t>2. Gépek, berendezések, felszerelések és járművek (9+10)</t>
  </si>
  <si>
    <t>3. Tenyészállatok (12+13)</t>
  </si>
  <si>
    <t>A/IV. Koncesszióba, vagyonkezelésbe adott eszközök (15+16)</t>
  </si>
  <si>
    <t>ÖSSZESEN (1+4+14)</t>
  </si>
  <si>
    <t>Mennyiség (db)</t>
  </si>
  <si>
    <t>Érték
(Ft)</t>
  </si>
  <si>
    <t>Önkormányzat VAGYONKIMUTATÁS a használatban lévő kisértékű eszközökről és készletekről 2018.</t>
  </si>
  <si>
    <t>A/I. Immateriális javak</t>
  </si>
  <si>
    <t>A/II. Tárgyi eszközök (3+4+5)</t>
  </si>
  <si>
    <t>2. Gépek, berendezések, felszerelések és járművek</t>
  </si>
  <si>
    <t>3. Tenyészállatok</t>
  </si>
  <si>
    <t>B/I. Készletek (7+8+9+10+11)</t>
  </si>
  <si>
    <t>1. Vásárolt készletek</t>
  </si>
  <si>
    <t>2. Átsorolt, követelés fejében átvett készletek</t>
  </si>
  <si>
    <t>3. Egyéb készletek</t>
  </si>
  <si>
    <t>4. Befejezetlen termelés, félkész termékek, késztermékek</t>
  </si>
  <si>
    <t>5. Növendék-, hízó és egyéb állatok</t>
  </si>
  <si>
    <t>ÖSSZESEN (1+2+6)</t>
  </si>
  <si>
    <t>Önkormányzat VAGYONKIMUTATÁS a 01-02 számlacsoportba nyilvántartott eszközökről 2018.</t>
  </si>
  <si>
    <t>I. Befektetett eszközök (2+3+4+5)</t>
  </si>
  <si>
    <t>1. Államháztartáson belüli vagyonkezelésbe adott eszközök</t>
  </si>
  <si>
    <t>2. Bérbe vett befektetett eszközök</t>
  </si>
  <si>
    <t>3. Letétbe, bizományba, üzemeltetésre átvett befektetett eszközök</t>
  </si>
  <si>
    <t>4. PPP konstrukcióban használt befektetett eszközök</t>
  </si>
  <si>
    <t>II. Készletek (7+8+9)</t>
  </si>
  <si>
    <t>1. Bérbe vett készletek</t>
  </si>
  <si>
    <t>2. Letétbe, bizományba vett készletek</t>
  </si>
  <si>
    <t>3. Intervenciós készletek</t>
  </si>
  <si>
    <t>ÖSSZESEN (1+6)</t>
  </si>
  <si>
    <t>Képzőművészeti alkotások(kisplasztika)</t>
  </si>
  <si>
    <t>Önkormányzat VAGYONKIMUTATÁS a NVT. 1.§ (2) bekezdés g) és h) pontja szerinti kulturális javakról és régészeti leleltekről 2018.</t>
  </si>
  <si>
    <t>Képzőművészeti alkotások</t>
  </si>
  <si>
    <t>Kép- és hangarchívum</t>
  </si>
  <si>
    <t>Gyűjtemények</t>
  </si>
  <si>
    <t>Kulturális javak</t>
  </si>
  <si>
    <t>Régészeti leletek</t>
  </si>
  <si>
    <t>Összesen (1+2+3+4+5)</t>
  </si>
  <si>
    <t>Önkormányzat VAGYONKIMUTATÁS a függő követelésekről és kötelezettségekről, a biztos (jövőbeni) követelésekről 2018.</t>
  </si>
  <si>
    <t>I. Függő követelések (2+3)</t>
  </si>
  <si>
    <t>1. Támogatási célú előlegekkel kapcsolatos elszámolási követelések</t>
  </si>
  <si>
    <t>2. Egyéb függő követelések</t>
  </si>
  <si>
    <t>II. Biztos (jövőbeni) követelések</t>
  </si>
  <si>
    <t>III. Függő kötelezettségek (6+7+8+9+10)</t>
  </si>
  <si>
    <t>1. Kezességgel-, garanciavállalással kapcsolatos függő kötelezettségek</t>
  </si>
  <si>
    <t>2. Peres ügyekkel kapcsolatos függő kötelezettségek</t>
  </si>
  <si>
    <t>3. El nem ismert tartozások</t>
  </si>
  <si>
    <t>4. Támogatási célú előlegekkel kapcsolatos elszámolási kötelezettségek</t>
  </si>
  <si>
    <t>5. Egyéb függő Kötelezettségek</t>
  </si>
  <si>
    <t>Összesen (1+4+5)</t>
  </si>
  <si>
    <t>1 milliárd hitel</t>
  </si>
  <si>
    <t>tőketörlesztés</t>
  </si>
  <si>
    <t>fizetendő kamat</t>
  </si>
  <si>
    <t>6.1+6.2 sz. melléklet összesen:</t>
  </si>
  <si>
    <t>Városi fejlesztések, felújítások</t>
  </si>
  <si>
    <t>PH fejlesztések, felújítások</t>
  </si>
  <si>
    <t>Intézmények fejlesztése, felújítása</t>
  </si>
  <si>
    <t>EU-s projekt neve, azonosítója:</t>
  </si>
  <si>
    <r>
      <t xml:space="preserve">SULPiTER  CE 222                                             </t>
    </r>
    <r>
      <rPr>
        <b/>
        <sz val="12"/>
        <rFont val="Times New Roman CE"/>
        <charset val="238"/>
      </rPr>
      <t xml:space="preserve"> EUR</t>
    </r>
  </si>
  <si>
    <t>Források</t>
  </si>
  <si>
    <t>2017.</t>
  </si>
  <si>
    <t>2018. után</t>
  </si>
  <si>
    <t>Saját erő</t>
  </si>
  <si>
    <t>- saját erőből központi támogatás</t>
  </si>
  <si>
    <t>EU-s forrás</t>
  </si>
  <si>
    <t>Társfinanszírozás</t>
  </si>
  <si>
    <t>Hitel</t>
  </si>
  <si>
    <t>Egyéb forrás</t>
  </si>
  <si>
    <t>Források összesen:</t>
  </si>
  <si>
    <t>Kiadások, költségek</t>
  </si>
  <si>
    <t>Személyi jellegű</t>
  </si>
  <si>
    <t>Beruházások, beszerzések</t>
  </si>
  <si>
    <t>Szolgáltatások igénybe vétele</t>
  </si>
  <si>
    <t>Adminisztratív költségek</t>
  </si>
  <si>
    <t>VEKOP-6.1.1-15-PT1-2016-00049 Bölcsőde pályázat</t>
  </si>
  <si>
    <t>ezer forintban</t>
  </si>
  <si>
    <t>ASP pályázat KÖFOP-1.2.1-VEKOP-16-2018-01157</t>
  </si>
  <si>
    <t>Önkormányzaton kívüli EU-s projektekhez történő hozzájárulás 2017. évi előir.</t>
  </si>
  <si>
    <t>2014.</t>
  </si>
  <si>
    <t>2015.</t>
  </si>
  <si>
    <t>2015. után</t>
  </si>
  <si>
    <t>EUR-ban</t>
  </si>
  <si>
    <t>Önkormányzaton kívüli EU-s projektekhez történő hozzájárulás 2018. évi előir.</t>
  </si>
  <si>
    <t>Alapellátási Kötpont építésének többletkölségei</t>
  </si>
  <si>
    <t>Vecsési Falusi Óvoda</t>
  </si>
  <si>
    <t>2. sz. mell módosított</t>
  </si>
  <si>
    <t>2. sz. mell. Teljesítés</t>
  </si>
  <si>
    <t>Vecsés Város Önkormányzat 2018. évi  maradványának kimutatása</t>
  </si>
  <si>
    <t>megnevezés</t>
  </si>
  <si>
    <t>összeg</t>
  </si>
  <si>
    <t>01  Alaptevékenység költségvetési bevételei</t>
  </si>
  <si>
    <t>02  Alaptevékenység költségvetési kiadásai</t>
  </si>
  <si>
    <t>I  Alaptevékenység költségvetési egyenlege (=01-02)</t>
  </si>
  <si>
    <t>03  Alaptevékenység finanszírozási bevételei</t>
  </si>
  <si>
    <t>04  Alaptevékenység finanszírozási kiadásai</t>
  </si>
  <si>
    <t>II Alaptevékenység finanszírozási egyenlege (=03-04)</t>
  </si>
  <si>
    <t>A)  Alaptevékenység maradványa (=+/- I+/-II)</t>
  </si>
  <si>
    <t>C)  Összes maradvány (=A+B)</t>
  </si>
  <si>
    <t>D) alaptevékenység kötelezettség vállalással terhelt maradványa</t>
  </si>
  <si>
    <t>E)  alaptevékenység szabad maradványa (=A-D)</t>
  </si>
  <si>
    <t>Összes maradvány:</t>
  </si>
  <si>
    <t>Összeg Ft-ban</t>
  </si>
  <si>
    <t>Vecsés Város Önkormányzat 2018. évben feladattal terhelt működési maradványa</t>
  </si>
  <si>
    <t>Kötelezettségvállalással terhelt működési maradvány</t>
  </si>
  <si>
    <t xml:space="preserve">2018. 0. havi megelőlegezés </t>
  </si>
  <si>
    <t>Közfoglalk.előleg</t>
  </si>
  <si>
    <t>19/1999. VII.17. ÖK. rendelet</t>
  </si>
  <si>
    <t>Sándor Tanya Műffűves pálya konténer ÁFA</t>
  </si>
  <si>
    <t>VFC támogatása</t>
  </si>
  <si>
    <t xml:space="preserve">Forgótőke </t>
  </si>
  <si>
    <t>II.</t>
  </si>
  <si>
    <t>Vecsési Polgármesteri Hivatal 2018. évben feladattal terhelt működési maradványa</t>
  </si>
  <si>
    <t>Kötváll nyitó</t>
  </si>
  <si>
    <t>Ermi Paint Kft.</t>
  </si>
  <si>
    <t>III.</t>
  </si>
  <si>
    <t>B.Á.K.K.  2018. évben feladattal terhelt működési maradványa</t>
  </si>
  <si>
    <t>ELMŰ-ÉMÁSZ</t>
  </si>
  <si>
    <t>Radóczi Tiborné E.V.</t>
  </si>
  <si>
    <t>Katonáné Gergely Tünde</t>
  </si>
  <si>
    <t>Light Positíve Kft.</t>
  </si>
  <si>
    <t>Vectra-Line Plus Kft.</t>
  </si>
  <si>
    <t>Budapesti Művelődési Központ</t>
  </si>
  <si>
    <t>ERGO-Ambulance Kft.</t>
  </si>
  <si>
    <t>Blázy Zsuzsanna</t>
  </si>
  <si>
    <t>Magyar Posta Zrt.</t>
  </si>
  <si>
    <t>Vecsési Városgondnok</t>
  </si>
  <si>
    <t>2AGY Bt</t>
  </si>
  <si>
    <t>Thermik Plus Kft.</t>
  </si>
  <si>
    <t>NHKV Nemzeti Hullg. Zrt.</t>
  </si>
  <si>
    <t>Bartim Bt.</t>
  </si>
  <si>
    <t>Laszip Dávid E.V.</t>
  </si>
  <si>
    <t>Barkácsbolt Oroszi Ferenc</t>
  </si>
  <si>
    <t>Táncművészetért Közhasznú Nonp.</t>
  </si>
  <si>
    <t>Gergely Róbert Bt.</t>
  </si>
  <si>
    <t>SzínArt Oldal Kulturális Bt.</t>
  </si>
  <si>
    <t>Négy Arc Kft.</t>
  </si>
  <si>
    <t>Juhász és Csvila Ügyvédi Iroda</t>
  </si>
  <si>
    <t>Vecsés Város Önk.</t>
  </si>
  <si>
    <t>Magyar Kultúra Napja</t>
  </si>
  <si>
    <t>IV.</t>
  </si>
  <si>
    <t>Intézmények Központi Konyhája  2018. évben feladattal terhelt működési maradványa</t>
  </si>
  <si>
    <t>Vesav Kft</t>
  </si>
  <si>
    <t>OZIRISZ KFT</t>
  </si>
  <si>
    <t>Jégtrade KFT</t>
  </si>
  <si>
    <t>Omega-Aqua Bt.</t>
  </si>
  <si>
    <t>Dankos Ker. és Szolg. Bt.</t>
  </si>
  <si>
    <t>Kutas Ildikó egyéni vállalkozó</t>
  </si>
  <si>
    <t>V.</t>
  </si>
  <si>
    <t>Vecsési Falusi Nemzetiségi  Óvoda 2018. évben feladattal terhelt működési maradványa</t>
  </si>
  <si>
    <t>ELMŰ-ÉMÁSZ Energiaszolgáltató Zrt.</t>
  </si>
  <si>
    <t>NHKV Zrt.</t>
  </si>
  <si>
    <t>Bird-Let Kft.</t>
  </si>
  <si>
    <t>Arató Bt.</t>
  </si>
  <si>
    <t>VI.</t>
  </si>
  <si>
    <t>Vecsési Mosolyország Óvoda 2018. évben feladattal terhelt működési maradványa</t>
  </si>
  <si>
    <t>Magyar Szabványügyi Testület</t>
  </si>
  <si>
    <t xml:space="preserve"> VII.</t>
  </si>
  <si>
    <t>Bálint Ágnes Óvoda 2018. évben feladattal terhelt működési maradványa</t>
  </si>
  <si>
    <t>NKM Földgázszolgáltató Zrt.</t>
  </si>
  <si>
    <t xml:space="preserve"> VIII.</t>
  </si>
  <si>
    <t>Vecsési Tündérkert Óvoda 2018. évben feladattal terhelt működési maradványa</t>
  </si>
  <si>
    <t>VV-Lift</t>
  </si>
  <si>
    <t>IX.</t>
  </si>
  <si>
    <t>Semmelweis Bölcsőde 2018. évben feladattal terhelt működési maradványa</t>
  </si>
  <si>
    <t>Burai Istvánné E.V.</t>
  </si>
  <si>
    <t>Kakucsi Pékség Kft.</t>
  </si>
  <si>
    <t>Müllner &amp; Partner Kft.</t>
  </si>
  <si>
    <t>MK Agro-Hidro Bt.</t>
  </si>
  <si>
    <t>Számviteli Rendszer Kft.</t>
  </si>
  <si>
    <t>X.</t>
  </si>
  <si>
    <t xml:space="preserve"> Gondozási Központ 2018. évben feladattal terhelt működési maradványa</t>
  </si>
  <si>
    <t>NHKV Nemzeti Hull.K.és V.Zrt</t>
  </si>
  <si>
    <t>XI.</t>
  </si>
  <si>
    <t>Róder Imre Könyvtár 2018. évben feladattal terhelt működési maradványa</t>
  </si>
  <si>
    <t>Vecsési Városgondnok Nonp.Kft</t>
  </si>
  <si>
    <t>Jász és Jász Kft</t>
  </si>
  <si>
    <t>Magyar Posta Zrt</t>
  </si>
  <si>
    <t>MicroStore.hu Kft/HarvestR Hu</t>
  </si>
  <si>
    <t>XII.</t>
  </si>
  <si>
    <t>Egészségügyi Szolgálat 2018. évben feladattal terhelt működési maradványa</t>
  </si>
  <si>
    <t>Feladattal terhelt működési maradvány összesen:</t>
  </si>
  <si>
    <t>Vecsés Város Önkormányzat 2018. évi feladattal terhelt felhalmozási maradványa</t>
  </si>
  <si>
    <t>Összes maradvány</t>
  </si>
  <si>
    <t>Feladattal terhelt működési maradvány</t>
  </si>
  <si>
    <t>Vecsés Város Önkormányzat 2018. évben feladattal terhelt felhalmozási maradványa</t>
  </si>
  <si>
    <t>Kötelezettségvállalással terhelt felhalmozási maradvány</t>
  </si>
  <si>
    <t>Mentőállomás és Alapellátási Központ fordított ÁFA</t>
  </si>
  <si>
    <t>AEK többletköltségek</t>
  </si>
  <si>
    <t>Vecsési Polgármesteri Hivatal 2018. évben feladattal terhelt felhalmozási maradványa</t>
  </si>
  <si>
    <t>B.Á.K.K.  2018. évben feladattal terhelt felhalmozási maradványa</t>
  </si>
  <si>
    <t>Intézmények Központi Konyhája  2018. évben feladattal terhelt felhalmozási maradványa</t>
  </si>
  <si>
    <t>Falusi Óvoda 2018. évben feladattal terhelt felhalmozási maradványa</t>
  </si>
  <si>
    <t>Mosolyország Óvoda 2018. évben feladattal terhelt felhalmozási maradványa</t>
  </si>
  <si>
    <t>Bálint Ágnes Óvoda 2018. évben feladattal terhelt felhalmozási maradványa</t>
  </si>
  <si>
    <t>Tündérkert Óvoda 2018. évben feladattal terhelt felhalmozási maradványa</t>
  </si>
  <si>
    <t>Semmelweis Bölcsőde 2018. évben feladattal terhelt felhalmozási maradványa</t>
  </si>
  <si>
    <t xml:space="preserve"> Gondozási Központ 2018. évben feladattal terhelt felhalmozási maradványa</t>
  </si>
  <si>
    <t>Róder Imre Könyvtár 2018. évben feladattal terhelt felhalmozási maradványa</t>
  </si>
  <si>
    <t>Egészségügyi Szolgálat 2018. évben feladattal terhelt felhalmozási maradványa</t>
  </si>
  <si>
    <t>Feladattal terhelt felhalmozási maradvány összesen:</t>
  </si>
  <si>
    <t>Feladattal terhelt  maradvány összesen:</t>
  </si>
  <si>
    <t>Összes szabad maradvány</t>
  </si>
  <si>
    <t>Vecsés Város Önkormányzat 2018. évben feladattal nem terhelt működési maradványa</t>
  </si>
  <si>
    <t xml:space="preserve">Nyári napközis tábor </t>
  </si>
  <si>
    <t>Vecsés és Környéke Család- és Gyermekjóléti Szolgálat és Központ működési kiadásaira</t>
  </si>
  <si>
    <t>Közterületi fák locsolása</t>
  </si>
  <si>
    <t>Parkgondozás</t>
  </si>
  <si>
    <t>Temetői fakivágás</t>
  </si>
  <si>
    <t>Őrzés</t>
  </si>
  <si>
    <t>Sándor-tanya műfüves pálya működési kiadása</t>
  </si>
  <si>
    <t>Karbantartás</t>
  </si>
  <si>
    <t>Villany</t>
  </si>
  <si>
    <t>Víz</t>
  </si>
  <si>
    <t>ASP pályázat</t>
  </si>
  <si>
    <t>Sulpiter pályázat</t>
  </si>
  <si>
    <t>Zajtérkép és Int. Terv. Pályázat</t>
  </si>
  <si>
    <t>Céltartalék - BÁKK karbantartás</t>
  </si>
  <si>
    <t>Civil szervezetek támogatása</t>
  </si>
  <si>
    <t>Ebből:</t>
  </si>
  <si>
    <t xml:space="preserve">"Megmaradunk 3000" Vecsés Magyar Kultúrája Ápolásáért Alapítvány </t>
  </si>
  <si>
    <t>Vecsési Hagyományőrző Zenegyesület</t>
  </si>
  <si>
    <t>Lumpen-Klumpen tánccsoport</t>
  </si>
  <si>
    <t>Balla Péter Népdalkör</t>
  </si>
  <si>
    <t>I. számú nyugdíjas klub</t>
  </si>
  <si>
    <t>II. számú nyugdíjasklub</t>
  </si>
  <si>
    <t>III. számú nyugdíjasklub</t>
  </si>
  <si>
    <t>Concerto Harmonia</t>
  </si>
  <si>
    <t>Mozgássérültek Budapesti Egyesülete Vecsési Szerv.</t>
  </si>
  <si>
    <t>Hulladékkommandó támogatása</t>
  </si>
  <si>
    <t>VNSZ</t>
  </si>
  <si>
    <t>Káposztafeszt PH</t>
  </si>
  <si>
    <t>Vecsési Moto-Rock Fesztivál megrendezése</t>
  </si>
  <si>
    <t>RNÖK  támogatása- Csárdáskirálynő előadás támogatása</t>
  </si>
  <si>
    <t>Felosztásra nem került keret</t>
  </si>
  <si>
    <t xml:space="preserve">VSE </t>
  </si>
  <si>
    <t>VSE kézilabda szakosztály</t>
  </si>
  <si>
    <t xml:space="preserve">VFC </t>
  </si>
  <si>
    <t>Polgárőrség</t>
  </si>
  <si>
    <t>Vecsés Egészségügyéért Közalapítvány támogatása</t>
  </si>
  <si>
    <t>Rendezvények támogatása egyéb költségek</t>
  </si>
  <si>
    <t>2019. évi rendezvények OB keret</t>
  </si>
  <si>
    <t>Facsemeték Környezetvédelmi alap</t>
  </si>
  <si>
    <t xml:space="preserve">Vecsés Város Kultúrtörténeti  Könyv </t>
  </si>
  <si>
    <t>GDPR-val kapcsolatos költségek</t>
  </si>
  <si>
    <t xml:space="preserve">Játékszín </t>
  </si>
  <si>
    <t>Vecsési Polgármesteri Hivatal 2018. évben feladattal nem terhelt működési maradványa</t>
  </si>
  <si>
    <t>Dologi kiadás (szabad maradvány)</t>
  </si>
  <si>
    <t>Bér és járulékai (szabad maradvány)</t>
  </si>
  <si>
    <t>Intézmények Központi Konyhája  2018. évben feladattal nem terhelt működési maradványa</t>
  </si>
  <si>
    <t>Vecsési Falusi Óvoda 2018. évben feladattal nem terhelt működési maradványa</t>
  </si>
  <si>
    <t>Működési támogatás</t>
  </si>
  <si>
    <t>Bálint Ágnes Óvoda 2018. évben feladattal nem terhelt működési maradványa</t>
  </si>
  <si>
    <t>Semmelweis Bölcsőde 2018. évben feladattal nem terhelt működési maradványa</t>
  </si>
  <si>
    <t>eszközbeszerzés (ágynemű, ágynemuhuzat, fogmosó…)</t>
  </si>
  <si>
    <t>VII.</t>
  </si>
  <si>
    <t>B.Á.K.K.  2018. évben feladattal nem terhelt működési maradványa</t>
  </si>
  <si>
    <t>Szabad maradvány ( bér és járulék)</t>
  </si>
  <si>
    <t>VIII.</t>
  </si>
  <si>
    <t>Vecsési Mosolyország Óvoda 2018. évben feladattal nem terhelt működési maradványa</t>
  </si>
  <si>
    <t>Tündérkert Óvoda 2018. évben feladattal nem terhelt működési maradványa</t>
  </si>
  <si>
    <t xml:space="preserve"> Gondozási Központ 2018. évben feladattal nem terhelt működési maradványa</t>
  </si>
  <si>
    <t>Bér és járulékok (kettős kifizetés, végzettség miatti emelés)</t>
  </si>
  <si>
    <t>Róder Imre Könyvtár 2018. évben feladattal nem terhelt működési maradványa</t>
  </si>
  <si>
    <t>253/2018 (XI.24.) határozat Pótelőirányzat biztosítása</t>
  </si>
  <si>
    <t>Feladattal nem terhelt működési maradvány összesen:</t>
  </si>
  <si>
    <t>XIII.</t>
  </si>
  <si>
    <t>Vecsés Város Önkormányzat 2018. évben feladattal nem terhelt felhalmozási maradványa</t>
  </si>
  <si>
    <t>92/2018 (IV. 24.) határozat Eötvös utca felújítása</t>
  </si>
  <si>
    <t>Út- és járdaépítés</t>
  </si>
  <si>
    <t>BÁKK színházterem padlózat felújítás</t>
  </si>
  <si>
    <t>Jókai Szabadtéri Színpad felújítása</t>
  </si>
  <si>
    <t>Falusi Óvoda udvari kerítés felújítás</t>
  </si>
  <si>
    <t>Tündérkert Óvoda kerítés felújítás</t>
  </si>
  <si>
    <t>BÁKK színházterem légkezelő stb.</t>
  </si>
  <si>
    <t>Gyalogos átkelőhely terv Dózsa Gy. Út</t>
  </si>
  <si>
    <t>Grassalkovih A. I. tetőfelújítás önrész</t>
  </si>
  <si>
    <t>0202/1 hrsz útépítés előkészítése</t>
  </si>
  <si>
    <t>PH kazán beázásmegszűntetése</t>
  </si>
  <si>
    <t>Új Bölcsőde napelem terv és kivitelezés</t>
  </si>
  <si>
    <t>Bálint Á. Óvoda villámvédelem kialakítás</t>
  </si>
  <si>
    <t xml:space="preserve">Mentőállomás és Alapellátási Központ csapadékvíz kiv. </t>
  </si>
  <si>
    <t>VIS maior keret</t>
  </si>
  <si>
    <t>Epresbe mobil WC vásárlás</t>
  </si>
  <si>
    <t>Tündérkert Óvoda kazáncsere</t>
  </si>
  <si>
    <t>Dózsa Sportpálya öltöző felújítása</t>
  </si>
  <si>
    <t>Epres új játszótér</t>
  </si>
  <si>
    <t xml:space="preserve">Irodakonténer </t>
  </si>
  <si>
    <t>Útépítés</t>
  </si>
  <si>
    <t>Erzsébet téri templom lépcső</t>
  </si>
  <si>
    <t>XIV.</t>
  </si>
  <si>
    <t>Vecsési Polgármesteri Hivatal 2018. évben feladattal nem  terhelt felhalmozási maradványa</t>
  </si>
  <si>
    <t>ASP  miatti informatikai beszerzés</t>
  </si>
  <si>
    <t>Egyéb kisértékű gép, berendezés felsz.</t>
  </si>
  <si>
    <t>XV.</t>
  </si>
  <si>
    <t>Semmelweis Bölcsőde 2018. évben feladattal nem terhelt felhalmozási maradványa</t>
  </si>
  <si>
    <t>Konyhai edények beszerzése</t>
  </si>
  <si>
    <t>XVI.</t>
  </si>
  <si>
    <t>Egészségügyi Szolgálat 2018. évben feladattal nem  terhelt felhalmozási maradványa</t>
  </si>
  <si>
    <t>85/2018 (IV.24.) határozat "Egészséges Budapest Program" páláyzati önrész</t>
  </si>
  <si>
    <t>214/2018 (IX.18.) határozat pótelőirányzat biztosítása</t>
  </si>
  <si>
    <t>Feladattal nem terhelt felhalmozási  maradvány összesen:</t>
  </si>
  <si>
    <t>Még felosztható maradvány összesen:</t>
  </si>
  <si>
    <t>Káposztafeszt ( Városközpont Fejlesztő Kft)</t>
  </si>
  <si>
    <t xml:space="preserve">OB keret </t>
  </si>
  <si>
    <t>„Eszem-Iszom-Dinom-Dánom” Halmy téri rendezvény</t>
  </si>
  <si>
    <t>Felhalmozási célú támogatás</t>
  </si>
  <si>
    <t>Működési célú támogatás</t>
  </si>
  <si>
    <t>Ingatlan vásárlás Fő út 192/A   hrsz: 1948/2/A/2</t>
  </si>
  <si>
    <t>Grassalkovich Á. Iskola étkezőjének felújítása</t>
  </si>
  <si>
    <t>Orbán Balázs Erdélyi Kör  (szobrok renoválása, megemléákezések költségeinek támogatása)</t>
  </si>
  <si>
    <t>Teljesítés        2017-12-31</t>
  </si>
  <si>
    <t xml:space="preserve">Módosítás </t>
  </si>
  <si>
    <t xml:space="preserve">Módosítás    </t>
  </si>
  <si>
    <t xml:space="preserve">Módosítás         </t>
  </si>
  <si>
    <t>0</t>
  </si>
  <si>
    <t>2.3.5</t>
  </si>
  <si>
    <t>2.3.6</t>
  </si>
  <si>
    <t>2.3.7</t>
  </si>
  <si>
    <t>2.3.8</t>
  </si>
  <si>
    <t>2.3.9</t>
  </si>
  <si>
    <t>2.3.10</t>
  </si>
  <si>
    <t>2.3.11</t>
  </si>
  <si>
    <t>2.3.12</t>
  </si>
  <si>
    <t>2.3.13</t>
  </si>
  <si>
    <t>3.1.1.1.</t>
  </si>
  <si>
    <t>3.1.2.1</t>
  </si>
  <si>
    <t>3.2.1.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</si>
</sst>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\ _F_t_-;\-* #,##0.00\ _F_t_-;_-* &quot;-&quot;??\ _F_t_-;_-@_-"/>
    <numFmt numFmtId="165" formatCode="_-* #,##0.00\ _F_t_-;\-* #,##0.00\ _F_t_-;_-* \-??\ _F_t_-;_-@_-"/>
    <numFmt numFmtId="166" formatCode="#,###"/>
    <numFmt numFmtId="167" formatCode="yyyy\-mm\-dd"/>
    <numFmt numFmtId="168" formatCode="mmm\ d/"/>
    <numFmt numFmtId="169" formatCode="#,##0.0"/>
    <numFmt numFmtId="170" formatCode="#,###.00"/>
    <numFmt numFmtId="171" formatCode="#,###.000"/>
    <numFmt numFmtId="172" formatCode="_-* #,##0\ _F_t_-;\-* #,##0\ _F_t_-;_-* \-??\ _F_t_-;_-@_-"/>
    <numFmt numFmtId="173" formatCode="#,##0_ ;\-#,##0\ "/>
    <numFmt numFmtId="174" formatCode="#"/>
    <numFmt numFmtId="175" formatCode="#,##0_ ;[Red]\-#,##0\ "/>
    <numFmt numFmtId="176" formatCode="#,##0\ &quot;Ft&quot;"/>
  </numFmts>
  <fonts count="275" x14ac:knownFonts="1">
    <font>
      <sz val="10"/>
      <name val="Times New Roman CE"/>
      <family val="1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b/>
      <sz val="18"/>
      <name val="Times New Roman CE"/>
      <family val="1"/>
      <charset val="238"/>
    </font>
    <font>
      <b/>
      <i/>
      <sz val="9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4"/>
      <name val="Times New Roman CE"/>
      <family val="1"/>
      <charset val="238"/>
    </font>
    <font>
      <b/>
      <sz val="8"/>
      <name val="Times New Roman CE"/>
      <family val="1"/>
      <charset val="238"/>
    </font>
    <font>
      <sz val="8"/>
      <name val="Times New Roman CE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3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i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sz val="11"/>
      <name val="Times New Roman CE"/>
      <family val="1"/>
      <charset val="238"/>
    </font>
    <font>
      <sz val="14"/>
      <name val="Times New Roman CE"/>
      <family val="1"/>
      <charset val="238"/>
    </font>
    <font>
      <b/>
      <sz val="9"/>
      <name val="Times New Roman CE"/>
      <family val="1"/>
      <charset val="238"/>
    </font>
    <font>
      <b/>
      <i/>
      <sz val="8"/>
      <name val="Times New Roman CE"/>
      <family val="1"/>
      <charset val="238"/>
    </font>
    <font>
      <i/>
      <sz val="12"/>
      <name val="Times New Roman CE"/>
      <family val="1"/>
      <charset val="238"/>
    </font>
    <font>
      <i/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sz val="11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3"/>
      <name val="Arial"/>
      <family val="2"/>
      <charset val="238"/>
    </font>
    <font>
      <i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0"/>
      <name val="Arial"/>
      <family val="2"/>
      <charset val="238"/>
    </font>
    <font>
      <sz val="11"/>
      <name val="Times New Roman"/>
      <family val="1"/>
      <charset val="238"/>
    </font>
    <font>
      <sz val="11"/>
      <name val="Arial"/>
      <family val="2"/>
      <charset val="238"/>
    </font>
    <font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sz val="9"/>
      <name val="Times New Roman"/>
      <family val="1"/>
      <charset val="238"/>
    </font>
    <font>
      <sz val="12"/>
      <name val="Arial"/>
      <family val="2"/>
      <charset val="238"/>
    </font>
    <font>
      <b/>
      <i/>
      <sz val="13"/>
      <name val="Times New Roman"/>
      <family val="1"/>
      <charset val="238"/>
    </font>
    <font>
      <i/>
      <sz val="13"/>
      <name val="Times New Roman"/>
      <family val="1"/>
      <charset val="238"/>
    </font>
    <font>
      <b/>
      <sz val="10"/>
      <name val="Times New Roman"/>
      <family val="1"/>
      <charset val="238"/>
    </font>
    <font>
      <sz val="16"/>
      <name val="Times New Roman CE"/>
      <family val="1"/>
      <charset val="238"/>
    </font>
    <font>
      <i/>
      <sz val="8"/>
      <name val="Times New Roman"/>
      <family val="1"/>
      <charset val="238"/>
    </font>
    <font>
      <sz val="10"/>
      <name val="Times New Roman CE"/>
      <family val="1"/>
      <charset val="238"/>
    </font>
    <font>
      <sz val="11"/>
      <name val="Times New Roman CE"/>
      <charset val="238"/>
    </font>
    <font>
      <b/>
      <sz val="11"/>
      <name val="Times New Roman CE"/>
      <charset val="238"/>
    </font>
    <font>
      <sz val="12"/>
      <name val="Times New Roman CE"/>
      <charset val="238"/>
    </font>
    <font>
      <sz val="10"/>
      <name val="Times New Roman CE"/>
      <charset val="238"/>
    </font>
    <font>
      <b/>
      <sz val="14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  <charset val="238"/>
    </font>
    <font>
      <i/>
      <sz val="12"/>
      <name val="Times New Roman CE"/>
      <charset val="238"/>
    </font>
    <font>
      <i/>
      <sz val="11"/>
      <name val="Times New Roman CE"/>
      <charset val="238"/>
    </font>
    <font>
      <sz val="13"/>
      <name val="Times New Roman CE"/>
      <charset val="238"/>
    </font>
    <font>
      <sz val="9"/>
      <name val="Times New Roman CE"/>
      <charset val="238"/>
    </font>
    <font>
      <sz val="14"/>
      <name val="Times New Roman CE"/>
      <charset val="238"/>
    </font>
    <font>
      <b/>
      <i/>
      <sz val="14"/>
      <name val="Times New Roman CE"/>
      <charset val="238"/>
    </font>
    <font>
      <b/>
      <i/>
      <sz val="12"/>
      <name val="Times New Roman CE"/>
      <charset val="238"/>
    </font>
    <font>
      <b/>
      <sz val="16"/>
      <name val="Times New Roman CE"/>
      <family val="1"/>
      <charset val="238"/>
    </font>
    <font>
      <b/>
      <sz val="16"/>
      <name val="Times New Roman CE"/>
      <charset val="238"/>
    </font>
    <font>
      <sz val="11"/>
      <color indexed="8"/>
      <name val="Calibri"/>
      <family val="2"/>
      <charset val="238"/>
    </font>
    <font>
      <u/>
      <sz val="12"/>
      <color indexed="12"/>
      <name val="Times New Roman CE"/>
      <family val="1"/>
      <charset val="238"/>
    </font>
    <font>
      <u/>
      <sz val="12"/>
      <color indexed="20"/>
      <name val="Times New Roman CE"/>
      <family val="1"/>
      <charset val="238"/>
    </font>
    <font>
      <b/>
      <sz val="16"/>
      <color indexed="8"/>
      <name val="Calibri"/>
      <family val="2"/>
      <charset val="238"/>
    </font>
    <font>
      <b/>
      <sz val="16"/>
      <name val="Arial"/>
      <family val="2"/>
      <charset val="238"/>
    </font>
    <font>
      <b/>
      <sz val="11"/>
      <name val="Arial"/>
      <family val="2"/>
      <charset val="238"/>
    </font>
    <font>
      <b/>
      <sz val="12"/>
      <name val="Arial"/>
      <family val="2"/>
      <charset val="238"/>
    </font>
    <font>
      <b/>
      <sz val="16"/>
      <name val="Times New Roman"/>
      <family val="1"/>
      <charset val="238"/>
    </font>
    <font>
      <b/>
      <sz val="8"/>
      <name val="Times New Roman"/>
      <family val="1"/>
      <charset val="238"/>
    </font>
    <font>
      <sz val="12"/>
      <name val="Times New Roman CE"/>
      <family val="1"/>
      <charset val="238"/>
    </font>
    <font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i/>
      <sz val="11"/>
      <name val="Times New Roman CE"/>
      <family val="1"/>
      <charset val="238"/>
    </font>
    <font>
      <b/>
      <sz val="11"/>
      <name val="Times New Roman CE"/>
      <charset val="238"/>
    </font>
    <font>
      <sz val="11"/>
      <name val="Times New Roman CE"/>
      <charset val="238"/>
    </font>
    <font>
      <b/>
      <sz val="11"/>
      <name val="Times New Roman"/>
      <family val="1"/>
      <charset val="238"/>
    </font>
    <font>
      <i/>
      <sz val="11"/>
      <name val="Times New Roman CE"/>
      <charset val="238"/>
    </font>
    <font>
      <b/>
      <i/>
      <sz val="11"/>
      <name val="Times New Roman CE"/>
      <charset val="238"/>
    </font>
    <font>
      <sz val="14"/>
      <name val="Times New Roman CE"/>
      <charset val="238"/>
    </font>
    <font>
      <b/>
      <sz val="12"/>
      <name val="Times New Roman CE"/>
      <charset val="238"/>
    </font>
    <font>
      <sz val="14"/>
      <name val="Times New Roman CE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3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1"/>
      <color indexed="55"/>
      <name val="Calibri"/>
      <family val="2"/>
      <charset val="238"/>
    </font>
    <font>
      <b/>
      <sz val="11"/>
      <color indexed="55"/>
      <name val="Calibri"/>
      <family val="2"/>
      <charset val="238"/>
    </font>
    <font>
      <b/>
      <sz val="12"/>
      <color indexed="45"/>
      <name val="Times New Roman CE"/>
      <family val="1"/>
      <charset val="238"/>
    </font>
    <font>
      <b/>
      <i/>
      <sz val="11"/>
      <color indexed="55"/>
      <name val="Times New Roman"/>
      <family val="1"/>
      <charset val="238"/>
    </font>
    <font>
      <sz val="12"/>
      <color indexed="55"/>
      <name val="Times New Roman"/>
      <family val="1"/>
      <charset val="238"/>
    </font>
    <font>
      <sz val="11"/>
      <name val="Calibri"/>
      <family val="2"/>
      <charset val="238"/>
    </font>
    <font>
      <sz val="12"/>
      <color indexed="55"/>
      <name val="Calibri"/>
      <family val="2"/>
      <charset val="238"/>
    </font>
    <font>
      <sz val="12"/>
      <name val="Calibri"/>
      <family val="2"/>
      <charset val="238"/>
    </font>
    <font>
      <b/>
      <sz val="11"/>
      <name val="Calibri"/>
      <family val="2"/>
      <charset val="238"/>
    </font>
    <font>
      <b/>
      <sz val="12"/>
      <name val="Calibri"/>
      <family val="2"/>
      <charset val="238"/>
    </font>
    <font>
      <sz val="11"/>
      <color indexed="55"/>
      <name val="Arial"/>
      <family val="2"/>
      <charset val="238"/>
    </font>
    <font>
      <b/>
      <sz val="12"/>
      <color indexed="55"/>
      <name val="Calibri"/>
      <family val="2"/>
      <charset val="238"/>
    </font>
    <font>
      <b/>
      <sz val="14"/>
      <color indexed="45"/>
      <name val="Times New Roman CE"/>
      <family val="1"/>
      <charset val="238"/>
    </font>
    <font>
      <sz val="11"/>
      <color indexed="45"/>
      <name val="Times New Roman CE"/>
      <family val="1"/>
      <charset val="238"/>
    </font>
    <font>
      <b/>
      <sz val="13"/>
      <color indexed="45"/>
      <name val="Times New Roman CE"/>
      <family val="1"/>
      <charset val="238"/>
    </font>
    <font>
      <sz val="10"/>
      <color indexed="45"/>
      <name val="Times New Roman CE"/>
      <family val="1"/>
      <charset val="238"/>
    </font>
    <font>
      <sz val="11"/>
      <color indexed="55"/>
      <name val="Times New Roman"/>
      <family val="1"/>
      <charset val="238"/>
    </font>
    <font>
      <sz val="12"/>
      <color indexed="55"/>
      <name val="Times New Roman"/>
      <family val="1"/>
      <charset val="238"/>
    </font>
    <font>
      <b/>
      <sz val="11"/>
      <color indexed="55"/>
      <name val="Times New Roman"/>
      <family val="1"/>
      <charset val="238"/>
    </font>
    <font>
      <b/>
      <sz val="12"/>
      <color indexed="55"/>
      <name val="Times New Roman"/>
      <family val="1"/>
      <charset val="238"/>
    </font>
    <font>
      <sz val="10"/>
      <color indexed="55"/>
      <name val="Times New Roman"/>
      <family val="1"/>
      <charset val="238"/>
    </font>
    <font>
      <b/>
      <sz val="12"/>
      <color indexed="45"/>
      <name val="Times New Roman CE"/>
      <charset val="238"/>
    </font>
    <font>
      <sz val="10"/>
      <color indexed="45"/>
      <name val="Times New Roman CE"/>
      <charset val="238"/>
    </font>
    <font>
      <sz val="14"/>
      <color indexed="45"/>
      <name val="Times New Roman CE"/>
      <family val="1"/>
      <charset val="238"/>
    </font>
    <font>
      <sz val="12"/>
      <color indexed="45"/>
      <name val="Times New Roman CE"/>
      <family val="1"/>
      <charset val="238"/>
    </font>
    <font>
      <b/>
      <sz val="14"/>
      <color indexed="45"/>
      <name val="Times New Roman CE"/>
      <charset val="238"/>
    </font>
    <font>
      <b/>
      <sz val="10"/>
      <color indexed="45"/>
      <name val="Times New Roman CE"/>
      <charset val="238"/>
    </font>
    <font>
      <sz val="14"/>
      <color indexed="26"/>
      <name val="Times New Roman CE"/>
      <family val="1"/>
      <charset val="238"/>
    </font>
    <font>
      <sz val="10"/>
      <color indexed="26"/>
      <name val="Times New Roman CE"/>
      <family val="1"/>
      <charset val="238"/>
    </font>
    <font>
      <sz val="12"/>
      <color indexed="26"/>
      <name val="Times New Roman CE"/>
      <family val="1"/>
      <charset val="238"/>
    </font>
    <font>
      <sz val="11"/>
      <color indexed="26"/>
      <name val="Times New Roman CE"/>
      <family val="1"/>
      <charset val="238"/>
    </font>
    <font>
      <b/>
      <sz val="11"/>
      <color indexed="45"/>
      <name val="Times New Roman CE"/>
      <family val="1"/>
      <charset val="238"/>
    </font>
    <font>
      <i/>
      <sz val="11"/>
      <color indexed="45"/>
      <name val="Times New Roman CE"/>
      <family val="1"/>
      <charset val="238"/>
    </font>
    <font>
      <b/>
      <sz val="11"/>
      <color indexed="26"/>
      <name val="Times New Roman CE"/>
      <family val="1"/>
      <charset val="238"/>
    </font>
    <font>
      <i/>
      <sz val="11"/>
      <color indexed="26"/>
      <name val="Times New Roman CE"/>
      <family val="1"/>
      <charset val="238"/>
    </font>
    <font>
      <sz val="11"/>
      <color indexed="25"/>
      <name val="Times New Roman CE"/>
      <family val="1"/>
      <charset val="238"/>
    </font>
    <font>
      <b/>
      <sz val="11"/>
      <color indexed="25"/>
      <name val="Times New Roman CE"/>
      <family val="1"/>
      <charset val="238"/>
    </font>
    <font>
      <i/>
      <sz val="11"/>
      <color indexed="25"/>
      <name val="Times New Roman CE"/>
      <family val="1"/>
      <charset val="238"/>
    </font>
    <font>
      <sz val="10"/>
      <color indexed="25"/>
      <name val="Times New Roman CE"/>
      <family val="1"/>
      <charset val="238"/>
    </font>
    <font>
      <b/>
      <sz val="11"/>
      <color indexed="9"/>
      <name val="Times New Roman CE"/>
      <family val="1"/>
      <charset val="238"/>
    </font>
    <font>
      <sz val="11"/>
      <color indexed="9"/>
      <name val="Times New Roman CE"/>
      <family val="1"/>
      <charset val="238"/>
    </font>
    <font>
      <sz val="10"/>
      <color indexed="9"/>
      <name val="Times New Roman CE"/>
      <family val="1"/>
      <charset val="238"/>
    </font>
    <font>
      <sz val="11"/>
      <color indexed="9"/>
      <name val="Times New Roman CE"/>
      <family val="1"/>
      <charset val="238"/>
    </font>
    <font>
      <b/>
      <sz val="11"/>
      <color indexed="9"/>
      <name val="Times New Roman CE"/>
      <family val="1"/>
      <charset val="238"/>
    </font>
    <font>
      <i/>
      <sz val="11"/>
      <color indexed="9"/>
      <name val="Times New Roman CE"/>
      <family val="1"/>
      <charset val="238"/>
    </font>
    <font>
      <sz val="10"/>
      <color indexed="9"/>
      <name val="Times New Roman CE"/>
      <family val="1"/>
      <charset val="238"/>
    </font>
    <font>
      <sz val="11"/>
      <color indexed="26"/>
      <name val="Times New Roman CE"/>
      <charset val="238"/>
    </font>
    <font>
      <b/>
      <sz val="11"/>
      <color indexed="26"/>
      <name val="Times New Roman CE"/>
      <charset val="238"/>
    </font>
    <font>
      <sz val="10"/>
      <color indexed="26"/>
      <name val="Times New Roman CE"/>
      <charset val="238"/>
    </font>
    <font>
      <sz val="11"/>
      <color indexed="25"/>
      <name val="Times New Roman CE"/>
      <charset val="238"/>
    </font>
    <font>
      <b/>
      <sz val="11"/>
      <color indexed="25"/>
      <name val="Times New Roman CE"/>
      <charset val="238"/>
    </font>
    <font>
      <sz val="10"/>
      <color indexed="25"/>
      <name val="Times New Roman CE"/>
      <charset val="238"/>
    </font>
    <font>
      <sz val="11"/>
      <color indexed="45"/>
      <name val="Times New Roman CE"/>
      <charset val="238"/>
    </font>
    <font>
      <b/>
      <sz val="11"/>
      <color indexed="45"/>
      <name val="Times New Roman CE"/>
      <charset val="238"/>
    </font>
    <font>
      <sz val="11"/>
      <color indexed="9"/>
      <name val="Times New Roman CE"/>
      <charset val="238"/>
    </font>
    <font>
      <b/>
      <sz val="11"/>
      <color indexed="9"/>
      <name val="Times New Roman CE"/>
      <charset val="238"/>
    </font>
    <font>
      <sz val="10"/>
      <color indexed="9"/>
      <name val="Times New Roman CE"/>
      <charset val="238"/>
    </font>
    <font>
      <b/>
      <sz val="10"/>
      <color indexed="45"/>
      <name val="Times New Roman CE"/>
      <family val="1"/>
      <charset val="238"/>
    </font>
    <font>
      <sz val="12"/>
      <color indexed="9"/>
      <name val="Times New Roman CE"/>
      <family val="1"/>
      <charset val="238"/>
    </font>
    <font>
      <b/>
      <sz val="12"/>
      <color indexed="9"/>
      <name val="Times New Roman CE"/>
      <family val="1"/>
      <charset val="238"/>
    </font>
    <font>
      <b/>
      <sz val="10"/>
      <color indexed="9"/>
      <name val="Times New Roman CE"/>
      <family val="1"/>
      <charset val="238"/>
    </font>
    <font>
      <sz val="12"/>
      <color indexed="25"/>
      <name val="Times New Roman CE"/>
      <family val="1"/>
      <charset val="238"/>
    </font>
    <font>
      <b/>
      <sz val="12"/>
      <color indexed="25"/>
      <name val="Times New Roman CE"/>
      <family val="1"/>
      <charset val="238"/>
    </font>
    <font>
      <b/>
      <sz val="10"/>
      <color indexed="25"/>
      <name val="Times New Roman CE"/>
      <family val="1"/>
      <charset val="238"/>
    </font>
    <font>
      <b/>
      <sz val="12"/>
      <color indexed="26"/>
      <name val="Times New Roman CE"/>
      <family val="1"/>
      <charset val="238"/>
    </font>
    <font>
      <b/>
      <sz val="10"/>
      <color indexed="26"/>
      <name val="Times New Roman CE"/>
      <family val="1"/>
      <charset val="238"/>
    </font>
    <font>
      <sz val="12"/>
      <color indexed="45"/>
      <name val="Times New Roman"/>
      <family val="1"/>
      <charset val="238"/>
    </font>
    <font>
      <sz val="12"/>
      <color indexed="26"/>
      <name val="Times New Roman"/>
      <family val="1"/>
      <charset val="238"/>
    </font>
    <font>
      <sz val="12"/>
      <color indexed="25"/>
      <name val="Times New Roman"/>
      <family val="1"/>
      <charset val="238"/>
    </font>
    <font>
      <b/>
      <sz val="12"/>
      <color indexed="25"/>
      <name val="Times New Roman CE"/>
      <family val="1"/>
      <charset val="238"/>
    </font>
    <font>
      <i/>
      <sz val="11"/>
      <color indexed="25"/>
      <name val="Times New Roman CE"/>
      <family val="1"/>
      <charset val="238"/>
    </font>
    <font>
      <sz val="10"/>
      <color indexed="25"/>
      <name val="Times New Roman CE"/>
      <family val="1"/>
      <charset val="238"/>
    </font>
    <font>
      <sz val="12"/>
      <color indexed="25"/>
      <name val="Times New Roman CE"/>
      <family val="1"/>
      <charset val="238"/>
    </font>
    <font>
      <sz val="12"/>
      <color indexed="9"/>
      <name val="Times New Roman"/>
      <family val="1"/>
      <charset val="238"/>
    </font>
    <font>
      <i/>
      <sz val="11"/>
      <color indexed="55"/>
      <name val="Times New Roman CE"/>
      <family val="1"/>
      <charset val="238"/>
    </font>
    <font>
      <b/>
      <sz val="10"/>
      <color indexed="25"/>
      <name val="Times New Roman CE"/>
      <family val="1"/>
      <charset val="238"/>
    </font>
    <font>
      <b/>
      <sz val="12"/>
      <color indexed="55"/>
      <name val="Times New Roman CE"/>
      <family val="1"/>
      <charset val="238"/>
    </font>
    <font>
      <i/>
      <sz val="12"/>
      <color indexed="26"/>
      <name val="Times New Roman CE"/>
      <family val="1"/>
      <charset val="238"/>
    </font>
    <font>
      <i/>
      <sz val="12"/>
      <color indexed="9"/>
      <name val="Times New Roman CE"/>
      <family val="1"/>
      <charset val="238"/>
    </font>
    <font>
      <sz val="11"/>
      <color indexed="25"/>
      <name val="Times New Roman CE"/>
      <family val="1"/>
      <charset val="238"/>
    </font>
    <font>
      <sz val="12"/>
      <color indexed="55"/>
      <name val="Times New Roman CE"/>
      <family val="1"/>
      <charset val="238"/>
    </font>
    <font>
      <b/>
      <sz val="12"/>
      <color indexed="25"/>
      <name val="Times New Roman CE"/>
      <family val="1"/>
      <charset val="238"/>
    </font>
    <font>
      <sz val="12"/>
      <color indexed="25"/>
      <name val="Times New Roman CE"/>
      <family val="1"/>
      <charset val="238"/>
    </font>
    <font>
      <sz val="10"/>
      <color indexed="25"/>
      <name val="Times New Roman CE"/>
      <family val="1"/>
      <charset val="238"/>
    </font>
    <font>
      <sz val="11"/>
      <color indexed="25"/>
      <name val="Times New Roman CE"/>
      <family val="1"/>
      <charset val="238"/>
    </font>
    <font>
      <b/>
      <sz val="12"/>
      <color indexed="9"/>
      <name val="Times New Roman CE"/>
      <family val="1"/>
      <charset val="238"/>
    </font>
    <font>
      <sz val="12"/>
      <color indexed="9"/>
      <name val="Times New Roman CE"/>
      <family val="1"/>
      <charset val="238"/>
    </font>
    <font>
      <b/>
      <sz val="11"/>
      <color indexed="25"/>
      <name val="Times New Roman CE"/>
      <family val="1"/>
      <charset val="238"/>
    </font>
    <font>
      <b/>
      <sz val="10"/>
      <color indexed="9"/>
      <name val="Times New Roman CE"/>
      <family val="1"/>
      <charset val="238"/>
    </font>
    <font>
      <sz val="11"/>
      <color indexed="55"/>
      <name val="Times New Roman CE"/>
      <family val="1"/>
      <charset val="238"/>
    </font>
    <font>
      <sz val="10"/>
      <color indexed="55"/>
      <name val="Times New Roman CE"/>
      <family val="1"/>
      <charset val="238"/>
    </font>
    <font>
      <b/>
      <sz val="12"/>
      <color indexed="25"/>
      <name val="Times New Roman CE"/>
      <charset val="238"/>
    </font>
    <font>
      <b/>
      <sz val="10"/>
      <color indexed="25"/>
      <name val="Times New Roman CE"/>
      <charset val="238"/>
    </font>
    <font>
      <sz val="12"/>
      <color indexed="25"/>
      <name val="Times New Roman CE"/>
      <charset val="238"/>
    </font>
    <font>
      <sz val="10"/>
      <color indexed="25"/>
      <name val="Times New Roman CE"/>
      <charset val="238"/>
    </font>
    <font>
      <b/>
      <sz val="10"/>
      <color indexed="55"/>
      <name val="Times New Roman CE"/>
      <family val="1"/>
      <charset val="238"/>
    </font>
    <font>
      <i/>
      <sz val="12"/>
      <color indexed="55"/>
      <name val="Times New Roman CE"/>
      <family val="1"/>
      <charset val="238"/>
    </font>
    <font>
      <i/>
      <sz val="12"/>
      <color indexed="9"/>
      <name val="Times New Roman CE"/>
      <family val="1"/>
      <charset val="238"/>
    </font>
    <font>
      <b/>
      <sz val="13"/>
      <color indexed="25"/>
      <name val="Times New Roman CE"/>
      <family val="1"/>
      <charset val="238"/>
    </font>
    <font>
      <sz val="13"/>
      <color indexed="25"/>
      <name val="Times New Roman CE"/>
      <family val="1"/>
      <charset val="238"/>
    </font>
    <font>
      <sz val="13"/>
      <color indexed="45"/>
      <name val="Times New Roman CE"/>
      <family val="1"/>
      <charset val="238"/>
    </font>
    <font>
      <i/>
      <sz val="11"/>
      <color indexed="9"/>
      <name val="Times New Roman CE"/>
      <family val="1"/>
      <charset val="238"/>
    </font>
    <font>
      <b/>
      <sz val="11"/>
      <color indexed="25"/>
      <name val="Times New Roman CE"/>
      <family val="1"/>
      <charset val="238"/>
    </font>
    <font>
      <b/>
      <sz val="11"/>
      <color indexed="25"/>
      <name val="Times New Roman CE"/>
      <charset val="238"/>
    </font>
    <font>
      <sz val="12"/>
      <color indexed="25"/>
      <name val="Times New Roman CE"/>
      <charset val="238"/>
    </font>
    <font>
      <b/>
      <sz val="11"/>
      <color indexed="55"/>
      <name val="Times New Roman CE"/>
      <family val="1"/>
      <charset val="238"/>
    </font>
    <font>
      <sz val="11"/>
      <color indexed="55"/>
      <name val="Calibri"/>
      <family val="2"/>
      <charset val="238"/>
    </font>
    <font>
      <b/>
      <i/>
      <sz val="13"/>
      <name val="Times New Roman CE"/>
      <charset val="238"/>
    </font>
    <font>
      <b/>
      <sz val="13"/>
      <name val="Times New Roman CE"/>
      <charset val="238"/>
    </font>
    <font>
      <sz val="10"/>
      <name val="Arial"/>
      <family val="2"/>
      <charset val="238"/>
    </font>
    <font>
      <sz val="16"/>
      <color indexed="55"/>
      <name val="Calibri"/>
      <family val="2"/>
      <charset val="238"/>
    </font>
    <font>
      <b/>
      <sz val="11"/>
      <color indexed="55"/>
      <name val="Times New Roman"/>
      <family val="1"/>
      <charset val="238"/>
    </font>
    <font>
      <sz val="11"/>
      <color indexed="55"/>
      <name val="Times New Roman"/>
      <family val="1"/>
      <charset val="238"/>
    </font>
    <font>
      <i/>
      <sz val="11"/>
      <color indexed="55"/>
      <name val="Times New Roman"/>
      <family val="1"/>
      <charset val="238"/>
    </font>
    <font>
      <b/>
      <sz val="11"/>
      <color indexed="55"/>
      <name val="Calibri"/>
      <family val="2"/>
      <charset val="238"/>
    </font>
    <font>
      <b/>
      <sz val="16"/>
      <color indexed="55"/>
      <name val="Times New Roman"/>
      <family val="1"/>
      <charset val="238"/>
    </font>
    <font>
      <b/>
      <sz val="14"/>
      <color indexed="55"/>
      <name val="Calibri"/>
      <family val="2"/>
      <charset val="238"/>
    </font>
    <font>
      <b/>
      <sz val="14"/>
      <color indexed="55"/>
      <name val="Times New Roman"/>
      <family val="1"/>
      <charset val="238"/>
    </font>
    <font>
      <b/>
      <sz val="12"/>
      <color indexed="55"/>
      <name val="Times New Roman"/>
      <family val="1"/>
      <charset val="238"/>
    </font>
    <font>
      <sz val="12"/>
      <color indexed="55"/>
      <name val="Times New Roman"/>
      <family val="1"/>
      <charset val="238"/>
    </font>
    <font>
      <i/>
      <sz val="12"/>
      <color indexed="55"/>
      <name val="Times New Roman"/>
      <family val="1"/>
      <charset val="238"/>
    </font>
    <font>
      <sz val="16"/>
      <color indexed="55"/>
      <name val="Times New Roman"/>
      <family val="1"/>
      <charset val="238"/>
    </font>
    <font>
      <sz val="11"/>
      <color indexed="55"/>
      <name val="Calibri"/>
      <family val="2"/>
      <charset val="238"/>
    </font>
    <font>
      <sz val="12"/>
      <color indexed="55"/>
      <name val="Calibri"/>
      <family val="2"/>
      <charset val="238"/>
    </font>
    <font>
      <b/>
      <sz val="18"/>
      <color indexed="55"/>
      <name val="Times New Roman"/>
      <family val="1"/>
      <charset val="238"/>
    </font>
    <font>
      <b/>
      <sz val="16"/>
      <color indexed="55"/>
      <name val="Calibri"/>
      <family val="2"/>
      <charset val="238"/>
    </font>
    <font>
      <b/>
      <i/>
      <sz val="13"/>
      <name val="Times New Roman CE"/>
      <family val="1"/>
      <charset val="238"/>
    </font>
    <font>
      <b/>
      <sz val="13"/>
      <color indexed="26"/>
      <name val="Times New Roman CE"/>
      <family val="1"/>
      <charset val="238"/>
    </font>
    <font>
      <b/>
      <sz val="13"/>
      <color indexed="55"/>
      <name val="Times New Roman CE"/>
      <family val="1"/>
      <charset val="238"/>
    </font>
    <font>
      <b/>
      <sz val="16"/>
      <color indexed="55"/>
      <name val="Arial"/>
      <family val="2"/>
      <charset val="238"/>
    </font>
    <font>
      <i/>
      <sz val="11"/>
      <color indexed="55"/>
      <name val="Calibri"/>
      <family val="2"/>
      <charset val="238"/>
    </font>
    <font>
      <b/>
      <sz val="13"/>
      <color indexed="55"/>
      <name val="Times New Roman"/>
      <family val="1"/>
      <charset val="238"/>
    </font>
    <font>
      <sz val="13"/>
      <color indexed="55"/>
      <name val="Calibri"/>
      <family val="2"/>
      <charset val="238"/>
    </font>
    <font>
      <b/>
      <sz val="13"/>
      <color indexed="55"/>
      <name val="Calibri"/>
      <family val="2"/>
      <charset val="238"/>
    </font>
    <font>
      <sz val="14"/>
      <color indexed="55"/>
      <name val="Times New Roman"/>
      <family val="1"/>
      <charset val="238"/>
    </font>
    <font>
      <sz val="11"/>
      <color indexed="18"/>
      <name val="Calibri"/>
      <family val="2"/>
      <charset val="238"/>
    </font>
    <font>
      <sz val="11"/>
      <color indexed="55"/>
      <name val="Calibri"/>
      <family val="2"/>
      <charset val="238"/>
    </font>
    <font>
      <b/>
      <sz val="12"/>
      <color indexed="49"/>
      <name val="Times New Roman CE"/>
      <family val="1"/>
      <charset val="238"/>
    </font>
    <font>
      <sz val="11"/>
      <color indexed="49"/>
      <name val="Times New Roman CE"/>
      <family val="1"/>
      <charset val="238"/>
    </font>
    <font>
      <b/>
      <sz val="13"/>
      <color indexed="49"/>
      <name val="Times New Roman CE"/>
      <family val="1"/>
      <charset val="238"/>
    </font>
    <font>
      <sz val="10"/>
      <color indexed="49"/>
      <name val="Times New Roman CE"/>
      <family val="1"/>
      <charset val="238"/>
    </font>
    <font>
      <sz val="13"/>
      <color indexed="49"/>
      <name val="Times New Roman CE"/>
      <family val="1"/>
      <charset val="238"/>
    </font>
    <font>
      <sz val="12"/>
      <color indexed="45"/>
      <name val="Times New Roman"/>
      <family val="1"/>
      <charset val="238"/>
    </font>
    <font>
      <sz val="16"/>
      <color indexed="45"/>
      <name val="Times New Roman"/>
      <family val="1"/>
      <charset val="238"/>
    </font>
    <font>
      <sz val="11"/>
      <color indexed="45"/>
      <name val="Calibri"/>
      <family val="2"/>
      <charset val="238"/>
    </font>
    <font>
      <sz val="12"/>
      <color indexed="26"/>
      <name val="Times New Roman"/>
      <family val="1"/>
      <charset val="238"/>
    </font>
    <font>
      <sz val="16"/>
      <color indexed="26"/>
      <name val="Times New Roman"/>
      <family val="1"/>
      <charset val="238"/>
    </font>
    <font>
      <b/>
      <sz val="16"/>
      <color indexed="45"/>
      <name val="Times New Roman"/>
      <family val="1"/>
      <charset val="238"/>
    </font>
    <font>
      <b/>
      <sz val="14"/>
      <color indexed="26"/>
      <name val="Times New Roman"/>
      <family val="1"/>
      <charset val="238"/>
    </font>
    <font>
      <sz val="11"/>
      <color indexed="18"/>
      <name val="Calibri"/>
      <family val="2"/>
      <charset val="238"/>
    </font>
    <font>
      <sz val="11"/>
      <color indexed="55"/>
      <name val="Calibri"/>
      <family val="2"/>
      <charset val="238"/>
    </font>
    <font>
      <sz val="14"/>
      <color indexed="55"/>
      <name val="Arial"/>
      <family val="2"/>
      <charset val="238"/>
    </font>
    <font>
      <b/>
      <sz val="14"/>
      <color indexed="55"/>
      <name val="Arial"/>
      <family val="2"/>
      <charset val="238"/>
    </font>
    <font>
      <b/>
      <sz val="16"/>
      <color indexed="49"/>
      <name val="Times New Roman"/>
      <family val="1"/>
      <charset val="238"/>
    </font>
    <font>
      <sz val="12"/>
      <color indexed="49"/>
      <name val="Times New Roman"/>
      <family val="1"/>
      <charset val="238"/>
    </font>
    <font>
      <sz val="16"/>
      <color indexed="49"/>
      <name val="Times New Roman"/>
      <family val="1"/>
      <charset val="238"/>
    </font>
    <font>
      <sz val="12"/>
      <color indexed="26"/>
      <name val="Times New Roman"/>
      <family val="1"/>
      <charset val="238"/>
    </font>
    <font>
      <sz val="12"/>
      <color indexed="9"/>
      <name val="Times New Roman CE"/>
      <charset val="238"/>
    </font>
    <font>
      <b/>
      <sz val="14"/>
      <color theme="5" tint="-0.249977111117893"/>
      <name val="Times New Roman"/>
      <family val="1"/>
      <charset val="238"/>
    </font>
    <font>
      <b/>
      <sz val="16"/>
      <color theme="5" tint="-0.249977111117893"/>
      <name val="Times New Roman"/>
      <family val="1"/>
      <charset val="238"/>
    </font>
    <font>
      <sz val="12"/>
      <color theme="5" tint="-0.249977111117893"/>
      <name val="Times New Roman"/>
      <family val="1"/>
      <charset val="238"/>
    </font>
    <font>
      <sz val="16"/>
      <color theme="5" tint="-0.249977111117893"/>
      <name val="Times New Roman"/>
      <family val="1"/>
      <charset val="238"/>
    </font>
    <font>
      <b/>
      <sz val="10"/>
      <color indexed="55"/>
      <name val="Times New Roman"/>
      <family val="1"/>
      <charset val="238"/>
    </font>
    <font>
      <b/>
      <sz val="9"/>
      <color indexed="55"/>
      <name val="Times New Roman"/>
      <family val="1"/>
      <charset val="238"/>
    </font>
    <font>
      <b/>
      <sz val="8"/>
      <color indexed="55"/>
      <name val="Times New Roman"/>
      <family val="1"/>
      <charset val="238"/>
    </font>
    <font>
      <sz val="8"/>
      <color indexed="55"/>
      <name val="Times New Roman"/>
      <family val="1"/>
      <charset val="238"/>
    </font>
    <font>
      <sz val="8"/>
      <name val="Times New Roman"/>
      <family val="1"/>
      <charset val="238"/>
    </font>
    <font>
      <b/>
      <sz val="12"/>
      <color indexed="55"/>
      <name val="Arial"/>
      <family val="2"/>
      <charset val="238"/>
    </font>
    <font>
      <sz val="12"/>
      <color indexed="55"/>
      <name val="Arial"/>
      <family val="2"/>
      <charset val="238"/>
    </font>
    <font>
      <b/>
      <sz val="14"/>
      <name val="Palatino Linotype"/>
      <family val="1"/>
      <charset val="238"/>
    </font>
    <font>
      <i/>
      <sz val="12"/>
      <name val="Palatino Linotype"/>
      <family val="1"/>
      <charset val="238"/>
    </font>
    <font>
      <sz val="10"/>
      <name val="Palatino Linotype"/>
      <family val="1"/>
      <charset val="238"/>
    </font>
    <font>
      <b/>
      <sz val="10"/>
      <name val="Palatino Linotype"/>
      <family val="1"/>
      <charset val="238"/>
    </font>
    <font>
      <b/>
      <sz val="9"/>
      <name val="Palatino Linotype"/>
      <family val="1"/>
      <charset val="238"/>
    </font>
    <font>
      <b/>
      <sz val="16"/>
      <color rgb="FF0070C0"/>
      <name val="Times New Roman"/>
      <family val="1"/>
      <charset val="238"/>
    </font>
    <font>
      <sz val="12"/>
      <color rgb="FF0070C0"/>
      <name val="Times New Roman"/>
      <family val="1"/>
      <charset val="238"/>
    </font>
    <font>
      <sz val="16"/>
      <color rgb="FF0070C0"/>
      <name val="Times New Roman"/>
      <family val="1"/>
      <charset val="238"/>
    </font>
    <font>
      <sz val="11"/>
      <color rgb="FF0070C0"/>
      <name val="Calibri"/>
      <family val="2"/>
      <charset val="238"/>
    </font>
    <font>
      <sz val="11"/>
      <color theme="1"/>
      <name val="Arial"/>
      <family val="2"/>
      <charset val="238"/>
    </font>
    <font>
      <b/>
      <sz val="14"/>
      <name val="Arial"/>
      <family val="2"/>
      <charset val="238"/>
    </font>
    <font>
      <b/>
      <sz val="16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5"/>
      <name val="Arial"/>
      <family val="2"/>
      <charset val="238"/>
    </font>
    <font>
      <sz val="11"/>
      <color theme="1"/>
      <name val="Times New Roman"/>
      <family val="1"/>
      <charset val="238"/>
    </font>
    <font>
      <b/>
      <sz val="11"/>
      <color indexed="55"/>
      <name val="Arial"/>
      <family val="2"/>
      <charset val="238"/>
    </font>
  </fonts>
  <fills count="40">
    <fill>
      <patternFill patternType="none"/>
    </fill>
    <fill>
      <patternFill patternType="gray125"/>
    </fill>
    <fill>
      <patternFill patternType="solid">
        <fgColor indexed="36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gray0625">
        <bgColor indexed="26"/>
      </patternFill>
    </fill>
    <fill>
      <patternFill patternType="gray0625">
        <bgColor indexed="18"/>
      </patternFill>
    </fill>
    <fill>
      <patternFill patternType="gray0625"/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9"/>
        <bgColor indexed="18"/>
      </patternFill>
    </fill>
    <fill>
      <patternFill patternType="gray0625">
        <bgColor indexed="39"/>
      </patternFill>
    </fill>
    <fill>
      <patternFill patternType="solid">
        <fgColor indexed="26"/>
        <bgColor indexed="18"/>
      </patternFill>
    </fill>
    <fill>
      <patternFill patternType="gray0625">
        <fgColor indexed="26"/>
        <bgColor indexed="26"/>
      </patternFill>
    </fill>
    <fill>
      <patternFill patternType="gray0625">
        <fgColor indexed="18"/>
        <bgColor indexed="18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64"/>
      </patternFill>
    </fill>
    <fill>
      <patternFill patternType="gray0625">
        <bgColor indexed="35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18"/>
      </patternFill>
    </fill>
    <fill>
      <patternFill patternType="solid">
        <fgColor indexed="36"/>
        <bgColor indexed="38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indexed="18"/>
      </patternFill>
    </fill>
    <fill>
      <patternFill patternType="gray0625">
        <bgColor theme="5" tint="0.599993896298104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</patternFill>
    </fill>
    <fill>
      <patternFill patternType="lightHorizontal"/>
    </fill>
    <fill>
      <patternFill patternType="solid">
        <fgColor indexed="38"/>
        <bgColor indexed="14"/>
      </patternFill>
    </fill>
    <fill>
      <patternFill patternType="solid">
        <fgColor indexed="35"/>
        <bgColor indexed="9"/>
      </patternFill>
    </fill>
    <fill>
      <patternFill patternType="solid">
        <fgColor theme="5" tint="0.79998168889431442"/>
        <bgColor indexed="31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lightUp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18"/>
      </patternFill>
    </fill>
    <fill>
      <patternFill patternType="solid">
        <fgColor theme="0" tint="-4.9989318521683403E-2"/>
        <bgColor indexed="18"/>
      </patternFill>
    </fill>
    <fill>
      <patternFill patternType="gray0625">
        <bgColor theme="0"/>
      </patternFill>
    </fill>
  </fills>
  <borders count="2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 diagonalDown="1">
      <left/>
      <right/>
      <top style="double">
        <color indexed="64"/>
      </top>
      <bottom style="double">
        <color indexed="64"/>
      </bottom>
      <diagonal style="double">
        <color indexed="64"/>
      </diagonal>
    </border>
    <border diagonalDown="1">
      <left style="double">
        <color indexed="64"/>
      </left>
      <right/>
      <top style="double">
        <color indexed="64"/>
      </top>
      <bottom style="double">
        <color indexed="64"/>
      </bottom>
      <diagonal style="double">
        <color indexed="64"/>
      </diagonal>
    </border>
    <border diagonalDown="1">
      <left/>
      <right style="double">
        <color indexed="64"/>
      </right>
      <top style="double">
        <color indexed="64"/>
      </top>
      <bottom style="double">
        <color indexed="64"/>
      </bottom>
      <diagonal style="double">
        <color indexed="64"/>
      </diagonal>
    </border>
    <border>
      <left/>
      <right/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theme="1"/>
      </left>
      <right style="thin">
        <color theme="1"/>
      </right>
      <top style="double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double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double">
        <color theme="1"/>
      </top>
      <bottom style="thin">
        <color theme="1"/>
      </bottom>
      <diagonal/>
    </border>
    <border>
      <left style="double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double">
        <color theme="1"/>
      </right>
      <top/>
      <bottom style="thin">
        <color theme="1"/>
      </bottom>
      <diagonal/>
    </border>
    <border>
      <left/>
      <right style="double">
        <color theme="1"/>
      </right>
      <top style="thin">
        <color theme="1"/>
      </top>
      <bottom style="thin">
        <color theme="1"/>
      </bottom>
      <diagonal/>
    </border>
    <border>
      <left style="double">
        <color theme="1"/>
      </left>
      <right/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 style="double">
        <color theme="1"/>
      </bottom>
      <diagonal/>
    </border>
    <border>
      <left/>
      <right style="thin">
        <color theme="1"/>
      </right>
      <top style="double">
        <color theme="1"/>
      </top>
      <bottom style="double">
        <color theme="1"/>
      </bottom>
      <diagonal/>
    </border>
    <border>
      <left style="thin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double">
        <color theme="1"/>
      </right>
      <top/>
      <bottom/>
      <diagonal/>
    </border>
    <border>
      <left/>
      <right/>
      <top style="double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7">
    <xf numFmtId="0" fontId="0" fillId="0" borderId="0"/>
    <xf numFmtId="165" fontId="60" fillId="0" borderId="0" applyFill="0" applyBorder="0" applyAlignment="0" applyProtection="0"/>
    <xf numFmtId="165" fontId="60" fillId="0" borderId="0" applyFill="0" applyBorder="0" applyAlignment="0" applyProtection="0"/>
    <xf numFmtId="164" fontId="2" fillId="0" borderId="0" applyFont="0" applyFill="0" applyBorder="0" applyAlignment="0" applyProtection="0"/>
    <xf numFmtId="165" fontId="60" fillId="0" borderId="0" applyFill="0" applyBorder="0" applyAlignment="0" applyProtection="0"/>
    <xf numFmtId="165" fontId="60" fillId="0" borderId="0" applyFill="0" applyBorder="0" applyAlignment="0" applyProtection="0"/>
    <xf numFmtId="165" fontId="43" fillId="0" borderId="0" applyFill="0" applyBorder="0" applyAlignment="0" applyProtection="0"/>
    <xf numFmtId="0" fontId="61" fillId="0" borderId="0" applyNumberFormat="0" applyFill="0" applyBorder="0" applyAlignment="0" applyProtection="0"/>
    <xf numFmtId="0" fontId="225" fillId="2" borderId="0" applyNumberFormat="0" applyBorder="0" applyAlignment="0" applyProtection="0"/>
    <xf numFmtId="0" fontId="239" fillId="2" borderId="0" applyNumberFormat="0" applyBorder="0" applyAlignment="0" applyProtection="0"/>
    <xf numFmtId="0" fontId="62" fillId="0" borderId="0" applyNumberFormat="0" applyFill="0" applyBorder="0" applyAlignment="0" applyProtection="0"/>
    <xf numFmtId="0" fontId="199" fillId="0" borderId="0"/>
    <xf numFmtId="0" fontId="226" fillId="0" borderId="0"/>
    <xf numFmtId="0" fontId="2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12" fillId="0" borderId="0"/>
    <xf numFmtId="0" fontId="43" fillId="0" borderId="0"/>
    <xf numFmtId="0" fontId="43" fillId="0" borderId="0"/>
    <xf numFmtId="0" fontId="60" fillId="0" borderId="0"/>
    <xf numFmtId="0" fontId="2" fillId="0" borderId="0"/>
    <xf numFmtId="0" fontId="196" fillId="0" borderId="0"/>
    <xf numFmtId="0" fontId="212" fillId="0" borderId="0"/>
    <xf numFmtId="0" fontId="212" fillId="0" borderId="0"/>
    <xf numFmtId="0" fontId="3" fillId="0" borderId="0"/>
    <xf numFmtId="0" fontId="90" fillId="0" borderId="0"/>
    <xf numFmtId="0" fontId="1" fillId="0" borderId="0"/>
    <xf numFmtId="0" fontId="3" fillId="0" borderId="0"/>
    <xf numFmtId="0" fontId="47" fillId="0" borderId="0"/>
    <xf numFmtId="0" fontId="2" fillId="0" borderId="0"/>
    <xf numFmtId="0" fontId="2" fillId="0" borderId="0"/>
    <xf numFmtId="0" fontId="90" fillId="0" borderId="0"/>
    <xf numFmtId="0" fontId="43" fillId="0" borderId="0"/>
  </cellStyleXfs>
  <cellXfs count="4817">
    <xf numFmtId="0" fontId="0" fillId="0" borderId="0" xfId="0"/>
    <xf numFmtId="0" fontId="3" fillId="0" borderId="0" xfId="28" applyFont="1" applyProtection="1"/>
    <xf numFmtId="0" fontId="3" fillId="0" borderId="0" xfId="28" applyFont="1" applyAlignment="1" applyProtection="1">
      <alignment horizontal="right" vertical="center" indent="1"/>
    </xf>
    <xf numFmtId="0" fontId="3" fillId="0" borderId="0" xfId="28" applyProtection="1"/>
    <xf numFmtId="166" fontId="5" fillId="0" borderId="1" xfId="28" applyNumberFormat="1" applyFont="1" applyBorder="1" applyAlignment="1" applyProtection="1">
      <alignment horizontal="left" vertical="center"/>
    </xf>
    <xf numFmtId="0" fontId="9" fillId="0" borderId="0" xfId="28" applyFont="1" applyProtection="1"/>
    <xf numFmtId="166" fontId="6" fillId="0" borderId="2" xfId="28" applyNumberFormat="1" applyFont="1" applyBorder="1" applyAlignment="1" applyProtection="1">
      <alignment horizontal="right" vertical="center" wrapText="1" indent="1"/>
    </xf>
    <xf numFmtId="0" fontId="6" fillId="0" borderId="3" xfId="28" applyFont="1" applyBorder="1" applyAlignment="1" applyProtection="1">
      <alignment horizontal="left" vertical="center" wrapText="1" indent="1"/>
    </xf>
    <xf numFmtId="49" fontId="3" fillId="0" borderId="4" xfId="28" applyNumberFormat="1" applyFont="1" applyBorder="1" applyAlignment="1" applyProtection="1">
      <alignment horizontal="left" vertical="center" wrapText="1" indent="1"/>
    </xf>
    <xf numFmtId="166" fontId="3" fillId="0" borderId="5" xfId="28" applyNumberFormat="1" applyFont="1" applyBorder="1" applyAlignment="1" applyProtection="1">
      <alignment horizontal="right" vertical="center" wrapText="1" indent="1"/>
      <protection locked="0"/>
    </xf>
    <xf numFmtId="49" fontId="3" fillId="0" borderId="6" xfId="28" applyNumberFormat="1" applyFont="1" applyBorder="1" applyAlignment="1" applyProtection="1">
      <alignment horizontal="left" vertical="center" wrapText="1" indent="1"/>
    </xf>
    <xf numFmtId="166" fontId="3" fillId="0" borderId="7" xfId="28" applyNumberFormat="1" applyFont="1" applyBorder="1" applyAlignment="1" applyProtection="1">
      <alignment horizontal="right" vertical="center" wrapText="1" indent="1"/>
      <protection locked="0"/>
    </xf>
    <xf numFmtId="49" fontId="3" fillId="0" borderId="8" xfId="28" applyNumberFormat="1" applyFont="1" applyBorder="1" applyAlignment="1" applyProtection="1">
      <alignment horizontal="left" vertical="center" wrapText="1" indent="1"/>
    </xf>
    <xf numFmtId="166" fontId="3" fillId="0" borderId="9" xfId="28" applyNumberFormat="1" applyFont="1" applyBorder="1" applyAlignment="1" applyProtection="1">
      <alignment horizontal="right" vertical="center" wrapText="1" indent="1"/>
      <protection locked="0"/>
    </xf>
    <xf numFmtId="3" fontId="6" fillId="0" borderId="2" xfId="28" applyNumberFormat="1" applyFont="1" applyBorder="1" applyAlignment="1" applyProtection="1">
      <alignment horizontal="right" vertical="center" wrapText="1" indent="1"/>
    </xf>
    <xf numFmtId="0" fontId="11" fillId="0" borderId="10" xfId="28" applyFont="1" applyBorder="1" applyAlignment="1" applyProtection="1">
      <alignment horizontal="left" wrapText="1" indent="1"/>
    </xf>
    <xf numFmtId="0" fontId="11" fillId="0" borderId="11" xfId="28" applyFont="1" applyBorder="1" applyAlignment="1" applyProtection="1">
      <alignment horizontal="left" wrapText="1" indent="1"/>
    </xf>
    <xf numFmtId="0" fontId="11" fillId="0" borderId="12" xfId="28" applyFont="1" applyBorder="1" applyAlignment="1" applyProtection="1">
      <alignment horizontal="left" wrapText="1" indent="1"/>
    </xf>
    <xf numFmtId="0" fontId="10" fillId="0" borderId="13" xfId="28" applyFont="1" applyBorder="1" applyAlignment="1" applyProtection="1">
      <alignment horizontal="left" vertical="center" wrapText="1" indent="1"/>
    </xf>
    <xf numFmtId="0" fontId="6" fillId="0" borderId="0" xfId="28" applyFont="1" applyBorder="1" applyAlignment="1" applyProtection="1">
      <alignment horizontal="center" vertical="center" wrapText="1"/>
    </xf>
    <xf numFmtId="0" fontId="6" fillId="0" borderId="0" xfId="28" applyFont="1" applyBorder="1" applyAlignment="1" applyProtection="1">
      <alignment vertical="center" wrapText="1"/>
    </xf>
    <xf numFmtId="166" fontId="6" fillId="0" borderId="0" xfId="28" applyNumberFormat="1" applyFont="1" applyBorder="1" applyAlignment="1" applyProtection="1">
      <alignment horizontal="right" vertical="center" wrapText="1" indent="1"/>
    </xf>
    <xf numFmtId="0" fontId="0" fillId="0" borderId="0" xfId="28" applyFont="1" applyProtection="1"/>
    <xf numFmtId="0" fontId="3" fillId="0" borderId="0" xfId="28" applyAlignment="1" applyProtection="1"/>
    <xf numFmtId="0" fontId="6" fillId="0" borderId="14" xfId="28" applyFont="1" applyBorder="1" applyAlignment="1" applyProtection="1">
      <alignment vertical="center" wrapText="1"/>
    </xf>
    <xf numFmtId="166" fontId="6" fillId="0" borderId="15" xfId="28" applyNumberFormat="1" applyFont="1" applyBorder="1" applyAlignment="1" applyProtection="1">
      <alignment horizontal="right" vertical="center" wrapText="1" indent="1"/>
    </xf>
    <xf numFmtId="166" fontId="3" fillId="0" borderId="16" xfId="28" applyNumberFormat="1" applyFont="1" applyBorder="1" applyAlignment="1" applyProtection="1">
      <alignment horizontal="right" vertical="center" wrapText="1" indent="1"/>
      <protection locked="0"/>
    </xf>
    <xf numFmtId="0" fontId="3" fillId="0" borderId="17" xfId="28" applyFont="1" applyBorder="1" applyAlignment="1" applyProtection="1">
      <alignment horizontal="left" vertical="center" wrapText="1" indent="1"/>
    </xf>
    <xf numFmtId="0" fontId="3" fillId="0" borderId="0" xfId="28" applyFont="1" applyBorder="1" applyAlignment="1" applyProtection="1">
      <alignment horizontal="left" vertical="center" wrapText="1" indent="1"/>
    </xf>
    <xf numFmtId="166" fontId="3" fillId="0" borderId="18" xfId="28" applyNumberFormat="1" applyFont="1" applyBorder="1" applyAlignment="1" applyProtection="1">
      <alignment horizontal="right" vertical="center" wrapText="1" indent="1"/>
      <protection locked="0"/>
    </xf>
    <xf numFmtId="0" fontId="6" fillId="0" borderId="19" xfId="28" applyFont="1" applyBorder="1" applyAlignment="1" applyProtection="1">
      <alignment vertical="center" wrapText="1"/>
    </xf>
    <xf numFmtId="166" fontId="3" fillId="0" borderId="20" xfId="28" applyNumberFormat="1" applyFont="1" applyBorder="1" applyAlignment="1" applyProtection="1">
      <alignment horizontal="right" vertical="center" wrapText="1" indent="1"/>
      <protection locked="0"/>
    </xf>
    <xf numFmtId="166" fontId="3" fillId="0" borderId="21" xfId="28" applyNumberFormat="1" applyFont="1" applyBorder="1" applyAlignment="1" applyProtection="1">
      <alignment horizontal="right" vertical="center" wrapText="1" indent="1"/>
      <protection locked="0"/>
    </xf>
    <xf numFmtId="0" fontId="3" fillId="0" borderId="22" xfId="28" applyFont="1" applyBorder="1" applyAlignment="1" applyProtection="1">
      <alignment horizontal="left" vertical="center" wrapText="1" indent="1"/>
    </xf>
    <xf numFmtId="166" fontId="10" fillId="0" borderId="2" xfId="28" applyNumberFormat="1" applyFont="1" applyBorder="1" applyAlignment="1" applyProtection="1">
      <alignment horizontal="right" vertical="center" wrapText="1" indent="1"/>
    </xf>
    <xf numFmtId="0" fontId="92" fillId="0" borderId="0" xfId="28" applyFont="1" applyProtection="1"/>
    <xf numFmtId="0" fontId="6" fillId="0" borderId="0" xfId="28" applyFont="1" applyProtection="1"/>
    <xf numFmtId="0" fontId="13" fillId="0" borderId="1" xfId="28" applyFont="1" applyBorder="1" applyAlignment="1" applyProtection="1">
      <alignment horizontal="right" vertical="center"/>
    </xf>
    <xf numFmtId="166" fontId="0" fillId="0" borderId="0" xfId="0" applyNumberFormat="1" applyAlignment="1">
      <alignment vertical="center" wrapText="1"/>
    </xf>
    <xf numFmtId="166" fontId="0" fillId="0" borderId="0" xfId="0" applyNumberFormat="1" applyAlignment="1">
      <alignment horizontal="center" vertical="center" wrapText="1"/>
    </xf>
    <xf numFmtId="166" fontId="3" fillId="0" borderId="0" xfId="0" applyNumberFormat="1" applyFont="1" applyBorder="1" applyAlignment="1">
      <alignment horizontal="right" vertical="center"/>
    </xf>
    <xf numFmtId="166" fontId="15" fillId="0" borderId="23" xfId="0" applyNumberFormat="1" applyFont="1" applyBorder="1" applyAlignment="1">
      <alignment horizontal="center" vertical="center" wrapText="1"/>
    </xf>
    <xf numFmtId="166" fontId="15" fillId="0" borderId="24" xfId="0" applyNumberFormat="1" applyFont="1" applyBorder="1" applyAlignment="1">
      <alignment horizontal="center" vertical="center" wrapText="1"/>
    </xf>
    <xf numFmtId="166" fontId="15" fillId="0" borderId="19" xfId="0" applyNumberFormat="1" applyFont="1" applyBorder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 wrapText="1"/>
    </xf>
    <xf numFmtId="166" fontId="15" fillId="0" borderId="2" xfId="0" applyNumberFormat="1" applyFont="1" applyBorder="1" applyAlignment="1">
      <alignment horizontal="center" vertical="center" wrapText="1"/>
    </xf>
    <xf numFmtId="166" fontId="8" fillId="0" borderId="0" xfId="0" applyNumberFormat="1" applyFont="1" applyAlignment="1">
      <alignment horizontal="center" vertical="center" wrapText="1"/>
    </xf>
    <xf numFmtId="166" fontId="17" fillId="0" borderId="25" xfId="0" applyNumberFormat="1" applyFont="1" applyBorder="1" applyAlignment="1">
      <alignment horizontal="left" vertical="center" wrapText="1" indent="1"/>
    </xf>
    <xf numFmtId="166" fontId="17" fillId="0" borderId="4" xfId="0" applyNumberFormat="1" applyFont="1" applyBorder="1" applyAlignment="1" applyProtection="1">
      <alignment horizontal="left" vertical="center" wrapText="1" indent="1"/>
      <protection locked="0"/>
    </xf>
    <xf numFmtId="166" fontId="17" fillId="0" borderId="26" xfId="0" applyNumberFormat="1" applyFont="1" applyBorder="1" applyAlignment="1" applyProtection="1">
      <alignment vertical="center" wrapText="1"/>
      <protection locked="0"/>
    </xf>
    <xf numFmtId="166" fontId="17" fillId="0" borderId="5" xfId="0" applyNumberFormat="1" applyFont="1" applyBorder="1" applyAlignment="1" applyProtection="1">
      <alignment vertical="center" wrapText="1"/>
      <protection locked="0"/>
    </xf>
    <xf numFmtId="166" fontId="17" fillId="0" borderId="27" xfId="0" applyNumberFormat="1" applyFont="1" applyBorder="1" applyAlignment="1">
      <alignment horizontal="left" vertical="center" wrapText="1" indent="1"/>
    </xf>
    <xf numFmtId="166" fontId="17" fillId="0" borderId="6" xfId="0" applyNumberFormat="1" applyFont="1" applyBorder="1" applyAlignment="1" applyProtection="1">
      <alignment horizontal="left" vertical="center" wrapText="1" indent="1"/>
      <protection locked="0"/>
    </xf>
    <xf numFmtId="166" fontId="17" fillId="0" borderId="17" xfId="0" applyNumberFormat="1" applyFont="1" applyBorder="1" applyAlignment="1" applyProtection="1">
      <alignment vertical="center" wrapText="1"/>
      <protection locked="0"/>
    </xf>
    <xf numFmtId="166" fontId="17" fillId="0" borderId="28" xfId="0" applyNumberFormat="1" applyFont="1" applyBorder="1" applyAlignment="1" applyProtection="1">
      <alignment horizontal="left" vertical="center" wrapText="1" indent="1"/>
      <protection locked="0"/>
    </xf>
    <xf numFmtId="0" fontId="17" fillId="0" borderId="17" xfId="28" applyFont="1" applyBorder="1" applyAlignment="1" applyProtection="1">
      <alignment horizontal="left" vertical="center" wrapText="1" indent="1"/>
    </xf>
    <xf numFmtId="166" fontId="17" fillId="0" borderId="7" xfId="0" applyNumberFormat="1" applyFont="1" applyBorder="1" applyAlignment="1" applyProtection="1">
      <alignment vertical="center" wrapText="1"/>
      <protection locked="0"/>
    </xf>
    <xf numFmtId="166" fontId="17" fillId="0" borderId="11" xfId="0" applyNumberFormat="1" applyFont="1" applyBorder="1" applyAlignment="1" applyProtection="1">
      <alignment vertical="center" wrapText="1"/>
      <protection locked="0"/>
    </xf>
    <xf numFmtId="166" fontId="17" fillId="0" borderId="8" xfId="0" applyNumberFormat="1" applyFont="1" applyBorder="1" applyAlignment="1" applyProtection="1">
      <alignment horizontal="left" vertical="center" wrapText="1" indent="1"/>
      <protection locked="0"/>
    </xf>
    <xf numFmtId="166" fontId="17" fillId="0" borderId="29" xfId="0" applyNumberFormat="1" applyFont="1" applyBorder="1" applyAlignment="1" applyProtection="1">
      <alignment vertical="center" wrapText="1"/>
      <protection locked="0"/>
    </xf>
    <xf numFmtId="166" fontId="17" fillId="0" borderId="9" xfId="0" applyNumberFormat="1" applyFont="1" applyBorder="1" applyAlignment="1" applyProtection="1">
      <alignment vertical="center" wrapText="1"/>
      <protection locked="0"/>
    </xf>
    <xf numFmtId="166" fontId="15" fillId="0" borderId="23" xfId="0" applyNumberFormat="1" applyFont="1" applyBorder="1" applyAlignment="1">
      <alignment horizontal="left" vertical="center" wrapText="1" indent="1"/>
    </xf>
    <xf numFmtId="166" fontId="15" fillId="0" borderId="24" xfId="0" applyNumberFormat="1" applyFont="1" applyBorder="1" applyAlignment="1" applyProtection="1">
      <alignment horizontal="left" vertical="center" wrapText="1" indent="1"/>
      <protection locked="0"/>
    </xf>
    <xf numFmtId="166" fontId="15" fillId="0" borderId="19" xfId="0" applyNumberFormat="1" applyFont="1" applyBorder="1" applyAlignment="1" applyProtection="1">
      <alignment vertical="center" wrapText="1"/>
    </xf>
    <xf numFmtId="166" fontId="15" fillId="0" borderId="2" xfId="0" applyNumberFormat="1" applyFont="1" applyBorder="1" applyAlignment="1" applyProtection="1">
      <alignment vertical="center" wrapText="1"/>
    </xf>
    <xf numFmtId="166" fontId="15" fillId="0" borderId="30" xfId="0" applyNumberFormat="1" applyFont="1" applyBorder="1" applyAlignment="1">
      <alignment horizontal="left" vertical="center" wrapText="1" indent="1"/>
    </xf>
    <xf numFmtId="166" fontId="15" fillId="0" borderId="3" xfId="0" applyNumberFormat="1" applyFont="1" applyBorder="1" applyAlignment="1" applyProtection="1">
      <alignment horizontal="left" vertical="center" wrapText="1" indent="1"/>
      <protection locked="0"/>
    </xf>
    <xf numFmtId="166" fontId="15" fillId="0" borderId="22" xfId="0" applyNumberFormat="1" applyFont="1" applyBorder="1" applyAlignment="1" applyProtection="1">
      <alignment horizontal="right" vertical="center" wrapText="1"/>
      <protection locked="0"/>
    </xf>
    <xf numFmtId="166" fontId="17" fillId="0" borderId="31" xfId="0" applyNumberFormat="1" applyFont="1" applyBorder="1" applyAlignment="1" applyProtection="1">
      <alignment horizontal="right" vertical="center" wrapText="1"/>
      <protection locked="0"/>
    </xf>
    <xf numFmtId="166" fontId="15" fillId="0" borderId="17" xfId="0" applyNumberFormat="1" applyFont="1" applyBorder="1" applyAlignment="1" applyProtection="1">
      <alignment horizontal="right" vertical="center" wrapText="1"/>
      <protection locked="0"/>
    </xf>
    <xf numFmtId="166" fontId="17" fillId="0" borderId="7" xfId="0" applyNumberFormat="1" applyFont="1" applyBorder="1" applyAlignment="1" applyProtection="1">
      <alignment horizontal="right" vertical="center" wrapText="1"/>
      <protection locked="0"/>
    </xf>
    <xf numFmtId="166" fontId="17" fillId="0" borderId="17" xfId="0" applyNumberFormat="1" applyFont="1" applyBorder="1" applyAlignment="1" applyProtection="1">
      <alignment horizontal="right" vertical="center" wrapText="1"/>
      <protection locked="0"/>
    </xf>
    <xf numFmtId="3" fontId="17" fillId="0" borderId="17" xfId="0" applyNumberFormat="1" applyFont="1" applyBorder="1" applyAlignment="1" applyProtection="1">
      <alignment horizontal="right" vertical="center" wrapText="1"/>
      <protection locked="0"/>
    </xf>
    <xf numFmtId="166" fontId="17" fillId="0" borderId="3" xfId="0" applyNumberFormat="1" applyFont="1" applyBorder="1" applyAlignment="1" applyProtection="1">
      <alignment horizontal="left" vertical="center" wrapText="1" indent="1"/>
      <protection locked="0"/>
    </xf>
    <xf numFmtId="166" fontId="17" fillId="0" borderId="0" xfId="0" applyNumberFormat="1" applyFont="1" applyAlignment="1">
      <alignment horizontal="center" vertical="center" wrapText="1"/>
    </xf>
    <xf numFmtId="166" fontId="17" fillId="0" borderId="5" xfId="0" applyNumberFormat="1" applyFont="1" applyBorder="1" applyAlignment="1" applyProtection="1">
      <alignment horizontal="right" vertical="center" wrapText="1"/>
      <protection locked="0"/>
    </xf>
    <xf numFmtId="166" fontId="6" fillId="0" borderId="23" xfId="0" applyNumberFormat="1" applyFont="1" applyBorder="1" applyAlignment="1">
      <alignment horizontal="left" vertical="center" wrapText="1" indent="1"/>
    </xf>
    <xf numFmtId="166" fontId="6" fillId="0" borderId="24" xfId="0" applyNumberFormat="1" applyFont="1" applyBorder="1" applyAlignment="1">
      <alignment horizontal="left" vertical="center" wrapText="1" indent="1"/>
    </xf>
    <xf numFmtId="166" fontId="6" fillId="0" borderId="19" xfId="0" applyNumberFormat="1" applyFont="1" applyBorder="1" applyAlignment="1" applyProtection="1">
      <alignment vertical="center" wrapText="1"/>
    </xf>
    <xf numFmtId="166" fontId="6" fillId="0" borderId="2" xfId="0" applyNumberFormat="1" applyFont="1" applyBorder="1" applyAlignment="1" applyProtection="1">
      <alignment vertical="center" wrapText="1"/>
    </xf>
    <xf numFmtId="166" fontId="6" fillId="0" borderId="19" xfId="0" applyNumberFormat="1" applyFont="1" applyBorder="1" applyAlignment="1" applyProtection="1">
      <alignment horizontal="right" vertical="center" wrapText="1"/>
    </xf>
    <xf numFmtId="166" fontId="6" fillId="0" borderId="2" xfId="0" applyNumberFormat="1" applyFont="1" applyBorder="1" applyAlignment="1" applyProtection="1">
      <alignment horizontal="right" vertical="center" wrapText="1"/>
    </xf>
    <xf numFmtId="166" fontId="92" fillId="0" borderId="0" xfId="0" applyNumberFormat="1" applyFont="1" applyAlignment="1">
      <alignment vertical="center" wrapText="1"/>
    </xf>
    <xf numFmtId="166" fontId="18" fillId="0" borderId="0" xfId="0" applyNumberFormat="1" applyFont="1" applyAlignment="1">
      <alignment horizontal="left" vertical="center" wrapText="1"/>
    </xf>
    <xf numFmtId="166" fontId="3" fillId="0" borderId="0" xfId="0" applyNumberFormat="1" applyFont="1" applyBorder="1" applyAlignment="1" applyProtection="1">
      <alignment vertical="center" wrapText="1"/>
    </xf>
    <xf numFmtId="166" fontId="18" fillId="0" borderId="32" xfId="0" applyNumberFormat="1" applyFont="1" applyBorder="1" applyAlignment="1">
      <alignment horizontal="left" vertical="center" wrapText="1"/>
    </xf>
    <xf numFmtId="166" fontId="7" fillId="0" borderId="33" xfId="0" applyNumberFormat="1" applyFont="1" applyBorder="1" applyAlignment="1">
      <alignment horizontal="left" vertical="center" wrapText="1"/>
    </xf>
    <xf numFmtId="166" fontId="6" fillId="0" borderId="34" xfId="0" applyNumberFormat="1" applyFont="1" applyBorder="1" applyAlignment="1" applyProtection="1">
      <alignment vertical="center" wrapText="1"/>
    </xf>
    <xf numFmtId="166" fontId="6" fillId="0" borderId="35" xfId="0" applyNumberFormat="1" applyFont="1" applyBorder="1" applyAlignment="1" applyProtection="1">
      <alignment vertical="center" wrapText="1"/>
    </xf>
    <xf numFmtId="166" fontId="7" fillId="0" borderId="36" xfId="0" applyNumberFormat="1" applyFont="1" applyBorder="1" applyAlignment="1">
      <alignment horizontal="left" vertical="center" wrapText="1"/>
    </xf>
    <xf numFmtId="166" fontId="6" fillId="0" borderId="0" xfId="0" applyNumberFormat="1" applyFont="1" applyBorder="1" applyAlignment="1" applyProtection="1">
      <alignment vertical="center" wrapText="1"/>
    </xf>
    <xf numFmtId="166" fontId="0" fillId="0" borderId="32" xfId="0" applyNumberFormat="1" applyBorder="1" applyAlignment="1">
      <alignment vertical="center" wrapText="1"/>
    </xf>
    <xf numFmtId="3" fontId="0" fillId="0" borderId="0" xfId="0" applyNumberFormat="1" applyAlignment="1">
      <alignment vertical="center" wrapText="1"/>
    </xf>
    <xf numFmtId="166" fontId="0" fillId="0" borderId="32" xfId="0" applyNumberFormat="1" applyBorder="1" applyAlignment="1">
      <alignment horizontal="center" vertical="center" wrapText="1"/>
    </xf>
    <xf numFmtId="166" fontId="0" fillId="0" borderId="0" xfId="0" applyNumberFormat="1" applyBorder="1" applyAlignment="1">
      <alignment vertical="center" wrapText="1"/>
    </xf>
    <xf numFmtId="166" fontId="3" fillId="0" borderId="0" xfId="0" applyNumberFormat="1" applyFont="1" applyAlignment="1">
      <alignment vertical="center" wrapText="1"/>
    </xf>
    <xf numFmtId="166" fontId="7" fillId="0" borderId="37" xfId="0" applyNumberFormat="1" applyFont="1" applyBorder="1" applyAlignment="1">
      <alignment horizontal="left" vertical="center" wrapText="1"/>
    </xf>
    <xf numFmtId="3" fontId="3" fillId="0" borderId="0" xfId="0" applyNumberFormat="1" applyFont="1" applyBorder="1" applyAlignment="1" applyProtection="1">
      <alignment vertical="center" wrapText="1"/>
    </xf>
    <xf numFmtId="166" fontId="17" fillId="0" borderId="0" xfId="0" applyNumberFormat="1" applyFont="1" applyAlignment="1">
      <alignment vertical="center" wrapText="1"/>
    </xf>
    <xf numFmtId="166" fontId="6" fillId="0" borderId="0" xfId="0" applyNumberFormat="1" applyFont="1" applyAlignment="1">
      <alignment horizontal="center" vertical="center" wrapText="1"/>
    </xf>
    <xf numFmtId="166" fontId="17" fillId="0" borderId="25" xfId="0" applyNumberFormat="1" applyFont="1" applyBorder="1" applyAlignment="1">
      <alignment horizontal="right" vertical="center" wrapText="1" indent="1"/>
    </xf>
    <xf numFmtId="166" fontId="17" fillId="0" borderId="27" xfId="0" applyNumberFormat="1" applyFont="1" applyBorder="1" applyAlignment="1">
      <alignment horizontal="right" vertical="center" wrapText="1" indent="1"/>
    </xf>
    <xf numFmtId="166" fontId="15" fillId="0" borderId="23" xfId="0" applyNumberFormat="1" applyFont="1" applyBorder="1" applyAlignment="1">
      <alignment horizontal="right" vertical="center" wrapText="1" indent="1"/>
    </xf>
    <xf numFmtId="166" fontId="15" fillId="0" borderId="25" xfId="0" applyNumberFormat="1" applyFont="1" applyBorder="1" applyAlignment="1">
      <alignment horizontal="right" vertical="center" wrapText="1" indent="1"/>
    </xf>
    <xf numFmtId="166" fontId="15" fillId="0" borderId="26" xfId="0" applyNumberFormat="1" applyFont="1" applyBorder="1" applyAlignment="1" applyProtection="1">
      <alignment horizontal="right" vertical="center" wrapText="1"/>
      <protection locked="0"/>
    </xf>
    <xf numFmtId="3" fontId="15" fillId="0" borderId="19" xfId="0" applyNumberFormat="1" applyFont="1" applyBorder="1" applyAlignment="1" applyProtection="1">
      <alignment vertical="center" wrapText="1"/>
    </xf>
    <xf numFmtId="166" fontId="6" fillId="0" borderId="23" xfId="0" applyNumberFormat="1" applyFont="1" applyBorder="1" applyAlignment="1">
      <alignment horizontal="right" vertical="center" wrapText="1" indent="1"/>
    </xf>
    <xf numFmtId="166" fontId="6" fillId="0" borderId="19" xfId="0" applyNumberFormat="1" applyFont="1" applyBorder="1" applyAlignment="1">
      <alignment vertical="center" wrapText="1"/>
    </xf>
    <xf numFmtId="166" fontId="6" fillId="0" borderId="2" xfId="0" applyNumberFormat="1" applyFont="1" applyBorder="1" applyAlignment="1">
      <alignment vertical="center" wrapText="1"/>
    </xf>
    <xf numFmtId="166" fontId="6" fillId="0" borderId="38" xfId="0" applyNumberFormat="1" applyFont="1" applyBorder="1" applyAlignment="1">
      <alignment horizontal="left" vertical="center" wrapText="1" indent="1"/>
    </xf>
    <xf numFmtId="166" fontId="6" fillId="0" borderId="39" xfId="0" applyNumberFormat="1" applyFont="1" applyBorder="1" applyAlignment="1" applyProtection="1">
      <alignment horizontal="right" vertical="center" wrapText="1"/>
    </xf>
    <xf numFmtId="166" fontId="6" fillId="0" borderId="40" xfId="0" applyNumberFormat="1" applyFont="1" applyBorder="1" applyAlignment="1" applyProtection="1">
      <alignment horizontal="right" vertical="center" wrapText="1"/>
    </xf>
    <xf numFmtId="166" fontId="3" fillId="0" borderId="0" xfId="0" applyNumberFormat="1" applyFont="1" applyAlignment="1">
      <alignment horizontal="center" vertical="center" wrapText="1"/>
    </xf>
    <xf numFmtId="3" fontId="6" fillId="0" borderId="0" xfId="0" applyNumberFormat="1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6" fillId="0" borderId="41" xfId="0" applyFont="1" applyBorder="1" applyAlignment="1" applyProtection="1">
      <alignment horizontal="center" vertical="center"/>
      <protection locked="0"/>
    </xf>
    <xf numFmtId="49" fontId="6" fillId="0" borderId="16" xfId="0" applyNumberFormat="1" applyFont="1" applyBorder="1" applyAlignment="1" applyProtection="1">
      <alignment horizontal="right" vertical="center"/>
      <protection locked="0"/>
    </xf>
    <xf numFmtId="166" fontId="6" fillId="0" borderId="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49" fontId="6" fillId="0" borderId="42" xfId="0" applyNumberFormat="1" applyFont="1" applyBorder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/>
    </xf>
    <xf numFmtId="0" fontId="16" fillId="0" borderId="0" xfId="0" applyFont="1" applyAlignment="1">
      <alignment vertical="center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19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9" fillId="0" borderId="43" xfId="0" applyFont="1" applyBorder="1" applyAlignment="1" applyProtection="1">
      <alignment horizontal="center" vertical="center" wrapText="1"/>
    </xf>
    <xf numFmtId="0" fontId="19" fillId="0" borderId="44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3" fontId="19" fillId="0" borderId="21" xfId="0" applyNumberFormat="1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center" vertical="center" wrapText="1"/>
    </xf>
    <xf numFmtId="0" fontId="20" fillId="0" borderId="19" xfId="0" applyFont="1" applyBorder="1" applyAlignment="1" applyProtection="1">
      <alignment horizontal="center" vertical="center" wrapText="1"/>
    </xf>
    <xf numFmtId="0" fontId="7" fillId="0" borderId="19" xfId="28" applyFont="1" applyBorder="1" applyAlignment="1" applyProtection="1">
      <alignment vertical="center" wrapText="1"/>
    </xf>
    <xf numFmtId="3" fontId="15" fillId="0" borderId="2" xfId="0" applyNumberFormat="1" applyFont="1" applyBorder="1" applyAlignment="1" applyProtection="1">
      <alignment vertical="center" wrapText="1"/>
    </xf>
    <xf numFmtId="3" fontId="12" fillId="0" borderId="2" xfId="0" applyNumberFormat="1" applyFont="1" applyBorder="1" applyAlignment="1" applyProtection="1">
      <alignment vertical="center" wrapText="1"/>
    </xf>
    <xf numFmtId="3" fontId="6" fillId="0" borderId="0" xfId="0" applyNumberFormat="1" applyFont="1" applyAlignment="1">
      <alignment horizontal="center" vertical="center" wrapText="1"/>
    </xf>
    <xf numFmtId="3" fontId="21" fillId="0" borderId="0" xfId="0" applyNumberFormat="1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15" fillId="0" borderId="6" xfId="0" applyFont="1" applyBorder="1" applyAlignment="1" applyProtection="1">
      <alignment horizontal="center" vertical="center" wrapText="1"/>
    </xf>
    <xf numFmtId="49" fontId="17" fillId="0" borderId="17" xfId="0" applyNumberFormat="1" applyFont="1" applyBorder="1" applyAlignment="1" applyProtection="1">
      <alignment horizontal="center" vertical="center" wrapText="1"/>
    </xf>
    <xf numFmtId="3" fontId="17" fillId="0" borderId="7" xfId="0" applyNumberFormat="1" applyFont="1" applyBorder="1" applyAlignment="1" applyProtection="1">
      <alignment vertical="center" wrapText="1"/>
      <protection locked="0"/>
    </xf>
    <xf numFmtId="0" fontId="17" fillId="0" borderId="0" xfId="0" applyFont="1" applyAlignment="1">
      <alignment vertical="center" wrapText="1"/>
    </xf>
    <xf numFmtId="0" fontId="15" fillId="0" borderId="3" xfId="0" applyFont="1" applyBorder="1" applyAlignment="1" applyProtection="1">
      <alignment horizontal="center" vertical="center" wrapText="1"/>
    </xf>
    <xf numFmtId="3" fontId="17" fillId="0" borderId="31" xfId="0" applyNumberFormat="1" applyFont="1" applyBorder="1" applyAlignment="1" applyProtection="1">
      <alignment vertical="center" wrapText="1"/>
      <protection locked="0"/>
    </xf>
    <xf numFmtId="0" fontId="23" fillId="0" borderId="19" xfId="0" applyFont="1" applyBorder="1" applyAlignment="1" applyProtection="1">
      <alignment horizontal="center" vertical="center" wrapText="1"/>
    </xf>
    <xf numFmtId="0" fontId="15" fillId="0" borderId="45" xfId="0" applyFont="1" applyBorder="1" applyAlignment="1" applyProtection="1">
      <alignment horizontal="center" vertical="center" wrapText="1"/>
    </xf>
    <xf numFmtId="3" fontId="17" fillId="0" borderId="16" xfId="0" applyNumberFormat="1" applyFont="1" applyBorder="1" applyAlignment="1" applyProtection="1">
      <alignment vertical="center" wrapText="1"/>
      <protection locked="0"/>
    </xf>
    <xf numFmtId="0" fontId="15" fillId="0" borderId="8" xfId="0" applyFont="1" applyBorder="1" applyAlignment="1" applyProtection="1">
      <alignment horizontal="center" vertical="center" wrapText="1"/>
    </xf>
    <xf numFmtId="49" fontId="17" fillId="0" borderId="29" xfId="0" applyNumberFormat="1" applyFont="1" applyBorder="1" applyAlignment="1" applyProtection="1">
      <alignment horizontal="center" vertical="center" wrapText="1"/>
    </xf>
    <xf numFmtId="3" fontId="17" fillId="0" borderId="9" xfId="0" applyNumberFormat="1" applyFont="1" applyBorder="1" applyAlignment="1" applyProtection="1">
      <alignment vertical="center" wrapText="1"/>
      <protection locked="0"/>
    </xf>
    <xf numFmtId="49" fontId="17" fillId="0" borderId="19" xfId="0" applyNumberFormat="1" applyFont="1" applyBorder="1" applyAlignment="1" applyProtection="1">
      <alignment horizontal="center" vertical="center" wrapText="1"/>
    </xf>
    <xf numFmtId="3" fontId="15" fillId="0" borderId="2" xfId="0" applyNumberFormat="1" applyFont="1" applyBorder="1" applyAlignment="1" applyProtection="1">
      <alignment vertical="center" wrapText="1"/>
      <protection locked="0"/>
    </xf>
    <xf numFmtId="3" fontId="15" fillId="0" borderId="31" xfId="0" applyNumberFormat="1" applyFont="1" applyBorder="1" applyAlignment="1" applyProtection="1">
      <alignment vertical="center" wrapText="1"/>
    </xf>
    <xf numFmtId="49" fontId="17" fillId="0" borderId="22" xfId="0" applyNumberFormat="1" applyFont="1" applyBorder="1" applyAlignment="1" applyProtection="1">
      <alignment horizontal="center" vertical="center" wrapText="1"/>
    </xf>
    <xf numFmtId="0" fontId="3" fillId="0" borderId="19" xfId="28" applyFont="1" applyBorder="1" applyAlignment="1" applyProtection="1">
      <alignment vertical="center" wrapText="1"/>
    </xf>
    <xf numFmtId="3" fontId="6" fillId="0" borderId="31" xfId="0" applyNumberFormat="1" applyFont="1" applyBorder="1" applyAlignment="1" applyProtection="1">
      <alignment vertical="center" wrapText="1"/>
      <protection locked="0"/>
    </xf>
    <xf numFmtId="0" fontId="3" fillId="3" borderId="19" xfId="0" applyFont="1" applyFill="1" applyBorder="1" applyAlignment="1" applyProtection="1">
      <alignment horizontal="center" vertical="center" wrapText="1"/>
    </xf>
    <xf numFmtId="0" fontId="6" fillId="3" borderId="19" xfId="28" applyFont="1" applyFill="1" applyBorder="1" applyAlignment="1" applyProtection="1">
      <alignment vertical="center" wrapText="1"/>
    </xf>
    <xf numFmtId="3" fontId="6" fillId="3" borderId="2" xfId="0" applyNumberFormat="1" applyFont="1" applyFill="1" applyBorder="1" applyAlignment="1" applyProtection="1">
      <alignment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left" vertical="center" wrapText="1" indent="1"/>
    </xf>
    <xf numFmtId="166" fontId="15" fillId="0" borderId="0" xfId="0" applyNumberFormat="1" applyFont="1" applyBorder="1" applyAlignment="1" applyProtection="1">
      <alignment vertical="center" wrapText="1"/>
    </xf>
    <xf numFmtId="0" fontId="8" fillId="0" borderId="33" xfId="0" applyFont="1" applyBorder="1" applyAlignment="1" applyProtection="1">
      <alignment horizontal="center" vertical="center" wrapText="1"/>
    </xf>
    <xf numFmtId="0" fontId="8" fillId="0" borderId="34" xfId="0" applyFont="1" applyBorder="1" applyAlignment="1" applyProtection="1">
      <alignment horizontal="center" vertical="center" wrapText="1"/>
    </xf>
    <xf numFmtId="0" fontId="7" fillId="0" borderId="34" xfId="0" applyFont="1" applyBorder="1" applyAlignment="1" applyProtection="1">
      <alignment horizontal="center" vertical="center" wrapText="1"/>
    </xf>
    <xf numFmtId="166" fontId="15" fillId="0" borderId="35" xfId="0" applyNumberFormat="1" applyFont="1" applyBorder="1" applyAlignment="1" applyProtection="1">
      <alignment horizontal="center" vertical="center" wrapText="1"/>
    </xf>
    <xf numFmtId="0" fontId="15" fillId="0" borderId="19" xfId="28" applyFont="1" applyBorder="1" applyAlignment="1" applyProtection="1">
      <alignment horizontal="left" vertical="center" wrapText="1" indent="1"/>
    </xf>
    <xf numFmtId="0" fontId="15" fillId="0" borderId="19" xfId="28" applyFont="1" applyBorder="1" applyAlignment="1" applyProtection="1">
      <alignment vertical="center" wrapText="1"/>
    </xf>
    <xf numFmtId="0" fontId="14" fillId="0" borderId="0" xfId="0" applyFont="1" applyAlignment="1">
      <alignment vertical="center" wrapText="1"/>
    </xf>
    <xf numFmtId="0" fontId="15" fillId="0" borderId="4" xfId="0" applyFont="1" applyBorder="1" applyAlignment="1" applyProtection="1">
      <alignment horizontal="center" vertical="center" wrapText="1"/>
    </xf>
    <xf numFmtId="49" fontId="17" fillId="0" borderId="26" xfId="28" applyNumberFormat="1" applyFont="1" applyBorder="1" applyAlignment="1" applyProtection="1">
      <alignment horizontal="left" vertical="center" wrapText="1" indent="1"/>
    </xf>
    <xf numFmtId="3" fontId="17" fillId="0" borderId="5" xfId="0" applyNumberFormat="1" applyFont="1" applyBorder="1" applyAlignment="1" applyProtection="1">
      <alignment vertical="center" wrapText="1"/>
      <protection locked="0"/>
    </xf>
    <xf numFmtId="49" fontId="17" fillId="0" borderId="17" xfId="28" applyNumberFormat="1" applyFont="1" applyBorder="1" applyAlignment="1" applyProtection="1">
      <alignment horizontal="left" vertical="center" wrapText="1" indent="1"/>
    </xf>
    <xf numFmtId="0" fontId="17" fillId="0" borderId="17" xfId="28" applyFont="1" applyBorder="1" applyAlignment="1" applyProtection="1">
      <alignment horizontal="left" vertical="center" wrapText="1" indent="2"/>
    </xf>
    <xf numFmtId="0" fontId="15" fillId="0" borderId="46" xfId="0" applyFont="1" applyBorder="1" applyAlignment="1" applyProtection="1">
      <alignment horizontal="center" vertical="center" wrapText="1"/>
    </xf>
    <xf numFmtId="49" fontId="17" fillId="0" borderId="47" xfId="28" applyNumberFormat="1" applyFont="1" applyBorder="1" applyAlignment="1" applyProtection="1">
      <alignment horizontal="left" vertical="center" wrapText="1" indent="1"/>
    </xf>
    <xf numFmtId="0" fontId="17" fillId="0" borderId="47" xfId="28" applyFont="1" applyBorder="1" applyAlignment="1" applyProtection="1">
      <alignment horizontal="left" vertical="center" wrapText="1" indent="1"/>
    </xf>
    <xf numFmtId="3" fontId="22" fillId="0" borderId="18" xfId="0" applyNumberFormat="1" applyFont="1" applyBorder="1" applyAlignment="1" applyProtection="1">
      <alignment vertical="center" wrapText="1"/>
      <protection locked="0"/>
    </xf>
    <xf numFmtId="0" fontId="22" fillId="0" borderId="17" xfId="28" applyFont="1" applyBorder="1" applyAlignment="1" applyProtection="1">
      <alignment horizontal="left" indent="3"/>
    </xf>
    <xf numFmtId="3" fontId="22" fillId="0" borderId="7" xfId="0" applyNumberFormat="1" applyFont="1" applyBorder="1" applyAlignment="1" applyProtection="1">
      <alignment vertical="center" wrapText="1"/>
      <protection locked="0"/>
    </xf>
    <xf numFmtId="168" fontId="0" fillId="0" borderId="0" xfId="0" applyNumberFormat="1" applyAlignment="1">
      <alignment vertical="center" wrapText="1"/>
    </xf>
    <xf numFmtId="0" fontId="22" fillId="0" borderId="29" xfId="28" applyFont="1" applyBorder="1" applyAlignment="1" applyProtection="1">
      <alignment horizontal="left" indent="3"/>
    </xf>
    <xf numFmtId="3" fontId="22" fillId="0" borderId="9" xfId="0" applyNumberFormat="1" applyFont="1" applyBorder="1" applyAlignment="1" applyProtection="1">
      <alignment vertical="center" wrapText="1"/>
      <protection locked="0"/>
    </xf>
    <xf numFmtId="49" fontId="17" fillId="0" borderId="22" xfId="28" applyNumberFormat="1" applyFont="1" applyBorder="1" applyAlignment="1" applyProtection="1">
      <alignment horizontal="left" vertical="center" wrapText="1" indent="1"/>
    </xf>
    <xf numFmtId="49" fontId="17" fillId="0" borderId="29" xfId="28" applyNumberFormat="1" applyFont="1" applyBorder="1" applyAlignment="1" applyProtection="1">
      <alignment horizontal="left" vertical="center" wrapText="1" indent="1"/>
    </xf>
    <xf numFmtId="49" fontId="17" fillId="0" borderId="19" xfId="28" applyNumberFormat="1" applyFont="1" applyBorder="1" applyAlignment="1" applyProtection="1">
      <alignment horizontal="left" vertical="center" wrapText="1" indent="1"/>
    </xf>
    <xf numFmtId="0" fontId="23" fillId="0" borderId="19" xfId="28" applyFont="1" applyBorder="1" applyAlignment="1" applyProtection="1">
      <alignment horizontal="left" vertical="center" wrapText="1" indent="1"/>
    </xf>
    <xf numFmtId="3" fontId="23" fillId="0" borderId="2" xfId="0" applyNumberFormat="1" applyFont="1" applyBorder="1" applyAlignment="1" applyProtection="1">
      <alignment vertical="center" wrapText="1"/>
    </xf>
    <xf numFmtId="0" fontId="6" fillId="3" borderId="24" xfId="0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 wrapText="1"/>
    </xf>
    <xf numFmtId="0" fontId="12" fillId="3" borderId="0" xfId="28" applyFont="1" applyFill="1" applyBorder="1" applyAlignment="1" applyProtection="1">
      <alignment vertical="center" wrapText="1"/>
    </xf>
    <xf numFmtId="3" fontId="6" fillId="3" borderId="0" xfId="0" applyNumberFormat="1" applyFont="1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7" fillId="3" borderId="0" xfId="28" applyFont="1" applyFill="1" applyBorder="1" applyAlignment="1" applyProtection="1">
      <alignment vertical="center" wrapText="1"/>
    </xf>
    <xf numFmtId="0" fontId="17" fillId="0" borderId="0" xfId="0" applyFont="1" applyAlignment="1" applyProtection="1">
      <alignment vertical="center" wrapText="1"/>
    </xf>
    <xf numFmtId="3" fontId="7" fillId="0" borderId="0" xfId="0" applyNumberFormat="1" applyFont="1" applyAlignment="1" applyProtection="1">
      <alignment vertical="center" wrapText="1"/>
    </xf>
    <xf numFmtId="4" fontId="15" fillId="0" borderId="2" xfId="0" applyNumberFormat="1" applyFont="1" applyBorder="1" applyAlignment="1" applyProtection="1">
      <alignment horizontal="right" vertical="center" wrapText="1" indent="1"/>
      <protection locked="0"/>
    </xf>
    <xf numFmtId="4" fontId="6" fillId="0" borderId="0" xfId="0" applyNumberFormat="1" applyFont="1" applyAlignment="1">
      <alignment horizontal="center" vertical="center" wrapText="1"/>
    </xf>
    <xf numFmtId="169" fontId="15" fillId="0" borderId="2" xfId="0" applyNumberFormat="1" applyFont="1" applyBorder="1" applyAlignment="1" applyProtection="1">
      <alignment horizontal="right" vertical="center" wrapText="1" indent="1"/>
      <protection locked="0"/>
    </xf>
    <xf numFmtId="3" fontId="3" fillId="0" borderId="0" xfId="0" applyNumberFormat="1" applyFont="1" applyAlignment="1">
      <alignment vertical="center" wrapText="1"/>
    </xf>
    <xf numFmtId="0" fontId="6" fillId="0" borderId="47" xfId="0" applyFont="1" applyBorder="1" applyAlignment="1" applyProtection="1">
      <alignment horizontal="center" vertical="center"/>
      <protection locked="0"/>
    </xf>
    <xf numFmtId="3" fontId="17" fillId="0" borderId="0" xfId="0" applyNumberFormat="1" applyFont="1" applyAlignment="1">
      <alignment vertical="center" wrapText="1"/>
    </xf>
    <xf numFmtId="3" fontId="15" fillId="0" borderId="7" xfId="0" applyNumberFormat="1" applyFont="1" applyBorder="1" applyAlignment="1" applyProtection="1">
      <alignment vertical="center" wrapText="1"/>
      <protection locked="0"/>
    </xf>
    <xf numFmtId="0" fontId="2" fillId="0" borderId="0" xfId="28" applyFont="1"/>
    <xf numFmtId="0" fontId="10" fillId="0" borderId="29" xfId="28" applyFont="1" applyBorder="1" applyAlignment="1">
      <alignment horizontal="center" vertical="center" wrapText="1"/>
    </xf>
    <xf numFmtId="49" fontId="24" fillId="0" borderId="48" xfId="28" applyNumberFormat="1" applyFont="1" applyBorder="1"/>
    <xf numFmtId="49" fontId="24" fillId="0" borderId="49" xfId="28" applyNumberFormat="1" applyFont="1" applyBorder="1"/>
    <xf numFmtId="0" fontId="27" fillId="0" borderId="11" xfId="28" applyFont="1" applyBorder="1"/>
    <xf numFmtId="49" fontId="26" fillId="0" borderId="48" xfId="28" applyNumberFormat="1" applyFont="1" applyBorder="1"/>
    <xf numFmtId="49" fontId="26" fillId="0" borderId="49" xfId="28" applyNumberFormat="1" applyFont="1" applyBorder="1"/>
    <xf numFmtId="3" fontId="26" fillId="0" borderId="17" xfId="28" applyNumberFormat="1" applyFont="1" applyBorder="1"/>
    <xf numFmtId="0" fontId="28" fillId="0" borderId="0" xfId="28" applyFont="1"/>
    <xf numFmtId="49" fontId="30" fillId="0" borderId="48" xfId="28" applyNumberFormat="1" applyFont="1" applyBorder="1"/>
    <xf numFmtId="0" fontId="30" fillId="0" borderId="17" xfId="28" applyFont="1" applyBorder="1"/>
    <xf numFmtId="0" fontId="31" fillId="0" borderId="0" xfId="28" applyFont="1"/>
    <xf numFmtId="0" fontId="32" fillId="0" borderId="17" xfId="28" applyFont="1" applyBorder="1"/>
    <xf numFmtId="3" fontId="32" fillId="0" borderId="17" xfId="28" applyNumberFormat="1" applyFont="1" applyBorder="1"/>
    <xf numFmtId="3" fontId="29" fillId="0" borderId="17" xfId="28" applyNumberFormat="1" applyFont="1" applyBorder="1"/>
    <xf numFmtId="49" fontId="29" fillId="0" borderId="48" xfId="28" applyNumberFormat="1" applyFont="1" applyBorder="1"/>
    <xf numFmtId="0" fontId="29" fillId="0" borderId="17" xfId="28" applyFont="1" applyBorder="1"/>
    <xf numFmtId="49" fontId="32" fillId="0" borderId="48" xfId="28" applyNumberFormat="1" applyFont="1" applyBorder="1"/>
    <xf numFmtId="0" fontId="32" fillId="0" borderId="17" xfId="28" applyFont="1" applyBorder="1" applyAlignment="1">
      <alignment horizontal="left" indent="1"/>
    </xf>
    <xf numFmtId="0" fontId="29" fillId="0" borderId="17" xfId="28" applyFont="1" applyBorder="1" applyAlignment="1">
      <alignment horizontal="left" indent="3"/>
    </xf>
    <xf numFmtId="3" fontId="32" fillId="0" borderId="50" xfId="28" applyNumberFormat="1" applyFont="1" applyBorder="1"/>
    <xf numFmtId="0" fontId="24" fillId="0" borderId="17" xfId="28" applyFont="1" applyBorder="1"/>
    <xf numFmtId="0" fontId="32" fillId="0" borderId="26" xfId="28" applyFont="1" applyBorder="1"/>
    <xf numFmtId="3" fontId="24" fillId="0" borderId="17" xfId="28" applyNumberFormat="1" applyFont="1" applyBorder="1"/>
    <xf numFmtId="3" fontId="2" fillId="0" borderId="0" xfId="28" applyNumberFormat="1" applyFont="1"/>
    <xf numFmtId="0" fontId="24" fillId="0" borderId="26" xfId="28" applyFont="1" applyBorder="1"/>
    <xf numFmtId="3" fontId="32" fillId="0" borderId="26" xfId="28" applyNumberFormat="1" applyFont="1" applyBorder="1"/>
    <xf numFmtId="49" fontId="32" fillId="0" borderId="49" xfId="28" applyNumberFormat="1" applyFont="1" applyBorder="1"/>
    <xf numFmtId="0" fontId="2" fillId="3" borderId="0" xfId="28" applyFont="1" applyFill="1"/>
    <xf numFmtId="3" fontId="32" fillId="0" borderId="0" xfId="28" applyNumberFormat="1" applyFont="1" applyBorder="1"/>
    <xf numFmtId="3" fontId="32" fillId="0" borderId="29" xfId="28" applyNumberFormat="1" applyFont="1" applyBorder="1"/>
    <xf numFmtId="169" fontId="24" fillId="0" borderId="17" xfId="28" applyNumberFormat="1" applyFont="1" applyBorder="1" applyAlignment="1">
      <alignment horizontal="center"/>
    </xf>
    <xf numFmtId="3" fontId="24" fillId="0" borderId="17" xfId="28" applyNumberFormat="1" applyFont="1" applyBorder="1" applyAlignment="1">
      <alignment horizontal="center"/>
    </xf>
    <xf numFmtId="166" fontId="3" fillId="0" borderId="0" xfId="0" applyNumberFormat="1" applyFont="1" applyAlignment="1" applyProtection="1">
      <alignment horizontal="left" vertical="center" wrapText="1"/>
    </xf>
    <xf numFmtId="166" fontId="3" fillId="0" borderId="0" xfId="0" applyNumberFormat="1" applyFont="1" applyAlignment="1" applyProtection="1">
      <alignment vertical="center" wrapText="1"/>
    </xf>
    <xf numFmtId="166" fontId="3" fillId="0" borderId="0" xfId="0" applyNumberFormat="1" applyFont="1" applyAlignment="1" applyProtection="1">
      <alignment vertical="center" wrapText="1"/>
      <protection locked="0"/>
    </xf>
    <xf numFmtId="0" fontId="6" fillId="0" borderId="0" xfId="0" applyFont="1" applyAlignment="1" applyProtection="1">
      <alignment vertical="center"/>
    </xf>
    <xf numFmtId="0" fontId="6" fillId="3" borderId="33" xfId="0" applyFont="1" applyFill="1" applyBorder="1" applyAlignment="1" applyProtection="1">
      <alignment horizontal="center" vertical="center" wrapText="1"/>
    </xf>
    <xf numFmtId="0" fontId="6" fillId="3" borderId="34" xfId="0" applyFont="1" applyFill="1" applyBorder="1" applyAlignment="1" applyProtection="1">
      <alignment horizontal="center" vertical="center" wrapText="1"/>
    </xf>
    <xf numFmtId="3" fontId="15" fillId="0" borderId="0" xfId="0" applyNumberFormat="1" applyFont="1" applyAlignment="1">
      <alignment vertical="center" wrapText="1"/>
    </xf>
    <xf numFmtId="0" fontId="15" fillId="0" borderId="19" xfId="0" applyFont="1" applyBorder="1" applyAlignment="1" applyProtection="1">
      <alignment horizontal="left" vertical="center" wrapText="1" indent="1"/>
    </xf>
    <xf numFmtId="3" fontId="22" fillId="0" borderId="0" xfId="0" applyNumberFormat="1" applyFont="1" applyAlignment="1">
      <alignment vertical="center" wrapText="1"/>
    </xf>
    <xf numFmtId="0" fontId="17" fillId="0" borderId="41" xfId="28" applyFont="1" applyBorder="1" applyAlignment="1" applyProtection="1">
      <alignment horizontal="left" vertical="center" wrapText="1" indent="1"/>
    </xf>
    <xf numFmtId="0" fontId="17" fillId="0" borderId="22" xfId="28" applyFont="1" applyBorder="1" applyAlignment="1" applyProtection="1">
      <alignment horizontal="left" vertical="center" wrapText="1" indent="1"/>
    </xf>
    <xf numFmtId="0" fontId="17" fillId="0" borderId="26" xfId="28" applyFont="1" applyBorder="1" applyAlignment="1" applyProtection="1">
      <alignment horizontal="left" vertical="center" wrapText="1" indent="1"/>
    </xf>
    <xf numFmtId="3" fontId="17" fillId="0" borderId="2" xfId="0" applyNumberFormat="1" applyFont="1" applyBorder="1" applyAlignment="1" applyProtection="1">
      <alignment vertical="center" wrapText="1"/>
      <protection locked="0"/>
    </xf>
    <xf numFmtId="49" fontId="17" fillId="0" borderId="17" xfId="28" applyNumberFormat="1" applyFont="1" applyBorder="1" applyAlignment="1" applyProtection="1">
      <alignment horizontal="center" vertical="center" wrapText="1"/>
    </xf>
    <xf numFmtId="49" fontId="15" fillId="0" borderId="19" xfId="28" applyNumberFormat="1" applyFont="1" applyBorder="1" applyAlignment="1" applyProtection="1">
      <alignment horizontal="center" vertical="center" wrapText="1"/>
    </xf>
    <xf numFmtId="49" fontId="17" fillId="0" borderId="41" xfId="28" applyNumberFormat="1" applyFont="1" applyBorder="1" applyAlignment="1" applyProtection="1">
      <alignment horizontal="center" vertical="center" wrapText="1"/>
    </xf>
    <xf numFmtId="0" fontId="93" fillId="0" borderId="19" xfId="0" applyFont="1" applyBorder="1" applyAlignment="1" applyProtection="1">
      <alignment horizontal="center" wrapText="1"/>
    </xf>
    <xf numFmtId="49" fontId="17" fillId="0" borderId="22" xfId="28" applyNumberFormat="1" applyFont="1" applyBorder="1" applyAlignment="1" applyProtection="1">
      <alignment horizontal="center" vertical="center" wrapText="1"/>
    </xf>
    <xf numFmtId="0" fontId="24" fillId="0" borderId="24" xfId="0" applyFont="1" applyBorder="1" applyAlignment="1" applyProtection="1">
      <alignment horizontal="center" vertical="center" wrapText="1"/>
    </xf>
    <xf numFmtId="166" fontId="22" fillId="0" borderId="0" xfId="0" applyNumberFormat="1" applyFont="1" applyAlignment="1">
      <alignment vertical="center" wrapText="1"/>
    </xf>
    <xf numFmtId="49" fontId="22" fillId="0" borderId="26" xfId="28" applyNumberFormat="1" applyFont="1" applyBorder="1" applyAlignment="1" applyProtection="1">
      <alignment horizontal="center" vertical="center" wrapText="1"/>
    </xf>
    <xf numFmtId="0" fontId="22" fillId="0" borderId="26" xfId="28" applyFont="1" applyBorder="1" applyAlignment="1" applyProtection="1">
      <alignment horizontal="left" vertical="center" wrapText="1" indent="1"/>
    </xf>
    <xf numFmtId="3" fontId="22" fillId="0" borderId="16" xfId="0" applyNumberFormat="1" applyFont="1" applyBorder="1" applyAlignment="1" applyProtection="1">
      <alignment vertical="center" wrapText="1"/>
      <protection locked="0"/>
    </xf>
    <xf numFmtId="49" fontId="22" fillId="0" borderId="47" xfId="28" applyNumberFormat="1" applyFont="1" applyBorder="1" applyAlignment="1" applyProtection="1">
      <alignment horizontal="center" vertical="center" wrapText="1"/>
    </xf>
    <xf numFmtId="0" fontId="22" fillId="0" borderId="47" xfId="28" applyFont="1" applyBorder="1" applyAlignment="1" applyProtection="1">
      <alignment horizontal="left" vertical="center" wrapText="1" indent="1"/>
    </xf>
    <xf numFmtId="0" fontId="94" fillId="3" borderId="51" xfId="0" applyFont="1" applyFill="1" applyBorder="1" applyAlignment="1" applyProtection="1">
      <alignment horizontal="center" wrapText="1"/>
    </xf>
    <xf numFmtId="0" fontId="17" fillId="0" borderId="0" xfId="0" applyFont="1" applyBorder="1" applyAlignment="1" applyProtection="1">
      <alignment horizontal="center" vertical="center" wrapText="1"/>
    </xf>
    <xf numFmtId="49" fontId="17" fillId="0" borderId="26" xfId="28" applyNumberFormat="1" applyFont="1" applyBorder="1" applyAlignment="1" applyProtection="1">
      <alignment horizontal="center" vertical="center" wrapText="1"/>
    </xf>
    <xf numFmtId="0" fontId="15" fillId="0" borderId="52" xfId="0" applyFont="1" applyBorder="1" applyAlignment="1" applyProtection="1">
      <alignment horizontal="center" vertical="center" wrapText="1"/>
    </xf>
    <xf numFmtId="4" fontId="15" fillId="0" borderId="2" xfId="0" applyNumberFormat="1" applyFont="1" applyBorder="1" applyAlignment="1" applyProtection="1">
      <alignment vertical="center" wrapText="1"/>
      <protection locked="0"/>
    </xf>
    <xf numFmtId="0" fontId="15" fillId="0" borderId="19" xfId="0" applyFont="1" applyBorder="1" applyAlignment="1" applyProtection="1">
      <alignment horizontal="center" vertical="center" wrapText="1"/>
    </xf>
    <xf numFmtId="0" fontId="6" fillId="3" borderId="43" xfId="0" applyFont="1" applyFill="1" applyBorder="1" applyAlignment="1" applyProtection="1">
      <alignment horizontal="center" vertical="center" wrapText="1"/>
    </xf>
    <xf numFmtId="0" fontId="6" fillId="3" borderId="44" xfId="0" applyFont="1" applyFill="1" applyBorder="1" applyAlignment="1" applyProtection="1">
      <alignment horizontal="center" vertical="center" wrapText="1"/>
    </xf>
    <xf numFmtId="3" fontId="15" fillId="0" borderId="16" xfId="0" applyNumberFormat="1" applyFont="1" applyBorder="1" applyAlignment="1" applyProtection="1">
      <alignment vertical="center" wrapText="1"/>
      <protection locked="0"/>
    </xf>
    <xf numFmtId="0" fontId="6" fillId="3" borderId="19" xfId="0" applyFont="1" applyFill="1" applyBorder="1" applyAlignment="1" applyProtection="1">
      <alignment horizontal="left" vertical="center" wrapText="1" indent="1"/>
    </xf>
    <xf numFmtId="0" fontId="15" fillId="0" borderId="0" xfId="0" applyFont="1" applyBorder="1" applyAlignment="1" applyProtection="1">
      <alignment horizontal="left" vertical="center" wrapText="1" indent="1"/>
    </xf>
    <xf numFmtId="0" fontId="15" fillId="0" borderId="24" xfId="0" applyFont="1" applyBorder="1" applyAlignment="1" applyProtection="1">
      <alignment horizontal="left" vertical="center"/>
    </xf>
    <xf numFmtId="0" fontId="17" fillId="0" borderId="34" xfId="0" applyFont="1" applyBorder="1" applyAlignment="1" applyProtection="1">
      <alignment vertical="center" wrapText="1"/>
    </xf>
    <xf numFmtId="0" fontId="15" fillId="0" borderId="51" xfId="0" applyFont="1" applyBorder="1" applyAlignment="1" applyProtection="1">
      <alignment vertical="center" wrapText="1"/>
    </xf>
    <xf numFmtId="3" fontId="15" fillId="0" borderId="2" xfId="0" applyNumberFormat="1" applyFont="1" applyBorder="1" applyAlignment="1" applyProtection="1">
      <alignment horizontal="right" vertical="center" wrapText="1" indent="1"/>
      <protection locked="0"/>
    </xf>
    <xf numFmtId="166" fontId="17" fillId="0" borderId="0" xfId="0" applyNumberFormat="1" applyFont="1" applyAlignment="1" applyProtection="1">
      <alignment horizontal="left" vertical="center" wrapText="1"/>
    </xf>
    <xf numFmtId="166" fontId="17" fillId="0" borderId="0" xfId="0" applyNumberFormat="1" applyFont="1" applyAlignment="1" applyProtection="1">
      <alignment vertical="center" wrapText="1"/>
    </xf>
    <xf numFmtId="0" fontId="6" fillId="3" borderId="19" xfId="0" applyFont="1" applyFill="1" applyBorder="1" applyAlignment="1" applyProtection="1">
      <alignment horizontal="center" vertical="center" wrapText="1"/>
    </xf>
    <xf numFmtId="3" fontId="15" fillId="0" borderId="31" xfId="0" applyNumberFormat="1" applyFont="1" applyBorder="1" applyAlignment="1" applyProtection="1">
      <alignment vertical="center" wrapText="1"/>
      <protection locked="0"/>
    </xf>
    <xf numFmtId="3" fontId="17" fillId="0" borderId="53" xfId="0" applyNumberFormat="1" applyFont="1" applyBorder="1" applyAlignment="1" applyProtection="1">
      <alignment vertical="center" wrapText="1"/>
      <protection locked="0"/>
    </xf>
    <xf numFmtId="3" fontId="15" fillId="0" borderId="35" xfId="0" applyNumberFormat="1" applyFont="1" applyBorder="1" applyAlignment="1" applyProtection="1">
      <alignment vertical="center" wrapText="1"/>
    </xf>
    <xf numFmtId="3" fontId="15" fillId="0" borderId="0" xfId="0" applyNumberFormat="1" applyFont="1" applyBorder="1" applyAlignment="1" applyProtection="1">
      <alignment vertical="center" wrapText="1"/>
    </xf>
    <xf numFmtId="3" fontId="8" fillId="0" borderId="0" xfId="0" applyNumberFormat="1" applyFont="1" applyBorder="1" applyAlignment="1" applyProtection="1">
      <alignment vertical="center" wrapText="1"/>
    </xf>
    <xf numFmtId="0" fontId="9" fillId="0" borderId="0" xfId="0" applyFont="1" applyAlignment="1" applyProtection="1">
      <alignment vertical="center" wrapText="1"/>
    </xf>
    <xf numFmtId="3" fontId="9" fillId="0" borderId="0" xfId="0" applyNumberFormat="1" applyFont="1" applyAlignment="1" applyProtection="1">
      <alignment vertical="center" wrapText="1"/>
    </xf>
    <xf numFmtId="0" fontId="0" fillId="0" borderId="34" xfId="0" applyFont="1" applyBorder="1" applyAlignment="1" applyProtection="1">
      <alignment vertical="center" wrapText="1"/>
    </xf>
    <xf numFmtId="0" fontId="16" fillId="0" borderId="51" xfId="0" applyFont="1" applyBorder="1" applyAlignment="1" applyProtection="1">
      <alignment vertical="center" wrapText="1"/>
    </xf>
    <xf numFmtId="4" fontId="16" fillId="0" borderId="2" xfId="0" applyNumberFormat="1" applyFont="1" applyBorder="1" applyAlignment="1" applyProtection="1">
      <alignment horizontal="right" vertical="center" wrapText="1" indent="1"/>
      <protection locked="0"/>
    </xf>
    <xf numFmtId="3" fontId="16" fillId="0" borderId="2" xfId="0" applyNumberFormat="1" applyFont="1" applyBorder="1" applyAlignment="1" applyProtection="1">
      <alignment horizontal="right" vertical="center" wrapText="1" indent="1"/>
      <protection locked="0"/>
    </xf>
    <xf numFmtId="3" fontId="17" fillId="0" borderId="18" xfId="0" applyNumberFormat="1" applyFont="1" applyBorder="1" applyAlignment="1" applyProtection="1">
      <alignment vertical="center" wrapText="1"/>
      <protection locked="0"/>
    </xf>
    <xf numFmtId="3" fontId="15" fillId="0" borderId="35" xfId="0" applyNumberFormat="1" applyFont="1" applyBorder="1" applyAlignment="1" applyProtection="1">
      <alignment vertical="center" wrapText="1"/>
      <protection locked="0"/>
    </xf>
    <xf numFmtId="3" fontId="15" fillId="0" borderId="54" xfId="0" applyNumberFormat="1" applyFont="1" applyBorder="1" applyAlignment="1" applyProtection="1">
      <alignment vertical="center" wrapText="1"/>
      <protection locked="0"/>
    </xf>
    <xf numFmtId="3" fontId="15" fillId="0" borderId="18" xfId="0" applyNumberFormat="1" applyFont="1" applyBorder="1" applyAlignment="1" applyProtection="1">
      <alignment vertical="center" wrapText="1"/>
      <protection locked="0"/>
    </xf>
    <xf numFmtId="0" fontId="15" fillId="4" borderId="19" xfId="28" applyFont="1" applyFill="1" applyBorder="1" applyAlignment="1" applyProtection="1">
      <alignment horizontal="left" vertical="center" wrapText="1" indent="1"/>
    </xf>
    <xf numFmtId="166" fontId="17" fillId="0" borderId="16" xfId="0" applyNumberFormat="1" applyFont="1" applyBorder="1" applyAlignment="1" applyProtection="1">
      <alignment vertical="center" wrapText="1"/>
      <protection locked="0"/>
    </xf>
    <xf numFmtId="166" fontId="15" fillId="0" borderId="2" xfId="0" applyNumberFormat="1" applyFont="1" applyBorder="1" applyAlignment="1" applyProtection="1">
      <alignment vertical="center" wrapText="1"/>
      <protection locked="0"/>
    </xf>
    <xf numFmtId="0" fontId="15" fillId="4" borderId="19" xfId="28" applyFont="1" applyFill="1" applyBorder="1" applyAlignment="1" applyProtection="1">
      <alignment vertical="center" wrapText="1"/>
    </xf>
    <xf numFmtId="3" fontId="22" fillId="0" borderId="5" xfId="0" applyNumberFormat="1" applyFont="1" applyBorder="1" applyAlignment="1" applyProtection="1">
      <alignment vertical="center" wrapText="1"/>
      <protection locked="0"/>
    </xf>
    <xf numFmtId="0" fontId="15" fillId="0" borderId="0" xfId="0" applyFont="1" applyAlignment="1">
      <alignment vertical="center"/>
    </xf>
    <xf numFmtId="0" fontId="6" fillId="0" borderId="47" xfId="0" applyFont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3" fontId="17" fillId="0" borderId="54" xfId="0" applyNumberFormat="1" applyFont="1" applyBorder="1" applyAlignment="1" applyProtection="1">
      <alignment vertical="center" wrapText="1"/>
      <protection locked="0"/>
    </xf>
    <xf numFmtId="49" fontId="17" fillId="0" borderId="47" xfId="28" applyNumberFormat="1" applyFont="1" applyBorder="1" applyAlignment="1" applyProtection="1">
      <alignment horizontal="center" vertical="center" wrapText="1"/>
    </xf>
    <xf numFmtId="0" fontId="17" fillId="0" borderId="39" xfId="28" applyFont="1" applyBorder="1" applyAlignment="1" applyProtection="1">
      <alignment horizontal="left" vertical="center" wrapText="1" indent="1"/>
    </xf>
    <xf numFmtId="0" fontId="22" fillId="0" borderId="26" xfId="28" applyFont="1" applyBorder="1" applyAlignment="1" applyProtection="1">
      <alignment horizontal="left" vertical="center" wrapText="1" indent="2"/>
    </xf>
    <xf numFmtId="3" fontId="17" fillId="0" borderId="55" xfId="0" applyNumberFormat="1" applyFont="1" applyBorder="1" applyAlignment="1" applyProtection="1">
      <alignment vertical="center" wrapText="1"/>
      <protection locked="0"/>
    </xf>
    <xf numFmtId="49" fontId="17" fillId="0" borderId="14" xfId="28" applyNumberFormat="1" applyFont="1" applyBorder="1" applyAlignment="1" applyProtection="1">
      <alignment horizontal="center" vertical="center" wrapText="1"/>
    </xf>
    <xf numFmtId="3" fontId="15" fillId="0" borderId="54" xfId="0" applyNumberFormat="1" applyFont="1" applyBorder="1" applyAlignment="1" applyProtection="1">
      <alignment vertical="center" wrapText="1"/>
    </xf>
    <xf numFmtId="3" fontId="17" fillId="0" borderId="54" xfId="0" applyNumberFormat="1" applyFont="1" applyBorder="1" applyAlignment="1" applyProtection="1">
      <alignment vertical="center" wrapText="1"/>
    </xf>
    <xf numFmtId="0" fontId="15" fillId="0" borderId="38" xfId="0" applyFont="1" applyBorder="1" applyAlignment="1" applyProtection="1">
      <alignment horizontal="center" vertical="center" wrapText="1"/>
    </xf>
    <xf numFmtId="3" fontId="17" fillId="0" borderId="35" xfId="0" applyNumberFormat="1" applyFont="1" applyBorder="1" applyAlignment="1" applyProtection="1">
      <alignment vertical="center" wrapText="1"/>
      <protection locked="0"/>
    </xf>
    <xf numFmtId="3" fontId="23" fillId="0" borderId="41" xfId="0" applyNumberFormat="1" applyFont="1" applyBorder="1" applyAlignment="1" applyProtection="1">
      <alignment vertical="center" wrapText="1"/>
      <protection locked="0"/>
    </xf>
    <xf numFmtId="3" fontId="23" fillId="0" borderId="47" xfId="0" applyNumberFormat="1" applyFont="1" applyBorder="1" applyAlignment="1" applyProtection="1">
      <alignment vertical="center" wrapText="1"/>
      <protection locked="0"/>
    </xf>
    <xf numFmtId="49" fontId="15" fillId="0" borderId="19" xfId="28" applyNumberFormat="1" applyFont="1" applyBorder="1" applyAlignment="1" applyProtection="1">
      <alignment horizontal="left" vertical="center" wrapText="1" indent="1"/>
    </xf>
    <xf numFmtId="49" fontId="17" fillId="0" borderId="41" xfId="28" applyNumberFormat="1" applyFont="1" applyBorder="1" applyAlignment="1" applyProtection="1">
      <alignment horizontal="left" vertical="center" wrapText="1" indent="1"/>
    </xf>
    <xf numFmtId="3" fontId="17" fillId="0" borderId="40" xfId="0" applyNumberFormat="1" applyFont="1" applyBorder="1" applyAlignment="1" applyProtection="1">
      <alignment vertical="center" wrapText="1"/>
      <protection locked="0"/>
    </xf>
    <xf numFmtId="3" fontId="15" fillId="0" borderId="40" xfId="0" applyNumberFormat="1" applyFont="1" applyBorder="1" applyAlignment="1" applyProtection="1">
      <alignment vertical="center" wrapText="1"/>
      <protection locked="0"/>
    </xf>
    <xf numFmtId="3" fontId="17" fillId="3" borderId="7" xfId="0" applyNumberFormat="1" applyFont="1" applyFill="1" applyBorder="1" applyAlignment="1" applyProtection="1">
      <alignment vertical="center" wrapText="1"/>
      <protection locked="0"/>
    </xf>
    <xf numFmtId="49" fontId="33" fillId="0" borderId="0" xfId="28" applyNumberFormat="1" applyFont="1"/>
    <xf numFmtId="2" fontId="2" fillId="0" borderId="0" xfId="28" applyNumberFormat="1" applyFont="1"/>
    <xf numFmtId="3" fontId="24" fillId="0" borderId="29" xfId="28" applyNumberFormat="1" applyFont="1" applyBorder="1" applyAlignment="1">
      <alignment horizontal="center" vertical="center" wrapText="1"/>
    </xf>
    <xf numFmtId="0" fontId="26" fillId="0" borderId="56" xfId="28" applyFont="1" applyBorder="1"/>
    <xf numFmtId="49" fontId="24" fillId="0" borderId="56" xfId="28" applyNumberFormat="1" applyFont="1" applyBorder="1"/>
    <xf numFmtId="0" fontId="26" fillId="0" borderId="57" xfId="28" applyFont="1" applyBorder="1" applyAlignment="1">
      <alignment horizontal="center"/>
    </xf>
    <xf numFmtId="0" fontId="26" fillId="0" borderId="11" xfId="28" applyFont="1" applyBorder="1"/>
    <xf numFmtId="0" fontId="26" fillId="0" borderId="48" xfId="28" applyFont="1" applyBorder="1"/>
    <xf numFmtId="0" fontId="38" fillId="0" borderId="58" xfId="28" applyFont="1" applyBorder="1"/>
    <xf numFmtId="0" fontId="24" fillId="0" borderId="11" xfId="28" applyFont="1" applyBorder="1" applyAlignment="1">
      <alignment horizontal="center"/>
    </xf>
    <xf numFmtId="0" fontId="27" fillId="0" borderId="48" xfId="28" applyFont="1" applyBorder="1"/>
    <xf numFmtId="0" fontId="39" fillId="0" borderId="11" xfId="28" applyFont="1" applyBorder="1"/>
    <xf numFmtId="0" fontId="39" fillId="0" borderId="48" xfId="28" applyFont="1" applyBorder="1"/>
    <xf numFmtId="2" fontId="31" fillId="0" borderId="0" xfId="28" applyNumberFormat="1" applyFont="1"/>
    <xf numFmtId="0" fontId="24" fillId="3" borderId="17" xfId="28" applyFont="1" applyFill="1" applyBorder="1" applyAlignment="1">
      <alignment horizontal="left"/>
    </xf>
    <xf numFmtId="3" fontId="24" fillId="3" borderId="17" xfId="28" applyNumberFormat="1" applyFont="1" applyFill="1" applyBorder="1"/>
    <xf numFmtId="0" fontId="24" fillId="3" borderId="17" xfId="28" applyFont="1" applyFill="1" applyBorder="1"/>
    <xf numFmtId="0" fontId="24" fillId="0" borderId="17" xfId="28" applyFont="1" applyBorder="1" applyAlignment="1">
      <alignment horizontal="center"/>
    </xf>
    <xf numFmtId="4" fontId="24" fillId="0" borderId="17" xfId="28" applyNumberFormat="1" applyFont="1" applyBorder="1" applyAlignment="1">
      <alignment horizontal="center"/>
    </xf>
    <xf numFmtId="0" fontId="38" fillId="0" borderId="11" xfId="28" applyFont="1" applyBorder="1"/>
    <xf numFmtId="3" fontId="32" fillId="0" borderId="48" xfId="28" applyNumberFormat="1" applyFont="1" applyBorder="1"/>
    <xf numFmtId="3" fontId="32" fillId="0" borderId="49" xfId="28" applyNumberFormat="1" applyFont="1" applyBorder="1"/>
    <xf numFmtId="3" fontId="29" fillId="0" borderId="50" xfId="28" applyNumberFormat="1" applyFont="1" applyBorder="1"/>
    <xf numFmtId="3" fontId="24" fillId="3" borderId="50" xfId="28" applyNumberFormat="1" applyFont="1" applyFill="1" applyBorder="1"/>
    <xf numFmtId="3" fontId="34" fillId="0" borderId="0" xfId="28" applyNumberFormat="1" applyFont="1"/>
    <xf numFmtId="3" fontId="34" fillId="0" borderId="0" xfId="28" applyNumberFormat="1" applyFont="1" applyAlignment="1">
      <alignment horizontal="center"/>
    </xf>
    <xf numFmtId="3" fontId="34" fillId="0" borderId="0" xfId="28" applyNumberFormat="1" applyFont="1" applyBorder="1" applyAlignment="1">
      <alignment horizontal="center"/>
    </xf>
    <xf numFmtId="3" fontId="34" fillId="0" borderId="0" xfId="28" applyNumberFormat="1" applyFont="1" applyBorder="1"/>
    <xf numFmtId="3" fontId="34" fillId="0" borderId="17" xfId="28" applyNumberFormat="1" applyFont="1" applyBorder="1"/>
    <xf numFmtId="3" fontId="34" fillId="4" borderId="17" xfId="28" applyNumberFormat="1" applyFont="1" applyFill="1" applyBorder="1"/>
    <xf numFmtId="3" fontId="24" fillId="3" borderId="17" xfId="28" applyNumberFormat="1" applyFont="1" applyFill="1" applyBorder="1" applyAlignment="1">
      <alignment horizontal="right"/>
    </xf>
    <xf numFmtId="3" fontId="40" fillId="0" borderId="17" xfId="28" applyNumberFormat="1" applyFont="1" applyBorder="1"/>
    <xf numFmtId="0" fontId="27" fillId="3" borderId="11" xfId="28" applyFont="1" applyFill="1" applyBorder="1"/>
    <xf numFmtId="0" fontId="26" fillId="3" borderId="48" xfId="28" applyFont="1" applyFill="1" applyBorder="1"/>
    <xf numFmtId="49" fontId="24" fillId="3" borderId="48" xfId="28" applyNumberFormat="1" applyFont="1" applyFill="1" applyBorder="1"/>
    <xf numFmtId="0" fontId="24" fillId="3" borderId="17" xfId="28" applyFont="1" applyFill="1" applyBorder="1" applyAlignment="1">
      <alignment horizontal="center" wrapText="1"/>
    </xf>
    <xf numFmtId="3" fontId="24" fillId="3" borderId="17" xfId="28" applyNumberFormat="1" applyFont="1" applyFill="1" applyBorder="1" applyAlignment="1">
      <alignment horizontal="center"/>
    </xf>
    <xf numFmtId="0" fontId="27" fillId="0" borderId="0" xfId="28" applyFont="1" applyBorder="1"/>
    <xf numFmtId="0" fontId="26" fillId="0" borderId="0" xfId="28" applyFont="1" applyBorder="1"/>
    <xf numFmtId="49" fontId="24" fillId="0" borderId="0" xfId="28" applyNumberFormat="1" applyFont="1" applyBorder="1"/>
    <xf numFmtId="0" fontId="24" fillId="0" borderId="0" xfId="28" applyFont="1" applyBorder="1" applyAlignment="1">
      <alignment horizontal="center"/>
    </xf>
    <xf numFmtId="3" fontId="24" fillId="0" borderId="0" xfId="28" applyNumberFormat="1" applyFont="1" applyBorder="1" applyAlignment="1">
      <alignment horizontal="center"/>
    </xf>
    <xf numFmtId="0" fontId="38" fillId="0" borderId="0" xfId="28" applyFont="1" applyBorder="1"/>
    <xf numFmtId="166" fontId="0" fillId="0" borderId="0" xfId="0" applyNumberFormat="1" applyAlignment="1" applyProtection="1">
      <alignment vertical="center" wrapText="1"/>
    </xf>
    <xf numFmtId="166" fontId="0" fillId="0" borderId="0" xfId="0" applyNumberFormat="1" applyAlignment="1" applyProtection="1">
      <alignment horizontal="center" vertical="center" wrapText="1"/>
    </xf>
    <xf numFmtId="166" fontId="13" fillId="0" borderId="0" xfId="0" applyNumberFormat="1" applyFont="1" applyAlignment="1" applyProtection="1">
      <alignment horizontal="right" wrapText="1"/>
    </xf>
    <xf numFmtId="166" fontId="6" fillId="0" borderId="41" xfId="0" applyNumberFormat="1" applyFont="1" applyBorder="1" applyAlignment="1" applyProtection="1">
      <alignment horizontal="center" vertical="center" wrapText="1"/>
    </xf>
    <xf numFmtId="49" fontId="6" fillId="0" borderId="16" xfId="0" applyNumberFormat="1" applyFont="1" applyBorder="1" applyAlignment="1" applyProtection="1">
      <alignment horizontal="center" vertical="center" wrapText="1"/>
    </xf>
    <xf numFmtId="166" fontId="8" fillId="0" borderId="17" xfId="0" applyNumberFormat="1" applyFont="1" applyBorder="1" applyAlignment="1" applyProtection="1">
      <alignment horizontal="center" vertical="center" wrapText="1"/>
    </xf>
    <xf numFmtId="49" fontId="26" fillId="3" borderId="29" xfId="28" applyNumberFormat="1" applyFont="1" applyFill="1" applyBorder="1" applyAlignment="1">
      <alignment horizontal="left" vertical="center"/>
    </xf>
    <xf numFmtId="3" fontId="26" fillId="3" borderId="17" xfId="28" applyNumberFormat="1" applyFont="1" applyFill="1" applyBorder="1" applyAlignment="1">
      <alignment horizontal="right" vertical="center"/>
    </xf>
    <xf numFmtId="3" fontId="26" fillId="3" borderId="17" xfId="28" applyNumberFormat="1" applyFont="1" applyFill="1" applyBorder="1" applyAlignment="1">
      <alignment vertical="center"/>
    </xf>
    <xf numFmtId="0" fontId="11" fillId="0" borderId="17" xfId="28" applyFont="1" applyBorder="1" applyAlignment="1">
      <alignment horizontal="left" wrapText="1"/>
    </xf>
    <xf numFmtId="3" fontId="11" fillId="0" borderId="17" xfId="28" applyNumberFormat="1" applyFont="1" applyBorder="1"/>
    <xf numFmtId="0" fontId="11" fillId="0" borderId="17" xfId="28" applyFont="1" applyBorder="1" applyAlignment="1">
      <alignment horizontal="right" wrapText="1"/>
    </xf>
    <xf numFmtId="3" fontId="11" fillId="0" borderId="17" xfId="28" applyNumberFormat="1" applyFont="1" applyBorder="1" applyAlignment="1">
      <alignment wrapText="1"/>
    </xf>
    <xf numFmtId="0" fontId="11" fillId="0" borderId="17" xfId="28" applyFont="1" applyBorder="1" applyAlignment="1">
      <alignment wrapText="1"/>
    </xf>
    <xf numFmtId="3" fontId="11" fillId="0" borderId="17" xfId="28" applyNumberFormat="1" applyFont="1" applyBorder="1" applyAlignment="1">
      <alignment horizontal="right" wrapText="1"/>
    </xf>
    <xf numFmtId="0" fontId="32" fillId="0" borderId="17" xfId="28" applyFont="1" applyBorder="1" applyAlignment="1">
      <alignment horizontal="left" vertical="center" wrapText="1"/>
    </xf>
    <xf numFmtId="49" fontId="26" fillId="3" borderId="17" xfId="28" applyNumberFormat="1" applyFont="1" applyFill="1" applyBorder="1" applyAlignment="1">
      <alignment horizontal="left" vertical="center"/>
    </xf>
    <xf numFmtId="166" fontId="16" fillId="0" borderId="0" xfId="0" applyNumberFormat="1" applyFont="1" applyAlignment="1">
      <alignment vertical="center" wrapText="1"/>
    </xf>
    <xf numFmtId="166" fontId="18" fillId="0" borderId="0" xfId="0" applyNumberFormat="1" applyFont="1" applyAlignment="1">
      <alignment horizontal="center" vertical="center" wrapText="1"/>
    </xf>
    <xf numFmtId="166" fontId="18" fillId="0" borderId="0" xfId="0" applyNumberFormat="1" applyFont="1" applyAlignment="1">
      <alignment vertical="center" wrapText="1"/>
    </xf>
    <xf numFmtId="166" fontId="18" fillId="0" borderId="0" xfId="0" applyNumberFormat="1" applyFont="1" applyAlignment="1" applyProtection="1">
      <alignment vertical="center" wrapText="1"/>
    </xf>
    <xf numFmtId="166" fontId="6" fillId="0" borderId="59" xfId="0" applyNumberFormat="1" applyFont="1" applyBorder="1" applyAlignment="1" applyProtection="1">
      <alignment horizontal="center" vertical="center" wrapText="1"/>
    </xf>
    <xf numFmtId="166" fontId="0" fillId="0" borderId="60" xfId="0" applyNumberFormat="1" applyBorder="1" applyAlignment="1" applyProtection="1">
      <alignment vertical="center" wrapText="1"/>
    </xf>
    <xf numFmtId="166" fontId="0" fillId="0" borderId="48" xfId="0" applyNumberFormat="1" applyBorder="1" applyAlignment="1" applyProtection="1">
      <alignment vertical="center" wrapText="1"/>
    </xf>
    <xf numFmtId="166" fontId="16" fillId="0" borderId="17" xfId="0" applyNumberFormat="1" applyFont="1" applyBorder="1" applyAlignment="1" applyProtection="1">
      <alignment horizontal="center" vertical="center" wrapText="1"/>
    </xf>
    <xf numFmtId="166" fontId="6" fillId="3" borderId="29" xfId="0" applyNumberFormat="1" applyFont="1" applyFill="1" applyBorder="1" applyAlignment="1" applyProtection="1">
      <alignment vertical="center" wrapText="1"/>
      <protection locked="0"/>
    </xf>
    <xf numFmtId="3" fontId="26" fillId="3" borderId="49" xfId="28" applyNumberFormat="1" applyFont="1" applyFill="1" applyBorder="1" applyAlignment="1">
      <alignment horizontal="right" vertical="center"/>
    </xf>
    <xf numFmtId="166" fontId="41" fillId="0" borderId="0" xfId="0" applyNumberFormat="1" applyFont="1" applyAlignment="1" applyProtection="1">
      <alignment vertical="center" wrapText="1"/>
    </xf>
    <xf numFmtId="166" fontId="0" fillId="0" borderId="0" xfId="0" applyNumberFormat="1" applyAlignment="1" applyProtection="1">
      <alignment vertical="center" wrapText="1"/>
      <protection locked="0"/>
    </xf>
    <xf numFmtId="166" fontId="0" fillId="0" borderId="60" xfId="0" applyNumberFormat="1" applyBorder="1" applyAlignment="1">
      <alignment vertical="center" wrapText="1"/>
    </xf>
    <xf numFmtId="49" fontId="32" fillId="0" borderId="48" xfId="28" applyNumberFormat="1" applyFont="1" applyBorder="1" applyAlignment="1">
      <alignment horizontal="left" vertical="center"/>
    </xf>
    <xf numFmtId="166" fontId="0" fillId="0" borderId="48" xfId="0" applyNumberFormat="1" applyBorder="1" applyAlignment="1">
      <alignment vertical="center" wrapText="1"/>
    </xf>
    <xf numFmtId="166" fontId="3" fillId="0" borderId="17" xfId="0" applyNumberFormat="1" applyFont="1" applyBorder="1" applyAlignment="1" applyProtection="1">
      <alignment vertical="center" wrapText="1"/>
      <protection locked="0"/>
    </xf>
    <xf numFmtId="166" fontId="3" fillId="0" borderId="49" xfId="0" applyNumberFormat="1" applyFont="1" applyBorder="1" applyAlignment="1" applyProtection="1">
      <alignment vertical="center" wrapText="1"/>
      <protection locked="0"/>
    </xf>
    <xf numFmtId="0" fontId="11" fillId="0" borderId="26" xfId="28" applyFont="1" applyBorder="1" applyAlignment="1">
      <alignment wrapText="1"/>
    </xf>
    <xf numFmtId="1" fontId="3" fillId="0" borderId="17" xfId="0" applyNumberFormat="1" applyFont="1" applyBorder="1" applyAlignment="1" applyProtection="1">
      <alignment vertical="center" wrapText="1"/>
      <protection locked="0"/>
    </xf>
    <xf numFmtId="166" fontId="3" fillId="0" borderId="26" xfId="0" applyNumberFormat="1" applyFont="1" applyBorder="1" applyAlignment="1" applyProtection="1">
      <alignment vertical="center" wrapText="1"/>
      <protection locked="0"/>
    </xf>
    <xf numFmtId="3" fontId="26" fillId="3" borderId="29" xfId="28" applyNumberFormat="1" applyFont="1" applyFill="1" applyBorder="1" applyAlignment="1">
      <alignment horizontal="right" vertical="center"/>
    </xf>
    <xf numFmtId="49" fontId="26" fillId="3" borderId="48" xfId="28" applyNumberFormat="1" applyFont="1" applyFill="1" applyBorder="1" applyAlignment="1">
      <alignment horizontal="left" vertical="center"/>
    </xf>
    <xf numFmtId="49" fontId="26" fillId="3" borderId="49" xfId="28" applyNumberFormat="1" applyFont="1" applyFill="1" applyBorder="1" applyAlignment="1">
      <alignment horizontal="left" vertical="center"/>
    </xf>
    <xf numFmtId="49" fontId="38" fillId="3" borderId="48" xfId="28" applyNumberFormat="1" applyFont="1" applyFill="1" applyBorder="1" applyAlignment="1">
      <alignment horizontal="left" vertical="center"/>
    </xf>
    <xf numFmtId="166" fontId="14" fillId="0" borderId="0" xfId="0" applyNumberFormat="1" applyFont="1" applyAlignment="1">
      <alignment vertical="center" wrapText="1"/>
    </xf>
    <xf numFmtId="49" fontId="32" fillId="3" borderId="48" xfId="28" applyNumberFormat="1" applyFont="1" applyFill="1" applyBorder="1" applyAlignment="1">
      <alignment horizontal="left" vertical="center"/>
    </xf>
    <xf numFmtId="1" fontId="21" fillId="0" borderId="17" xfId="0" applyNumberFormat="1" applyFont="1" applyBorder="1" applyAlignment="1" applyProtection="1">
      <alignment vertical="center" wrapText="1"/>
      <protection locked="0"/>
    </xf>
    <xf numFmtId="49" fontId="29" fillId="3" borderId="48" xfId="28" applyNumberFormat="1" applyFont="1" applyFill="1" applyBorder="1" applyAlignment="1">
      <alignment horizontal="left" vertical="center"/>
    </xf>
    <xf numFmtId="166" fontId="3" fillId="0" borderId="61" xfId="0" applyNumberFormat="1" applyFont="1" applyBorder="1" applyAlignment="1" applyProtection="1">
      <alignment vertical="center" wrapText="1"/>
      <protection locked="0"/>
    </xf>
    <xf numFmtId="166" fontId="3" fillId="0" borderId="29" xfId="0" applyNumberFormat="1" applyFont="1" applyBorder="1" applyAlignment="1" applyProtection="1">
      <alignment vertical="center" wrapText="1"/>
      <protection locked="0"/>
    </xf>
    <xf numFmtId="166" fontId="0" fillId="3" borderId="44" xfId="0" applyNumberFormat="1" applyFill="1" applyBorder="1" applyAlignment="1">
      <alignment vertical="center" wrapText="1"/>
    </xf>
    <xf numFmtId="0" fontId="32" fillId="0" borderId="29" xfId="28" applyFont="1" applyBorder="1"/>
    <xf numFmtId="166" fontId="7" fillId="3" borderId="47" xfId="0" applyNumberFormat="1" applyFont="1" applyFill="1" applyBorder="1" applyAlignment="1" applyProtection="1">
      <alignment horizontal="left" vertical="center" wrapText="1"/>
    </xf>
    <xf numFmtId="3" fontId="7" fillId="3" borderId="62" xfId="0" applyNumberFormat="1" applyFont="1" applyFill="1" applyBorder="1" applyAlignment="1" applyProtection="1">
      <alignment vertical="center" wrapText="1"/>
    </xf>
    <xf numFmtId="166" fontId="7" fillId="3" borderId="62" xfId="0" applyNumberFormat="1" applyFont="1" applyFill="1" applyBorder="1" applyAlignment="1" applyProtection="1">
      <alignment vertical="center" wrapText="1"/>
    </xf>
    <xf numFmtId="3" fontId="24" fillId="0" borderId="17" xfId="28" applyNumberFormat="1" applyFont="1" applyBorder="1" applyAlignment="1">
      <alignment horizontal="center" vertical="center" wrapText="1"/>
    </xf>
    <xf numFmtId="3" fontId="24" fillId="0" borderId="17" xfId="28" applyNumberFormat="1" applyFont="1" applyBorder="1" applyAlignment="1">
      <alignment horizontal="right" vertical="center" wrapText="1"/>
    </xf>
    <xf numFmtId="3" fontId="32" fillId="0" borderId="17" xfId="28" applyNumberFormat="1" applyFont="1" applyBorder="1" applyAlignment="1">
      <alignment horizontal="right" vertical="center" wrapText="1"/>
    </xf>
    <xf numFmtId="3" fontId="35" fillId="0" borderId="49" xfId="28" applyNumberFormat="1" applyFont="1" applyBorder="1" applyAlignment="1">
      <alignment horizontal="right" vertical="center" wrapText="1"/>
    </xf>
    <xf numFmtId="3" fontId="32" fillId="0" borderId="49" xfId="28" applyNumberFormat="1" applyFont="1" applyBorder="1" applyAlignment="1">
      <alignment horizontal="right" vertical="center" wrapText="1"/>
    </xf>
    <xf numFmtId="0" fontId="22" fillId="0" borderId="17" xfId="28" applyFont="1" applyBorder="1" applyAlignment="1">
      <alignment horizontal="left" vertical="center" wrapText="1" indent="1"/>
    </xf>
    <xf numFmtId="3" fontId="29" fillId="0" borderId="17" xfId="28" applyNumberFormat="1" applyFont="1" applyBorder="1" applyAlignment="1">
      <alignment horizontal="right" vertical="center" wrapText="1"/>
    </xf>
    <xf numFmtId="3" fontId="29" fillId="0" borderId="49" xfId="28" applyNumberFormat="1" applyFont="1" applyBorder="1" applyAlignment="1">
      <alignment horizontal="right" vertical="center" wrapText="1"/>
    </xf>
    <xf numFmtId="3" fontId="32" fillId="0" borderId="17" xfId="28" applyNumberFormat="1" applyFont="1" applyBorder="1" applyAlignment="1">
      <alignment horizontal="right" vertical="center"/>
    </xf>
    <xf numFmtId="3" fontId="32" fillId="0" borderId="49" xfId="28" applyNumberFormat="1" applyFont="1" applyBorder="1" applyAlignment="1">
      <alignment horizontal="right" vertical="center"/>
    </xf>
    <xf numFmtId="3" fontId="32" fillId="3" borderId="17" xfId="28" applyNumberFormat="1" applyFont="1" applyFill="1" applyBorder="1" applyAlignment="1">
      <alignment horizontal="right" vertical="center" wrapText="1"/>
    </xf>
    <xf numFmtId="3" fontId="29" fillId="0" borderId="49" xfId="28" applyNumberFormat="1" applyFont="1" applyBorder="1" applyAlignment="1">
      <alignment horizontal="right" vertical="center"/>
    </xf>
    <xf numFmtId="3" fontId="32" fillId="0" borderId="29" xfId="28" applyNumberFormat="1" applyFont="1" applyBorder="1" applyAlignment="1">
      <alignment horizontal="right" vertical="center" wrapText="1"/>
    </xf>
    <xf numFmtId="0" fontId="26" fillId="0" borderId="0" xfId="28" applyFont="1" applyBorder="1" applyAlignment="1">
      <alignment horizontal="center"/>
    </xf>
    <xf numFmtId="3" fontId="6" fillId="0" borderId="2" xfId="0" applyNumberFormat="1" applyFont="1" applyBorder="1" applyAlignment="1" applyProtection="1">
      <alignment vertical="center" wrapText="1"/>
    </xf>
    <xf numFmtId="3" fontId="6" fillId="0" borderId="2" xfId="0" applyNumberFormat="1" applyFont="1" applyBorder="1" applyAlignment="1" applyProtection="1">
      <alignment vertical="center" wrapText="1"/>
      <protection locked="0"/>
    </xf>
    <xf numFmtId="3" fontId="6" fillId="0" borderId="35" xfId="0" applyNumberFormat="1" applyFont="1" applyBorder="1" applyAlignment="1" applyProtection="1">
      <alignment vertical="center" wrapText="1"/>
    </xf>
    <xf numFmtId="166" fontId="17" fillId="0" borderId="0" xfId="0" applyNumberFormat="1" applyFont="1" applyBorder="1" applyAlignment="1" applyProtection="1">
      <alignment vertical="center" wrapText="1"/>
    </xf>
    <xf numFmtId="3" fontId="15" fillId="0" borderId="0" xfId="0" applyNumberFormat="1" applyFont="1" applyBorder="1" applyAlignment="1">
      <alignment horizontal="right" vertical="center" wrapText="1"/>
    </xf>
    <xf numFmtId="166" fontId="17" fillId="0" borderId="17" xfId="0" applyNumberFormat="1" applyFont="1" applyBorder="1" applyAlignment="1" applyProtection="1">
      <alignment horizontal="left" vertical="center" wrapText="1" indent="1"/>
      <protection locked="0"/>
    </xf>
    <xf numFmtId="49" fontId="6" fillId="0" borderId="23" xfId="0" applyNumberFormat="1" applyFont="1" applyBorder="1" applyAlignment="1" applyProtection="1">
      <alignment horizontal="center" vertical="center" wrapText="1"/>
      <protection locked="0"/>
    </xf>
    <xf numFmtId="0" fontId="15" fillId="0" borderId="24" xfId="28" applyFont="1" applyBorder="1" applyAlignment="1" applyProtection="1">
      <alignment horizontal="center" vertical="center" wrapText="1"/>
    </xf>
    <xf numFmtId="3" fontId="19" fillId="0" borderId="53" xfId="0" applyNumberFormat="1" applyFont="1" applyBorder="1" applyAlignment="1" applyProtection="1">
      <alignment horizontal="center" vertical="center" wrapText="1"/>
    </xf>
    <xf numFmtId="166" fontId="11" fillId="0" borderId="0" xfId="0" applyNumberFormat="1" applyFont="1" applyBorder="1" applyAlignment="1" applyProtection="1">
      <alignment horizontal="right" vertical="top"/>
      <protection locked="0"/>
    </xf>
    <xf numFmtId="14" fontId="24" fillId="0" borderId="29" xfId="28" applyNumberFormat="1" applyFont="1" applyBorder="1" applyAlignment="1">
      <alignment horizontal="center" vertical="center" wrapText="1"/>
    </xf>
    <xf numFmtId="3" fontId="24" fillId="0" borderId="41" xfId="28" applyNumberFormat="1" applyFont="1" applyBorder="1" applyAlignment="1">
      <alignment horizontal="center" vertical="center" wrapText="1"/>
    </xf>
    <xf numFmtId="166" fontId="0" fillId="0" borderId="63" xfId="0" applyNumberFormat="1" applyBorder="1" applyAlignment="1">
      <alignment horizontal="left" vertical="center" wrapText="1"/>
    </xf>
    <xf numFmtId="3" fontId="45" fillId="0" borderId="2" xfId="0" applyNumberFormat="1" applyFont="1" applyBorder="1" applyAlignment="1" applyProtection="1">
      <alignment vertical="center" wrapText="1"/>
      <protection locked="0"/>
    </xf>
    <xf numFmtId="0" fontId="6" fillId="0" borderId="23" xfId="0" applyFont="1" applyBorder="1" applyAlignment="1" applyProtection="1">
      <alignment horizontal="center" vertical="center" wrapText="1"/>
    </xf>
    <xf numFmtId="166" fontId="32" fillId="0" borderId="0" xfId="0" applyNumberFormat="1" applyFont="1" applyBorder="1" applyAlignment="1" applyProtection="1">
      <alignment horizontal="right" vertical="top"/>
      <protection locked="0"/>
    </xf>
    <xf numFmtId="0" fontId="6" fillId="0" borderId="0" xfId="0" applyFont="1" applyBorder="1" applyAlignment="1">
      <alignment vertical="center"/>
    </xf>
    <xf numFmtId="166" fontId="6" fillId="3" borderId="29" xfId="0" applyNumberFormat="1" applyFont="1" applyFill="1" applyBorder="1" applyAlignment="1" applyProtection="1">
      <alignment horizontal="center" vertical="center" wrapText="1"/>
      <protection locked="0"/>
    </xf>
    <xf numFmtId="166" fontId="0" fillId="0" borderId="63" xfId="0" applyNumberFormat="1" applyBorder="1" applyAlignment="1">
      <alignment vertical="center" wrapText="1"/>
    </xf>
    <xf numFmtId="166" fontId="18" fillId="0" borderId="0" xfId="0" applyNumberFormat="1" applyFont="1" applyBorder="1" applyAlignment="1">
      <alignment vertical="center" wrapText="1"/>
    </xf>
    <xf numFmtId="166" fontId="7" fillId="0" borderId="0" xfId="0" applyNumberFormat="1" applyFont="1" applyBorder="1" applyAlignment="1">
      <alignment vertical="center" wrapText="1"/>
    </xf>
    <xf numFmtId="0" fontId="44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 wrapText="1"/>
    </xf>
    <xf numFmtId="166" fontId="44" fillId="0" borderId="0" xfId="0" applyNumberFormat="1" applyFont="1" applyAlignment="1">
      <alignment vertical="center" wrapText="1"/>
    </xf>
    <xf numFmtId="0" fontId="45" fillId="0" borderId="0" xfId="0" applyFont="1" applyAlignment="1">
      <alignment vertical="center"/>
    </xf>
    <xf numFmtId="3" fontId="44" fillId="0" borderId="0" xfId="0" applyNumberFormat="1" applyFont="1" applyAlignment="1">
      <alignment vertical="center" wrapText="1"/>
    </xf>
    <xf numFmtId="0" fontId="47" fillId="0" borderId="0" xfId="0" applyFont="1" applyAlignment="1">
      <alignment vertical="center" wrapText="1"/>
    </xf>
    <xf numFmtId="49" fontId="6" fillId="0" borderId="0" xfId="0" applyNumberFormat="1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horizontal="center" vertical="center" wrapText="1"/>
    </xf>
    <xf numFmtId="166" fontId="6" fillId="3" borderId="0" xfId="0" applyNumberFormat="1" applyFont="1" applyFill="1" applyBorder="1" applyAlignment="1" applyProtection="1">
      <alignment horizontal="center" vertical="center" wrapText="1"/>
    </xf>
    <xf numFmtId="3" fontId="17" fillId="0" borderId="0" xfId="0" applyNumberFormat="1" applyFont="1" applyBorder="1" applyAlignment="1" applyProtection="1">
      <alignment vertical="center" wrapText="1"/>
      <protection locked="0"/>
    </xf>
    <xf numFmtId="3" fontId="45" fillId="0" borderId="0" xfId="0" applyNumberFormat="1" applyFont="1" applyBorder="1" applyAlignment="1" applyProtection="1">
      <alignment vertical="center" wrapText="1"/>
      <protection locked="0"/>
    </xf>
    <xf numFmtId="3" fontId="15" fillId="0" borderId="0" xfId="0" applyNumberFormat="1" applyFont="1" applyBorder="1" applyAlignment="1" applyProtection="1">
      <alignment vertical="center" wrapText="1"/>
      <protection locked="0"/>
    </xf>
    <xf numFmtId="3" fontId="22" fillId="0" borderId="0" xfId="0" applyNumberFormat="1" applyFont="1" applyBorder="1" applyAlignment="1" applyProtection="1">
      <alignment vertical="center" wrapText="1"/>
      <protection locked="0"/>
    </xf>
    <xf numFmtId="166" fontId="45" fillId="0" borderId="0" xfId="0" applyNumberFormat="1" applyFont="1" applyBorder="1" applyAlignment="1" applyProtection="1">
      <alignment vertical="center" wrapText="1"/>
    </xf>
    <xf numFmtId="166" fontId="6" fillId="3" borderId="0" xfId="0" applyNumberFormat="1" applyFont="1" applyFill="1" applyBorder="1" applyAlignment="1" applyProtection="1">
      <alignment vertical="center" wrapText="1"/>
    </xf>
    <xf numFmtId="4" fontId="15" fillId="0" borderId="0" xfId="0" applyNumberFormat="1" applyFont="1" applyBorder="1" applyAlignment="1" applyProtection="1">
      <alignment vertical="center" wrapText="1"/>
      <protection locked="0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48" fillId="0" borderId="44" xfId="0" applyFont="1" applyBorder="1" applyAlignment="1">
      <alignment vertical="center" wrapText="1"/>
    </xf>
    <xf numFmtId="0" fontId="0" fillId="0" borderId="44" xfId="0" applyBorder="1" applyAlignment="1">
      <alignment vertical="center" wrapText="1"/>
    </xf>
    <xf numFmtId="3" fontId="50" fillId="0" borderId="44" xfId="0" applyNumberFormat="1" applyFont="1" applyBorder="1" applyAlignment="1">
      <alignment vertical="center" wrapText="1"/>
    </xf>
    <xf numFmtId="0" fontId="49" fillId="0" borderId="44" xfId="0" applyFont="1" applyBorder="1" applyAlignment="1">
      <alignment vertical="center" wrapText="1"/>
    </xf>
    <xf numFmtId="166" fontId="0" fillId="5" borderId="64" xfId="0" applyNumberFormat="1" applyFill="1" applyBorder="1" applyAlignment="1">
      <alignment vertical="center" wrapText="1"/>
    </xf>
    <xf numFmtId="166" fontId="0" fillId="5" borderId="65" xfId="0" applyNumberFormat="1" applyFill="1" applyBorder="1" applyAlignment="1">
      <alignment vertical="center" wrapText="1"/>
    </xf>
    <xf numFmtId="166" fontId="0" fillId="5" borderId="66" xfId="0" applyNumberFormat="1" applyFill="1" applyBorder="1" applyAlignment="1">
      <alignment vertical="center" wrapText="1"/>
    </xf>
    <xf numFmtId="0" fontId="18" fillId="0" borderId="67" xfId="0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3" fontId="3" fillId="0" borderId="67" xfId="0" applyNumberFormat="1" applyFont="1" applyBorder="1" applyAlignment="1">
      <alignment vertical="center" wrapText="1"/>
    </xf>
    <xf numFmtId="3" fontId="50" fillId="0" borderId="0" xfId="0" applyNumberFormat="1" applyFont="1" applyAlignment="1">
      <alignment vertical="center" wrapText="1"/>
    </xf>
    <xf numFmtId="3" fontId="17" fillId="0" borderId="27" xfId="0" applyNumberFormat="1" applyFont="1" applyBorder="1" applyAlignment="1" applyProtection="1">
      <alignment vertical="center" wrapText="1"/>
      <protection locked="0"/>
    </xf>
    <xf numFmtId="3" fontId="17" fillId="3" borderId="0" xfId="0" applyNumberFormat="1" applyFont="1" applyFill="1" applyBorder="1" applyAlignment="1" applyProtection="1">
      <alignment vertical="center" wrapText="1"/>
      <protection locked="0"/>
    </xf>
    <xf numFmtId="4" fontId="15" fillId="0" borderId="0" xfId="0" applyNumberFormat="1" applyFont="1" applyBorder="1" applyAlignment="1" applyProtection="1">
      <alignment horizontal="right" vertical="center" wrapText="1" indent="1"/>
      <protection locked="0"/>
    </xf>
    <xf numFmtId="3" fontId="15" fillId="0" borderId="0" xfId="0" applyNumberFormat="1" applyFont="1" applyBorder="1" applyAlignment="1" applyProtection="1">
      <alignment horizontal="right" vertical="center" wrapText="1" indent="1"/>
      <protection locked="0"/>
    </xf>
    <xf numFmtId="3" fontId="44" fillId="0" borderId="0" xfId="0" applyNumberFormat="1" applyFont="1" applyBorder="1" applyAlignment="1" applyProtection="1">
      <alignment vertical="center" wrapText="1"/>
      <protection locked="0"/>
    </xf>
    <xf numFmtId="169" fontId="22" fillId="0" borderId="0" xfId="0" applyNumberFormat="1" applyFont="1" applyAlignment="1">
      <alignment vertical="center" wrapText="1"/>
    </xf>
    <xf numFmtId="4" fontId="22" fillId="0" borderId="0" xfId="0" applyNumberFormat="1" applyFont="1" applyAlignment="1">
      <alignment vertical="center" wrapText="1"/>
    </xf>
    <xf numFmtId="0" fontId="17" fillId="0" borderId="0" xfId="0" applyFont="1" applyAlignment="1">
      <alignment horizontal="right" vertical="center" wrapText="1"/>
    </xf>
    <xf numFmtId="14" fontId="15" fillId="0" borderId="0" xfId="28" applyNumberFormat="1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3" fontId="19" fillId="0" borderId="0" xfId="0" applyNumberFormat="1" applyFont="1" applyBorder="1" applyAlignment="1" applyProtection="1">
      <alignment horizontal="center" vertical="center" wrapText="1"/>
    </xf>
    <xf numFmtId="3" fontId="12" fillId="0" borderId="0" xfId="0" applyNumberFormat="1" applyFont="1" applyBorder="1" applyAlignment="1" applyProtection="1">
      <alignment vertical="center" wrapText="1"/>
    </xf>
    <xf numFmtId="166" fontId="15" fillId="0" borderId="0" xfId="0" applyNumberFormat="1" applyFont="1" applyBorder="1" applyAlignment="1" applyProtection="1">
      <alignment horizontal="center" vertical="center" wrapText="1"/>
    </xf>
    <xf numFmtId="3" fontId="23" fillId="0" borderId="0" xfId="0" applyNumberFormat="1" applyFont="1" applyBorder="1" applyAlignment="1" applyProtection="1">
      <alignment vertical="center" wrapText="1"/>
    </xf>
    <xf numFmtId="169" fontId="15" fillId="0" borderId="0" xfId="0" applyNumberFormat="1" applyFont="1" applyBorder="1" applyAlignment="1" applyProtection="1">
      <alignment horizontal="right" vertical="center" wrapText="1" indent="1"/>
      <protection locked="0"/>
    </xf>
    <xf numFmtId="3" fontId="17" fillId="0" borderId="63" xfId="0" applyNumberFormat="1" applyFont="1" applyBorder="1" applyAlignment="1" applyProtection="1">
      <alignment vertical="center" wrapText="1"/>
      <protection locked="0"/>
    </xf>
    <xf numFmtId="3" fontId="15" fillId="0" borderId="15" xfId="0" applyNumberFormat="1" applyFont="1" applyBorder="1" applyAlignment="1" applyProtection="1">
      <alignment vertical="center" wrapText="1"/>
    </xf>
    <xf numFmtId="3" fontId="17" fillId="0" borderId="17" xfId="0" applyNumberFormat="1" applyFont="1" applyBorder="1" applyAlignment="1" applyProtection="1">
      <alignment vertical="center" wrapText="1"/>
      <protection locked="0"/>
    </xf>
    <xf numFmtId="0" fontId="46" fillId="0" borderId="17" xfId="28" applyFont="1" applyBorder="1" applyAlignment="1" applyProtection="1">
      <alignment vertical="center" wrapText="1"/>
    </xf>
    <xf numFmtId="0" fontId="46" fillId="0" borderId="47" xfId="28" applyFont="1" applyBorder="1" applyAlignment="1" applyProtection="1">
      <alignment vertical="center" wrapText="1"/>
    </xf>
    <xf numFmtId="3" fontId="44" fillId="0" borderId="17" xfId="0" applyNumberFormat="1" applyFont="1" applyBorder="1" applyAlignment="1" applyProtection="1">
      <alignment vertical="center" wrapText="1"/>
    </xf>
    <xf numFmtId="0" fontId="46" fillId="0" borderId="41" xfId="28" applyFont="1" applyBorder="1" applyAlignment="1" applyProtection="1">
      <alignment vertical="center" wrapText="1"/>
    </xf>
    <xf numFmtId="3" fontId="44" fillId="0" borderId="41" xfId="0" applyNumberFormat="1" applyFont="1" applyBorder="1" applyAlignment="1" applyProtection="1">
      <alignment vertical="center" wrapText="1"/>
      <protection locked="0"/>
    </xf>
    <xf numFmtId="3" fontId="44" fillId="0" borderId="17" xfId="0" applyNumberFormat="1" applyFont="1" applyBorder="1" applyAlignment="1" applyProtection="1">
      <alignment vertical="center" wrapText="1"/>
      <protection locked="0"/>
    </xf>
    <xf numFmtId="0" fontId="15" fillId="0" borderId="22" xfId="28" applyFont="1" applyBorder="1" applyAlignment="1" applyProtection="1">
      <alignment horizontal="left" vertical="center" wrapText="1" indent="1"/>
    </xf>
    <xf numFmtId="14" fontId="24" fillId="0" borderId="0" xfId="28" applyNumberFormat="1" applyFont="1" applyBorder="1" applyAlignment="1">
      <alignment horizontal="center" vertical="center" wrapText="1"/>
    </xf>
    <xf numFmtId="3" fontId="32" fillId="0" borderId="22" xfId="28" applyNumberFormat="1" applyFont="1" applyBorder="1"/>
    <xf numFmtId="3" fontId="2" fillId="0" borderId="0" xfId="28" applyNumberFormat="1" applyFont="1" applyBorder="1"/>
    <xf numFmtId="0" fontId="51" fillId="0" borderId="19" xfId="28" applyFont="1" applyBorder="1" applyAlignment="1" applyProtection="1">
      <alignment horizontal="left" vertical="center" wrapText="1" indent="3"/>
    </xf>
    <xf numFmtId="3" fontId="29" fillId="0" borderId="26" xfId="28" applyNumberFormat="1" applyFont="1" applyBorder="1"/>
    <xf numFmtId="0" fontId="47" fillId="0" borderId="0" xfId="0" applyFont="1" applyAlignment="1">
      <alignment vertical="center"/>
    </xf>
    <xf numFmtId="3" fontId="54" fillId="0" borderId="21" xfId="0" applyNumberFormat="1" applyFont="1" applyBorder="1" applyAlignment="1" applyProtection="1">
      <alignment horizontal="center" vertical="center" wrapText="1"/>
    </xf>
    <xf numFmtId="3" fontId="46" fillId="3" borderId="0" xfId="0" applyNumberFormat="1" applyFont="1" applyFill="1" applyBorder="1" applyAlignment="1" applyProtection="1">
      <alignment vertical="center" wrapText="1"/>
    </xf>
    <xf numFmtId="3" fontId="55" fillId="0" borderId="0" xfId="0" applyNumberFormat="1" applyFont="1" applyAlignment="1" applyProtection="1">
      <alignment vertical="center" wrapText="1"/>
    </xf>
    <xf numFmtId="169" fontId="44" fillId="0" borderId="0" xfId="0" applyNumberFormat="1" applyFont="1" applyBorder="1" applyAlignment="1" applyProtection="1">
      <alignment horizontal="right" vertical="center" wrapText="1" indent="1"/>
      <protection locked="0"/>
    </xf>
    <xf numFmtId="3" fontId="46" fillId="0" borderId="0" xfId="0" applyNumberFormat="1" applyFont="1" applyAlignment="1">
      <alignment vertical="center" wrapText="1"/>
    </xf>
    <xf numFmtId="3" fontId="18" fillId="0" borderId="0" xfId="0" applyNumberFormat="1" applyFont="1" applyAlignment="1">
      <alignment vertical="center" wrapText="1"/>
    </xf>
    <xf numFmtId="3" fontId="48" fillId="0" borderId="0" xfId="0" applyNumberFormat="1" applyFont="1" applyAlignment="1">
      <alignment vertical="center" wrapText="1"/>
    </xf>
    <xf numFmtId="3" fontId="6" fillId="3" borderId="29" xfId="0" applyNumberFormat="1" applyFont="1" applyFill="1" applyBorder="1" applyAlignment="1" applyProtection="1">
      <alignment vertical="center" wrapText="1"/>
      <protection locked="0"/>
    </xf>
    <xf numFmtId="3" fontId="3" fillId="0" borderId="17" xfId="0" applyNumberFormat="1" applyFont="1" applyBorder="1" applyAlignment="1" applyProtection="1">
      <alignment vertical="center" wrapText="1"/>
      <protection locked="0"/>
    </xf>
    <xf numFmtId="0" fontId="50" fillId="0" borderId="0" xfId="28" applyFont="1" applyAlignment="1" applyProtection="1">
      <alignment horizontal="center" vertical="center"/>
    </xf>
    <xf numFmtId="3" fontId="3" fillId="0" borderId="0" xfId="28" applyNumberFormat="1" applyFont="1" applyProtection="1"/>
    <xf numFmtId="0" fontId="18" fillId="0" borderId="0" xfId="28" applyFont="1" applyProtection="1"/>
    <xf numFmtId="3" fontId="18" fillId="0" borderId="0" xfId="28" applyNumberFormat="1" applyFont="1" applyProtection="1"/>
    <xf numFmtId="3" fontId="7" fillId="0" borderId="20" xfId="0" applyNumberFormat="1" applyFont="1" applyBorder="1" applyAlignment="1">
      <alignment horizontal="right" vertical="center" wrapText="1"/>
    </xf>
    <xf numFmtId="0" fontId="56" fillId="0" borderId="0" xfId="28" applyFont="1" applyProtection="1"/>
    <xf numFmtId="3" fontId="57" fillId="0" borderId="0" xfId="28" applyNumberFormat="1" applyFont="1" applyProtection="1"/>
    <xf numFmtId="166" fontId="58" fillId="0" borderId="37" xfId="0" applyNumberFormat="1" applyFont="1" applyBorder="1" applyAlignment="1">
      <alignment horizontal="left" vertical="center" wrapText="1"/>
    </xf>
    <xf numFmtId="3" fontId="48" fillId="0" borderId="20" xfId="0" applyNumberFormat="1" applyFont="1" applyBorder="1" applyAlignment="1">
      <alignment horizontal="right" vertical="center" wrapText="1"/>
    </xf>
    <xf numFmtId="3" fontId="59" fillId="0" borderId="20" xfId="0" applyNumberFormat="1" applyFont="1" applyBorder="1" applyAlignment="1">
      <alignment horizontal="right" vertical="center" wrapText="1"/>
    </xf>
    <xf numFmtId="0" fontId="48" fillId="0" borderId="68" xfId="28" applyFont="1" applyBorder="1" applyProtection="1"/>
    <xf numFmtId="3" fontId="48" fillId="0" borderId="56" xfId="28" applyNumberFormat="1" applyFont="1" applyBorder="1" applyProtection="1"/>
    <xf numFmtId="3" fontId="48" fillId="0" borderId="57" xfId="28" applyNumberFormat="1" applyFont="1" applyBorder="1" applyProtection="1"/>
    <xf numFmtId="4" fontId="0" fillId="0" borderId="0" xfId="0" applyNumberFormat="1" applyAlignment="1">
      <alignment vertical="center" wrapText="1"/>
    </xf>
    <xf numFmtId="166" fontId="6" fillId="0" borderId="23" xfId="0" applyNumberFormat="1" applyFont="1" applyBorder="1" applyAlignment="1">
      <alignment horizontal="center" vertical="center" wrapText="1"/>
    </xf>
    <xf numFmtId="166" fontId="58" fillId="0" borderId="0" xfId="0" applyNumberFormat="1" applyFont="1" applyBorder="1" applyAlignment="1">
      <alignment horizontal="left" vertical="center" wrapText="1"/>
    </xf>
    <xf numFmtId="3" fontId="59" fillId="0" borderId="0" xfId="0" applyNumberFormat="1" applyFont="1" applyBorder="1" applyAlignment="1">
      <alignment horizontal="right" vertical="center" wrapText="1"/>
    </xf>
    <xf numFmtId="3" fontId="53" fillId="0" borderId="35" xfId="0" applyNumberFormat="1" applyFont="1" applyBorder="1" applyAlignment="1" applyProtection="1">
      <alignment vertical="center" wrapText="1"/>
    </xf>
    <xf numFmtId="4" fontId="15" fillId="0" borderId="40" xfId="0" applyNumberFormat="1" applyFont="1" applyBorder="1" applyAlignment="1" applyProtection="1">
      <alignment horizontal="right" vertical="center" wrapText="1" indent="1"/>
      <protection locked="0"/>
    </xf>
    <xf numFmtId="0" fontId="6" fillId="6" borderId="69" xfId="28" applyFont="1" applyFill="1" applyBorder="1" applyAlignment="1" applyProtection="1">
      <alignment vertical="center" wrapText="1"/>
    </xf>
    <xf numFmtId="0" fontId="6" fillId="6" borderId="69" xfId="28" applyFont="1" applyFill="1" applyBorder="1" applyAlignment="1" applyProtection="1">
      <alignment vertical="center" wrapText="1"/>
      <protection locked="0"/>
    </xf>
    <xf numFmtId="3" fontId="6" fillId="6" borderId="70" xfId="0" applyNumberFormat="1" applyFont="1" applyFill="1" applyBorder="1" applyAlignment="1" applyProtection="1">
      <alignment vertical="center" wrapText="1"/>
    </xf>
    <xf numFmtId="3" fontId="6" fillId="3" borderId="23" xfId="0" applyNumberFormat="1" applyFont="1" applyFill="1" applyBorder="1" applyAlignment="1" applyProtection="1">
      <alignment vertical="center" wrapText="1"/>
    </xf>
    <xf numFmtId="0" fontId="46" fillId="0" borderId="19" xfId="28" applyFont="1" applyBorder="1" applyAlignment="1" applyProtection="1">
      <alignment vertical="center" wrapText="1"/>
    </xf>
    <xf numFmtId="3" fontId="44" fillId="0" borderId="31" xfId="0" applyNumberFormat="1" applyFont="1" applyBorder="1" applyAlignment="1" applyProtection="1">
      <alignment vertical="center" wrapText="1"/>
      <protection locked="0"/>
    </xf>
    <xf numFmtId="3" fontId="44" fillId="0" borderId="2" xfId="0" applyNumberFormat="1" applyFont="1" applyBorder="1" applyAlignment="1" applyProtection="1">
      <alignment vertical="center" wrapText="1"/>
    </xf>
    <xf numFmtId="1" fontId="6" fillId="0" borderId="19" xfId="0" applyNumberFormat="1" applyFont="1" applyBorder="1" applyAlignment="1" applyProtection="1">
      <alignment horizontal="center" vertical="center" wrapText="1"/>
    </xf>
    <xf numFmtId="1" fontId="19" fillId="0" borderId="44" xfId="0" applyNumberFormat="1" applyFont="1" applyBorder="1" applyAlignment="1" applyProtection="1">
      <alignment horizontal="center" vertical="center" wrapText="1"/>
    </xf>
    <xf numFmtId="1" fontId="20" fillId="0" borderId="19" xfId="0" applyNumberFormat="1" applyFont="1" applyBorder="1" applyAlignment="1" applyProtection="1">
      <alignment horizontal="center" vertical="center" wrapText="1"/>
    </xf>
    <xf numFmtId="1" fontId="17" fillId="0" borderId="17" xfId="0" applyNumberFormat="1" applyFont="1" applyBorder="1" applyAlignment="1" applyProtection="1">
      <alignment horizontal="center" vertical="center" wrapText="1"/>
    </xf>
    <xf numFmtId="1" fontId="23" fillId="0" borderId="19" xfId="0" applyNumberFormat="1" applyFont="1" applyBorder="1" applyAlignment="1" applyProtection="1">
      <alignment horizontal="center" vertical="center" wrapText="1"/>
    </xf>
    <xf numFmtId="1" fontId="17" fillId="0" borderId="29" xfId="0" applyNumberFormat="1" applyFont="1" applyBorder="1" applyAlignment="1" applyProtection="1">
      <alignment horizontal="center" vertical="center" wrapText="1"/>
    </xf>
    <xf numFmtId="1" fontId="17" fillId="0" borderId="19" xfId="0" applyNumberFormat="1" applyFont="1" applyBorder="1" applyAlignment="1" applyProtection="1">
      <alignment horizontal="center" vertical="center" wrapText="1"/>
    </xf>
    <xf numFmtId="1" fontId="6" fillId="6" borderId="69" xfId="28" applyNumberFormat="1" applyFont="1" applyFill="1" applyBorder="1" applyAlignment="1" applyProtection="1">
      <alignment vertical="center" wrapText="1"/>
    </xf>
    <xf numFmtId="1" fontId="9" fillId="0" borderId="0" xfId="0" applyNumberFormat="1" applyFont="1" applyBorder="1" applyAlignment="1" applyProtection="1">
      <alignment horizontal="center" vertical="center" wrapText="1"/>
    </xf>
    <xf numFmtId="1" fontId="15" fillId="0" borderId="19" xfId="28" applyNumberFormat="1" applyFont="1" applyBorder="1" applyAlignment="1" applyProtection="1">
      <alignment horizontal="left" vertical="center" wrapText="1" indent="1"/>
    </xf>
    <xf numFmtId="1" fontId="17" fillId="0" borderId="26" xfId="28" applyNumberFormat="1" applyFont="1" applyBorder="1" applyAlignment="1" applyProtection="1">
      <alignment horizontal="left" vertical="center" wrapText="1" indent="1"/>
    </xf>
    <xf numFmtId="1" fontId="17" fillId="0" borderId="17" xfId="28" applyNumberFormat="1" applyFont="1" applyBorder="1" applyAlignment="1" applyProtection="1">
      <alignment horizontal="left" vertical="center" wrapText="1" indent="1"/>
    </xf>
    <xf numFmtId="1" fontId="17" fillId="0" borderId="47" xfId="28" applyNumberFormat="1" applyFont="1" applyBorder="1" applyAlignment="1" applyProtection="1">
      <alignment horizontal="left" vertical="center" wrapText="1" indent="1"/>
    </xf>
    <xf numFmtId="1" fontId="17" fillId="0" borderId="22" xfId="28" applyNumberFormat="1" applyFont="1" applyBorder="1" applyAlignment="1" applyProtection="1">
      <alignment horizontal="left" vertical="center" wrapText="1" indent="1"/>
    </xf>
    <xf numFmtId="1" fontId="17" fillId="0" borderId="29" xfId="28" applyNumberFormat="1" applyFont="1" applyBorder="1" applyAlignment="1" applyProtection="1">
      <alignment horizontal="left" vertical="center" wrapText="1" indent="1"/>
    </xf>
    <xf numFmtId="1" fontId="17" fillId="0" borderId="19" xfId="28" applyNumberFormat="1" applyFont="1" applyBorder="1" applyAlignment="1" applyProtection="1">
      <alignment horizontal="left" vertical="center" wrapText="1" indent="1"/>
    </xf>
    <xf numFmtId="1" fontId="0" fillId="0" borderId="0" xfId="0" applyNumberFormat="1" applyAlignment="1">
      <alignment vertical="center" wrapText="1"/>
    </xf>
    <xf numFmtId="1" fontId="3" fillId="3" borderId="19" xfId="0" applyNumberFormat="1" applyFont="1" applyFill="1" applyBorder="1" applyAlignment="1" applyProtection="1">
      <alignment horizontal="center" vertical="center" wrapText="1"/>
    </xf>
    <xf numFmtId="0" fontId="23" fillId="0" borderId="19" xfId="0" applyNumberFormat="1" applyFont="1" applyBorder="1" applyAlignment="1" applyProtection="1">
      <alignment horizontal="center" vertical="center" wrapText="1"/>
    </xf>
    <xf numFmtId="0" fontId="23" fillId="0" borderId="14" xfId="0" applyFont="1" applyBorder="1" applyAlignment="1" applyProtection="1">
      <alignment horizontal="center" vertical="center" wrapText="1"/>
    </xf>
    <xf numFmtId="0" fontId="23" fillId="7" borderId="69" xfId="0" applyFont="1" applyFill="1" applyBorder="1" applyAlignment="1" applyProtection="1">
      <alignment horizontal="center" vertical="center" wrapText="1"/>
    </xf>
    <xf numFmtId="0" fontId="15" fillId="0" borderId="33" xfId="0" applyFont="1" applyBorder="1" applyAlignment="1" applyProtection="1">
      <alignment horizontal="center" vertical="center" wrapText="1"/>
    </xf>
    <xf numFmtId="49" fontId="44" fillId="0" borderId="19" xfId="0" applyNumberFormat="1" applyFont="1" applyBorder="1" applyAlignment="1" applyProtection="1">
      <alignment horizontal="center" vertical="center" wrapText="1"/>
    </xf>
    <xf numFmtId="0" fontId="6" fillId="0" borderId="55" xfId="0" applyFont="1" applyBorder="1" applyAlignment="1" applyProtection="1">
      <alignment horizontal="center" vertical="center"/>
      <protection locked="0"/>
    </xf>
    <xf numFmtId="0" fontId="15" fillId="0" borderId="23" xfId="28" applyFont="1" applyBorder="1" applyAlignment="1" applyProtection="1">
      <alignment horizontal="center" vertical="center" wrapText="1"/>
    </xf>
    <xf numFmtId="14" fontId="15" fillId="0" borderId="23" xfId="28" applyNumberFormat="1" applyFont="1" applyBorder="1" applyAlignment="1" applyProtection="1">
      <alignment horizontal="center" vertical="center" wrapText="1"/>
    </xf>
    <xf numFmtId="3" fontId="11" fillId="0" borderId="29" xfId="28" applyNumberFormat="1" applyFont="1" applyBorder="1"/>
    <xf numFmtId="0" fontId="11" fillId="0" borderId="29" xfId="28" applyFont="1" applyBorder="1" applyAlignment="1">
      <alignment wrapText="1"/>
    </xf>
    <xf numFmtId="0" fontId="6" fillId="0" borderId="15" xfId="0" applyFont="1" applyBorder="1" applyAlignment="1" applyProtection="1">
      <alignment horizontal="right" vertical="center" wrapText="1"/>
    </xf>
    <xf numFmtId="0" fontId="6" fillId="0" borderId="2" xfId="0" applyFont="1" applyBorder="1" applyAlignment="1" applyProtection="1">
      <alignment horizontal="right" vertical="center" wrapText="1"/>
    </xf>
    <xf numFmtId="3" fontId="6" fillId="3" borderId="2" xfId="0" applyNumberFormat="1" applyFont="1" applyFill="1" applyBorder="1" applyAlignment="1" applyProtection="1">
      <alignment horizontal="right" vertical="center" wrapText="1"/>
    </xf>
    <xf numFmtId="3" fontId="15" fillId="0" borderId="2" xfId="0" applyNumberFormat="1" applyFont="1" applyBorder="1" applyAlignment="1" applyProtection="1">
      <alignment horizontal="right" vertical="center" wrapText="1"/>
    </xf>
    <xf numFmtId="3" fontId="17" fillId="0" borderId="16" xfId="0" applyNumberFormat="1" applyFont="1" applyBorder="1" applyAlignment="1" applyProtection="1">
      <alignment horizontal="right" vertical="center" wrapText="1"/>
      <protection locked="0"/>
    </xf>
    <xf numFmtId="3" fontId="17" fillId="0" borderId="7" xfId="0" applyNumberFormat="1" applyFont="1" applyBorder="1" applyAlignment="1" applyProtection="1">
      <alignment horizontal="right" vertical="center" wrapText="1"/>
      <protection locked="0"/>
    </xf>
    <xf numFmtId="3" fontId="17" fillId="0" borderId="31" xfId="0" applyNumberFormat="1" applyFont="1" applyBorder="1" applyAlignment="1" applyProtection="1">
      <alignment horizontal="right" vertical="center" wrapText="1"/>
      <protection locked="0"/>
    </xf>
    <xf numFmtId="3" fontId="17" fillId="0" borderId="9" xfId="0" applyNumberFormat="1" applyFont="1" applyBorder="1" applyAlignment="1" applyProtection="1">
      <alignment horizontal="right" vertical="center" wrapText="1"/>
      <protection locked="0"/>
    </xf>
    <xf numFmtId="3" fontId="15" fillId="0" borderId="2" xfId="0" applyNumberFormat="1" applyFont="1" applyBorder="1" applyAlignment="1" applyProtection="1">
      <alignment horizontal="right" vertical="center" wrapText="1"/>
      <protection locked="0"/>
    </xf>
    <xf numFmtId="3" fontId="15" fillId="0" borderId="31" xfId="0" applyNumberFormat="1" applyFont="1" applyBorder="1" applyAlignment="1" applyProtection="1">
      <alignment horizontal="right" vertical="center" wrapText="1"/>
      <protection locked="0"/>
    </xf>
    <xf numFmtId="3" fontId="17" fillId="0" borderId="53" xfId="0" applyNumberFormat="1" applyFont="1" applyBorder="1" applyAlignment="1" applyProtection="1">
      <alignment horizontal="right" vertical="center" wrapText="1"/>
      <protection locked="0"/>
    </xf>
    <xf numFmtId="3" fontId="15" fillId="0" borderId="35" xfId="0" applyNumberFormat="1" applyFont="1" applyBorder="1" applyAlignment="1" applyProtection="1">
      <alignment horizontal="right" vertical="center" wrapText="1"/>
    </xf>
    <xf numFmtId="3" fontId="17" fillId="0" borderId="5" xfId="0" applyNumberFormat="1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horizontal="right" vertical="center" wrapText="1"/>
    </xf>
    <xf numFmtId="3" fontId="17" fillId="0" borderId="18" xfId="0" applyNumberFormat="1" applyFont="1" applyBorder="1" applyAlignment="1" applyProtection="1">
      <alignment horizontal="right" vertical="center" wrapText="1"/>
      <protection locked="0"/>
    </xf>
    <xf numFmtId="3" fontId="15" fillId="0" borderId="35" xfId="0" applyNumberFormat="1" applyFont="1" applyBorder="1" applyAlignment="1" applyProtection="1">
      <alignment horizontal="right" vertical="center" wrapText="1"/>
      <protection locked="0"/>
    </xf>
    <xf numFmtId="3" fontId="15" fillId="0" borderId="54" xfId="0" applyNumberFormat="1" applyFont="1" applyBorder="1" applyAlignment="1" applyProtection="1">
      <alignment horizontal="right" vertical="center" wrapText="1"/>
      <protection locked="0"/>
    </xf>
    <xf numFmtId="3" fontId="15" fillId="0" borderId="16" xfId="0" applyNumberFormat="1" applyFont="1" applyBorder="1" applyAlignment="1" applyProtection="1">
      <alignment horizontal="right" vertical="center" wrapText="1"/>
      <protection locked="0"/>
    </xf>
    <xf numFmtId="3" fontId="44" fillId="0" borderId="35" xfId="0" applyNumberFormat="1" applyFont="1" applyBorder="1" applyAlignment="1" applyProtection="1">
      <alignment vertical="center" wrapText="1"/>
      <protection locked="0"/>
    </xf>
    <xf numFmtId="0" fontId="24" fillId="3" borderId="60" xfId="28" applyFont="1" applyFill="1" applyBorder="1" applyAlignment="1">
      <alignment vertical="center"/>
    </xf>
    <xf numFmtId="0" fontId="24" fillId="3" borderId="48" xfId="28" applyFont="1" applyFill="1" applyBorder="1" applyAlignment="1">
      <alignment vertical="center"/>
    </xf>
    <xf numFmtId="0" fontId="50" fillId="0" borderId="0" xfId="0" applyFont="1" applyAlignment="1">
      <alignment horizontal="center" vertical="center" wrapText="1"/>
    </xf>
    <xf numFmtId="3" fontId="32" fillId="0" borderId="49" xfId="28" applyNumberFormat="1" applyFont="1" applyFill="1" applyBorder="1" applyAlignment="1">
      <alignment horizontal="right" vertical="center"/>
    </xf>
    <xf numFmtId="3" fontId="32" fillId="0" borderId="29" xfId="28" applyNumberFormat="1" applyFont="1" applyFill="1" applyBorder="1" applyAlignment="1">
      <alignment horizontal="right" vertical="center" wrapText="1"/>
    </xf>
    <xf numFmtId="0" fontId="29" fillId="0" borderId="17" xfId="28" applyFont="1" applyFill="1" applyBorder="1" applyAlignment="1">
      <alignment horizontal="left" vertical="center" wrapText="1"/>
    </xf>
    <xf numFmtId="3" fontId="35" fillId="0" borderId="17" xfId="28" applyNumberFormat="1" applyFont="1" applyFill="1" applyBorder="1" applyAlignment="1">
      <alignment horizontal="right" vertical="center" wrapText="1"/>
    </xf>
    <xf numFmtId="3" fontId="35" fillId="0" borderId="49" xfId="28" applyNumberFormat="1" applyFont="1" applyFill="1" applyBorder="1" applyAlignment="1">
      <alignment horizontal="right" vertical="center" wrapText="1"/>
    </xf>
    <xf numFmtId="3" fontId="32" fillId="0" borderId="17" xfId="28" applyNumberFormat="1" applyFont="1" applyFill="1" applyBorder="1"/>
    <xf numFmtId="0" fontId="2" fillId="0" borderId="0" xfId="28" applyFont="1" applyFill="1"/>
    <xf numFmtId="0" fontId="11" fillId="0" borderId="17" xfId="28" applyFont="1" applyFill="1" applyBorder="1" applyAlignment="1">
      <alignment horizontal="left" wrapText="1"/>
    </xf>
    <xf numFmtId="3" fontId="11" fillId="0" borderId="17" xfId="28" applyNumberFormat="1" applyFont="1" applyFill="1" applyBorder="1"/>
    <xf numFmtId="0" fontId="11" fillId="0" borderId="49" xfId="28" applyFont="1" applyFill="1" applyBorder="1" applyAlignment="1">
      <alignment horizontal="center" wrapText="1"/>
    </xf>
    <xf numFmtId="49" fontId="32" fillId="0" borderId="49" xfId="28" applyNumberFormat="1" applyFont="1" applyFill="1" applyBorder="1" applyAlignment="1">
      <alignment horizontal="left" vertical="center"/>
    </xf>
    <xf numFmtId="3" fontId="17" fillId="0" borderId="7" xfId="0" applyNumberFormat="1" applyFont="1" applyFill="1" applyBorder="1" applyAlignment="1" applyProtection="1">
      <alignment vertical="center" wrapText="1"/>
      <protection locked="0"/>
    </xf>
    <xf numFmtId="0" fontId="24" fillId="0" borderId="60" xfId="28" applyFont="1" applyFill="1" applyBorder="1" applyAlignment="1">
      <alignment horizontal="center" vertical="center"/>
    </xf>
    <xf numFmtId="49" fontId="32" fillId="0" borderId="48" xfId="28" applyNumberFormat="1" applyFont="1" applyFill="1" applyBorder="1" applyAlignment="1">
      <alignment horizontal="center" vertical="center"/>
    </xf>
    <xf numFmtId="49" fontId="32" fillId="0" borderId="49" xfId="28" applyNumberFormat="1" applyFont="1" applyFill="1" applyBorder="1" applyAlignment="1">
      <alignment horizontal="center" vertical="center"/>
    </xf>
    <xf numFmtId="0" fontId="32" fillId="0" borderId="17" xfId="28" applyFont="1" applyFill="1" applyBorder="1" applyAlignment="1">
      <alignment horizontal="left" vertical="center" wrapText="1"/>
    </xf>
    <xf numFmtId="3" fontId="32" fillId="0" borderId="17" xfId="28" applyNumberFormat="1" applyFont="1" applyFill="1" applyBorder="1" applyAlignment="1">
      <alignment horizontal="right" vertical="center" wrapText="1"/>
    </xf>
    <xf numFmtId="3" fontId="32" fillId="0" borderId="17" xfId="28" applyNumberFormat="1" applyFont="1" applyFill="1" applyBorder="1" applyAlignment="1">
      <alignment horizontal="right" vertical="center"/>
    </xf>
    <xf numFmtId="3" fontId="32" fillId="0" borderId="50" xfId="28" applyNumberFormat="1" applyFont="1" applyFill="1" applyBorder="1" applyAlignment="1">
      <alignment horizontal="right" vertical="center"/>
    </xf>
    <xf numFmtId="0" fontId="63" fillId="0" borderId="0" xfId="25" applyFont="1" applyAlignment="1">
      <alignment horizontal="center"/>
    </xf>
    <xf numFmtId="0" fontId="196" fillId="0" borderId="0" xfId="25"/>
    <xf numFmtId="0" fontId="196" fillId="0" borderId="0" xfId="25" applyAlignment="1">
      <alignment horizontal="center"/>
    </xf>
    <xf numFmtId="0" fontId="95" fillId="0" borderId="0" xfId="25" applyFont="1" applyFill="1"/>
    <xf numFmtId="166" fontId="3" fillId="0" borderId="17" xfId="0" applyNumberFormat="1" applyFont="1" applyBorder="1" applyAlignment="1" applyProtection="1">
      <alignment horizontal="right" vertical="center" wrapText="1"/>
      <protection locked="0"/>
    </xf>
    <xf numFmtId="0" fontId="64" fillId="0" borderId="0" xfId="25" applyFont="1" applyFill="1" applyBorder="1" applyAlignment="1">
      <alignment horizontal="center"/>
    </xf>
    <xf numFmtId="0" fontId="33" fillId="0" borderId="0" xfId="25" applyFont="1" applyFill="1"/>
    <xf numFmtId="0" fontId="33" fillId="0" borderId="0" xfId="25" applyFont="1" applyFill="1" applyBorder="1"/>
    <xf numFmtId="0" fontId="65" fillId="0" borderId="0" xfId="25" applyFont="1" applyFill="1" applyBorder="1" applyAlignment="1">
      <alignment horizontal="center" vertical="center" wrapText="1"/>
    </xf>
    <xf numFmtId="3" fontId="65" fillId="0" borderId="0" xfId="25" applyNumberFormat="1" applyFont="1" applyFill="1" applyBorder="1" applyAlignment="1">
      <alignment horizontal="center" vertical="center" wrapText="1"/>
    </xf>
    <xf numFmtId="3" fontId="2" fillId="0" borderId="0" xfId="25" applyNumberFormat="1" applyFont="1" applyFill="1" applyBorder="1" applyAlignment="1">
      <alignment horizontal="right" wrapText="1"/>
    </xf>
    <xf numFmtId="3" fontId="33" fillId="0" borderId="0" xfId="25" applyNumberFormat="1" applyFont="1" applyFill="1" applyBorder="1" applyAlignment="1">
      <alignment horizontal="right"/>
    </xf>
    <xf numFmtId="166" fontId="3" fillId="0" borderId="63" xfId="0" applyNumberFormat="1" applyFont="1" applyBorder="1" applyAlignment="1" applyProtection="1">
      <alignment vertical="center" wrapText="1"/>
      <protection locked="0"/>
    </xf>
    <xf numFmtId="3" fontId="95" fillId="0" borderId="0" xfId="25" applyNumberFormat="1" applyFont="1" applyFill="1"/>
    <xf numFmtId="3" fontId="24" fillId="0" borderId="49" xfId="28" applyNumberFormat="1" applyFont="1" applyBorder="1"/>
    <xf numFmtId="166" fontId="59" fillId="0" borderId="0" xfId="0" applyNumberFormat="1" applyFont="1" applyAlignment="1">
      <alignment horizontal="center" vertical="center" wrapText="1"/>
    </xf>
    <xf numFmtId="166" fontId="49" fillId="0" borderId="0" xfId="0" applyNumberFormat="1" applyFont="1" applyAlignment="1">
      <alignment vertical="center" wrapText="1"/>
    </xf>
    <xf numFmtId="166" fontId="48" fillId="0" borderId="0" xfId="0" applyNumberFormat="1" applyFont="1" applyAlignment="1">
      <alignment vertical="center" wrapText="1"/>
    </xf>
    <xf numFmtId="0" fontId="96" fillId="0" borderId="0" xfId="25" applyFont="1"/>
    <xf numFmtId="0" fontId="91" fillId="0" borderId="0" xfId="25" applyFont="1"/>
    <xf numFmtId="0" fontId="37" fillId="0" borderId="0" xfId="25" applyFont="1" applyFill="1"/>
    <xf numFmtId="3" fontId="97" fillId="0" borderId="0" xfId="25" applyNumberFormat="1" applyFont="1" applyFill="1"/>
    <xf numFmtId="0" fontId="97" fillId="0" borderId="0" xfId="25" applyFont="1" applyFill="1"/>
    <xf numFmtId="0" fontId="66" fillId="0" borderId="0" xfId="25" applyFont="1" applyFill="1"/>
    <xf numFmtId="3" fontId="37" fillId="0" borderId="0" xfId="25" applyNumberFormat="1" applyFont="1" applyFill="1"/>
    <xf numFmtId="3" fontId="33" fillId="0" borderId="0" xfId="25" applyNumberFormat="1" applyFont="1" applyFill="1"/>
    <xf numFmtId="3" fontId="66" fillId="0" borderId="0" xfId="25" applyNumberFormat="1" applyFont="1" applyFill="1"/>
    <xf numFmtId="0" fontId="37" fillId="0" borderId="0" xfId="25" applyFont="1" applyFill="1" applyBorder="1" applyAlignment="1">
      <alignment horizontal="left"/>
    </xf>
    <xf numFmtId="3" fontId="98" fillId="0" borderId="0" xfId="25" applyNumberFormat="1" applyFont="1" applyFill="1"/>
    <xf numFmtId="3" fontId="65" fillId="0" borderId="0" xfId="25" applyNumberFormat="1" applyFont="1" applyFill="1"/>
    <xf numFmtId="3" fontId="99" fillId="0" borderId="0" xfId="25" applyNumberFormat="1" applyFont="1" applyFill="1"/>
    <xf numFmtId="0" fontId="37" fillId="0" borderId="71" xfId="25" applyFont="1" applyFill="1" applyBorder="1" applyAlignment="1">
      <alignment horizontal="left"/>
    </xf>
    <xf numFmtId="3" fontId="97" fillId="0" borderId="72" xfId="25" applyNumberFormat="1" applyFont="1" applyFill="1" applyBorder="1"/>
    <xf numFmtId="3" fontId="97" fillId="0" borderId="73" xfId="25" applyNumberFormat="1" applyFont="1" applyFill="1" applyBorder="1"/>
    <xf numFmtId="0" fontId="66" fillId="0" borderId="74" xfId="25" applyFont="1" applyFill="1" applyBorder="1"/>
    <xf numFmtId="0" fontId="97" fillId="0" borderId="67" xfId="25" applyFont="1" applyFill="1" applyBorder="1"/>
    <xf numFmtId="3" fontId="99" fillId="0" borderId="67" xfId="25" applyNumberFormat="1" applyFont="1" applyFill="1" applyBorder="1"/>
    <xf numFmtId="3" fontId="99" fillId="0" borderId="75" xfId="25" applyNumberFormat="1" applyFont="1" applyFill="1" applyBorder="1"/>
    <xf numFmtId="0" fontId="95" fillId="0" borderId="72" xfId="25" applyFont="1" applyFill="1" applyBorder="1"/>
    <xf numFmtId="0" fontId="95" fillId="0" borderId="67" xfId="25" applyFont="1" applyFill="1" applyBorder="1"/>
    <xf numFmtId="0" fontId="100" fillId="0" borderId="0" xfId="25" applyFont="1"/>
    <xf numFmtId="0" fontId="101" fillId="0" borderId="0" xfId="25" applyFont="1"/>
    <xf numFmtId="3" fontId="37" fillId="0" borderId="0" xfId="25" applyNumberFormat="1" applyFont="1" applyFill="1" applyBorder="1" applyAlignment="1">
      <alignment horizontal="right"/>
    </xf>
    <xf numFmtId="3" fontId="66" fillId="0" borderId="0" xfId="25" applyNumberFormat="1" applyFont="1" applyFill="1" applyBorder="1" applyAlignment="1">
      <alignment horizontal="right"/>
    </xf>
    <xf numFmtId="3" fontId="10" fillId="0" borderId="2" xfId="28" applyNumberFormat="1" applyFont="1" applyBorder="1" applyAlignment="1" applyProtection="1">
      <alignment horizontal="right" vertical="center" wrapText="1" indent="1"/>
    </xf>
    <xf numFmtId="49" fontId="29" fillId="0" borderId="17" xfId="28" applyNumberFormat="1" applyFont="1" applyBorder="1" applyAlignment="1">
      <alignment horizontal="left" indent="3"/>
    </xf>
    <xf numFmtId="3" fontId="24" fillId="0" borderId="17" xfId="28" applyNumberFormat="1" applyFont="1" applyFill="1" applyBorder="1"/>
    <xf numFmtId="3" fontId="65" fillId="0" borderId="0" xfId="28" applyNumberFormat="1" applyFont="1"/>
    <xf numFmtId="3" fontId="17" fillId="0" borderId="12" xfId="0" applyNumberFormat="1" applyFont="1" applyBorder="1" applyAlignment="1" applyProtection="1">
      <alignment vertical="center" wrapText="1"/>
      <protection locked="0"/>
    </xf>
    <xf numFmtId="3" fontId="17" fillId="0" borderId="13" xfId="0" applyNumberFormat="1" applyFont="1" applyBorder="1" applyAlignment="1" applyProtection="1">
      <alignment vertical="center" wrapText="1"/>
      <protection locked="0"/>
    </xf>
    <xf numFmtId="3" fontId="15" fillId="0" borderId="13" xfId="0" applyNumberFormat="1" applyFont="1" applyBorder="1" applyAlignment="1" applyProtection="1">
      <alignment vertical="center" wrapText="1"/>
      <protection locked="0"/>
    </xf>
    <xf numFmtId="3" fontId="15" fillId="0" borderId="63" xfId="0" applyNumberFormat="1" applyFont="1" applyBorder="1" applyAlignment="1" applyProtection="1">
      <alignment vertical="center" wrapText="1"/>
      <protection locked="0"/>
    </xf>
    <xf numFmtId="3" fontId="17" fillId="0" borderId="11" xfId="0" applyNumberFormat="1" applyFont="1" applyBorder="1" applyAlignment="1" applyProtection="1">
      <alignment vertical="center" wrapText="1"/>
      <protection locked="0"/>
    </xf>
    <xf numFmtId="0" fontId="24" fillId="0" borderId="6" xfId="0" applyFont="1" applyBorder="1" applyAlignment="1" applyProtection="1">
      <alignment horizontal="center" vertical="center" wrapText="1"/>
    </xf>
    <xf numFmtId="0" fontId="24" fillId="0" borderId="46" xfId="0" applyFont="1" applyBorder="1" applyAlignment="1" applyProtection="1">
      <alignment horizontal="center" vertical="center" wrapText="1"/>
    </xf>
    <xf numFmtId="0" fontId="45" fillId="0" borderId="0" xfId="0" applyFont="1" applyAlignment="1">
      <alignment vertical="center" wrapText="1"/>
    </xf>
    <xf numFmtId="3" fontId="45" fillId="0" borderId="23" xfId="0" applyNumberFormat="1" applyFont="1" applyBorder="1" applyAlignment="1" applyProtection="1">
      <alignment vertical="center" wrapText="1"/>
      <protection locked="0"/>
    </xf>
    <xf numFmtId="49" fontId="22" fillId="0" borderId="22" xfId="28" applyNumberFormat="1" applyFont="1" applyBorder="1" applyAlignment="1" applyProtection="1">
      <alignment horizontal="center" vertical="center" wrapText="1"/>
    </xf>
    <xf numFmtId="0" fontId="6" fillId="0" borderId="23" xfId="0" applyFont="1" applyBorder="1" applyAlignment="1" applyProtection="1">
      <alignment horizontal="center" vertical="center"/>
      <protection locked="0"/>
    </xf>
    <xf numFmtId="49" fontId="17" fillId="0" borderId="41" xfId="0" applyNumberFormat="1" applyFont="1" applyBorder="1" applyAlignment="1" applyProtection="1">
      <alignment horizontal="center" vertical="center" wrapText="1"/>
    </xf>
    <xf numFmtId="0" fontId="51" fillId="0" borderId="41" xfId="28" applyFont="1" applyBorder="1" applyAlignment="1" applyProtection="1">
      <alignment horizontal="left" vertical="center" wrapText="1" indent="3"/>
    </xf>
    <xf numFmtId="49" fontId="17" fillId="0" borderId="47" xfId="0" applyNumberFormat="1" applyFont="1" applyBorder="1" applyAlignment="1" applyProtection="1">
      <alignment horizontal="center" vertical="center" wrapText="1"/>
    </xf>
    <xf numFmtId="0" fontId="51" fillId="0" borderId="47" xfId="28" applyFont="1" applyBorder="1" applyAlignment="1" applyProtection="1">
      <alignment horizontal="left" vertical="center" wrapText="1" indent="3"/>
    </xf>
    <xf numFmtId="4" fontId="15" fillId="8" borderId="2" xfId="0" applyNumberFormat="1" applyFont="1" applyFill="1" applyBorder="1" applyAlignment="1" applyProtection="1">
      <alignment horizontal="right" vertical="center" wrapText="1" indent="1"/>
      <protection locked="0"/>
    </xf>
    <xf numFmtId="166" fontId="6" fillId="3" borderId="61" xfId="0" applyNumberFormat="1" applyFont="1" applyFill="1" applyBorder="1" applyAlignment="1" applyProtection="1">
      <alignment vertical="center" wrapText="1"/>
      <protection locked="0"/>
    </xf>
    <xf numFmtId="3" fontId="11" fillId="0" borderId="49" xfId="28" applyNumberFormat="1" applyFont="1" applyBorder="1"/>
    <xf numFmtId="3" fontId="26" fillId="3" borderId="49" xfId="28" applyNumberFormat="1" applyFont="1" applyFill="1" applyBorder="1" applyAlignment="1">
      <alignment vertical="center"/>
    </xf>
    <xf numFmtId="49" fontId="26" fillId="3" borderId="60" xfId="28" applyNumberFormat="1" applyFont="1" applyFill="1" applyBorder="1" applyAlignment="1">
      <alignment horizontal="left" vertical="center"/>
    </xf>
    <xf numFmtId="49" fontId="32" fillId="0" borderId="60" xfId="28" applyNumberFormat="1" applyFont="1" applyBorder="1" applyAlignment="1">
      <alignment horizontal="left" vertical="center"/>
    </xf>
    <xf numFmtId="166" fontId="0" fillId="0" borderId="28" xfId="0" applyNumberFormat="1" applyBorder="1" applyAlignment="1">
      <alignment vertical="center" wrapText="1"/>
    </xf>
    <xf numFmtId="166" fontId="0" fillId="0" borderId="0" xfId="0" applyNumberFormat="1" applyBorder="1" applyAlignment="1">
      <alignment horizontal="center" vertical="center" wrapText="1"/>
    </xf>
    <xf numFmtId="49" fontId="26" fillId="3" borderId="43" xfId="28" applyNumberFormat="1" applyFont="1" applyFill="1" applyBorder="1" applyAlignment="1">
      <alignment horizontal="left" vertical="center"/>
    </xf>
    <xf numFmtId="49" fontId="38" fillId="3" borderId="43" xfId="28" applyNumberFormat="1" applyFont="1" applyFill="1" applyBorder="1" applyAlignment="1">
      <alignment horizontal="left" vertical="center"/>
    </xf>
    <xf numFmtId="3" fontId="17" fillId="0" borderId="76" xfId="0" applyNumberFormat="1" applyFont="1" applyBorder="1" applyAlignment="1" applyProtection="1">
      <alignment vertical="center" wrapText="1"/>
      <protection locked="0"/>
    </xf>
    <xf numFmtId="3" fontId="17" fillId="0" borderId="77" xfId="0" applyNumberFormat="1" applyFont="1" applyBorder="1" applyAlignment="1" applyProtection="1">
      <alignment vertical="center" wrapText="1"/>
      <protection locked="0"/>
    </xf>
    <xf numFmtId="3" fontId="15" fillId="0" borderId="41" xfId="0" applyNumberFormat="1" applyFont="1" applyBorder="1" applyAlignment="1" applyProtection="1">
      <alignment vertical="center" wrapText="1"/>
      <protection locked="0"/>
    </xf>
    <xf numFmtId="3" fontId="15" fillId="0" borderId="17" xfId="0" applyNumberFormat="1" applyFont="1" applyBorder="1" applyAlignment="1" applyProtection="1">
      <alignment vertical="center" wrapText="1"/>
      <protection locked="0"/>
    </xf>
    <xf numFmtId="49" fontId="22" fillId="0" borderId="17" xfId="28" applyNumberFormat="1" applyFont="1" applyBorder="1" applyAlignment="1" applyProtection="1">
      <alignment horizontal="center" vertical="center" wrapText="1"/>
    </xf>
    <xf numFmtId="0" fontId="22" fillId="0" borderId="17" xfId="28" applyFont="1" applyBorder="1" applyAlignment="1" applyProtection="1">
      <alignment horizontal="left" vertical="center" wrapText="1" indent="1"/>
    </xf>
    <xf numFmtId="3" fontId="15" fillId="0" borderId="47" xfId="0" applyNumberFormat="1" applyFont="1" applyBorder="1" applyAlignment="1" applyProtection="1">
      <alignment vertical="center" wrapText="1"/>
      <protection locked="0"/>
    </xf>
    <xf numFmtId="49" fontId="32" fillId="0" borderId="48" xfId="15" applyNumberFormat="1" applyFont="1" applyFill="1" applyBorder="1"/>
    <xf numFmtId="0" fontId="11" fillId="0" borderId="17" xfId="15" applyFont="1" applyFill="1" applyBorder="1" applyAlignment="1">
      <alignment wrapText="1"/>
    </xf>
    <xf numFmtId="0" fontId="11" fillId="0" borderId="17" xfId="15" applyFont="1" applyFill="1" applyBorder="1" applyAlignment="1">
      <alignment horizontal="left" wrapText="1"/>
    </xf>
    <xf numFmtId="0" fontId="11" fillId="0" borderId="29" xfId="15" applyFont="1" applyFill="1" applyBorder="1" applyAlignment="1">
      <alignment wrapText="1"/>
    </xf>
    <xf numFmtId="0" fontId="11" fillId="0" borderId="17" xfId="18" applyFont="1" applyFill="1" applyBorder="1"/>
    <xf numFmtId="0" fontId="10" fillId="0" borderId="23" xfId="28" applyFont="1" applyBorder="1" applyAlignment="1" applyProtection="1">
      <alignment horizontal="left" vertical="center" wrapText="1" indent="1"/>
    </xf>
    <xf numFmtId="0" fontId="6" fillId="0" borderId="13" xfId="28" applyFont="1" applyBorder="1" applyAlignment="1" applyProtection="1">
      <alignment horizontal="left" vertical="center" wrapText="1" indent="1"/>
    </xf>
    <xf numFmtId="166" fontId="6" fillId="0" borderId="23" xfId="28" applyNumberFormat="1" applyFont="1" applyBorder="1" applyAlignment="1" applyProtection="1">
      <alignment horizontal="right" vertical="center" wrapText="1" indent="1"/>
    </xf>
    <xf numFmtId="3" fontId="6" fillId="0" borderId="23" xfId="28" applyNumberFormat="1" applyFont="1" applyBorder="1" applyAlignment="1" applyProtection="1">
      <alignment horizontal="right" vertical="center" wrapText="1" indent="1"/>
    </xf>
    <xf numFmtId="0" fontId="7" fillId="0" borderId="23" xfId="28" applyFont="1" applyBorder="1" applyAlignment="1" applyProtection="1">
      <alignment horizontal="center" vertical="center" wrapText="1"/>
    </xf>
    <xf numFmtId="0" fontId="8" fillId="0" borderId="23" xfId="28" applyFont="1" applyBorder="1" applyAlignment="1" applyProtection="1">
      <alignment horizontal="center" vertical="center" wrapText="1"/>
    </xf>
    <xf numFmtId="0" fontId="3" fillId="0" borderId="48" xfId="28" applyFont="1" applyBorder="1" applyAlignment="1" applyProtection="1">
      <alignment horizontal="left" vertical="center" wrapText="1" indent="1"/>
    </xf>
    <xf numFmtId="0" fontId="7" fillId="0" borderId="34" xfId="28" applyFont="1" applyBorder="1" applyAlignment="1" applyProtection="1">
      <alignment horizontal="center" vertical="center" wrapText="1"/>
    </xf>
    <xf numFmtId="0" fontId="8" fillId="0" borderId="34" xfId="28" applyFont="1" applyBorder="1" applyAlignment="1" applyProtection="1">
      <alignment horizontal="center" vertical="center" wrapText="1"/>
    </xf>
    <xf numFmtId="166" fontId="6" fillId="0" borderId="78" xfId="28" applyNumberFormat="1" applyFont="1" applyBorder="1" applyAlignment="1" applyProtection="1">
      <alignment horizontal="right" vertical="center" wrapText="1" indent="1"/>
    </xf>
    <xf numFmtId="3" fontId="10" fillId="0" borderId="23" xfId="28" applyNumberFormat="1" applyFont="1" applyBorder="1" applyAlignment="1" applyProtection="1">
      <alignment horizontal="right" vertical="center" wrapText="1" indent="1"/>
    </xf>
    <xf numFmtId="166" fontId="10" fillId="0" borderId="23" xfId="28" applyNumberFormat="1" applyFont="1" applyBorder="1" applyAlignment="1" applyProtection="1">
      <alignment horizontal="right" vertical="center" wrapText="1" indent="1"/>
    </xf>
    <xf numFmtId="166" fontId="6" fillId="0" borderId="79" xfId="28" applyNumberFormat="1" applyFont="1" applyBorder="1" applyAlignment="1" applyProtection="1">
      <alignment horizontal="right" vertical="center" wrapText="1" indent="1"/>
    </xf>
    <xf numFmtId="3" fontId="6" fillId="0" borderId="34" xfId="28" applyNumberFormat="1" applyFont="1" applyBorder="1" applyAlignment="1" applyProtection="1">
      <alignment horizontal="right" vertical="center" wrapText="1" indent="1"/>
    </xf>
    <xf numFmtId="3" fontId="10" fillId="0" borderId="34" xfId="28" applyNumberFormat="1" applyFont="1" applyBorder="1" applyAlignment="1" applyProtection="1">
      <alignment horizontal="right" vertical="center" wrapText="1" indent="1"/>
    </xf>
    <xf numFmtId="166" fontId="10" fillId="0" borderId="34" xfId="28" applyNumberFormat="1" applyFont="1" applyBorder="1" applyAlignment="1" applyProtection="1">
      <alignment horizontal="right" vertical="center" wrapText="1" indent="1"/>
    </xf>
    <xf numFmtId="166" fontId="6" fillId="0" borderId="34" xfId="28" applyNumberFormat="1" applyFont="1" applyBorder="1" applyAlignment="1" applyProtection="1">
      <alignment horizontal="right" vertical="center" wrapText="1" indent="1"/>
    </xf>
    <xf numFmtId="166" fontId="3" fillId="0" borderId="23" xfId="28" applyNumberFormat="1" applyFont="1" applyBorder="1" applyAlignment="1" applyProtection="1">
      <alignment horizontal="right" vertical="center" wrapText="1" indent="1"/>
      <protection locked="0"/>
    </xf>
    <xf numFmtId="0" fontId="6" fillId="0" borderId="34" xfId="28" applyFont="1" applyBorder="1" applyAlignment="1" applyProtection="1">
      <alignment vertical="center" wrapText="1"/>
    </xf>
    <xf numFmtId="0" fontId="6" fillId="0" borderId="23" xfId="28" applyFont="1" applyBorder="1" applyAlignment="1" applyProtection="1">
      <alignment horizontal="left" vertical="center" wrapText="1" indent="1"/>
    </xf>
    <xf numFmtId="0" fontId="6" fillId="0" borderId="79" xfId="28" applyFont="1" applyBorder="1" applyAlignment="1" applyProtection="1">
      <alignment vertical="center" wrapText="1"/>
    </xf>
    <xf numFmtId="0" fontId="3" fillId="0" borderId="80" xfId="28" applyFont="1" applyBorder="1" applyAlignment="1" applyProtection="1">
      <alignment horizontal="left" vertical="center" wrapText="1" indent="1"/>
    </xf>
    <xf numFmtId="0" fontId="3" fillId="0" borderId="48" xfId="28" applyFont="1" applyBorder="1" applyAlignment="1" applyProtection="1">
      <alignment horizontal="left" indent="4"/>
    </xf>
    <xf numFmtId="0" fontId="3" fillId="0" borderId="48" xfId="28" applyFont="1" applyBorder="1" applyAlignment="1" applyProtection="1">
      <alignment horizontal="left" vertical="center" wrapText="1" indent="4"/>
    </xf>
    <xf numFmtId="0" fontId="3" fillId="0" borderId="44" xfId="28" applyFont="1" applyBorder="1" applyAlignment="1" applyProtection="1">
      <alignment horizontal="left" vertical="center" wrapText="1" indent="4"/>
    </xf>
    <xf numFmtId="0" fontId="3" fillId="0" borderId="81" xfId="28" applyFont="1" applyBorder="1" applyAlignment="1" applyProtection="1">
      <alignment horizontal="left" vertical="center" wrapText="1" indent="4"/>
    </xf>
    <xf numFmtId="0" fontId="3" fillId="0" borderId="44" xfId="28" applyFont="1" applyBorder="1" applyAlignment="1" applyProtection="1">
      <alignment horizontal="left" vertical="center" wrapText="1" indent="1"/>
    </xf>
    <xf numFmtId="0" fontId="11" fillId="0" borderId="44" xfId="28" applyFont="1" applyBorder="1" applyAlignment="1" applyProtection="1">
      <alignment horizontal="left" vertical="center" wrapText="1" indent="1"/>
    </xf>
    <xf numFmtId="0" fontId="11" fillId="0" borderId="48" xfId="28" applyFont="1" applyBorder="1" applyAlignment="1" applyProtection="1">
      <alignment horizontal="left" vertical="center" wrapText="1" indent="1"/>
    </xf>
    <xf numFmtId="0" fontId="3" fillId="0" borderId="82" xfId="28" applyFont="1" applyBorder="1" applyAlignment="1" applyProtection="1">
      <alignment horizontal="left" vertical="center" wrapText="1" indent="4"/>
    </xf>
    <xf numFmtId="0" fontId="6" fillId="0" borderId="34" xfId="28" applyFont="1" applyBorder="1" applyAlignment="1" applyProtection="1">
      <alignment horizontal="left" vertical="center" wrapText="1" indent="1"/>
    </xf>
    <xf numFmtId="0" fontId="3" fillId="0" borderId="82" xfId="28" applyFont="1" applyBorder="1" applyAlignment="1" applyProtection="1">
      <alignment horizontal="left" vertical="center" wrapText="1" indent="1"/>
    </xf>
    <xf numFmtId="0" fontId="10" fillId="0" borderId="1" xfId="28" applyFont="1" applyBorder="1" applyAlignment="1" applyProtection="1">
      <alignment horizontal="left" vertical="center" wrapText="1" indent="1"/>
    </xf>
    <xf numFmtId="0" fontId="10" fillId="0" borderId="1" xfId="28" applyFont="1" applyBorder="1" applyAlignment="1" applyProtection="1">
      <alignment wrapText="1"/>
    </xf>
    <xf numFmtId="49" fontId="3" fillId="0" borderId="23" xfId="28" applyNumberFormat="1" applyFont="1" applyBorder="1" applyAlignment="1" applyProtection="1">
      <alignment horizontal="left" vertical="center" wrapText="1" indent="1"/>
    </xf>
    <xf numFmtId="0" fontId="11" fillId="0" borderId="82" xfId="28" applyFont="1" applyBorder="1" applyAlignment="1" applyProtection="1">
      <alignment horizontal="left" wrapText="1" indent="1"/>
    </xf>
    <xf numFmtId="0" fontId="11" fillId="0" borderId="48" xfId="28" applyFont="1" applyBorder="1" applyAlignment="1" applyProtection="1">
      <alignment horizontal="left" wrapText="1" indent="1"/>
    </xf>
    <xf numFmtId="0" fontId="11" fillId="0" borderId="44" xfId="28" applyFont="1" applyBorder="1" applyAlignment="1" applyProtection="1">
      <alignment horizontal="left" wrapText="1" indent="1"/>
    </xf>
    <xf numFmtId="0" fontId="10" fillId="0" borderId="34" xfId="28" applyFont="1" applyBorder="1" applyAlignment="1" applyProtection="1">
      <alignment horizontal="left" vertical="center" wrapText="1" indent="1"/>
    </xf>
    <xf numFmtId="0" fontId="12" fillId="0" borderId="34" xfId="28" applyFont="1" applyBorder="1" applyAlignment="1" applyProtection="1">
      <alignment horizontal="left" vertical="center" wrapText="1" indent="1"/>
    </xf>
    <xf numFmtId="0" fontId="11" fillId="0" borderId="44" xfId="28" applyFont="1" applyBorder="1" applyAlignment="1" applyProtection="1">
      <alignment wrapText="1"/>
    </xf>
    <xf numFmtId="0" fontId="10" fillId="0" borderId="34" xfId="28" applyFont="1" applyBorder="1" applyAlignment="1" applyProtection="1">
      <alignment wrapText="1"/>
    </xf>
    <xf numFmtId="0" fontId="10" fillId="0" borderId="23" xfId="28" applyFont="1" applyBorder="1" applyAlignment="1" applyProtection="1">
      <alignment wrapText="1"/>
    </xf>
    <xf numFmtId="0" fontId="11" fillId="0" borderId="23" xfId="28" applyFont="1" applyBorder="1" applyAlignment="1" applyProtection="1">
      <alignment wrapText="1"/>
    </xf>
    <xf numFmtId="0" fontId="8" fillId="0" borderId="79" xfId="28" applyFont="1" applyBorder="1" applyAlignment="1" applyProtection="1">
      <alignment horizontal="center" vertical="center" wrapText="1"/>
    </xf>
    <xf numFmtId="166" fontId="15" fillId="0" borderId="51" xfId="0" applyNumberFormat="1" applyFont="1" applyBorder="1" applyAlignment="1" applyProtection="1">
      <alignment vertical="center" wrapText="1"/>
    </xf>
    <xf numFmtId="166" fontId="15" fillId="0" borderId="31" xfId="0" applyNumberFormat="1" applyFont="1" applyBorder="1" applyAlignment="1" applyProtection="1">
      <alignment horizontal="right" vertical="center" wrapText="1"/>
      <protection locked="0"/>
    </xf>
    <xf numFmtId="166" fontId="15" fillId="0" borderId="7" xfId="0" applyNumberFormat="1" applyFont="1" applyBorder="1" applyAlignment="1" applyProtection="1">
      <alignment horizontal="right" vertical="center" wrapText="1"/>
      <protection locked="0"/>
    </xf>
    <xf numFmtId="166" fontId="17" fillId="0" borderId="83" xfId="0" applyNumberFormat="1" applyFont="1" applyBorder="1" applyAlignment="1" applyProtection="1">
      <alignment vertical="center" wrapText="1"/>
      <protection locked="0"/>
    </xf>
    <xf numFmtId="166" fontId="17" fillId="0" borderId="21" xfId="0" applyNumberFormat="1" applyFont="1" applyBorder="1" applyAlignment="1" applyProtection="1">
      <alignment vertical="center" wrapText="1"/>
      <protection locked="0"/>
    </xf>
    <xf numFmtId="166" fontId="15" fillId="0" borderId="35" xfId="0" applyNumberFormat="1" applyFont="1" applyBorder="1" applyAlignment="1" applyProtection="1">
      <alignment vertical="center" wrapText="1"/>
    </xf>
    <xf numFmtId="166" fontId="17" fillId="0" borderId="53" xfId="0" applyNumberFormat="1" applyFont="1" applyBorder="1" applyAlignment="1" applyProtection="1">
      <alignment horizontal="right" vertical="center" wrapText="1"/>
      <protection locked="0"/>
    </xf>
    <xf numFmtId="166" fontId="17" fillId="0" borderId="20" xfId="0" applyNumberFormat="1" applyFont="1" applyBorder="1" applyAlignment="1" applyProtection="1">
      <alignment horizontal="right" vertical="center" wrapText="1"/>
      <protection locked="0"/>
    </xf>
    <xf numFmtId="166" fontId="6" fillId="0" borderId="35" xfId="0" applyNumberFormat="1" applyFont="1" applyBorder="1" applyAlignment="1" applyProtection="1">
      <alignment horizontal="right" vertical="center" wrapText="1"/>
    </xf>
    <xf numFmtId="166" fontId="17" fillId="0" borderId="48" xfId="0" applyNumberFormat="1" applyFont="1" applyBorder="1" applyAlignment="1" applyProtection="1">
      <alignment vertical="center" wrapText="1"/>
      <protection locked="0"/>
    </xf>
    <xf numFmtId="3" fontId="17" fillId="0" borderId="49" xfId="0" applyNumberFormat="1" applyFont="1" applyBorder="1" applyAlignment="1" applyProtection="1">
      <alignment horizontal="right" vertical="center" wrapText="1"/>
      <protection locked="0"/>
    </xf>
    <xf numFmtId="3" fontId="15" fillId="0" borderId="51" xfId="0" applyNumberFormat="1" applyFont="1" applyBorder="1" applyAlignment="1" applyProtection="1">
      <alignment vertical="center" wrapText="1"/>
    </xf>
    <xf numFmtId="166" fontId="6" fillId="0" borderId="84" xfId="0" applyNumberFormat="1" applyFont="1" applyBorder="1" applyAlignment="1" applyProtection="1">
      <alignment horizontal="right" vertical="center" wrapText="1"/>
    </xf>
    <xf numFmtId="166" fontId="15" fillId="0" borderId="5" xfId="0" applyNumberFormat="1" applyFont="1" applyBorder="1" applyAlignment="1" applyProtection="1">
      <alignment horizontal="right" vertical="center" wrapText="1"/>
      <protection locked="0"/>
    </xf>
    <xf numFmtId="0" fontId="6" fillId="3" borderId="85" xfId="0" applyFont="1" applyFill="1" applyBorder="1" applyAlignment="1" applyProtection="1">
      <alignment horizontal="center" vertical="center" wrapText="1"/>
    </xf>
    <xf numFmtId="1" fontId="3" fillId="3" borderId="86" xfId="0" applyNumberFormat="1" applyFont="1" applyFill="1" applyBorder="1" applyAlignment="1" applyProtection="1">
      <alignment horizontal="center" vertical="center" wrapText="1"/>
    </xf>
    <xf numFmtId="3" fontId="6" fillId="3" borderId="33" xfId="0" applyNumberFormat="1" applyFont="1" applyFill="1" applyBorder="1" applyAlignment="1" applyProtection="1">
      <alignment vertical="center" wrapText="1"/>
    </xf>
    <xf numFmtId="3" fontId="6" fillId="3" borderId="85" xfId="0" applyNumberFormat="1" applyFont="1" applyFill="1" applyBorder="1" applyAlignment="1" applyProtection="1">
      <alignment vertical="center" wrapText="1"/>
    </xf>
    <xf numFmtId="3" fontId="6" fillId="3" borderId="35" xfId="0" applyNumberFormat="1" applyFont="1" applyFill="1" applyBorder="1" applyAlignment="1" applyProtection="1">
      <alignment vertical="center" wrapText="1"/>
    </xf>
    <xf numFmtId="3" fontId="6" fillId="3" borderId="87" xfId="0" applyNumberFormat="1" applyFont="1" applyFill="1" applyBorder="1" applyAlignment="1" applyProtection="1">
      <alignment vertical="center" wrapText="1"/>
    </xf>
    <xf numFmtId="0" fontId="12" fillId="3" borderId="19" xfId="28" applyFont="1" applyFill="1" applyBorder="1" applyAlignment="1" applyProtection="1">
      <alignment vertical="center" wrapText="1"/>
    </xf>
    <xf numFmtId="0" fontId="12" fillId="3" borderId="86" xfId="28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horizontal="center"/>
    </xf>
    <xf numFmtId="0" fontId="6" fillId="0" borderId="0" xfId="0" applyFont="1" applyAlignment="1">
      <alignment horizontal="center" vertical="center"/>
    </xf>
    <xf numFmtId="166" fontId="3" fillId="0" borderId="0" xfId="0" applyNumberFormat="1" applyFont="1" applyBorder="1" applyAlignment="1">
      <alignment horizontal="center" vertical="center"/>
    </xf>
    <xf numFmtId="0" fontId="15" fillId="0" borderId="0" xfId="0" applyFont="1" applyAlignment="1" applyProtection="1">
      <alignment horizontal="center"/>
    </xf>
    <xf numFmtId="3" fontId="22" fillId="0" borderId="40" xfId="0" applyNumberFormat="1" applyFont="1" applyBorder="1" applyAlignment="1" applyProtection="1">
      <alignment vertical="center" wrapText="1"/>
      <protection locked="0"/>
    </xf>
    <xf numFmtId="3" fontId="11" fillId="0" borderId="49" xfId="28" applyNumberFormat="1" applyFont="1" applyFill="1" applyBorder="1"/>
    <xf numFmtId="166" fontId="3" fillId="0" borderId="49" xfId="0" applyNumberFormat="1" applyFont="1" applyFill="1" applyBorder="1" applyAlignment="1" applyProtection="1">
      <alignment vertical="center" wrapText="1"/>
      <protection locked="0"/>
    </xf>
    <xf numFmtId="166" fontId="3" fillId="0" borderId="17" xfId="0" applyNumberFormat="1" applyFont="1" applyFill="1" applyBorder="1" applyAlignment="1" applyProtection="1">
      <alignment vertical="center" wrapText="1"/>
      <protection locked="0"/>
    </xf>
    <xf numFmtId="166" fontId="0" fillId="0" borderId="0" xfId="0" applyNumberFormat="1" applyFill="1" applyAlignment="1">
      <alignment vertical="center" wrapText="1"/>
    </xf>
    <xf numFmtId="3" fontId="3" fillId="0" borderId="2" xfId="0" applyNumberFormat="1" applyFont="1" applyBorder="1" applyAlignment="1" applyProtection="1">
      <alignment vertical="center" wrapText="1"/>
      <protection locked="0"/>
    </xf>
    <xf numFmtId="0" fontId="50" fillId="0" borderId="0" xfId="0" applyFont="1" applyAlignment="1">
      <alignment vertical="center" wrapText="1"/>
    </xf>
    <xf numFmtId="0" fontId="55" fillId="0" borderId="0" xfId="0" applyFont="1" applyAlignment="1">
      <alignment vertical="center" wrapText="1"/>
    </xf>
    <xf numFmtId="0" fontId="46" fillId="0" borderId="0" xfId="0" applyFont="1" applyAlignment="1">
      <alignment vertical="center" wrapText="1"/>
    </xf>
    <xf numFmtId="3" fontId="3" fillId="0" borderId="53" xfId="0" applyNumberFormat="1" applyFont="1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6" fillId="0" borderId="33" xfId="0" applyFont="1" applyBorder="1" applyAlignment="1" applyProtection="1">
      <alignment horizontal="center" vertical="center" wrapText="1"/>
    </xf>
    <xf numFmtId="3" fontId="24" fillId="0" borderId="14" xfId="28" applyNumberFormat="1" applyFont="1" applyBorder="1" applyAlignment="1">
      <alignment horizontal="center" vertical="center" wrapText="1"/>
    </xf>
    <xf numFmtId="3" fontId="24" fillId="0" borderId="26" xfId="28" applyNumberFormat="1" applyFont="1" applyBorder="1" applyAlignment="1">
      <alignment horizontal="right" vertical="center" wrapText="1"/>
    </xf>
    <xf numFmtId="3" fontId="24" fillId="0" borderId="49" xfId="28" applyNumberFormat="1" applyFont="1" applyBorder="1" applyAlignment="1">
      <alignment horizontal="center" vertical="center" wrapText="1"/>
    </xf>
    <xf numFmtId="3" fontId="11" fillId="0" borderId="17" xfId="15" applyNumberFormat="1" applyFont="1" applyFill="1" applyBorder="1"/>
    <xf numFmtId="3" fontId="11" fillId="0" borderId="17" xfId="18" applyNumberFormat="1" applyFont="1" applyFill="1" applyBorder="1"/>
    <xf numFmtId="3" fontId="24" fillId="0" borderId="7" xfId="28" applyNumberFormat="1" applyFont="1" applyBorder="1" applyAlignment="1">
      <alignment horizontal="center" vertical="center" wrapText="1"/>
    </xf>
    <xf numFmtId="166" fontId="8" fillId="0" borderId="49" xfId="0" applyNumberFormat="1" applyFont="1" applyBorder="1" applyAlignment="1" applyProtection="1">
      <alignment horizontal="center" vertical="center" wrapText="1"/>
    </xf>
    <xf numFmtId="3" fontId="11" fillId="0" borderId="49" xfId="28" applyNumberFormat="1" applyFont="1" applyBorder="1" applyAlignment="1">
      <alignment horizontal="right" wrapText="1"/>
    </xf>
    <xf numFmtId="166" fontId="7" fillId="3" borderId="17" xfId="0" applyNumberFormat="1" applyFont="1" applyFill="1" applyBorder="1" applyAlignment="1" applyProtection="1">
      <alignment horizontal="right" vertical="center" wrapText="1"/>
    </xf>
    <xf numFmtId="3" fontId="7" fillId="3" borderId="17" xfId="0" applyNumberFormat="1" applyFont="1" applyFill="1" applyBorder="1" applyAlignment="1" applyProtection="1">
      <alignment vertical="center" wrapText="1"/>
    </xf>
    <xf numFmtId="3" fontId="7" fillId="3" borderId="7" xfId="0" applyNumberFormat="1" applyFont="1" applyFill="1" applyBorder="1" applyAlignment="1" applyProtection="1">
      <alignment vertical="center" wrapText="1"/>
    </xf>
    <xf numFmtId="3" fontId="11" fillId="0" borderId="7" xfId="28" applyNumberFormat="1" applyFont="1" applyBorder="1" applyAlignment="1">
      <alignment wrapText="1"/>
    </xf>
    <xf numFmtId="49" fontId="26" fillId="3" borderId="47" xfId="28" applyNumberFormat="1" applyFont="1" applyFill="1" applyBorder="1" applyAlignment="1">
      <alignment horizontal="left" vertical="center"/>
    </xf>
    <xf numFmtId="3" fontId="26" fillId="3" borderId="47" xfId="28" applyNumberFormat="1" applyFont="1" applyFill="1" applyBorder="1" applyAlignment="1">
      <alignment horizontal="right" vertical="center"/>
    </xf>
    <xf numFmtId="3" fontId="26" fillId="3" borderId="47" xfId="28" applyNumberFormat="1" applyFont="1" applyFill="1" applyBorder="1" applyAlignment="1">
      <alignment vertical="center"/>
    </xf>
    <xf numFmtId="3" fontId="26" fillId="3" borderId="18" xfId="28" applyNumberFormat="1" applyFont="1" applyFill="1" applyBorder="1" applyAlignment="1">
      <alignment vertical="center"/>
    </xf>
    <xf numFmtId="3" fontId="15" fillId="0" borderId="55" xfId="0" applyNumberFormat="1" applyFont="1" applyBorder="1" applyAlignment="1" applyProtection="1">
      <alignment vertical="center" wrapText="1"/>
      <protection locked="0"/>
    </xf>
    <xf numFmtId="3" fontId="15" fillId="0" borderId="27" xfId="0" applyNumberFormat="1" applyFont="1" applyBorder="1" applyAlignment="1" applyProtection="1">
      <alignment vertical="center" wrapText="1"/>
      <protection locked="0"/>
    </xf>
    <xf numFmtId="3" fontId="15" fillId="0" borderId="88" xfId="0" applyNumberFormat="1" applyFont="1" applyBorder="1" applyAlignment="1" applyProtection="1">
      <alignment vertical="center" wrapText="1"/>
      <protection locked="0"/>
    </xf>
    <xf numFmtId="0" fontId="6" fillId="0" borderId="76" xfId="0" applyFont="1" applyBorder="1" applyAlignment="1" applyProtection="1">
      <alignment horizontal="center" vertical="center"/>
      <protection locked="0"/>
    </xf>
    <xf numFmtId="0" fontId="6" fillId="0" borderId="77" xfId="0" applyFont="1" applyBorder="1" applyAlignment="1" applyProtection="1">
      <alignment horizontal="center" vertical="center"/>
      <protection locked="0"/>
    </xf>
    <xf numFmtId="0" fontId="6" fillId="0" borderId="89" xfId="0" applyFont="1" applyBorder="1" applyAlignment="1" applyProtection="1">
      <alignment horizontal="center" vertical="center" wrapText="1"/>
    </xf>
    <xf numFmtId="0" fontId="15" fillId="0" borderId="13" xfId="0" applyFont="1" applyBorder="1" applyAlignment="1" applyProtection="1">
      <alignment horizontal="center" vertical="center" wrapText="1"/>
    </xf>
    <xf numFmtId="0" fontId="6" fillId="3" borderId="13" xfId="0" applyFont="1" applyFill="1" applyBorder="1" applyAlignment="1" applyProtection="1">
      <alignment horizontal="center" vertical="center" wrapText="1"/>
    </xf>
    <xf numFmtId="0" fontId="15" fillId="0" borderId="13" xfId="0" applyFont="1" applyBorder="1" applyAlignment="1" applyProtection="1">
      <alignment horizontal="left" vertical="center" wrapText="1" indent="1"/>
    </xf>
    <xf numFmtId="0" fontId="17" fillId="0" borderId="76" xfId="28" applyFont="1" applyBorder="1" applyAlignment="1" applyProtection="1">
      <alignment horizontal="left" vertical="center" wrapText="1" indent="1"/>
    </xf>
    <xf numFmtId="0" fontId="17" fillId="0" borderId="11" xfId="28" applyFont="1" applyBorder="1" applyAlignment="1" applyProtection="1">
      <alignment horizontal="left" vertical="center" wrapText="1" indent="1"/>
    </xf>
    <xf numFmtId="0" fontId="17" fillId="0" borderId="63" xfId="28" applyFont="1" applyBorder="1" applyAlignment="1" applyProtection="1">
      <alignment horizontal="left" vertical="center" wrapText="1" indent="1"/>
    </xf>
    <xf numFmtId="0" fontId="17" fillId="0" borderId="10" xfId="28" applyFont="1" applyBorder="1" applyAlignment="1" applyProtection="1">
      <alignment horizontal="left" vertical="center" wrapText="1" indent="1"/>
    </xf>
    <xf numFmtId="0" fontId="15" fillId="0" borderId="13" xfId="28" applyFont="1" applyBorder="1" applyAlignment="1" applyProtection="1">
      <alignment horizontal="left" vertical="center" wrapText="1" indent="1"/>
    </xf>
    <xf numFmtId="0" fontId="6" fillId="3" borderId="13" xfId="0" applyFont="1" applyFill="1" applyBorder="1" applyAlignment="1" applyProtection="1">
      <alignment horizontal="left" vertical="center" wrapText="1" indent="1"/>
    </xf>
    <xf numFmtId="0" fontId="15" fillId="0" borderId="13" xfId="28" applyFont="1" applyBorder="1" applyAlignment="1" applyProtection="1">
      <alignment vertical="center" wrapText="1"/>
    </xf>
    <xf numFmtId="49" fontId="6" fillId="0" borderId="55" xfId="0" applyNumberFormat="1" applyFont="1" applyBorder="1" applyAlignment="1" applyProtection="1">
      <alignment horizontal="right" vertical="center"/>
      <protection locked="0"/>
    </xf>
    <xf numFmtId="49" fontId="6" fillId="0" borderId="90" xfId="0" applyNumberFormat="1" applyFont="1" applyBorder="1" applyAlignment="1" applyProtection="1">
      <alignment horizontal="right" vertical="center"/>
      <protection locked="0"/>
    </xf>
    <xf numFmtId="0" fontId="15" fillId="0" borderId="30" xfId="0" applyFont="1" applyBorder="1" applyAlignment="1">
      <alignment horizontal="center" vertical="center"/>
    </xf>
    <xf numFmtId="0" fontId="6" fillId="0" borderId="78" xfId="0" applyFont="1" applyBorder="1" applyAlignment="1" applyProtection="1">
      <alignment horizontal="center" vertical="center" wrapText="1"/>
    </xf>
    <xf numFmtId="0" fontId="15" fillId="0" borderId="23" xfId="0" applyFont="1" applyBorder="1" applyAlignment="1" applyProtection="1">
      <alignment horizontal="center" vertical="center" wrapText="1"/>
    </xf>
    <xf numFmtId="166" fontId="15" fillId="0" borderId="23" xfId="0" applyNumberFormat="1" applyFont="1" applyBorder="1" applyAlignment="1" applyProtection="1">
      <alignment vertical="center" wrapText="1"/>
    </xf>
    <xf numFmtId="3" fontId="17" fillId="0" borderId="30" xfId="0" applyNumberFormat="1" applyFont="1" applyBorder="1" applyAlignment="1" applyProtection="1">
      <alignment vertical="center" wrapText="1"/>
      <protection locked="0"/>
    </xf>
    <xf numFmtId="3" fontId="17" fillId="0" borderId="91" xfId="0" applyNumberFormat="1" applyFont="1" applyBorder="1" applyAlignment="1" applyProtection="1">
      <alignment vertical="center" wrapText="1"/>
      <protection locked="0"/>
    </xf>
    <xf numFmtId="3" fontId="15" fillId="0" borderId="23" xfId="0" applyNumberFormat="1" applyFont="1" applyBorder="1" applyAlignment="1" applyProtection="1">
      <alignment vertical="center" wrapText="1"/>
    </xf>
    <xf numFmtId="3" fontId="15" fillId="0" borderId="23" xfId="0" applyNumberFormat="1" applyFont="1" applyBorder="1" applyAlignment="1" applyProtection="1">
      <alignment vertical="center" wrapText="1"/>
      <protection locked="0"/>
    </xf>
    <xf numFmtId="3" fontId="17" fillId="0" borderId="78" xfId="0" applyNumberFormat="1" applyFont="1" applyBorder="1" applyAlignment="1" applyProtection="1">
      <alignment vertical="center" wrapText="1"/>
      <protection locked="0"/>
    </xf>
    <xf numFmtId="3" fontId="17" fillId="0" borderId="88" xfId="0" applyNumberFormat="1" applyFont="1" applyBorder="1" applyAlignment="1" applyProtection="1">
      <alignment vertical="center" wrapText="1"/>
      <protection locked="0"/>
    </xf>
    <xf numFmtId="3" fontId="15" fillId="0" borderId="30" xfId="0" applyNumberFormat="1" applyFont="1" applyBorder="1" applyAlignment="1" applyProtection="1">
      <alignment vertical="center" wrapText="1"/>
    </xf>
    <xf numFmtId="3" fontId="17" fillId="0" borderId="25" xfId="0" applyNumberFormat="1" applyFont="1" applyBorder="1" applyAlignment="1" applyProtection="1">
      <alignment vertical="center" wrapText="1"/>
      <protection locked="0"/>
    </xf>
    <xf numFmtId="3" fontId="44" fillId="0" borderId="27" xfId="0" applyNumberFormat="1" applyFont="1" applyBorder="1" applyAlignment="1" applyProtection="1">
      <alignment vertical="center" wrapText="1"/>
      <protection locked="0"/>
    </xf>
    <xf numFmtId="0" fontId="17" fillId="0" borderId="16" xfId="28" applyFont="1" applyBorder="1" applyAlignment="1" applyProtection="1">
      <alignment horizontal="left" vertical="center" wrapText="1" indent="1"/>
    </xf>
    <xf numFmtId="0" fontId="17" fillId="0" borderId="7" xfId="28" applyFont="1" applyBorder="1" applyAlignment="1" applyProtection="1">
      <alignment horizontal="left" vertical="center" wrapText="1" indent="1"/>
    </xf>
    <xf numFmtId="4" fontId="15" fillId="0" borderId="23" xfId="0" applyNumberFormat="1" applyFont="1" applyBorder="1" applyAlignment="1" applyProtection="1">
      <alignment horizontal="right" vertical="center" wrapText="1" indent="1"/>
      <protection locked="0"/>
    </xf>
    <xf numFmtId="3" fontId="15" fillId="0" borderId="23" xfId="0" applyNumberFormat="1" applyFont="1" applyBorder="1" applyAlignment="1" applyProtection="1">
      <alignment horizontal="right" vertical="center" wrapText="1" indent="1"/>
      <protection locked="0"/>
    </xf>
    <xf numFmtId="0" fontId="17" fillId="0" borderId="33" xfId="0" applyFont="1" applyBorder="1" applyAlignment="1" applyProtection="1">
      <alignment horizontal="center" vertical="center" wrapText="1"/>
    </xf>
    <xf numFmtId="0" fontId="15" fillId="0" borderId="34" xfId="0" applyFont="1" applyBorder="1" applyAlignment="1" applyProtection="1">
      <alignment horizontal="left" vertical="center" wrapText="1" indent="1"/>
    </xf>
    <xf numFmtId="3" fontId="15" fillId="0" borderId="34" xfId="0" applyNumberFormat="1" applyFont="1" applyBorder="1" applyAlignment="1" applyProtection="1">
      <alignment vertical="center" wrapText="1"/>
    </xf>
    <xf numFmtId="0" fontId="17" fillId="0" borderId="77" xfId="28" applyFont="1" applyBorder="1" applyAlignment="1" applyProtection="1">
      <alignment horizontal="left" vertical="center" wrapText="1" indent="1"/>
    </xf>
    <xf numFmtId="3" fontId="44" fillId="0" borderId="88" xfId="0" applyNumberFormat="1" applyFont="1" applyBorder="1" applyAlignment="1" applyProtection="1">
      <alignment vertical="center" wrapText="1"/>
      <protection locked="0"/>
    </xf>
    <xf numFmtId="0" fontId="6" fillId="0" borderId="77" xfId="0" applyFont="1" applyBorder="1" applyAlignment="1" applyProtection="1">
      <alignment horizontal="center" vertical="center" wrapText="1"/>
      <protection locked="0"/>
    </xf>
    <xf numFmtId="0" fontId="6" fillId="0" borderId="13" xfId="0" applyFont="1" applyBorder="1" applyAlignment="1" applyProtection="1">
      <alignment horizontal="center" vertical="center" wrapText="1"/>
    </xf>
    <xf numFmtId="3" fontId="17" fillId="0" borderId="23" xfId="0" applyNumberFormat="1" applyFont="1" applyBorder="1" applyAlignment="1" applyProtection="1">
      <alignment vertical="center" wrapText="1"/>
      <protection locked="0"/>
    </xf>
    <xf numFmtId="3" fontId="15" fillId="0" borderId="16" xfId="0" applyNumberFormat="1" applyFont="1" applyBorder="1" applyAlignment="1" applyProtection="1">
      <alignment vertical="center" wrapText="1"/>
    </xf>
    <xf numFmtId="3" fontId="15" fillId="0" borderId="91" xfId="0" applyNumberFormat="1" applyFont="1" applyBorder="1" applyAlignment="1" applyProtection="1">
      <alignment vertical="center" wrapText="1"/>
      <protection locked="0"/>
    </xf>
    <xf numFmtId="3" fontId="15" fillId="0" borderId="9" xfId="0" applyNumberFormat="1" applyFont="1" applyBorder="1" applyAlignment="1" applyProtection="1">
      <alignment vertical="center" wrapText="1"/>
      <protection locked="0"/>
    </xf>
    <xf numFmtId="3" fontId="22" fillId="0" borderId="27" xfId="0" applyNumberFormat="1" applyFont="1" applyBorder="1" applyAlignment="1" applyProtection="1">
      <alignment vertical="center" wrapText="1"/>
      <protection locked="0"/>
    </xf>
    <xf numFmtId="0" fontId="15" fillId="0" borderId="89" xfId="0" applyFont="1" applyBorder="1" applyAlignment="1" applyProtection="1">
      <alignment horizontal="center" vertical="center" wrapText="1"/>
    </xf>
    <xf numFmtId="0" fontId="22" fillId="0" borderId="10" xfId="28" applyFont="1" applyBorder="1" applyAlignment="1" applyProtection="1">
      <alignment horizontal="left" vertical="center" wrapText="1" indent="1"/>
    </xf>
    <xf numFmtId="0" fontId="22" fillId="0" borderId="77" xfId="28" applyFont="1" applyBorder="1" applyAlignment="1" applyProtection="1">
      <alignment horizontal="left" vertical="center" wrapText="1" indent="1"/>
    </xf>
    <xf numFmtId="0" fontId="15" fillId="0" borderId="78" xfId="0" applyFont="1" applyBorder="1" applyAlignment="1" applyProtection="1">
      <alignment horizontal="center" vertical="center" wrapText="1"/>
    </xf>
    <xf numFmtId="166" fontId="6" fillId="3" borderId="91" xfId="0" applyNumberFormat="1" applyFont="1" applyFill="1" applyBorder="1" applyAlignment="1" applyProtection="1">
      <alignment horizontal="center" vertical="center" wrapText="1"/>
    </xf>
    <xf numFmtId="3" fontId="44" fillId="0" borderId="23" xfId="0" applyNumberFormat="1" applyFont="1" applyBorder="1" applyAlignment="1" applyProtection="1">
      <alignment vertical="center" wrapText="1"/>
      <protection locked="0"/>
    </xf>
    <xf numFmtId="3" fontId="22" fillId="0" borderId="88" xfId="0" applyNumberFormat="1" applyFont="1" applyBorder="1" applyAlignment="1" applyProtection="1">
      <alignment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166" fontId="15" fillId="0" borderId="30" xfId="0" applyNumberFormat="1" applyFont="1" applyBorder="1" applyAlignment="1" applyProtection="1">
      <alignment vertical="center" wrapText="1"/>
    </xf>
    <xf numFmtId="166" fontId="6" fillId="3" borderId="23" xfId="0" applyNumberFormat="1" applyFont="1" applyFill="1" applyBorder="1" applyAlignment="1" applyProtection="1">
      <alignment horizontal="center" vertical="center" wrapText="1"/>
    </xf>
    <xf numFmtId="166" fontId="15" fillId="0" borderId="34" xfId="0" applyNumberFormat="1" applyFont="1" applyBorder="1" applyAlignment="1" applyProtection="1">
      <alignment vertical="center" wrapText="1"/>
    </xf>
    <xf numFmtId="0" fontId="45" fillId="0" borderId="13" xfId="0" applyFont="1" applyBorder="1" applyAlignment="1" applyProtection="1">
      <alignment horizontal="left" vertical="center" wrapText="1" indent="1"/>
    </xf>
    <xf numFmtId="0" fontId="10" fillId="3" borderId="13" xfId="28" applyFont="1" applyFill="1" applyBorder="1"/>
    <xf numFmtId="0" fontId="24" fillId="0" borderId="63" xfId="28" applyFont="1" applyBorder="1"/>
    <xf numFmtId="167" fontId="6" fillId="0" borderId="23" xfId="0" applyNumberFormat="1" applyFont="1" applyBorder="1" applyAlignment="1" applyProtection="1">
      <alignment horizontal="center"/>
    </xf>
    <xf numFmtId="3" fontId="15" fillId="0" borderId="90" xfId="0" applyNumberFormat="1" applyFont="1" applyBorder="1" applyAlignment="1" applyProtection="1">
      <alignment vertical="center" wrapText="1"/>
    </xf>
    <xf numFmtId="166" fontId="17" fillId="0" borderId="23" xfId="0" applyNumberFormat="1" applyFont="1" applyBorder="1" applyAlignment="1" applyProtection="1">
      <alignment vertical="center" wrapText="1"/>
    </xf>
    <xf numFmtId="166" fontId="6" fillId="3" borderId="23" xfId="0" applyNumberFormat="1" applyFont="1" applyFill="1" applyBorder="1" applyAlignment="1" applyProtection="1">
      <alignment vertical="center" wrapText="1"/>
    </xf>
    <xf numFmtId="4" fontId="15" fillId="0" borderId="23" xfId="0" applyNumberFormat="1" applyFont="1" applyBorder="1" applyAlignment="1" applyProtection="1">
      <alignment vertical="center" wrapText="1"/>
      <protection locked="0"/>
    </xf>
    <xf numFmtId="166" fontId="15" fillId="0" borderId="28" xfId="0" applyNumberFormat="1" applyFont="1" applyBorder="1" applyAlignment="1" applyProtection="1">
      <alignment vertical="center" wrapText="1"/>
    </xf>
    <xf numFmtId="0" fontId="22" fillId="0" borderId="63" xfId="28" applyFont="1" applyBorder="1" applyAlignment="1" applyProtection="1">
      <alignment horizontal="left" vertical="center" wrapText="1" indent="1"/>
    </xf>
    <xf numFmtId="0" fontId="17" fillId="0" borderId="12" xfId="28" applyFont="1" applyBorder="1" applyAlignment="1" applyProtection="1">
      <alignment horizontal="left" vertical="center" wrapText="1" indent="1"/>
    </xf>
    <xf numFmtId="3" fontId="15" fillId="0" borderId="78" xfId="0" applyNumberFormat="1" applyFont="1" applyBorder="1" applyAlignment="1" applyProtection="1">
      <alignment vertical="center" wrapText="1"/>
      <protection locked="0"/>
    </xf>
    <xf numFmtId="0" fontId="46" fillId="0" borderId="54" xfId="0" applyFont="1" applyBorder="1" applyAlignment="1" applyProtection="1">
      <alignment horizontal="center" vertical="center" wrapText="1"/>
    </xf>
    <xf numFmtId="0" fontId="46" fillId="0" borderId="35" xfId="0" applyFont="1" applyBorder="1" applyAlignment="1" applyProtection="1">
      <alignment horizontal="center" vertical="center" wrapText="1"/>
    </xf>
    <xf numFmtId="3" fontId="46" fillId="3" borderId="35" xfId="0" applyNumberFormat="1" applyFont="1" applyFill="1" applyBorder="1" applyAlignment="1" applyProtection="1">
      <alignment vertical="center" wrapText="1"/>
    </xf>
    <xf numFmtId="4" fontId="44" fillId="0" borderId="35" xfId="0" applyNumberFormat="1" applyFont="1" applyBorder="1" applyAlignment="1" applyProtection="1">
      <alignment horizontal="right" vertical="center" wrapText="1" indent="1"/>
      <protection locked="0"/>
    </xf>
    <xf numFmtId="0" fontId="19" fillId="0" borderId="28" xfId="0" applyFont="1" applyBorder="1" applyAlignment="1" applyProtection="1">
      <alignment vertical="center"/>
    </xf>
    <xf numFmtId="0" fontId="19" fillId="0" borderId="0" xfId="0" applyFont="1" applyBorder="1" applyAlignment="1" applyProtection="1">
      <alignment vertical="center"/>
    </xf>
    <xf numFmtId="0" fontId="15" fillId="0" borderId="0" xfId="0" applyFont="1" applyBorder="1" applyAlignment="1" applyProtection="1">
      <alignment horizontal="center"/>
    </xf>
    <xf numFmtId="0" fontId="15" fillId="0" borderId="53" xfId="0" applyFont="1" applyBorder="1" applyAlignment="1" applyProtection="1">
      <alignment horizontal="center"/>
    </xf>
    <xf numFmtId="0" fontId="9" fillId="0" borderId="28" xfId="0" applyFont="1" applyBorder="1" applyAlignment="1" applyProtection="1">
      <alignment horizontal="center" vertical="center" wrapText="1"/>
    </xf>
    <xf numFmtId="166" fontId="15" fillId="0" borderId="53" xfId="0" applyNumberFormat="1" applyFont="1" applyBorder="1" applyAlignment="1" applyProtection="1">
      <alignment vertical="center" wrapText="1"/>
    </xf>
    <xf numFmtId="0" fontId="6" fillId="3" borderId="28" xfId="0" applyFont="1" applyFill="1" applyBorder="1" applyAlignment="1" applyProtection="1">
      <alignment horizontal="center" vertical="center" wrapText="1"/>
    </xf>
    <xf numFmtId="3" fontId="6" fillId="3" borderId="53" xfId="0" applyNumberFormat="1" applyFont="1" applyFill="1" applyBorder="1" applyAlignment="1" applyProtection="1">
      <alignment vertical="center" wrapText="1"/>
    </xf>
    <xf numFmtId="0" fontId="0" fillId="0" borderId="28" xfId="0" applyBorder="1" applyAlignment="1" applyProtection="1">
      <alignment horizontal="left" vertical="center" wrapText="1"/>
    </xf>
    <xf numFmtId="0" fontId="0" fillId="0" borderId="0" xfId="0" applyBorder="1" applyAlignment="1" applyProtection="1">
      <alignment vertical="center" wrapText="1"/>
    </xf>
    <xf numFmtId="0" fontId="17" fillId="0" borderId="0" xfId="0" applyFont="1" applyBorder="1" applyAlignment="1" applyProtection="1">
      <alignment vertical="center" wrapText="1"/>
    </xf>
    <xf numFmtId="3" fontId="7" fillId="0" borderId="0" xfId="0" applyNumberFormat="1" applyFont="1" applyBorder="1" applyAlignment="1" applyProtection="1">
      <alignment vertical="center" wrapText="1"/>
    </xf>
    <xf numFmtId="3" fontId="7" fillId="0" borderId="53" xfId="0" applyNumberFormat="1" applyFont="1" applyBorder="1" applyAlignment="1" applyProtection="1">
      <alignment vertical="center" wrapText="1"/>
    </xf>
    <xf numFmtId="49" fontId="17" fillId="0" borderId="26" xfId="0" applyNumberFormat="1" applyFont="1" applyBorder="1" applyAlignment="1" applyProtection="1">
      <alignment horizontal="center" vertical="center" wrapText="1"/>
    </xf>
    <xf numFmtId="0" fontId="7" fillId="0" borderId="13" xfId="28" applyFont="1" applyBorder="1" applyAlignment="1" applyProtection="1">
      <alignment vertical="center" wrapText="1"/>
    </xf>
    <xf numFmtId="0" fontId="6" fillId="0" borderId="13" xfId="28" applyFont="1" applyBorder="1" applyAlignment="1" applyProtection="1">
      <alignment vertical="center" wrapText="1"/>
    </xf>
    <xf numFmtId="0" fontId="3" fillId="0" borderId="11" xfId="28" applyFont="1" applyBorder="1" applyAlignment="1" applyProtection="1">
      <alignment horizontal="left" vertical="center" wrapText="1" indent="1"/>
    </xf>
    <xf numFmtId="0" fontId="3" fillId="0" borderId="63" xfId="28" applyFont="1" applyBorder="1" applyAlignment="1" applyProtection="1">
      <alignment horizontal="left" vertical="center" wrapText="1" indent="1"/>
    </xf>
    <xf numFmtId="0" fontId="46" fillId="0" borderId="11" xfId="28" applyFont="1" applyBorder="1" applyAlignment="1" applyProtection="1">
      <alignment vertical="center" wrapText="1"/>
    </xf>
    <xf numFmtId="0" fontId="51" fillId="0" borderId="11" xfId="28" applyFont="1" applyBorder="1" applyAlignment="1" applyProtection="1">
      <alignment horizontal="left" vertical="center" wrapText="1" indent="3"/>
    </xf>
    <xf numFmtId="0" fontId="46" fillId="0" borderId="77" xfId="28" applyFont="1" applyBorder="1" applyAlignment="1" applyProtection="1">
      <alignment vertical="center" wrapText="1"/>
    </xf>
    <xf numFmtId="0" fontId="7" fillId="3" borderId="13" xfId="28" applyFont="1" applyFill="1" applyBorder="1" applyAlignment="1" applyProtection="1">
      <alignment vertical="center" wrapText="1"/>
    </xf>
    <xf numFmtId="0" fontId="6" fillId="3" borderId="13" xfId="28" applyFont="1" applyFill="1" applyBorder="1" applyAlignment="1" applyProtection="1">
      <alignment vertical="center" wrapText="1"/>
    </xf>
    <xf numFmtId="0" fontId="17" fillId="0" borderId="11" xfId="28" applyFont="1" applyBorder="1" applyAlignment="1" applyProtection="1">
      <alignment horizontal="left" vertical="center" wrapText="1" indent="2"/>
    </xf>
    <xf numFmtId="0" fontId="22" fillId="0" borderId="11" xfId="28" applyFont="1" applyBorder="1" applyAlignment="1" applyProtection="1">
      <alignment horizontal="left" indent="3"/>
    </xf>
    <xf numFmtId="0" fontId="22" fillId="0" borderId="12" xfId="28" applyFont="1" applyBorder="1" applyAlignment="1" applyProtection="1">
      <alignment horizontal="left" indent="3"/>
    </xf>
    <xf numFmtId="0" fontId="23" fillId="0" borderId="13" xfId="28" applyFont="1" applyBorder="1" applyAlignment="1" applyProtection="1">
      <alignment horizontal="left" vertical="center" wrapText="1" indent="1"/>
    </xf>
    <xf numFmtId="0" fontId="46" fillId="0" borderId="76" xfId="28" applyFont="1" applyBorder="1" applyAlignment="1" applyProtection="1">
      <alignment vertical="center" wrapText="1"/>
    </xf>
    <xf numFmtId="3" fontId="19" fillId="0" borderId="91" xfId="0" applyNumberFormat="1" applyFont="1" applyBorder="1" applyAlignment="1" applyProtection="1">
      <alignment horizontal="center" vertical="center" wrapText="1"/>
    </xf>
    <xf numFmtId="3" fontId="12" fillId="0" borderId="23" xfId="0" applyNumberFormat="1" applyFont="1" applyBorder="1" applyAlignment="1" applyProtection="1">
      <alignment vertical="center" wrapText="1"/>
    </xf>
    <xf numFmtId="3" fontId="44" fillId="0" borderId="25" xfId="0" applyNumberFormat="1" applyFont="1" applyBorder="1" applyAlignment="1" applyProtection="1">
      <alignment vertical="center" wrapText="1"/>
    </xf>
    <xf numFmtId="3" fontId="44" fillId="0" borderId="27" xfId="0" applyNumberFormat="1" applyFont="1" applyBorder="1" applyAlignment="1" applyProtection="1">
      <alignment vertical="center" wrapText="1"/>
    </xf>
    <xf numFmtId="3" fontId="44" fillId="0" borderId="88" xfId="0" applyNumberFormat="1" applyFont="1" applyBorder="1" applyAlignment="1" applyProtection="1">
      <alignment vertical="center" wrapText="1"/>
    </xf>
    <xf numFmtId="166" fontId="15" fillId="0" borderId="23" xfId="0" applyNumberFormat="1" applyFont="1" applyBorder="1" applyAlignment="1" applyProtection="1">
      <alignment horizontal="center" vertical="center" wrapText="1"/>
    </xf>
    <xf numFmtId="3" fontId="22" fillId="0" borderId="91" xfId="0" applyNumberFormat="1" applyFont="1" applyBorder="1" applyAlignment="1" applyProtection="1">
      <alignment vertical="center" wrapText="1"/>
      <protection locked="0"/>
    </xf>
    <xf numFmtId="3" fontId="23" fillId="0" borderId="23" xfId="0" applyNumberFormat="1" applyFont="1" applyBorder="1" applyAlignment="1" applyProtection="1">
      <alignment vertical="center" wrapText="1"/>
    </xf>
    <xf numFmtId="3" fontId="6" fillId="8" borderId="30" xfId="0" applyNumberFormat="1" applyFont="1" applyFill="1" applyBorder="1" applyAlignment="1" applyProtection="1">
      <alignment vertical="center" wrapText="1"/>
      <protection locked="0"/>
    </xf>
    <xf numFmtId="167" fontId="15" fillId="0" borderId="13" xfId="0" applyNumberFormat="1" applyFont="1" applyBorder="1" applyAlignment="1" applyProtection="1">
      <alignment horizontal="center"/>
    </xf>
    <xf numFmtId="167" fontId="6" fillId="0" borderId="13" xfId="0" applyNumberFormat="1" applyFont="1" applyBorder="1" applyAlignment="1" applyProtection="1">
      <alignment horizontal="center"/>
    </xf>
    <xf numFmtId="0" fontId="7" fillId="0" borderId="33" xfId="28" applyFont="1" applyBorder="1" applyAlignment="1" applyProtection="1">
      <alignment horizontal="center" vertical="center" wrapText="1"/>
    </xf>
    <xf numFmtId="0" fontId="8" fillId="0" borderId="33" xfId="28" applyFont="1" applyBorder="1" applyAlignment="1" applyProtection="1">
      <alignment horizontal="center" vertical="center" wrapText="1"/>
    </xf>
    <xf numFmtId="166" fontId="6" fillId="0" borderId="13" xfId="28" applyNumberFormat="1" applyFont="1" applyBorder="1" applyAlignment="1" applyProtection="1">
      <alignment horizontal="right" vertical="center" wrapText="1" indent="1"/>
    </xf>
    <xf numFmtId="3" fontId="6" fillId="0" borderId="13" xfId="28" applyNumberFormat="1" applyFont="1" applyBorder="1" applyAlignment="1" applyProtection="1">
      <alignment horizontal="right" vertical="center" wrapText="1" indent="1"/>
    </xf>
    <xf numFmtId="0" fontId="10" fillId="0" borderId="33" xfId="28" applyFont="1" applyBorder="1" applyAlignment="1" applyProtection="1">
      <alignment horizontal="left" vertical="center" wrapText="1" indent="1"/>
    </xf>
    <xf numFmtId="166" fontId="6" fillId="0" borderId="30" xfId="28" applyNumberFormat="1" applyFont="1" applyBorder="1" applyAlignment="1" applyProtection="1">
      <alignment horizontal="right" vertical="center" wrapText="1" indent="1"/>
    </xf>
    <xf numFmtId="166" fontId="3" fillId="0" borderId="25" xfId="28" applyNumberFormat="1" applyFont="1" applyBorder="1" applyAlignment="1" applyProtection="1">
      <alignment horizontal="right" vertical="center" wrapText="1" indent="1"/>
      <protection locked="0"/>
    </xf>
    <xf numFmtId="166" fontId="3" fillId="0" borderId="27" xfId="28" applyNumberFormat="1" applyFont="1" applyBorder="1" applyAlignment="1" applyProtection="1">
      <alignment horizontal="right" vertical="center" wrapText="1" indent="1"/>
      <protection locked="0"/>
    </xf>
    <xf numFmtId="166" fontId="3" fillId="0" borderId="91" xfId="28" applyNumberFormat="1" applyFont="1" applyBorder="1" applyAlignment="1" applyProtection="1">
      <alignment horizontal="right" vertical="center" wrapText="1" indent="1"/>
      <protection locked="0"/>
    </xf>
    <xf numFmtId="166" fontId="3" fillId="0" borderId="25" xfId="28" applyNumberFormat="1" applyFont="1" applyBorder="1" applyAlignment="1" applyProtection="1">
      <alignment horizontal="right" vertical="center" wrapText="1" indent="1"/>
    </xf>
    <xf numFmtId="166" fontId="6" fillId="0" borderId="23" xfId="28" applyNumberFormat="1" applyFont="1" applyBorder="1" applyAlignment="1" applyProtection="1">
      <alignment horizontal="right" vertical="center" wrapText="1" indent="1"/>
      <protection locked="0"/>
    </xf>
    <xf numFmtId="0" fontId="10" fillId="0" borderId="1" xfId="28" applyFont="1" applyBorder="1" applyAlignment="1" applyProtection="1">
      <alignment vertical="center" wrapText="1"/>
    </xf>
    <xf numFmtId="3" fontId="26" fillId="8" borderId="29" xfId="28" applyNumberFormat="1" applyFont="1" applyFill="1" applyBorder="1" applyAlignment="1">
      <alignment horizontal="right" vertical="center"/>
    </xf>
    <xf numFmtId="0" fontId="11" fillId="0" borderId="17" xfId="28" applyFont="1" applyFill="1" applyBorder="1" applyAlignment="1">
      <alignment wrapText="1"/>
    </xf>
    <xf numFmtId="3" fontId="27" fillId="0" borderId="29" xfId="28" applyNumberFormat="1" applyFont="1" applyFill="1" applyBorder="1" applyAlignment="1">
      <alignment horizontal="right" vertical="center"/>
    </xf>
    <xf numFmtId="166" fontId="102" fillId="7" borderId="37" xfId="0" applyNumberFormat="1" applyFont="1" applyFill="1" applyBorder="1" applyAlignment="1">
      <alignment horizontal="left" vertical="center" wrapText="1"/>
    </xf>
    <xf numFmtId="166" fontId="103" fillId="7" borderId="0" xfId="0" applyNumberFormat="1" applyFont="1" applyFill="1" applyAlignment="1">
      <alignment horizontal="center" vertical="center" wrapText="1"/>
    </xf>
    <xf numFmtId="3" fontId="104" fillId="7" borderId="20" xfId="0" applyNumberFormat="1" applyFont="1" applyFill="1" applyBorder="1" applyAlignment="1">
      <alignment horizontal="right" vertical="center" wrapText="1"/>
    </xf>
    <xf numFmtId="166" fontId="102" fillId="0" borderId="37" xfId="0" applyNumberFormat="1" applyFont="1" applyBorder="1" applyAlignment="1">
      <alignment horizontal="left" vertical="center" wrapText="1"/>
    </xf>
    <xf numFmtId="166" fontId="103" fillId="0" borderId="0" xfId="0" applyNumberFormat="1" applyFont="1" applyAlignment="1">
      <alignment horizontal="center" vertical="center" wrapText="1"/>
    </xf>
    <xf numFmtId="3" fontId="104" fillId="0" borderId="20" xfId="0" applyNumberFormat="1" applyFont="1" applyBorder="1" applyAlignment="1">
      <alignment horizontal="right" vertical="center" wrapText="1"/>
    </xf>
    <xf numFmtId="166" fontId="105" fillId="0" borderId="0" xfId="0" applyNumberFormat="1" applyFont="1" applyAlignment="1">
      <alignment vertical="center" wrapText="1"/>
    </xf>
    <xf numFmtId="3" fontId="104" fillId="0" borderId="49" xfId="0" applyNumberFormat="1" applyFont="1" applyBorder="1" applyAlignment="1">
      <alignment horizontal="right" vertical="center" wrapText="1"/>
    </xf>
    <xf numFmtId="49" fontId="44" fillId="0" borderId="41" xfId="0" applyNumberFormat="1" applyFont="1" applyBorder="1" applyAlignment="1" applyProtection="1">
      <alignment horizontal="center" vertical="center" wrapText="1"/>
    </xf>
    <xf numFmtId="49" fontId="44" fillId="0" borderId="17" xfId="0" applyNumberFormat="1" applyFont="1" applyBorder="1" applyAlignment="1" applyProtection="1">
      <alignment horizontal="center" vertical="center" wrapText="1"/>
    </xf>
    <xf numFmtId="0" fontId="51" fillId="0" borderId="17" xfId="28" applyFont="1" applyBorder="1" applyAlignment="1" applyProtection="1">
      <alignment horizontal="left" vertical="center" wrapText="1" indent="3"/>
    </xf>
    <xf numFmtId="49" fontId="44" fillId="0" borderId="47" xfId="0" applyNumberFormat="1" applyFont="1" applyBorder="1" applyAlignment="1" applyProtection="1">
      <alignment horizontal="center" vertical="center" wrapText="1"/>
    </xf>
    <xf numFmtId="166" fontId="17" fillId="0" borderId="44" xfId="0" applyNumberFormat="1" applyFont="1" applyBorder="1" applyAlignment="1">
      <alignment vertical="center" wrapText="1"/>
    </xf>
    <xf numFmtId="166" fontId="17" fillId="0" borderId="0" xfId="0" applyNumberFormat="1" applyFont="1" applyBorder="1" applyAlignment="1">
      <alignment vertical="center" wrapText="1"/>
    </xf>
    <xf numFmtId="3" fontId="15" fillId="0" borderId="82" xfId="0" applyNumberFormat="1" applyFont="1" applyBorder="1" applyAlignment="1">
      <alignment vertical="center" wrapText="1"/>
    </xf>
    <xf numFmtId="166" fontId="3" fillId="8" borderId="17" xfId="0" applyNumberFormat="1" applyFont="1" applyFill="1" applyBorder="1" applyAlignment="1" applyProtection="1">
      <alignment vertical="center" wrapText="1"/>
      <protection locked="0"/>
    </xf>
    <xf numFmtId="3" fontId="3" fillId="8" borderId="17" xfId="0" applyNumberFormat="1" applyFont="1" applyFill="1" applyBorder="1" applyAlignment="1" applyProtection="1">
      <alignment vertical="center" wrapText="1"/>
      <protection locked="0"/>
    </xf>
    <xf numFmtId="0" fontId="15" fillId="0" borderId="19" xfId="0" applyFont="1" applyFill="1" applyBorder="1" applyAlignment="1" applyProtection="1">
      <alignment horizontal="left" vertical="center" wrapText="1" indent="1"/>
    </xf>
    <xf numFmtId="3" fontId="15" fillId="0" borderId="2" xfId="0" applyNumberFormat="1" applyFont="1" applyFill="1" applyBorder="1" applyAlignment="1" applyProtection="1">
      <alignment vertical="center" wrapText="1"/>
    </xf>
    <xf numFmtId="166" fontId="6" fillId="0" borderId="2" xfId="0" applyNumberFormat="1" applyFont="1" applyFill="1" applyBorder="1" applyAlignment="1">
      <alignment vertical="center" wrapText="1"/>
    </xf>
    <xf numFmtId="0" fontId="17" fillId="0" borderId="22" xfId="28" applyFont="1" applyFill="1" applyBorder="1" applyAlignment="1" applyProtection="1">
      <alignment horizontal="left" vertical="center" wrapText="1" indent="1"/>
    </xf>
    <xf numFmtId="0" fontId="90" fillId="0" borderId="0" xfId="25" applyFont="1"/>
    <xf numFmtId="0" fontId="106" fillId="0" borderId="0" xfId="25" applyFont="1"/>
    <xf numFmtId="0" fontId="32" fillId="0" borderId="0" xfId="25" applyFont="1" applyFill="1" applyBorder="1"/>
    <xf numFmtId="0" fontId="32" fillId="0" borderId="92" xfId="25" applyFont="1" applyFill="1" applyBorder="1"/>
    <xf numFmtId="0" fontId="67" fillId="0" borderId="0" xfId="25" applyFont="1" applyFill="1" applyBorder="1" applyAlignment="1">
      <alignment horizontal="center"/>
    </xf>
    <xf numFmtId="0" fontId="67" fillId="0" borderId="67" xfId="25" applyFont="1" applyFill="1" applyBorder="1" applyAlignment="1">
      <alignment horizontal="center"/>
    </xf>
    <xf numFmtId="0" fontId="24" fillId="0" borderId="0" xfId="25" applyFont="1" applyFill="1" applyBorder="1" applyAlignment="1">
      <alignment horizontal="center" vertical="center" wrapText="1"/>
    </xf>
    <xf numFmtId="3" fontId="24" fillId="0" borderId="93" xfId="25" applyNumberFormat="1" applyFont="1" applyFill="1" applyBorder="1" applyAlignment="1">
      <alignment horizontal="center" vertical="center" wrapText="1"/>
    </xf>
    <xf numFmtId="3" fontId="24" fillId="0" borderId="94" xfId="25" applyNumberFormat="1" applyFont="1" applyFill="1" applyBorder="1" applyAlignment="1">
      <alignment horizontal="center" vertical="center" wrapText="1"/>
    </xf>
    <xf numFmtId="3" fontId="24" fillId="0" borderId="0" xfId="25" applyNumberFormat="1" applyFont="1" applyFill="1" applyBorder="1" applyAlignment="1">
      <alignment horizontal="center" vertical="center" wrapText="1"/>
    </xf>
    <xf numFmtId="3" fontId="34" fillId="0" borderId="0" xfId="25" applyNumberFormat="1" applyFont="1" applyFill="1" applyBorder="1" applyAlignment="1">
      <alignment horizontal="right" wrapText="1"/>
    </xf>
    <xf numFmtId="3" fontId="32" fillId="0" borderId="60" xfId="25" applyNumberFormat="1" applyFont="1" applyFill="1" applyBorder="1" applyAlignment="1">
      <alignment horizontal="right"/>
    </xf>
    <xf numFmtId="3" fontId="32" fillId="0" borderId="49" xfId="25" applyNumberFormat="1" applyFont="1" applyFill="1" applyBorder="1" applyAlignment="1">
      <alignment horizontal="right"/>
    </xf>
    <xf numFmtId="3" fontId="32" fillId="0" borderId="17" xfId="25" applyNumberFormat="1" applyFont="1" applyFill="1" applyBorder="1" applyAlignment="1">
      <alignment horizontal="right"/>
    </xf>
    <xf numFmtId="3" fontId="32" fillId="0" borderId="20" xfId="25" applyNumberFormat="1" applyFont="1" applyFill="1" applyBorder="1" applyAlignment="1"/>
    <xf numFmtId="3" fontId="32" fillId="0" borderId="95" xfId="25" applyNumberFormat="1" applyFont="1" applyFill="1" applyBorder="1" applyAlignment="1"/>
    <xf numFmtId="3" fontId="32" fillId="0" borderId="0" xfId="25" applyNumberFormat="1" applyFont="1" applyFill="1" applyBorder="1" applyAlignment="1">
      <alignment horizontal="right"/>
    </xf>
    <xf numFmtId="3" fontId="32" fillId="0" borderId="11" xfId="25" applyNumberFormat="1" applyFont="1" applyFill="1" applyBorder="1" applyAlignment="1">
      <alignment horizontal="right"/>
    </xf>
    <xf numFmtId="3" fontId="32" fillId="0" borderId="6" xfId="25" applyNumberFormat="1" applyFont="1" applyFill="1" applyBorder="1" applyAlignment="1">
      <alignment horizontal="right"/>
    </xf>
    <xf numFmtId="3" fontId="32" fillId="0" borderId="7" xfId="25" applyNumberFormat="1" applyFont="1" applyFill="1" applyBorder="1" applyAlignment="1">
      <alignment horizontal="right"/>
    </xf>
    <xf numFmtId="3" fontId="32" fillId="0" borderId="49" xfId="25" applyNumberFormat="1" applyFont="1" applyFill="1" applyBorder="1" applyAlignment="1"/>
    <xf numFmtId="3" fontId="32" fillId="0" borderId="17" xfId="25" applyNumberFormat="1" applyFont="1" applyFill="1" applyBorder="1" applyAlignment="1"/>
    <xf numFmtId="3" fontId="32" fillId="0" borderId="7" xfId="25" applyNumberFormat="1" applyFont="1" applyFill="1" applyBorder="1" applyAlignment="1"/>
    <xf numFmtId="3" fontId="32" fillId="0" borderId="95" xfId="25" applyNumberFormat="1" applyFont="1" applyFill="1" applyBorder="1" applyAlignment="1">
      <alignment horizontal="right"/>
    </xf>
    <xf numFmtId="3" fontId="32" fillId="0" borderId="29" xfId="25" applyNumberFormat="1" applyFont="1" applyFill="1" applyBorder="1" applyAlignment="1"/>
    <xf numFmtId="3" fontId="32" fillId="0" borderId="8" xfId="25" applyNumberFormat="1" applyFont="1" applyFill="1" applyBorder="1" applyAlignment="1">
      <alignment horizontal="right"/>
    </xf>
    <xf numFmtId="3" fontId="32" fillId="0" borderId="29" xfId="25" applyNumberFormat="1" applyFont="1" applyFill="1" applyBorder="1" applyAlignment="1">
      <alignment horizontal="right"/>
    </xf>
    <xf numFmtId="3" fontId="32" fillId="0" borderId="12" xfId="25" applyNumberFormat="1" applyFont="1" applyFill="1" applyBorder="1" applyAlignment="1">
      <alignment horizontal="right"/>
    </xf>
    <xf numFmtId="3" fontId="32" fillId="0" borderId="61" xfId="25" applyNumberFormat="1" applyFont="1" applyFill="1" applyBorder="1" applyAlignment="1">
      <alignment horizontal="right"/>
    </xf>
    <xf numFmtId="3" fontId="32" fillId="0" borderId="44" xfId="25" applyNumberFormat="1" applyFont="1" applyFill="1" applyBorder="1" applyAlignment="1">
      <alignment horizontal="right"/>
    </xf>
    <xf numFmtId="3" fontId="32" fillId="0" borderId="96" xfId="25" applyNumberFormat="1" applyFont="1" applyFill="1" applyBorder="1" applyAlignment="1">
      <alignment horizontal="right"/>
    </xf>
    <xf numFmtId="3" fontId="10" fillId="0" borderId="97" xfId="25" applyNumberFormat="1" applyFont="1" applyFill="1" applyBorder="1" applyAlignment="1">
      <alignment horizontal="right" wrapText="1"/>
    </xf>
    <xf numFmtId="3" fontId="10" fillId="0" borderId="98" xfId="25" applyNumberFormat="1" applyFont="1" applyFill="1" applyBorder="1" applyAlignment="1">
      <alignment horizontal="right"/>
    </xf>
    <xf numFmtId="3" fontId="10" fillId="0" borderId="99" xfId="25" applyNumberFormat="1" applyFont="1" applyFill="1" applyBorder="1" applyAlignment="1">
      <alignment horizontal="right"/>
    </xf>
    <xf numFmtId="3" fontId="10" fillId="0" borderId="97" xfId="25" applyNumberFormat="1" applyFont="1" applyFill="1" applyBorder="1" applyAlignment="1"/>
    <xf numFmtId="3" fontId="10" fillId="0" borderId="100" xfId="25" applyNumberFormat="1" applyFont="1" applyFill="1" applyBorder="1" applyAlignment="1"/>
    <xf numFmtId="3" fontId="10" fillId="0" borderId="101" xfId="25" applyNumberFormat="1" applyFont="1" applyFill="1" applyBorder="1" applyAlignment="1">
      <alignment horizontal="right"/>
    </xf>
    <xf numFmtId="3" fontId="10" fillId="0" borderId="102" xfId="25" applyNumberFormat="1" applyFont="1" applyFill="1" applyBorder="1" applyAlignment="1"/>
    <xf numFmtId="3" fontId="10" fillId="0" borderId="103" xfId="25" applyNumberFormat="1" applyFont="1" applyFill="1" applyBorder="1" applyAlignment="1"/>
    <xf numFmtId="3" fontId="10" fillId="0" borderId="104" xfId="25" applyNumberFormat="1" applyFont="1" applyFill="1" applyBorder="1" applyAlignment="1"/>
    <xf numFmtId="3" fontId="10" fillId="0" borderId="0" xfId="25" applyNumberFormat="1" applyFont="1" applyFill="1" applyBorder="1" applyAlignment="1">
      <alignment horizontal="right"/>
    </xf>
    <xf numFmtId="0" fontId="32" fillId="0" borderId="0" xfId="25" applyFont="1" applyFill="1"/>
    <xf numFmtId="3" fontId="32" fillId="0" borderId="105" xfId="25" applyNumberFormat="1" applyFont="1" applyFill="1" applyBorder="1" applyAlignment="1">
      <alignment horizontal="right"/>
    </xf>
    <xf numFmtId="3" fontId="32" fillId="0" borderId="106" xfId="25" applyNumberFormat="1" applyFont="1" applyFill="1" applyBorder="1" applyAlignment="1">
      <alignment horizontal="right"/>
    </xf>
    <xf numFmtId="3" fontId="32" fillId="0" borderId="107" xfId="25" applyNumberFormat="1" applyFont="1" applyFill="1" applyBorder="1" applyAlignment="1">
      <alignment horizontal="right"/>
    </xf>
    <xf numFmtId="3" fontId="32" fillId="0" borderId="108" xfId="25" applyNumberFormat="1" applyFont="1" applyFill="1" applyBorder="1" applyAlignment="1">
      <alignment horizontal="right"/>
    </xf>
    <xf numFmtId="3" fontId="32" fillId="0" borderId="109" xfId="25" applyNumberFormat="1" applyFont="1" applyFill="1" applyBorder="1" applyAlignment="1">
      <alignment horizontal="right"/>
    </xf>
    <xf numFmtId="3" fontId="32" fillId="0" borderId="108" xfId="25" applyNumberFormat="1" applyFont="1" applyFill="1" applyBorder="1" applyAlignment="1"/>
    <xf numFmtId="3" fontId="32" fillId="0" borderId="110" xfId="25" applyNumberFormat="1" applyFont="1" applyFill="1" applyBorder="1" applyAlignment="1"/>
    <xf numFmtId="3" fontId="32" fillId="0" borderId="9" xfId="25" applyNumberFormat="1" applyFont="1" applyFill="1" applyBorder="1" applyAlignment="1">
      <alignment horizontal="right"/>
    </xf>
    <xf numFmtId="3" fontId="32" fillId="0" borderId="21" xfId="25" applyNumberFormat="1" applyFont="1" applyFill="1" applyBorder="1" applyAlignment="1">
      <alignment horizontal="right"/>
    </xf>
    <xf numFmtId="3" fontId="10" fillId="0" borderId="97" xfId="25" applyNumberFormat="1" applyFont="1" applyFill="1" applyBorder="1" applyAlignment="1">
      <alignment horizontal="right"/>
    </xf>
    <xf numFmtId="3" fontId="10" fillId="0" borderId="99" xfId="25" applyNumberFormat="1" applyFont="1" applyFill="1" applyBorder="1" applyAlignment="1"/>
    <xf numFmtId="3" fontId="10" fillId="0" borderId="104" xfId="25" applyNumberFormat="1" applyFont="1" applyFill="1" applyBorder="1" applyAlignment="1">
      <alignment horizontal="right"/>
    </xf>
    <xf numFmtId="3" fontId="11" fillId="0" borderId="0" xfId="25" applyNumberFormat="1" applyFont="1" applyFill="1" applyBorder="1" applyAlignment="1">
      <alignment horizontal="right"/>
    </xf>
    <xf numFmtId="0" fontId="10" fillId="0" borderId="0" xfId="25" applyFont="1" applyFill="1"/>
    <xf numFmtId="3" fontId="32" fillId="0" borderId="0" xfId="25" applyNumberFormat="1" applyFont="1" applyFill="1"/>
    <xf numFmtId="0" fontId="11" fillId="0" borderId="0" xfId="25" applyFont="1" applyFill="1"/>
    <xf numFmtId="0" fontId="107" fillId="0" borderId="0" xfId="25" applyFont="1"/>
    <xf numFmtId="3" fontId="11" fillId="0" borderId="0" xfId="25" applyNumberFormat="1" applyFont="1" applyFill="1"/>
    <xf numFmtId="3" fontId="24" fillId="0" borderId="0" xfId="25" applyNumberFormat="1" applyFont="1" applyFill="1"/>
    <xf numFmtId="3" fontId="10" fillId="0" borderId="0" xfId="25" applyNumberFormat="1" applyFont="1" applyFill="1"/>
    <xf numFmtId="3" fontId="106" fillId="0" borderId="0" xfId="25" applyNumberFormat="1" applyFont="1"/>
    <xf numFmtId="0" fontId="11" fillId="0" borderId="71" xfId="25" applyFont="1" applyFill="1" applyBorder="1" applyAlignment="1">
      <alignment horizontal="left"/>
    </xf>
    <xf numFmtId="3" fontId="32" fillId="0" borderId="72" xfId="25" applyNumberFormat="1" applyFont="1" applyFill="1" applyBorder="1"/>
    <xf numFmtId="3" fontId="32" fillId="0" borderId="73" xfId="25" applyNumberFormat="1" applyFont="1" applyFill="1" applyBorder="1"/>
    <xf numFmtId="0" fontId="32" fillId="0" borderId="72" xfId="25" applyFont="1" applyFill="1" applyBorder="1"/>
    <xf numFmtId="3" fontId="11" fillId="0" borderId="72" xfId="25" applyNumberFormat="1" applyFont="1" applyFill="1" applyBorder="1"/>
    <xf numFmtId="3" fontId="11" fillId="0" borderId="73" xfId="25" applyNumberFormat="1" applyFont="1" applyFill="1" applyBorder="1"/>
    <xf numFmtId="0" fontId="10" fillId="0" borderId="74" xfId="25" applyFont="1" applyFill="1" applyBorder="1"/>
    <xf numFmtId="0" fontId="11" fillId="0" borderId="67" xfId="25" applyFont="1" applyFill="1" applyBorder="1"/>
    <xf numFmtId="3" fontId="40" fillId="0" borderId="67" xfId="25" applyNumberFormat="1" applyFont="1" applyFill="1" applyBorder="1"/>
    <xf numFmtId="3" fontId="40" fillId="0" borderId="75" xfId="25" applyNumberFormat="1" applyFont="1" applyFill="1" applyBorder="1"/>
    <xf numFmtId="0" fontId="32" fillId="0" borderId="67" xfId="25" applyFont="1" applyFill="1" applyBorder="1"/>
    <xf numFmtId="3" fontId="10" fillId="0" borderId="67" xfId="25" applyNumberFormat="1" applyFont="1" applyFill="1" applyBorder="1"/>
    <xf numFmtId="3" fontId="10" fillId="0" borderId="75" xfId="25" applyNumberFormat="1" applyFont="1" applyFill="1" applyBorder="1"/>
    <xf numFmtId="3" fontId="24" fillId="0" borderId="111" xfId="25" applyNumberFormat="1" applyFont="1" applyFill="1" applyBorder="1" applyAlignment="1">
      <alignment horizontal="center" vertical="center" wrapText="1"/>
    </xf>
    <xf numFmtId="3" fontId="24" fillId="0" borderId="92" xfId="25" applyNumberFormat="1" applyFont="1" applyFill="1" applyBorder="1" applyAlignment="1">
      <alignment horizontal="center" vertical="center" wrapText="1"/>
    </xf>
    <xf numFmtId="3" fontId="24" fillId="0" borderId="102" xfId="25" applyNumberFormat="1" applyFont="1" applyFill="1" applyBorder="1" applyAlignment="1"/>
    <xf numFmtId="3" fontId="24" fillId="0" borderId="98" xfId="25" applyNumberFormat="1" applyFont="1" applyFill="1" applyBorder="1" applyAlignment="1">
      <alignment horizontal="right"/>
    </xf>
    <xf numFmtId="3" fontId="24" fillId="0" borderId="101" xfId="25" applyNumberFormat="1" applyFont="1" applyFill="1" applyBorder="1" applyAlignment="1">
      <alignment horizontal="right"/>
    </xf>
    <xf numFmtId="3" fontId="24" fillId="0" borderId="99" xfId="25" applyNumberFormat="1" applyFont="1" applyFill="1" applyBorder="1" applyAlignment="1">
      <alignment horizontal="right"/>
    </xf>
    <xf numFmtId="3" fontId="24" fillId="0" borderId="104" xfId="25" applyNumberFormat="1" applyFont="1" applyFill="1" applyBorder="1" applyAlignment="1"/>
    <xf numFmtId="3" fontId="32" fillId="0" borderId="112" xfId="25" applyNumberFormat="1" applyFont="1" applyFill="1" applyBorder="1" applyAlignment="1">
      <alignment horizontal="right"/>
    </xf>
    <xf numFmtId="3" fontId="32" fillId="0" borderId="17" xfId="25" applyNumberFormat="1" applyFont="1" applyFill="1" applyBorder="1" applyAlignment="1">
      <alignment horizontal="right" wrapText="1"/>
    </xf>
    <xf numFmtId="3" fontId="32" fillId="0" borderId="49" xfId="25" applyNumberFormat="1" applyFont="1" applyFill="1" applyBorder="1" applyAlignment="1">
      <alignment horizontal="right" wrapText="1"/>
    </xf>
    <xf numFmtId="3" fontId="32" fillId="0" borderId="95" xfId="25" applyNumberFormat="1" applyFont="1" applyFill="1" applyBorder="1" applyAlignment="1">
      <alignment horizontal="right" wrapText="1"/>
    </xf>
    <xf numFmtId="3" fontId="24" fillId="0" borderId="99" xfId="25" applyNumberFormat="1" applyFont="1" applyFill="1" applyBorder="1" applyAlignment="1"/>
    <xf numFmtId="3" fontId="24" fillId="0" borderId="104" xfId="25" applyNumberFormat="1" applyFont="1" applyFill="1" applyBorder="1" applyAlignment="1">
      <alignment horizontal="right"/>
    </xf>
    <xf numFmtId="0" fontId="34" fillId="0" borderId="0" xfId="0" applyFont="1"/>
    <xf numFmtId="3" fontId="32" fillId="0" borderId="108" xfId="25" applyNumberFormat="1" applyFont="1" applyFill="1" applyBorder="1" applyAlignment="1">
      <alignment horizontal="right" wrapText="1"/>
    </xf>
    <xf numFmtId="3" fontId="32" fillId="0" borderId="107" xfId="25" applyNumberFormat="1" applyFont="1" applyFill="1" applyBorder="1" applyAlignment="1">
      <alignment horizontal="right" wrapText="1"/>
    </xf>
    <xf numFmtId="3" fontId="32" fillId="0" borderId="113" xfId="25" applyNumberFormat="1" applyFont="1" applyFill="1" applyBorder="1" applyAlignment="1">
      <alignment horizontal="right" wrapText="1"/>
    </xf>
    <xf numFmtId="3" fontId="32" fillId="0" borderId="106" xfId="25" applyNumberFormat="1" applyFont="1" applyFill="1" applyBorder="1" applyAlignment="1">
      <alignment horizontal="right" wrapText="1"/>
    </xf>
    <xf numFmtId="3" fontId="32" fillId="0" borderId="112" xfId="25" applyNumberFormat="1" applyFont="1" applyFill="1" applyBorder="1" applyAlignment="1">
      <alignment horizontal="right" wrapText="1"/>
    </xf>
    <xf numFmtId="3" fontId="32" fillId="0" borderId="109" xfId="25" applyNumberFormat="1" applyFont="1" applyFill="1" applyBorder="1" applyAlignment="1">
      <alignment horizontal="right" wrapText="1"/>
    </xf>
    <xf numFmtId="3" fontId="32" fillId="0" borderId="108" xfId="25" applyNumberFormat="1" applyFont="1" applyFill="1" applyBorder="1" applyAlignment="1">
      <alignment wrapText="1"/>
    </xf>
    <xf numFmtId="3" fontId="32" fillId="0" borderId="110" xfId="25" applyNumberFormat="1" applyFont="1" applyFill="1" applyBorder="1" applyAlignment="1">
      <alignment wrapText="1"/>
    </xf>
    <xf numFmtId="3" fontId="32" fillId="0" borderId="7" xfId="25" applyNumberFormat="1" applyFont="1" applyFill="1" applyBorder="1" applyAlignment="1">
      <alignment horizontal="right" wrapText="1"/>
    </xf>
    <xf numFmtId="3" fontId="32" fillId="0" borderId="48" xfId="25" applyNumberFormat="1" applyFont="1" applyFill="1" applyBorder="1" applyAlignment="1">
      <alignment horizontal="right"/>
    </xf>
    <xf numFmtId="3" fontId="32" fillId="0" borderId="108" xfId="0" applyNumberFormat="1" applyFont="1" applyBorder="1"/>
    <xf numFmtId="3" fontId="32" fillId="0" borderId="110" xfId="0" applyNumberFormat="1" applyFont="1" applyBorder="1"/>
    <xf numFmtId="3" fontId="32" fillId="0" borderId="95" xfId="0" applyNumberFormat="1" applyFont="1" applyBorder="1"/>
    <xf numFmtId="0" fontId="25" fillId="0" borderId="0" xfId="25" applyFont="1" applyFill="1"/>
    <xf numFmtId="3" fontId="25" fillId="0" borderId="0" xfId="25" applyNumberFormat="1" applyFont="1" applyFill="1"/>
    <xf numFmtId="0" fontId="106" fillId="0" borderId="92" xfId="25" applyFont="1" applyBorder="1"/>
    <xf numFmtId="0" fontId="106" fillId="0" borderId="114" xfId="25" applyFont="1" applyBorder="1"/>
    <xf numFmtId="0" fontId="108" fillId="0" borderId="115" xfId="25" applyFont="1" applyBorder="1" applyAlignment="1">
      <alignment horizontal="center" vertical="center" wrapText="1"/>
    </xf>
    <xf numFmtId="3" fontId="32" fillId="0" borderId="109" xfId="0" applyNumberFormat="1" applyFont="1" applyBorder="1"/>
    <xf numFmtId="3" fontId="32" fillId="0" borderId="109" xfId="25" applyNumberFormat="1" applyFont="1" applyFill="1" applyBorder="1" applyAlignment="1">
      <alignment wrapText="1"/>
    </xf>
    <xf numFmtId="3" fontId="32" fillId="0" borderId="112" xfId="25" applyNumberFormat="1" applyFont="1" applyFill="1" applyBorder="1" applyAlignment="1">
      <alignment wrapText="1"/>
    </xf>
    <xf numFmtId="0" fontId="106" fillId="0" borderId="106" xfId="25" applyFont="1" applyBorder="1"/>
    <xf numFmtId="0" fontId="106" fillId="0" borderId="110" xfId="25" applyFont="1" applyBorder="1"/>
    <xf numFmtId="3" fontId="32" fillId="0" borderId="6" xfId="0" applyNumberFormat="1" applyFont="1" applyBorder="1"/>
    <xf numFmtId="3" fontId="32" fillId="0" borderId="11" xfId="25" applyNumberFormat="1" applyFont="1" applyFill="1" applyBorder="1" applyAlignment="1">
      <alignment horizontal="right" wrapText="1"/>
    </xf>
    <xf numFmtId="3" fontId="32" fillId="0" borderId="6" xfId="25" applyNumberFormat="1" applyFont="1" applyFill="1" applyBorder="1" applyAlignment="1"/>
    <xf numFmtId="3" fontId="32" fillId="0" borderId="11" xfId="25" applyNumberFormat="1" applyFont="1" applyFill="1" applyBorder="1" applyAlignment="1"/>
    <xf numFmtId="0" fontId="106" fillId="0" borderId="17" xfId="25" applyFont="1" applyBorder="1"/>
    <xf numFmtId="0" fontId="106" fillId="0" borderId="95" xfId="25" applyFont="1" applyBorder="1"/>
    <xf numFmtId="3" fontId="106" fillId="0" borderId="95" xfId="25" applyNumberFormat="1" applyFont="1" applyBorder="1"/>
    <xf numFmtId="3" fontId="106" fillId="0" borderId="106" xfId="25" applyNumberFormat="1" applyFont="1" applyBorder="1"/>
    <xf numFmtId="3" fontId="32" fillId="0" borderId="6" xfId="25" applyNumberFormat="1" applyFont="1" applyFill="1" applyBorder="1" applyAlignment="1">
      <alignment horizontal="right" wrapText="1"/>
    </xf>
    <xf numFmtId="3" fontId="106" fillId="0" borderId="49" xfId="25" applyNumberFormat="1" applyFont="1" applyBorder="1"/>
    <xf numFmtId="3" fontId="106" fillId="0" borderId="17" xfId="25" applyNumberFormat="1" applyFont="1" applyBorder="1"/>
    <xf numFmtId="3" fontId="32" fillId="0" borderId="0" xfId="0" applyNumberFormat="1" applyFont="1" applyBorder="1"/>
    <xf numFmtId="3" fontId="10" fillId="0" borderId="116" xfId="0" applyNumberFormat="1" applyFont="1" applyBorder="1"/>
    <xf numFmtId="3" fontId="24" fillId="0" borderId="67" xfId="25" applyNumberFormat="1" applyFont="1" applyFill="1" applyBorder="1"/>
    <xf numFmtId="3" fontId="10" fillId="0" borderId="101" xfId="0" applyNumberFormat="1" applyFont="1" applyBorder="1"/>
    <xf numFmtId="3" fontId="10" fillId="0" borderId="97" xfId="0" applyNumberFormat="1" applyFont="1" applyBorder="1"/>
    <xf numFmtId="3" fontId="10" fillId="0" borderId="117" xfId="0" applyNumberFormat="1" applyFont="1" applyBorder="1"/>
    <xf numFmtId="3" fontId="10" fillId="0" borderId="118" xfId="25" applyNumberFormat="1" applyFont="1" applyFill="1" applyBorder="1" applyAlignment="1"/>
    <xf numFmtId="3" fontId="10" fillId="0" borderId="99" xfId="0" applyNumberFormat="1" applyFont="1" applyBorder="1"/>
    <xf numFmtId="3" fontId="10" fillId="0" borderId="104" xfId="0" applyNumberFormat="1" applyFont="1" applyBorder="1"/>
    <xf numFmtId="0" fontId="109" fillId="0" borderId="0" xfId="25" applyFont="1"/>
    <xf numFmtId="3" fontId="32" fillId="0" borderId="45" xfId="25" applyNumberFormat="1" applyFont="1" applyFill="1" applyBorder="1" applyAlignment="1">
      <alignment horizontal="right"/>
    </xf>
    <xf numFmtId="3" fontId="32" fillId="0" borderId="41" xfId="25" applyNumberFormat="1" applyFont="1" applyFill="1" applyBorder="1" applyAlignment="1">
      <alignment horizontal="right"/>
    </xf>
    <xf numFmtId="3" fontId="32" fillId="0" borderId="59" xfId="0" applyNumberFormat="1" applyFont="1" applyBorder="1"/>
    <xf numFmtId="3" fontId="32" fillId="0" borderId="119" xfId="0" applyNumberFormat="1" applyFont="1" applyBorder="1"/>
    <xf numFmtId="3" fontId="32" fillId="0" borderId="7" xfId="0" applyNumberFormat="1" applyFont="1" applyBorder="1"/>
    <xf numFmtId="3" fontId="10" fillId="0" borderId="67" xfId="0" applyNumberFormat="1" applyFont="1" applyBorder="1"/>
    <xf numFmtId="3" fontId="10" fillId="0" borderId="101" xfId="25" applyNumberFormat="1" applyFont="1" applyFill="1" applyBorder="1" applyAlignment="1"/>
    <xf numFmtId="3" fontId="24" fillId="0" borderId="75" xfId="25" applyNumberFormat="1" applyFont="1" applyFill="1" applyBorder="1"/>
    <xf numFmtId="3" fontId="32" fillId="0" borderId="60" xfId="25" applyNumberFormat="1" applyFont="1" applyFill="1" applyBorder="1" applyAlignment="1">
      <alignment horizontal="right" wrapText="1"/>
    </xf>
    <xf numFmtId="0" fontId="32" fillId="0" borderId="108" xfId="0" applyFont="1" applyBorder="1"/>
    <xf numFmtId="0" fontId="32" fillId="0" borderId="7" xfId="0" applyFont="1" applyBorder="1"/>
    <xf numFmtId="0" fontId="108" fillId="0" borderId="0" xfId="25" applyFont="1"/>
    <xf numFmtId="0" fontId="24" fillId="0" borderId="0" xfId="25" applyFont="1" applyFill="1"/>
    <xf numFmtId="3" fontId="32" fillId="0" borderId="26" xfId="25" applyNumberFormat="1" applyFont="1" applyFill="1" applyBorder="1" applyAlignment="1">
      <alignment horizontal="right"/>
    </xf>
    <xf numFmtId="3" fontId="32" fillId="0" borderId="4" xfId="25" applyNumberFormat="1" applyFont="1" applyFill="1" applyBorder="1" applyAlignment="1">
      <alignment horizontal="right"/>
    </xf>
    <xf numFmtId="3" fontId="32" fillId="0" borderId="82" xfId="25" applyNumberFormat="1" applyFont="1" applyFill="1" applyBorder="1" applyAlignment="1">
      <alignment horizontal="right"/>
    </xf>
    <xf numFmtId="3" fontId="32" fillId="0" borderId="120" xfId="25" applyNumberFormat="1" applyFont="1" applyFill="1" applyBorder="1" applyAlignment="1">
      <alignment horizontal="right"/>
    </xf>
    <xf numFmtId="3" fontId="10" fillId="0" borderId="117" xfId="25" applyNumberFormat="1" applyFont="1" applyFill="1" applyBorder="1" applyAlignment="1">
      <alignment horizontal="right" wrapText="1"/>
    </xf>
    <xf numFmtId="3" fontId="108" fillId="0" borderId="0" xfId="25" applyNumberFormat="1" applyFont="1"/>
    <xf numFmtId="0" fontId="24" fillId="0" borderId="0" xfId="25" applyFont="1" applyFill="1" applyBorder="1" applyAlignment="1">
      <alignment horizontal="center" vertical="center"/>
    </xf>
    <xf numFmtId="3" fontId="24" fillId="0" borderId="0" xfId="25" applyNumberFormat="1" applyFont="1" applyFill="1" applyBorder="1" applyAlignment="1">
      <alignment horizontal="right"/>
    </xf>
    <xf numFmtId="3" fontId="24" fillId="0" borderId="0" xfId="25" applyNumberFormat="1" applyFont="1" applyFill="1" applyBorder="1" applyAlignment="1"/>
    <xf numFmtId="0" fontId="34" fillId="0" borderId="0" xfId="28" applyFont="1"/>
    <xf numFmtId="3" fontId="32" fillId="0" borderId="11" xfId="0" applyNumberFormat="1" applyFont="1" applyBorder="1"/>
    <xf numFmtId="3" fontId="10" fillId="0" borderId="103" xfId="25" applyNumberFormat="1" applyFont="1" applyFill="1" applyBorder="1" applyAlignment="1">
      <alignment horizontal="right"/>
    </xf>
    <xf numFmtId="0" fontId="32" fillId="0" borderId="121" xfId="25" applyFont="1" applyFill="1" applyBorder="1" applyAlignment="1">
      <alignment horizontal="left"/>
    </xf>
    <xf numFmtId="0" fontId="32" fillId="0" borderId="121" xfId="25" applyFont="1" applyFill="1" applyBorder="1" applyAlignment="1">
      <alignment horizontal="left" wrapText="1"/>
    </xf>
    <xf numFmtId="0" fontId="32" fillId="0" borderId="21" xfId="25" applyFont="1" applyFill="1" applyBorder="1" applyAlignment="1">
      <alignment horizontal="left" wrapText="1"/>
    </xf>
    <xf numFmtId="3" fontId="32" fillId="0" borderId="29" xfId="25" applyNumberFormat="1" applyFont="1" applyFill="1" applyBorder="1" applyAlignment="1">
      <alignment horizontal="right" wrapText="1"/>
    </xf>
    <xf numFmtId="3" fontId="32" fillId="0" borderId="61" xfId="25" applyNumberFormat="1" applyFont="1" applyFill="1" applyBorder="1" applyAlignment="1">
      <alignment horizontal="right" wrapText="1"/>
    </xf>
    <xf numFmtId="3" fontId="32" fillId="0" borderId="96" xfId="25" applyNumberFormat="1" applyFont="1" applyFill="1" applyBorder="1" applyAlignment="1">
      <alignment horizontal="right" wrapText="1"/>
    </xf>
    <xf numFmtId="3" fontId="96" fillId="0" borderId="0" xfId="25" applyNumberFormat="1" applyFont="1"/>
    <xf numFmtId="3" fontId="10" fillId="0" borderId="122" xfId="25" applyNumberFormat="1" applyFont="1" applyFill="1" applyBorder="1" applyAlignment="1"/>
    <xf numFmtId="3" fontId="10" fillId="0" borderId="123" xfId="0" applyNumberFormat="1" applyFont="1" applyBorder="1"/>
    <xf numFmtId="3" fontId="10" fillId="0" borderId="124" xfId="0" applyNumberFormat="1" applyFont="1" applyBorder="1"/>
    <xf numFmtId="3" fontId="10" fillId="0" borderId="117" xfId="25" applyNumberFormat="1" applyFont="1" applyFill="1" applyBorder="1" applyAlignment="1"/>
    <xf numFmtId="3" fontId="10" fillId="0" borderId="122" xfId="0" applyNumberFormat="1" applyFont="1" applyBorder="1"/>
    <xf numFmtId="3" fontId="106" fillId="0" borderId="73" xfId="25" applyNumberFormat="1" applyFont="1" applyBorder="1"/>
    <xf numFmtId="3" fontId="32" fillId="0" borderId="107" xfId="25" applyNumberFormat="1" applyFont="1" applyFill="1" applyBorder="1" applyAlignment="1">
      <alignment wrapText="1"/>
    </xf>
    <xf numFmtId="3" fontId="32" fillId="0" borderId="49" xfId="0" applyNumberFormat="1" applyFont="1" applyBorder="1"/>
    <xf numFmtId="3" fontId="10" fillId="0" borderId="100" xfId="0" applyNumberFormat="1" applyFont="1" applyBorder="1"/>
    <xf numFmtId="0" fontId="6" fillId="0" borderId="0" xfId="0" applyFont="1" applyAlignment="1">
      <alignment vertical="center" wrapText="1"/>
    </xf>
    <xf numFmtId="3" fontId="32" fillId="0" borderId="113" xfId="0" applyNumberFormat="1" applyFont="1" applyBorder="1"/>
    <xf numFmtId="3" fontId="32" fillId="0" borderId="48" xfId="25" applyNumberFormat="1" applyFont="1" applyFill="1" applyBorder="1" applyAlignment="1">
      <alignment horizontal="right" wrapText="1"/>
    </xf>
    <xf numFmtId="0" fontId="106" fillId="0" borderId="0" xfId="25" applyFont="1" applyFill="1"/>
    <xf numFmtId="0" fontId="196" fillId="0" borderId="0" xfId="25" applyFill="1"/>
    <xf numFmtId="0" fontId="90" fillId="0" borderId="17" xfId="25" applyFont="1" applyFill="1" applyBorder="1"/>
    <xf numFmtId="0" fontId="34" fillId="0" borderId="92" xfId="25" applyFont="1" applyFill="1" applyBorder="1"/>
    <xf numFmtId="3" fontId="106" fillId="0" borderId="17" xfId="25" applyNumberFormat="1" applyFont="1" applyFill="1" applyBorder="1"/>
    <xf numFmtId="3" fontId="106" fillId="0" borderId="95" xfId="25" applyNumberFormat="1" applyFont="1" applyFill="1" applyBorder="1"/>
    <xf numFmtId="3" fontId="32" fillId="0" borderId="107" xfId="0" applyNumberFormat="1" applyFont="1" applyBorder="1"/>
    <xf numFmtId="3" fontId="106" fillId="0" borderId="109" xfId="25" applyNumberFormat="1" applyFont="1" applyBorder="1"/>
    <xf numFmtId="3" fontId="90" fillId="0" borderId="110" xfId="25" applyNumberFormat="1" applyFont="1" applyBorder="1"/>
    <xf numFmtId="3" fontId="106" fillId="0" borderId="6" xfId="25" applyNumberFormat="1" applyFont="1" applyBorder="1"/>
    <xf numFmtId="3" fontId="90" fillId="0" borderId="95" xfId="25" applyNumberFormat="1" applyFont="1" applyBorder="1"/>
    <xf numFmtId="3" fontId="109" fillId="0" borderId="101" xfId="25" applyNumberFormat="1" applyFont="1" applyBorder="1"/>
    <xf numFmtId="3" fontId="109" fillId="0" borderId="97" xfId="25" applyNumberFormat="1" applyFont="1" applyBorder="1"/>
    <xf numFmtId="3" fontId="101" fillId="0" borderId="104" xfId="25" applyNumberFormat="1" applyFont="1" applyBorder="1"/>
    <xf numFmtId="49" fontId="26" fillId="0" borderId="17" xfId="28" applyNumberFormat="1" applyFont="1" applyFill="1" applyBorder="1" applyAlignment="1">
      <alignment horizontal="left" vertical="center" wrapText="1"/>
    </xf>
    <xf numFmtId="0" fontId="11" fillId="0" borderId="17" xfId="28" applyFont="1" applyFill="1" applyBorder="1" applyAlignment="1">
      <alignment horizontal="center" wrapText="1"/>
    </xf>
    <xf numFmtId="3" fontId="11" fillId="0" borderId="17" xfId="28" applyNumberFormat="1" applyFont="1" applyFill="1" applyBorder="1" applyAlignment="1"/>
    <xf numFmtId="166" fontId="0" fillId="0" borderId="0" xfId="0" applyNumberFormat="1" applyFill="1" applyAlignment="1" applyProtection="1">
      <alignment vertical="center" wrapText="1"/>
    </xf>
    <xf numFmtId="4" fontId="0" fillId="0" borderId="0" xfId="0" applyNumberFormat="1" applyBorder="1" applyAlignment="1">
      <alignment horizontal="center" vertical="center" wrapText="1"/>
    </xf>
    <xf numFmtId="0" fontId="15" fillId="0" borderId="14" xfId="28" applyFont="1" applyBorder="1" applyAlignment="1" applyProtection="1">
      <alignment horizontal="left" vertical="center" wrapText="1" indent="1"/>
    </xf>
    <xf numFmtId="0" fontId="16" fillId="0" borderId="19" xfId="28" applyFont="1" applyBorder="1" applyAlignment="1" applyProtection="1">
      <alignment horizontal="left" vertical="center" wrapText="1" indent="1"/>
    </xf>
    <xf numFmtId="0" fontId="2" fillId="0" borderId="11" xfId="28" applyFont="1" applyBorder="1"/>
    <xf numFmtId="3" fontId="24" fillId="3" borderId="0" xfId="28" applyNumberFormat="1" applyFont="1" applyFill="1" applyBorder="1"/>
    <xf numFmtId="0" fontId="24" fillId="3" borderId="26" xfId="28" applyFont="1" applyFill="1" applyBorder="1" applyAlignment="1">
      <alignment horizontal="center"/>
    </xf>
    <xf numFmtId="3" fontId="2" fillId="0" borderId="17" xfId="28" applyNumberFormat="1" applyFont="1" applyBorder="1"/>
    <xf numFmtId="3" fontId="32" fillId="0" borderId="125" xfId="28" applyNumberFormat="1" applyFont="1" applyBorder="1"/>
    <xf numFmtId="0" fontId="44" fillId="0" borderId="17" xfId="28" applyFont="1" applyBorder="1" applyAlignment="1" applyProtection="1">
      <alignment horizontal="left" vertical="center" wrapText="1" indent="1"/>
    </xf>
    <xf numFmtId="0" fontId="111" fillId="0" borderId="0" xfId="0" applyFont="1" applyAlignment="1">
      <alignment vertical="center" wrapText="1"/>
    </xf>
    <xf numFmtId="3" fontId="111" fillId="0" borderId="53" xfId="0" applyNumberFormat="1" applyFont="1" applyBorder="1" applyAlignment="1">
      <alignment vertical="center" wrapText="1"/>
    </xf>
    <xf numFmtId="3" fontId="111" fillId="0" borderId="0" xfId="0" applyNumberFormat="1" applyFont="1" applyAlignment="1">
      <alignment vertical="center" wrapText="1"/>
    </xf>
    <xf numFmtId="0" fontId="112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05" fillId="0" borderId="0" xfId="0" applyFont="1" applyAlignment="1">
      <alignment vertical="center" wrapText="1"/>
    </xf>
    <xf numFmtId="3" fontId="114" fillId="0" borderId="0" xfId="0" applyNumberFormat="1" applyFont="1" applyAlignment="1">
      <alignment vertical="center" wrapText="1"/>
    </xf>
    <xf numFmtId="0" fontId="115" fillId="0" borderId="0" xfId="0" applyFont="1" applyAlignment="1">
      <alignment vertical="center" wrapText="1"/>
    </xf>
    <xf numFmtId="0" fontId="116" fillId="0" borderId="0" xfId="0" applyFont="1" applyAlignment="1">
      <alignment vertical="center" wrapText="1"/>
    </xf>
    <xf numFmtId="0" fontId="115" fillId="0" borderId="44" xfId="0" applyFont="1" applyBorder="1" applyAlignment="1">
      <alignment vertical="center" wrapText="1"/>
    </xf>
    <xf numFmtId="3" fontId="111" fillId="0" borderId="44" xfId="0" applyNumberFormat="1" applyFont="1" applyBorder="1" applyAlignment="1">
      <alignment vertical="center" wrapText="1"/>
    </xf>
    <xf numFmtId="166" fontId="17" fillId="0" borderId="27" xfId="0" applyNumberFormat="1" applyFont="1" applyBorder="1" applyAlignment="1" applyProtection="1">
      <alignment vertical="center" wrapText="1"/>
      <protection locked="0"/>
    </xf>
    <xf numFmtId="166" fontId="17" fillId="0" borderId="18" xfId="0" applyNumberFormat="1" applyFont="1" applyBorder="1" applyAlignment="1" applyProtection="1">
      <alignment vertical="center" wrapText="1"/>
      <protection locked="0"/>
    </xf>
    <xf numFmtId="0" fontId="108" fillId="0" borderId="114" xfId="25" applyFont="1" applyBorder="1" applyAlignment="1">
      <alignment horizontal="center" vertical="center"/>
    </xf>
    <xf numFmtId="0" fontId="106" fillId="0" borderId="108" xfId="25" applyFont="1" applyBorder="1"/>
    <xf numFmtId="0" fontId="106" fillId="0" borderId="49" xfId="25" applyFont="1" applyBorder="1"/>
    <xf numFmtId="166" fontId="117" fillId="0" borderId="0" xfId="0" applyNumberFormat="1" applyFont="1" applyAlignment="1">
      <alignment horizontal="left" vertical="center" wrapText="1"/>
    </xf>
    <xf numFmtId="166" fontId="118" fillId="0" borderId="0" xfId="0" applyNumberFormat="1" applyFont="1" applyAlignment="1">
      <alignment vertical="center" wrapText="1"/>
    </xf>
    <xf numFmtId="3" fontId="119" fillId="0" borderId="0" xfId="0" applyNumberFormat="1" applyFont="1" applyBorder="1" applyAlignment="1" applyProtection="1">
      <alignment vertical="center" wrapText="1"/>
    </xf>
    <xf numFmtId="166" fontId="120" fillId="0" borderId="0" xfId="0" applyNumberFormat="1" applyFont="1" applyAlignment="1">
      <alignment horizontal="center" vertical="center" wrapText="1"/>
    </xf>
    <xf numFmtId="166" fontId="119" fillId="0" borderId="0" xfId="0" applyNumberFormat="1" applyFont="1" applyBorder="1" applyAlignment="1" applyProtection="1">
      <alignment vertical="center" wrapText="1"/>
    </xf>
    <xf numFmtId="3" fontId="106" fillId="0" borderId="44" xfId="25" applyNumberFormat="1" applyFont="1" applyBorder="1"/>
    <xf numFmtId="3" fontId="106" fillId="0" borderId="12" xfId="25" applyNumberFormat="1" applyFont="1" applyBorder="1"/>
    <xf numFmtId="3" fontId="17" fillId="0" borderId="20" xfId="0" applyNumberFormat="1" applyFont="1" applyBorder="1" applyAlignment="1" applyProtection="1">
      <alignment horizontal="right" vertical="center" wrapText="1"/>
      <protection locked="0"/>
    </xf>
    <xf numFmtId="166" fontId="17" fillId="0" borderId="45" xfId="0" applyNumberFormat="1" applyFont="1" applyBorder="1" applyAlignment="1" applyProtection="1">
      <alignment horizontal="left" vertical="center" wrapText="1" indent="1"/>
      <protection locked="0"/>
    </xf>
    <xf numFmtId="0" fontId="3" fillId="0" borderId="6" xfId="28" applyFont="1" applyBorder="1" applyAlignment="1" applyProtection="1">
      <alignment vertical="center" wrapText="1"/>
    </xf>
    <xf numFmtId="166" fontId="17" fillId="0" borderId="46" xfId="0" applyNumberFormat="1" applyFont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right"/>
    </xf>
    <xf numFmtId="3" fontId="8" fillId="0" borderId="21" xfId="0" applyNumberFormat="1" applyFont="1" applyBorder="1" applyAlignment="1" applyProtection="1">
      <alignment horizontal="center" vertical="center" wrapText="1"/>
    </xf>
    <xf numFmtId="3" fontId="9" fillId="0" borderId="35" xfId="0" applyNumberFormat="1" applyFont="1" applyBorder="1" applyAlignment="1" applyProtection="1">
      <alignment vertical="center" wrapText="1"/>
    </xf>
    <xf numFmtId="0" fontId="9" fillId="0" borderId="0" xfId="0" applyFont="1" applyAlignment="1">
      <alignment vertical="center" wrapText="1"/>
    </xf>
    <xf numFmtId="3" fontId="8" fillId="3" borderId="0" xfId="0" applyNumberFormat="1" applyFont="1" applyFill="1" applyBorder="1" applyAlignment="1" applyProtection="1">
      <alignment vertical="center" wrapText="1"/>
    </xf>
    <xf numFmtId="3" fontId="9" fillId="0" borderId="0" xfId="0" applyNumberFormat="1" applyFont="1" applyAlignment="1">
      <alignment vertical="center" wrapText="1"/>
    </xf>
    <xf numFmtId="3" fontId="8" fillId="0" borderId="0" xfId="0" applyNumberFormat="1" applyFont="1" applyBorder="1" applyAlignment="1">
      <alignment vertical="center" wrapText="1"/>
    </xf>
    <xf numFmtId="3" fontId="9" fillId="0" borderId="0" xfId="0" applyNumberFormat="1" applyFont="1" applyBorder="1" applyAlignment="1">
      <alignment vertical="center" wrapText="1"/>
    </xf>
    <xf numFmtId="3" fontId="8" fillId="0" borderId="0" xfId="0" applyNumberFormat="1" applyFont="1" applyAlignment="1">
      <alignment vertical="center" wrapText="1"/>
    </xf>
    <xf numFmtId="0" fontId="11" fillId="0" borderId="29" xfId="28" applyFont="1" applyBorder="1" applyAlignment="1">
      <alignment horizontal="left" wrapText="1"/>
    </xf>
    <xf numFmtId="166" fontId="3" fillId="0" borderId="22" xfId="0" applyNumberFormat="1" applyFont="1" applyBorder="1" applyAlignment="1" applyProtection="1">
      <alignment vertical="center" wrapText="1"/>
      <protection locked="0"/>
    </xf>
    <xf numFmtId="0" fontId="3" fillId="3" borderId="39" xfId="0" applyFont="1" applyFill="1" applyBorder="1" applyAlignment="1" applyProtection="1">
      <alignment horizontal="center" vertical="center" wrapText="1"/>
    </xf>
    <xf numFmtId="3" fontId="17" fillId="0" borderId="49" xfId="0" applyNumberFormat="1" applyFont="1" applyBorder="1" applyAlignment="1" applyProtection="1">
      <alignment vertical="center" wrapText="1"/>
      <protection locked="0"/>
    </xf>
    <xf numFmtId="3" fontId="32" fillId="0" borderId="120" xfId="28" applyNumberFormat="1" applyFont="1" applyBorder="1"/>
    <xf numFmtId="3" fontId="32" fillId="0" borderId="49" xfId="28" applyNumberFormat="1" applyFont="1" applyFill="1" applyBorder="1"/>
    <xf numFmtId="3" fontId="29" fillId="0" borderId="49" xfId="28" applyNumberFormat="1" applyFont="1" applyBorder="1"/>
    <xf numFmtId="3" fontId="32" fillId="0" borderId="61" xfId="28" applyNumberFormat="1" applyFont="1" applyBorder="1"/>
    <xf numFmtId="3" fontId="24" fillId="0" borderId="49" xfId="28" applyNumberFormat="1" applyFont="1" applyBorder="1" applyAlignment="1">
      <alignment horizontal="center"/>
    </xf>
    <xf numFmtId="3" fontId="26" fillId="3" borderId="120" xfId="28" applyNumberFormat="1" applyFont="1" applyFill="1" applyBorder="1" applyAlignment="1">
      <alignment horizontal="right" vertical="center"/>
    </xf>
    <xf numFmtId="3" fontId="6" fillId="3" borderId="22" xfId="0" applyNumberFormat="1" applyFont="1" applyFill="1" applyBorder="1" applyAlignment="1" applyProtection="1">
      <alignment vertical="center" wrapText="1"/>
      <protection locked="0"/>
    </xf>
    <xf numFmtId="166" fontId="50" fillId="0" borderId="9" xfId="28" applyNumberFormat="1" applyFont="1" applyBorder="1" applyAlignment="1" applyProtection="1">
      <alignment horizontal="right" vertical="center" wrapText="1" indent="1"/>
      <protection locked="0"/>
    </xf>
    <xf numFmtId="166" fontId="50" fillId="0" borderId="18" xfId="28" applyNumberFormat="1" applyFont="1" applyBorder="1" applyAlignment="1" applyProtection="1">
      <alignment horizontal="right" vertical="center" wrapText="1" indent="1"/>
      <protection locked="0"/>
    </xf>
    <xf numFmtId="166" fontId="50" fillId="0" borderId="2" xfId="28" applyNumberFormat="1" applyFont="1" applyBorder="1" applyAlignment="1" applyProtection="1">
      <alignment horizontal="right" vertical="center" wrapText="1" indent="1"/>
    </xf>
    <xf numFmtId="166" fontId="50" fillId="0" borderId="5" xfId="28" applyNumberFormat="1" applyFont="1" applyBorder="1" applyAlignment="1" applyProtection="1">
      <alignment horizontal="right" vertical="center" wrapText="1" indent="1"/>
      <protection locked="0"/>
    </xf>
    <xf numFmtId="166" fontId="50" fillId="0" borderId="7" xfId="28" applyNumberFormat="1" applyFont="1" applyBorder="1" applyAlignment="1" applyProtection="1">
      <alignment horizontal="right" vertical="center" wrapText="1" indent="1"/>
      <protection locked="0"/>
    </xf>
    <xf numFmtId="166" fontId="50" fillId="0" borderId="20" xfId="28" applyNumberFormat="1" applyFont="1" applyBorder="1" applyAlignment="1" applyProtection="1">
      <alignment horizontal="right" vertical="center" wrapText="1" indent="1"/>
      <protection locked="0"/>
    </xf>
    <xf numFmtId="166" fontId="50" fillId="0" borderId="21" xfId="28" applyNumberFormat="1" applyFont="1" applyBorder="1" applyAlignment="1" applyProtection="1">
      <alignment horizontal="right" vertical="center" wrapText="1" indent="1"/>
      <protection locked="0"/>
    </xf>
    <xf numFmtId="3" fontId="50" fillId="0" borderId="2" xfId="28" applyNumberFormat="1" applyFont="1" applyBorder="1" applyAlignment="1" applyProtection="1">
      <alignment horizontal="right" vertical="center" wrapText="1" indent="1"/>
    </xf>
    <xf numFmtId="167" fontId="15" fillId="0" borderId="34" xfId="0" applyNumberFormat="1" applyFont="1" applyBorder="1" applyAlignment="1" applyProtection="1">
      <alignment horizontal="center"/>
    </xf>
    <xf numFmtId="0" fontId="25" fillId="0" borderId="92" xfId="25" applyFont="1" applyFill="1" applyBorder="1" applyAlignment="1">
      <alignment vertical="center"/>
    </xf>
    <xf numFmtId="0" fontId="25" fillId="0" borderId="114" xfId="25" applyFont="1" applyFill="1" applyBorder="1" applyAlignment="1">
      <alignment vertical="center"/>
    </xf>
    <xf numFmtId="0" fontId="67" fillId="0" borderId="0" xfId="25" applyFont="1" applyFill="1" applyBorder="1" applyAlignment="1"/>
    <xf numFmtId="0" fontId="25" fillId="0" borderId="67" xfId="25" applyFont="1" applyFill="1" applyBorder="1" applyAlignment="1">
      <alignment vertical="center"/>
    </xf>
    <xf numFmtId="0" fontId="25" fillId="0" borderId="126" xfId="25" applyFont="1" applyFill="1" applyBorder="1" applyAlignment="1">
      <alignment vertical="center"/>
    </xf>
    <xf numFmtId="0" fontId="25" fillId="0" borderId="127" xfId="25" applyFont="1" applyFill="1" applyBorder="1" applyAlignment="1">
      <alignment vertical="center"/>
    </xf>
    <xf numFmtId="167" fontId="15" fillId="0" borderId="2" xfId="0" applyNumberFormat="1" applyFont="1" applyBorder="1" applyAlignment="1" applyProtection="1">
      <alignment horizontal="center"/>
    </xf>
    <xf numFmtId="0" fontId="3" fillId="0" borderId="17" xfId="28" applyFont="1" applyBorder="1" applyAlignment="1" applyProtection="1">
      <alignment vertical="center" wrapText="1"/>
    </xf>
    <xf numFmtId="0" fontId="6" fillId="0" borderId="47" xfId="28" applyFont="1" applyBorder="1" applyAlignment="1" applyProtection="1">
      <alignment vertical="center" wrapText="1"/>
    </xf>
    <xf numFmtId="3" fontId="32" fillId="0" borderId="45" xfId="0" applyNumberFormat="1" applyFont="1" applyBorder="1"/>
    <xf numFmtId="0" fontId="32" fillId="0" borderId="128" xfId="25" applyFont="1" applyFill="1" applyBorder="1"/>
    <xf numFmtId="3" fontId="32" fillId="0" borderId="8" xfId="25" applyNumberFormat="1" applyFont="1" applyFill="1" applyBorder="1" applyAlignment="1">
      <alignment horizontal="right" wrapText="1"/>
    </xf>
    <xf numFmtId="3" fontId="32" fillId="0" borderId="76" xfId="0" applyNumberFormat="1" applyFont="1" applyBorder="1"/>
    <xf numFmtId="0" fontId="10" fillId="0" borderId="0" xfId="25" applyFont="1" applyFill="1" applyBorder="1"/>
    <xf numFmtId="0" fontId="11" fillId="0" borderId="0" xfId="25" applyFont="1" applyFill="1" applyBorder="1"/>
    <xf numFmtId="3" fontId="24" fillId="0" borderId="0" xfId="25" applyNumberFormat="1" applyFont="1" applyFill="1" applyBorder="1"/>
    <xf numFmtId="3" fontId="10" fillId="0" borderId="0" xfId="25" applyNumberFormat="1" applyFont="1" applyFill="1" applyBorder="1"/>
    <xf numFmtId="3" fontId="11" fillId="0" borderId="29" xfId="28" applyNumberFormat="1" applyFont="1" applyBorder="1" applyAlignment="1">
      <alignment wrapText="1"/>
    </xf>
    <xf numFmtId="3" fontId="11" fillId="0" borderId="9" xfId="28" applyNumberFormat="1" applyFont="1" applyBorder="1" applyAlignment="1">
      <alignment wrapText="1"/>
    </xf>
    <xf numFmtId="0" fontId="106" fillId="0" borderId="120" xfId="25" applyFont="1" applyBorder="1"/>
    <xf numFmtId="3" fontId="32" fillId="0" borderId="49" xfId="25" applyNumberFormat="1" applyFont="1" applyFill="1" applyBorder="1" applyAlignment="1">
      <alignment horizontal="center"/>
    </xf>
    <xf numFmtId="3" fontId="90" fillId="0" borderId="96" xfId="25" applyNumberFormat="1" applyFont="1" applyBorder="1"/>
    <xf numFmtId="3" fontId="32" fillId="0" borderId="109" xfId="25" applyNumberFormat="1" applyFont="1" applyFill="1" applyBorder="1" applyAlignment="1"/>
    <xf numFmtId="0" fontId="24" fillId="0" borderId="129" xfId="25" applyFont="1" applyFill="1" applyBorder="1" applyAlignment="1">
      <alignment horizontal="center" vertical="center" wrapText="1"/>
    </xf>
    <xf numFmtId="0" fontId="24" fillId="0" borderId="130" xfId="25" applyFont="1" applyFill="1" applyBorder="1" applyAlignment="1">
      <alignment horizontal="center" vertical="center" wrapText="1"/>
    </xf>
    <xf numFmtId="0" fontId="24" fillId="0" borderId="131" xfId="25" applyFont="1" applyFill="1" applyBorder="1" applyAlignment="1">
      <alignment horizontal="center" vertical="center" wrapText="1"/>
    </xf>
    <xf numFmtId="0" fontId="32" fillId="0" borderId="109" xfId="25" applyFont="1" applyFill="1" applyBorder="1" applyAlignment="1">
      <alignment horizontal="center"/>
    </xf>
    <xf numFmtId="0" fontId="32" fillId="0" borderId="106" xfId="25" applyFont="1" applyFill="1" applyBorder="1" applyAlignment="1">
      <alignment horizontal="center"/>
    </xf>
    <xf numFmtId="0" fontId="32" fillId="0" borderId="107" xfId="25" applyFont="1" applyFill="1" applyBorder="1" applyAlignment="1">
      <alignment horizontal="center" wrapText="1"/>
    </xf>
    <xf numFmtId="0" fontId="32" fillId="0" borderId="109" xfId="25" applyFont="1" applyFill="1" applyBorder="1" applyAlignment="1">
      <alignment horizontal="center" wrapText="1"/>
    </xf>
    <xf numFmtId="0" fontId="32" fillId="0" borderId="112" xfId="25" applyFont="1" applyFill="1" applyBorder="1" applyAlignment="1">
      <alignment horizontal="center" wrapText="1"/>
    </xf>
    <xf numFmtId="0" fontId="32" fillId="0" borderId="110" xfId="25" applyFont="1" applyFill="1" applyBorder="1" applyAlignment="1">
      <alignment horizontal="center" wrapText="1"/>
    </xf>
    <xf numFmtId="3" fontId="32" fillId="0" borderId="46" xfId="25" applyNumberFormat="1" applyFont="1" applyFill="1" applyBorder="1" applyAlignment="1">
      <alignment horizontal="right"/>
    </xf>
    <xf numFmtId="3" fontId="10" fillId="0" borderId="116" xfId="25" applyNumberFormat="1" applyFont="1" applyFill="1" applyBorder="1" applyAlignment="1">
      <alignment horizontal="right" wrapText="1"/>
    </xf>
    <xf numFmtId="0" fontId="24" fillId="0" borderId="132" xfId="25" applyFont="1" applyFill="1" applyBorder="1" applyAlignment="1">
      <alignment horizontal="center" vertical="center" wrapText="1"/>
    </xf>
    <xf numFmtId="3" fontId="32" fillId="0" borderId="109" xfId="25" applyNumberFormat="1" applyFont="1" applyFill="1" applyBorder="1" applyAlignment="1">
      <alignment horizontal="center"/>
    </xf>
    <xf numFmtId="3" fontId="32" fillId="0" borderId="106" xfId="25" applyNumberFormat="1" applyFont="1" applyFill="1" applyBorder="1" applyAlignment="1">
      <alignment horizontal="center"/>
    </xf>
    <xf numFmtId="3" fontId="32" fillId="0" borderId="107" xfId="25" applyNumberFormat="1" applyFont="1" applyFill="1" applyBorder="1" applyAlignment="1">
      <alignment horizontal="center"/>
    </xf>
    <xf numFmtId="3" fontId="32" fillId="0" borderId="108" xfId="25" applyNumberFormat="1" applyFont="1" applyFill="1" applyBorder="1" applyAlignment="1">
      <alignment horizontal="center"/>
    </xf>
    <xf numFmtId="3" fontId="32" fillId="0" borderId="110" xfId="25" applyNumberFormat="1" applyFont="1" applyFill="1" applyBorder="1" applyAlignment="1">
      <alignment horizontal="right"/>
    </xf>
    <xf numFmtId="3" fontId="32" fillId="0" borderId="6" xfId="25" applyNumberFormat="1" applyFont="1" applyFill="1" applyBorder="1" applyAlignment="1">
      <alignment horizontal="center"/>
    </xf>
    <xf numFmtId="3" fontId="32" fillId="0" borderId="26" xfId="25" applyNumberFormat="1" applyFont="1" applyFill="1" applyBorder="1" applyAlignment="1">
      <alignment horizontal="center"/>
    </xf>
    <xf numFmtId="3" fontId="32" fillId="0" borderId="7" xfId="25" applyNumberFormat="1" applyFont="1" applyFill="1" applyBorder="1" applyAlignment="1">
      <alignment horizontal="center"/>
    </xf>
    <xf numFmtId="3" fontId="32" fillId="0" borderId="17" xfId="25" applyNumberFormat="1" applyFont="1" applyFill="1" applyBorder="1" applyAlignment="1">
      <alignment horizontal="center"/>
    </xf>
    <xf numFmtId="3" fontId="32" fillId="0" borderId="17" xfId="25" applyNumberFormat="1" applyFont="1" applyFill="1" applyBorder="1" applyAlignment="1">
      <alignment horizontal="center" wrapText="1"/>
    </xf>
    <xf numFmtId="0" fontId="32" fillId="0" borderId="17" xfId="25" applyFont="1" applyFill="1" applyBorder="1" applyAlignment="1">
      <alignment horizontal="center" wrapText="1"/>
    </xf>
    <xf numFmtId="3" fontId="24" fillId="0" borderId="6" xfId="25" applyNumberFormat="1" applyFont="1" applyFill="1" applyBorder="1" applyAlignment="1">
      <alignment horizontal="center"/>
    </xf>
    <xf numFmtId="3" fontId="24" fillId="0" borderId="17" xfId="25" applyNumberFormat="1" applyFont="1" applyFill="1" applyBorder="1" applyAlignment="1">
      <alignment horizontal="center"/>
    </xf>
    <xf numFmtId="3" fontId="24" fillId="0" borderId="7" xfId="25" applyNumberFormat="1" applyFont="1" applyFill="1" applyBorder="1" applyAlignment="1">
      <alignment horizontal="center"/>
    </xf>
    <xf numFmtId="3" fontId="10" fillId="0" borderId="101" xfId="25" applyNumberFormat="1" applyFont="1" applyFill="1" applyBorder="1" applyAlignment="1">
      <alignment horizontal="center"/>
    </xf>
    <xf numFmtId="3" fontId="10" fillId="0" borderId="97" xfId="25" applyNumberFormat="1" applyFont="1" applyFill="1" applyBorder="1" applyAlignment="1">
      <alignment horizontal="center"/>
    </xf>
    <xf numFmtId="3" fontId="10" fillId="0" borderId="117" xfId="25" applyNumberFormat="1" applyFont="1" applyFill="1" applyBorder="1" applyAlignment="1">
      <alignment horizontal="center"/>
    </xf>
    <xf numFmtId="3" fontId="10" fillId="0" borderId="99" xfId="25" applyNumberFormat="1" applyFont="1" applyFill="1" applyBorder="1" applyAlignment="1">
      <alignment horizontal="center"/>
    </xf>
    <xf numFmtId="3" fontId="10" fillId="0" borderId="104" xfId="25" applyNumberFormat="1" applyFont="1" applyFill="1" applyBorder="1" applyAlignment="1">
      <alignment horizontal="center"/>
    </xf>
    <xf numFmtId="3" fontId="34" fillId="0" borderId="0" xfId="25" applyNumberFormat="1" applyFont="1" applyFill="1"/>
    <xf numFmtId="0" fontId="32" fillId="0" borderId="71" xfId="25" applyFont="1" applyFill="1" applyBorder="1" applyAlignment="1">
      <alignment horizontal="left"/>
    </xf>
    <xf numFmtId="0" fontId="24" fillId="0" borderId="74" xfId="25" applyFont="1" applyFill="1" applyBorder="1"/>
    <xf numFmtId="3" fontId="32" fillId="9" borderId="0" xfId="28" applyNumberFormat="1" applyFont="1" applyFill="1" applyBorder="1"/>
    <xf numFmtId="0" fontId="2" fillId="9" borderId="0" xfId="28" applyFont="1" applyFill="1"/>
    <xf numFmtId="2" fontId="2" fillId="9" borderId="0" xfId="28" applyNumberFormat="1" applyFont="1" applyFill="1"/>
    <xf numFmtId="0" fontId="45" fillId="0" borderId="17" xfId="28" applyFont="1" applyBorder="1" applyAlignment="1" applyProtection="1">
      <alignment horizontal="left" vertical="center" wrapText="1" indent="1"/>
    </xf>
    <xf numFmtId="0" fontId="27" fillId="0" borderId="48" xfId="28" applyFont="1" applyFill="1" applyBorder="1"/>
    <xf numFmtId="49" fontId="32" fillId="0" borderId="48" xfId="28" applyNumberFormat="1" applyFont="1" applyFill="1" applyBorder="1"/>
    <xf numFmtId="0" fontId="27" fillId="0" borderId="11" xfId="28" applyFont="1" applyFill="1" applyBorder="1"/>
    <xf numFmtId="0" fontId="17" fillId="0" borderId="17" xfId="28" applyFont="1" applyFill="1" applyBorder="1" applyAlignment="1" applyProtection="1">
      <alignment horizontal="left" vertical="center" wrapText="1" indent="1"/>
    </xf>
    <xf numFmtId="166" fontId="17" fillId="0" borderId="22" xfId="0" applyNumberFormat="1" applyFont="1" applyBorder="1" applyAlignment="1" applyProtection="1">
      <alignment horizontal="right" vertical="center" wrapText="1"/>
      <protection locked="0"/>
    </xf>
    <xf numFmtId="0" fontId="15" fillId="0" borderId="3" xfId="0" applyFont="1" applyFill="1" applyBorder="1" applyAlignment="1" applyProtection="1">
      <alignment horizontal="center" vertical="center" wrapText="1"/>
    </xf>
    <xf numFmtId="49" fontId="17" fillId="0" borderId="22" xfId="0" applyNumberFormat="1" applyFont="1" applyFill="1" applyBorder="1" applyAlignment="1" applyProtection="1">
      <alignment horizontal="center" vertical="center" wrapText="1"/>
    </xf>
    <xf numFmtId="3" fontId="17" fillId="0" borderId="31" xfId="0" applyNumberFormat="1" applyFont="1" applyFill="1" applyBorder="1" applyAlignment="1" applyProtection="1">
      <alignment vertical="center" wrapText="1"/>
      <protection locked="0"/>
    </xf>
    <xf numFmtId="3" fontId="17" fillId="0" borderId="9" xfId="0" applyNumberFormat="1" applyFont="1" applyFill="1" applyBorder="1" applyAlignment="1" applyProtection="1">
      <alignment vertical="center" wrapText="1"/>
      <protection locked="0"/>
    </xf>
    <xf numFmtId="0" fontId="17" fillId="0" borderId="0" xfId="0" applyFont="1" applyFill="1" applyAlignment="1">
      <alignment vertical="center" wrapText="1"/>
    </xf>
    <xf numFmtId="3" fontId="11" fillId="0" borderId="61" xfId="28" applyNumberFormat="1" applyFont="1" applyFill="1" applyBorder="1"/>
    <xf numFmtId="49" fontId="44" fillId="0" borderId="29" xfId="0" applyNumberFormat="1" applyFont="1" applyBorder="1" applyAlignment="1" applyProtection="1">
      <alignment horizontal="center" vertical="center" wrapText="1"/>
    </xf>
    <xf numFmtId="0" fontId="46" fillId="0" borderId="29" xfId="28" applyFont="1" applyBorder="1" applyAlignment="1" applyProtection="1">
      <alignment vertical="center" wrapText="1"/>
    </xf>
    <xf numFmtId="3" fontId="44" fillId="0" borderId="29" xfId="0" applyNumberFormat="1" applyFont="1" applyBorder="1" applyAlignment="1" applyProtection="1">
      <alignment vertical="center" wrapText="1"/>
      <protection locked="0"/>
    </xf>
    <xf numFmtId="3" fontId="44" fillId="0" borderId="29" xfId="0" applyNumberFormat="1" applyFont="1" applyBorder="1" applyAlignment="1" applyProtection="1">
      <alignment vertical="center" wrapText="1"/>
    </xf>
    <xf numFmtId="3" fontId="44" fillId="0" borderId="9" xfId="0" applyNumberFormat="1" applyFont="1" applyBorder="1" applyAlignment="1" applyProtection="1">
      <alignment vertical="center" wrapText="1"/>
    </xf>
    <xf numFmtId="3" fontId="44" fillId="0" borderId="12" xfId="0" applyNumberFormat="1" applyFont="1" applyBorder="1" applyAlignment="1" applyProtection="1">
      <alignment vertical="center" wrapText="1"/>
      <protection locked="0"/>
    </xf>
    <xf numFmtId="3" fontId="44" fillId="0" borderId="12" xfId="0" applyNumberFormat="1" applyFont="1" applyBorder="1" applyAlignment="1" applyProtection="1">
      <alignment vertical="center" wrapText="1"/>
    </xf>
    <xf numFmtId="0" fontId="23" fillId="0" borderId="13" xfId="0" applyFont="1" applyBorder="1" applyAlignment="1" applyProtection="1">
      <alignment horizontal="center" vertical="center" wrapText="1"/>
    </xf>
    <xf numFmtId="0" fontId="6" fillId="0" borderId="22" xfId="28" applyFont="1" applyBorder="1" applyAlignment="1" applyProtection="1">
      <alignment vertical="center" wrapText="1"/>
    </xf>
    <xf numFmtId="0" fontId="6" fillId="0" borderId="24" xfId="28" applyFont="1" applyBorder="1" applyAlignment="1" applyProtection="1">
      <alignment vertical="center" wrapText="1"/>
    </xf>
    <xf numFmtId="3" fontId="59" fillId="0" borderId="0" xfId="0" applyNumberFormat="1" applyFont="1" applyBorder="1" applyAlignment="1">
      <alignment vertical="center" wrapText="1"/>
    </xf>
    <xf numFmtId="3" fontId="17" fillId="0" borderId="20" xfId="0" applyNumberFormat="1" applyFont="1" applyBorder="1" applyAlignment="1" applyProtection="1">
      <alignment vertical="center" wrapText="1"/>
      <protection locked="0"/>
    </xf>
    <xf numFmtId="3" fontId="44" fillId="0" borderId="40" xfId="0" applyNumberFormat="1" applyFont="1" applyBorder="1" applyAlignment="1" applyProtection="1">
      <alignment vertical="center" wrapText="1"/>
      <protection locked="0"/>
    </xf>
    <xf numFmtId="3" fontId="52" fillId="0" borderId="27" xfId="0" applyNumberFormat="1" applyFont="1" applyBorder="1" applyAlignment="1" applyProtection="1">
      <alignment vertical="center" wrapText="1"/>
      <protection locked="0"/>
    </xf>
    <xf numFmtId="3" fontId="52" fillId="0" borderId="91" xfId="0" applyNumberFormat="1" applyFont="1" applyBorder="1" applyAlignment="1" applyProtection="1">
      <alignment vertical="center" wrapText="1"/>
      <protection locked="0"/>
    </xf>
    <xf numFmtId="3" fontId="45" fillId="0" borderId="23" xfId="0" applyNumberFormat="1" applyFont="1" applyBorder="1" applyAlignment="1" applyProtection="1">
      <alignment vertical="center" wrapText="1"/>
    </xf>
    <xf numFmtId="0" fontId="6" fillId="0" borderId="28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6" fillId="0" borderId="53" xfId="0" applyFont="1" applyBorder="1" applyAlignment="1">
      <alignment horizontal="center" vertical="center"/>
    </xf>
    <xf numFmtId="0" fontId="17" fillId="0" borderId="28" xfId="0" applyFont="1" applyBorder="1" applyAlignment="1" applyProtection="1">
      <alignment horizontal="left" vertical="center" wrapText="1"/>
    </xf>
    <xf numFmtId="0" fontId="17" fillId="0" borderId="53" xfId="0" applyFont="1" applyBorder="1" applyAlignment="1" applyProtection="1">
      <alignment vertical="center" wrapText="1"/>
    </xf>
    <xf numFmtId="3" fontId="45" fillId="0" borderId="0" xfId="0" applyNumberFormat="1" applyFont="1" applyAlignment="1">
      <alignment vertical="center" wrapText="1"/>
    </xf>
    <xf numFmtId="3" fontId="52" fillId="0" borderId="7" xfId="0" applyNumberFormat="1" applyFont="1" applyBorder="1" applyAlignment="1" applyProtection="1">
      <alignment vertical="center" wrapText="1"/>
      <protection locked="0"/>
    </xf>
    <xf numFmtId="3" fontId="52" fillId="0" borderId="5" xfId="0" applyNumberFormat="1" applyFont="1" applyBorder="1" applyAlignment="1" applyProtection="1">
      <alignment vertical="center" wrapText="1"/>
      <protection locked="0"/>
    </xf>
    <xf numFmtId="3" fontId="52" fillId="0" borderId="7" xfId="0" applyNumberFormat="1" applyFont="1" applyBorder="1" applyAlignment="1" applyProtection="1">
      <alignment horizontal="right" vertical="center" wrapText="1"/>
      <protection locked="0"/>
    </xf>
    <xf numFmtId="3" fontId="32" fillId="0" borderId="133" xfId="25" applyNumberFormat="1" applyFont="1" applyFill="1" applyBorder="1" applyAlignment="1">
      <alignment horizontal="right"/>
    </xf>
    <xf numFmtId="3" fontId="44" fillId="0" borderId="16" xfId="0" applyNumberFormat="1" applyFont="1" applyBorder="1" applyAlignment="1" applyProtection="1">
      <alignment vertical="center" wrapText="1"/>
      <protection locked="0"/>
    </xf>
    <xf numFmtId="3" fontId="44" fillId="0" borderId="134" xfId="0" applyNumberFormat="1" applyFont="1" applyBorder="1" applyAlignment="1" applyProtection="1">
      <alignment vertical="center" wrapText="1"/>
      <protection locked="0"/>
    </xf>
    <xf numFmtId="3" fontId="44" fillId="0" borderId="20" xfId="0" applyNumberFormat="1" applyFont="1" applyBorder="1" applyAlignment="1" applyProtection="1">
      <alignment vertical="center" wrapText="1"/>
      <protection locked="0"/>
    </xf>
    <xf numFmtId="3" fontId="44" fillId="0" borderId="7" xfId="0" applyNumberFormat="1" applyFont="1" applyBorder="1" applyAlignment="1" applyProtection="1">
      <alignment vertical="center" wrapText="1"/>
      <protection locked="0"/>
    </xf>
    <xf numFmtId="3" fontId="15" fillId="0" borderId="79" xfId="0" applyNumberFormat="1" applyFont="1" applyBorder="1" applyAlignment="1" applyProtection="1">
      <alignment vertical="center" wrapText="1"/>
      <protection locked="0"/>
    </xf>
    <xf numFmtId="3" fontId="15" fillId="0" borderId="76" xfId="0" applyNumberFormat="1" applyFont="1" applyBorder="1" applyAlignment="1" applyProtection="1">
      <alignment vertical="center" wrapText="1"/>
      <protection locked="0"/>
    </xf>
    <xf numFmtId="166" fontId="17" fillId="0" borderId="41" xfId="0" applyNumberFormat="1" applyFont="1" applyBorder="1" applyAlignment="1" applyProtection="1">
      <alignment vertical="center" wrapText="1"/>
      <protection locked="0"/>
    </xf>
    <xf numFmtId="166" fontId="17" fillId="0" borderId="47" xfId="0" applyNumberFormat="1" applyFont="1" applyBorder="1" applyAlignment="1" applyProtection="1">
      <alignment vertical="center" wrapText="1"/>
      <protection locked="0"/>
    </xf>
    <xf numFmtId="166" fontId="17" fillId="0" borderId="76" xfId="0" applyNumberFormat="1" applyFont="1" applyBorder="1" applyAlignment="1" applyProtection="1">
      <alignment vertical="center" wrapText="1"/>
      <protection locked="0"/>
    </xf>
    <xf numFmtId="3" fontId="45" fillId="0" borderId="40" xfId="0" applyNumberFormat="1" applyFont="1" applyBorder="1" applyAlignment="1" applyProtection="1">
      <alignment vertical="center" wrapText="1"/>
      <protection locked="0"/>
    </xf>
    <xf numFmtId="3" fontId="45" fillId="0" borderId="7" xfId="0" applyNumberFormat="1" applyFont="1" applyBorder="1" applyAlignment="1" applyProtection="1">
      <alignment vertical="center" wrapText="1"/>
      <protection locked="0"/>
    </xf>
    <xf numFmtId="3" fontId="52" fillId="0" borderId="31" xfId="0" applyNumberFormat="1" applyFont="1" applyBorder="1" applyAlignment="1" applyProtection="1">
      <alignment vertical="center" wrapText="1"/>
      <protection locked="0"/>
    </xf>
    <xf numFmtId="3" fontId="17" fillId="0" borderId="47" xfId="0" applyNumberFormat="1" applyFont="1" applyBorder="1" applyAlignment="1" applyProtection="1">
      <alignment vertical="center" wrapText="1"/>
      <protection locked="0"/>
    </xf>
    <xf numFmtId="3" fontId="17" fillId="0" borderId="17" xfId="0" applyNumberFormat="1" applyFont="1" applyBorder="1" applyAlignment="1" applyProtection="1">
      <alignment vertical="center" wrapText="1"/>
    </xf>
    <xf numFmtId="3" fontId="17" fillId="0" borderId="7" xfId="0" applyNumberFormat="1" applyFont="1" applyBorder="1" applyAlignment="1" applyProtection="1">
      <alignment vertical="center" wrapText="1"/>
    </xf>
    <xf numFmtId="3" fontId="17" fillId="0" borderId="79" xfId="0" applyNumberFormat="1" applyFont="1" applyBorder="1" applyAlignment="1" applyProtection="1">
      <alignment vertical="center" wrapText="1"/>
      <protection locked="0"/>
    </xf>
    <xf numFmtId="3" fontId="17" fillId="0" borderId="15" xfId="0" applyNumberFormat="1" applyFont="1" applyBorder="1" applyAlignment="1" applyProtection="1">
      <alignment vertical="center" wrapText="1"/>
      <protection locked="0"/>
    </xf>
    <xf numFmtId="0" fontId="2" fillId="0" borderId="0" xfId="28" applyFont="1" applyAlignment="1">
      <alignment horizontal="center"/>
    </xf>
    <xf numFmtId="3" fontId="24" fillId="0" borderId="51" xfId="28" applyNumberFormat="1" applyFont="1" applyBorder="1"/>
    <xf numFmtId="0" fontId="38" fillId="0" borderId="135" xfId="28" applyFont="1" applyBorder="1"/>
    <xf numFmtId="3" fontId="32" fillId="0" borderId="136" xfId="28" applyNumberFormat="1" applyFont="1" applyFill="1" applyBorder="1"/>
    <xf numFmtId="3" fontId="32" fillId="0" borderId="136" xfId="28" applyNumberFormat="1" applyFont="1" applyBorder="1"/>
    <xf numFmtId="3" fontId="24" fillId="3" borderId="49" xfId="28" applyNumberFormat="1" applyFont="1" applyFill="1" applyBorder="1"/>
    <xf numFmtId="169" fontId="24" fillId="0" borderId="49" xfId="28" applyNumberFormat="1" applyFont="1" applyBorder="1" applyAlignment="1">
      <alignment horizontal="center"/>
    </xf>
    <xf numFmtId="3" fontId="24" fillId="3" borderId="49" xfId="28" applyNumberFormat="1" applyFont="1" applyFill="1" applyBorder="1" applyAlignment="1">
      <alignment horizontal="center"/>
    </xf>
    <xf numFmtId="0" fontId="15" fillId="0" borderId="29" xfId="28" applyFont="1" applyBorder="1" applyAlignment="1" applyProtection="1">
      <alignment horizontal="left" vertical="center" wrapText="1" indent="1"/>
    </xf>
    <xf numFmtId="3" fontId="29" fillId="0" borderId="17" xfId="28" applyNumberFormat="1" applyFont="1" applyFill="1" applyBorder="1" applyAlignment="1">
      <alignment horizontal="right" vertical="center" wrapText="1"/>
    </xf>
    <xf numFmtId="3" fontId="29" fillId="8" borderId="49" xfId="28" applyNumberFormat="1" applyFont="1" applyFill="1" applyBorder="1" applyAlignment="1">
      <alignment horizontal="right" vertical="center" wrapText="1"/>
    </xf>
    <xf numFmtId="3" fontId="12" fillId="3" borderId="17" xfId="0" applyNumberFormat="1" applyFont="1" applyFill="1" applyBorder="1" applyAlignment="1" applyProtection="1">
      <alignment vertical="center" wrapText="1"/>
    </xf>
    <xf numFmtId="3" fontId="26" fillId="3" borderId="17" xfId="28" applyNumberFormat="1" applyFont="1" applyFill="1" applyBorder="1" applyAlignment="1">
      <alignment horizontal="center" vertical="center"/>
    </xf>
    <xf numFmtId="3" fontId="26" fillId="3" borderId="26" xfId="28" applyNumberFormat="1" applyFont="1" applyFill="1" applyBorder="1" applyAlignment="1">
      <alignment horizontal="center" vertical="center"/>
    </xf>
    <xf numFmtId="3" fontId="7" fillId="3" borderId="47" xfId="0" applyNumberFormat="1" applyFont="1" applyFill="1" applyBorder="1" applyAlignment="1" applyProtection="1">
      <alignment vertical="center" wrapText="1"/>
    </xf>
    <xf numFmtId="0" fontId="26" fillId="0" borderId="56" xfId="28" applyFont="1" applyBorder="1" applyAlignment="1">
      <alignment horizontal="left"/>
    </xf>
    <xf numFmtId="0" fontId="6" fillId="0" borderId="0" xfId="28" applyFont="1" applyBorder="1" applyAlignment="1" applyProtection="1">
      <alignment horizontal="right" vertical="center"/>
    </xf>
    <xf numFmtId="49" fontId="6" fillId="10" borderId="54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135" xfId="28" applyFont="1" applyFill="1" applyBorder="1"/>
    <xf numFmtId="3" fontId="32" fillId="10" borderId="61" xfId="28" applyNumberFormat="1" applyFont="1" applyFill="1" applyBorder="1"/>
    <xf numFmtId="3" fontId="32" fillId="10" borderId="17" xfId="28" applyNumberFormat="1" applyFont="1" applyFill="1" applyBorder="1" applyAlignment="1">
      <alignment horizontal="right" vertical="center" wrapText="1"/>
    </xf>
    <xf numFmtId="3" fontId="24" fillId="11" borderId="49" xfId="28" applyNumberFormat="1" applyFont="1" applyFill="1" applyBorder="1"/>
    <xf numFmtId="3" fontId="24" fillId="11" borderId="49" xfId="28" applyNumberFormat="1" applyFont="1" applyFill="1" applyBorder="1" applyAlignment="1">
      <alignment horizontal="center"/>
    </xf>
    <xf numFmtId="3" fontId="24" fillId="10" borderId="0" xfId="28" applyNumberFormat="1" applyFont="1" applyFill="1" applyBorder="1" applyAlignment="1">
      <alignment horizontal="center"/>
    </xf>
    <xf numFmtId="3" fontId="2" fillId="10" borderId="0" xfId="28" applyNumberFormat="1" applyFont="1" applyFill="1"/>
    <xf numFmtId="0" fontId="38" fillId="10" borderId="58" xfId="28" applyFont="1" applyFill="1" applyBorder="1" applyAlignment="1">
      <alignment horizontal="left" wrapText="1"/>
    </xf>
    <xf numFmtId="3" fontId="32" fillId="10" borderId="29" xfId="28" applyNumberFormat="1" applyFont="1" applyFill="1" applyBorder="1"/>
    <xf numFmtId="3" fontId="24" fillId="10" borderId="19" xfId="28" applyNumberFormat="1" applyFont="1" applyFill="1" applyBorder="1"/>
    <xf numFmtId="3" fontId="17" fillId="10" borderId="17" xfId="0" applyNumberFormat="1" applyFont="1" applyFill="1" applyBorder="1" applyAlignment="1" applyProtection="1">
      <alignment vertical="center" wrapText="1"/>
      <protection locked="0"/>
    </xf>
    <xf numFmtId="3" fontId="24" fillId="11" borderId="17" xfId="28" applyNumberFormat="1" applyFont="1" applyFill="1" applyBorder="1"/>
    <xf numFmtId="3" fontId="52" fillId="10" borderId="17" xfId="0" applyNumberFormat="1" applyFont="1" applyFill="1" applyBorder="1" applyAlignment="1" applyProtection="1">
      <alignment vertical="center" wrapText="1"/>
      <protection locked="0"/>
    </xf>
    <xf numFmtId="3" fontId="17" fillId="10" borderId="29" xfId="0" applyNumberFormat="1" applyFont="1" applyFill="1" applyBorder="1" applyAlignment="1" applyProtection="1">
      <alignment vertical="center" wrapText="1"/>
      <protection locked="0"/>
    </xf>
    <xf numFmtId="3" fontId="17" fillId="10" borderId="26" xfId="0" applyNumberFormat="1" applyFont="1" applyFill="1" applyBorder="1" applyAlignment="1" applyProtection="1">
      <alignment vertical="center" wrapText="1"/>
      <protection locked="0"/>
    </xf>
    <xf numFmtId="3" fontId="24" fillId="11" borderId="17" xfId="28" applyNumberFormat="1" applyFont="1" applyFill="1" applyBorder="1" applyAlignment="1">
      <alignment horizontal="center"/>
    </xf>
    <xf numFmtId="0" fontId="24" fillId="10" borderId="49" xfId="28" applyFont="1" applyFill="1" applyBorder="1" applyAlignment="1">
      <alignment horizontal="center"/>
    </xf>
    <xf numFmtId="0" fontId="2" fillId="10" borderId="0" xfId="28" applyFont="1" applyFill="1"/>
    <xf numFmtId="3" fontId="24" fillId="10" borderId="49" xfId="28" applyNumberFormat="1" applyFont="1" applyFill="1" applyBorder="1" applyAlignment="1">
      <alignment horizontal="center" vertical="center" wrapText="1"/>
    </xf>
    <xf numFmtId="3" fontId="29" fillId="10" borderId="49" xfId="28" applyNumberFormat="1" applyFont="1" applyFill="1" applyBorder="1" applyAlignment="1">
      <alignment horizontal="right" vertical="center" wrapText="1"/>
    </xf>
    <xf numFmtId="0" fontId="34" fillId="0" borderId="0" xfId="28" applyFont="1" applyFill="1"/>
    <xf numFmtId="3" fontId="11" fillId="10" borderId="49" xfId="15" applyNumberFormat="1" applyFont="1" applyFill="1" applyBorder="1"/>
    <xf numFmtId="166" fontId="18" fillId="10" borderId="0" xfId="0" applyNumberFormat="1" applyFont="1" applyFill="1" applyAlignment="1">
      <alignment vertical="center" wrapText="1"/>
    </xf>
    <xf numFmtId="3" fontId="48" fillId="10" borderId="0" xfId="0" applyNumberFormat="1" applyFont="1" applyFill="1" applyAlignment="1">
      <alignment vertical="center" wrapText="1"/>
    </xf>
    <xf numFmtId="166" fontId="18" fillId="10" borderId="0" xfId="0" applyNumberFormat="1" applyFont="1" applyFill="1" applyBorder="1" applyAlignment="1">
      <alignment vertical="center" wrapText="1"/>
    </xf>
    <xf numFmtId="166" fontId="0" fillId="10" borderId="0" xfId="0" applyNumberFormat="1" applyFill="1" applyAlignment="1">
      <alignment vertical="center" wrapText="1"/>
    </xf>
    <xf numFmtId="0" fontId="6" fillId="10" borderId="15" xfId="0" applyFont="1" applyFill="1" applyBorder="1" applyAlignment="1" applyProtection="1">
      <alignment horizontal="center" vertical="center" wrapText="1"/>
    </xf>
    <xf numFmtId="0" fontId="6" fillId="10" borderId="2" xfId="0" applyFont="1" applyFill="1" applyBorder="1" applyAlignment="1" applyProtection="1">
      <alignment horizontal="center" vertical="center" wrapText="1"/>
    </xf>
    <xf numFmtId="3" fontId="6" fillId="11" borderId="2" xfId="0" applyNumberFormat="1" applyFont="1" applyFill="1" applyBorder="1" applyAlignment="1" applyProtection="1">
      <alignment vertical="center" wrapText="1"/>
    </xf>
    <xf numFmtId="3" fontId="15" fillId="10" borderId="2" xfId="0" applyNumberFormat="1" applyFont="1" applyFill="1" applyBorder="1" applyAlignment="1" applyProtection="1">
      <alignment vertical="center" wrapText="1"/>
    </xf>
    <xf numFmtId="3" fontId="17" fillId="10" borderId="16" xfId="0" applyNumberFormat="1" applyFont="1" applyFill="1" applyBorder="1" applyAlignment="1" applyProtection="1">
      <alignment vertical="center" wrapText="1"/>
      <protection locked="0"/>
    </xf>
    <xf numFmtId="3" fontId="17" fillId="10" borderId="7" xfId="0" applyNumberFormat="1" applyFont="1" applyFill="1" applyBorder="1" applyAlignment="1" applyProtection="1">
      <alignment vertical="center" wrapText="1"/>
      <protection locked="0"/>
    </xf>
    <xf numFmtId="3" fontId="17" fillId="10" borderId="31" xfId="0" applyNumberFormat="1" applyFont="1" applyFill="1" applyBorder="1" applyAlignment="1" applyProtection="1">
      <alignment vertical="center" wrapText="1"/>
      <protection locked="0"/>
    </xf>
    <xf numFmtId="3" fontId="17" fillId="10" borderId="9" xfId="0" applyNumberFormat="1" applyFont="1" applyFill="1" applyBorder="1" applyAlignment="1" applyProtection="1">
      <alignment vertical="center" wrapText="1"/>
      <protection locked="0"/>
    </xf>
    <xf numFmtId="3" fontId="15" fillId="10" borderId="31" xfId="0" applyNumberFormat="1" applyFont="1" applyFill="1" applyBorder="1" applyAlignment="1" applyProtection="1">
      <alignment vertical="center" wrapText="1"/>
    </xf>
    <xf numFmtId="3" fontId="15" fillId="10" borderId="2" xfId="0" applyNumberFormat="1" applyFont="1" applyFill="1" applyBorder="1" applyAlignment="1" applyProtection="1">
      <alignment vertical="center" wrapText="1"/>
      <protection locked="0"/>
    </xf>
    <xf numFmtId="3" fontId="15" fillId="10" borderId="35" xfId="0" applyNumberFormat="1" applyFont="1" applyFill="1" applyBorder="1" applyAlignment="1" applyProtection="1">
      <alignment vertical="center" wrapText="1"/>
      <protection locked="0"/>
    </xf>
    <xf numFmtId="3" fontId="15" fillId="10" borderId="35" xfId="0" applyNumberFormat="1" applyFont="1" applyFill="1" applyBorder="1" applyAlignment="1" applyProtection="1">
      <alignment vertical="center" wrapText="1"/>
    </xf>
    <xf numFmtId="3" fontId="17" fillId="10" borderId="54" xfId="0" applyNumberFormat="1" applyFont="1" applyFill="1" applyBorder="1" applyAlignment="1" applyProtection="1">
      <alignment vertical="center" wrapText="1"/>
      <protection locked="0"/>
    </xf>
    <xf numFmtId="3" fontId="17" fillId="10" borderId="18" xfId="0" applyNumberFormat="1" applyFont="1" applyFill="1" applyBorder="1" applyAlignment="1" applyProtection="1">
      <alignment vertical="center" wrapText="1"/>
      <protection locked="0"/>
    </xf>
    <xf numFmtId="3" fontId="15" fillId="10" borderId="0" xfId="0" applyNumberFormat="1" applyFont="1" applyFill="1" applyBorder="1" applyAlignment="1" applyProtection="1">
      <alignment vertical="center" wrapText="1"/>
    </xf>
    <xf numFmtId="3" fontId="17" fillId="10" borderId="5" xfId="0" applyNumberFormat="1" applyFont="1" applyFill="1" applyBorder="1" applyAlignment="1" applyProtection="1">
      <alignment vertical="center" wrapText="1"/>
      <protection locked="0"/>
    </xf>
    <xf numFmtId="0" fontId="17" fillId="10" borderId="0" xfId="0" applyFont="1" applyFill="1" applyAlignment="1" applyProtection="1">
      <alignment vertical="center" wrapText="1"/>
    </xf>
    <xf numFmtId="4" fontId="15" fillId="10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15" fillId="10" borderId="2" xfId="0" applyNumberFormat="1" applyFont="1" applyFill="1" applyBorder="1" applyAlignment="1" applyProtection="1">
      <alignment horizontal="right" vertical="center" wrapText="1" indent="1"/>
      <protection locked="0"/>
    </xf>
    <xf numFmtId="0" fontId="0" fillId="10" borderId="0" xfId="0" applyFill="1" applyAlignment="1">
      <alignment vertical="center" wrapText="1"/>
    </xf>
    <xf numFmtId="3" fontId="15" fillId="10" borderId="55" xfId="0" applyNumberFormat="1" applyFont="1" applyFill="1" applyBorder="1" applyAlignment="1" applyProtection="1">
      <alignment vertical="center" wrapText="1"/>
      <protection locked="0"/>
    </xf>
    <xf numFmtId="3" fontId="15" fillId="10" borderId="27" xfId="0" applyNumberFormat="1" applyFont="1" applyFill="1" applyBorder="1" applyAlignment="1" applyProtection="1">
      <alignment vertical="center" wrapText="1"/>
      <protection locked="0"/>
    </xf>
    <xf numFmtId="3" fontId="15" fillId="10" borderId="40" xfId="0" applyNumberFormat="1" applyFont="1" applyFill="1" applyBorder="1" applyAlignment="1" applyProtection="1">
      <alignment vertical="center" wrapText="1"/>
      <protection locked="0"/>
    </xf>
    <xf numFmtId="3" fontId="15" fillId="10" borderId="31" xfId="0" applyNumberFormat="1" applyFont="1" applyFill="1" applyBorder="1" applyAlignment="1" applyProtection="1">
      <alignment vertical="center" wrapText="1"/>
      <protection locked="0"/>
    </xf>
    <xf numFmtId="0" fontId="0" fillId="0" borderId="23" xfId="0" applyBorder="1" applyAlignment="1">
      <alignment horizontal="center" vertical="center" wrapText="1"/>
    </xf>
    <xf numFmtId="3" fontId="3" fillId="0" borderId="0" xfId="0" applyNumberFormat="1" applyFont="1" applyBorder="1" applyAlignment="1">
      <alignment vertical="center" wrapText="1"/>
    </xf>
    <xf numFmtId="3" fontId="111" fillId="0" borderId="0" xfId="0" applyNumberFormat="1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6" fillId="10" borderId="78" xfId="0" applyFont="1" applyFill="1" applyBorder="1" applyAlignment="1" applyProtection="1">
      <alignment horizontal="center" vertical="center" wrapText="1"/>
    </xf>
    <xf numFmtId="0" fontId="6" fillId="10" borderId="23" xfId="0" applyFont="1" applyFill="1" applyBorder="1" applyAlignment="1" applyProtection="1">
      <alignment horizontal="center" vertical="center" wrapText="1"/>
    </xf>
    <xf numFmtId="3" fontId="6" fillId="11" borderId="23" xfId="0" applyNumberFormat="1" applyFont="1" applyFill="1" applyBorder="1" applyAlignment="1" applyProtection="1">
      <alignment vertical="center" wrapText="1"/>
    </xf>
    <xf numFmtId="166" fontId="15" fillId="10" borderId="23" xfId="0" applyNumberFormat="1" applyFont="1" applyFill="1" applyBorder="1" applyAlignment="1" applyProtection="1">
      <alignment vertical="center" wrapText="1"/>
    </xf>
    <xf numFmtId="3" fontId="17" fillId="10" borderId="55" xfId="0" applyNumberFormat="1" applyFont="1" applyFill="1" applyBorder="1" applyAlignment="1" applyProtection="1">
      <alignment vertical="center" wrapText="1"/>
      <protection locked="0"/>
    </xf>
    <xf numFmtId="3" fontId="17" fillId="10" borderId="27" xfId="0" applyNumberFormat="1" applyFont="1" applyFill="1" applyBorder="1" applyAlignment="1" applyProtection="1">
      <alignment vertical="center" wrapText="1"/>
      <protection locked="0"/>
    </xf>
    <xf numFmtId="3" fontId="17" fillId="10" borderId="30" xfId="0" applyNumberFormat="1" applyFont="1" applyFill="1" applyBorder="1" applyAlignment="1" applyProtection="1">
      <alignment vertical="center" wrapText="1"/>
      <protection locked="0"/>
    </xf>
    <xf numFmtId="3" fontId="17" fillId="10" borderId="91" xfId="0" applyNumberFormat="1" applyFont="1" applyFill="1" applyBorder="1" applyAlignment="1" applyProtection="1">
      <alignment vertical="center" wrapText="1"/>
      <protection locked="0"/>
    </xf>
    <xf numFmtId="3" fontId="15" fillId="10" borderId="23" xfId="0" applyNumberFormat="1" applyFont="1" applyFill="1" applyBorder="1" applyAlignment="1" applyProtection="1">
      <alignment vertical="center" wrapText="1"/>
    </xf>
    <xf numFmtId="3" fontId="15" fillId="10" borderId="23" xfId="0" applyNumberFormat="1" applyFont="1" applyFill="1" applyBorder="1" applyAlignment="1" applyProtection="1">
      <alignment vertical="center" wrapText="1"/>
      <protection locked="0"/>
    </xf>
    <xf numFmtId="3" fontId="15" fillId="10" borderId="88" xfId="0" applyNumberFormat="1" applyFont="1" applyFill="1" applyBorder="1" applyAlignment="1" applyProtection="1">
      <alignment vertical="center" wrapText="1"/>
      <protection locked="0"/>
    </xf>
    <xf numFmtId="3" fontId="17" fillId="10" borderId="78" xfId="0" applyNumberFormat="1" applyFont="1" applyFill="1" applyBorder="1" applyAlignment="1" applyProtection="1">
      <alignment vertical="center" wrapText="1"/>
      <protection locked="0"/>
    </xf>
    <xf numFmtId="3" fontId="17" fillId="10" borderId="25" xfId="0" applyNumberFormat="1" applyFont="1" applyFill="1" applyBorder="1" applyAlignment="1" applyProtection="1">
      <alignment vertical="center" wrapText="1"/>
      <protection locked="0"/>
    </xf>
    <xf numFmtId="4" fontId="15" fillId="10" borderId="23" xfId="0" applyNumberFormat="1" applyFont="1" applyFill="1" applyBorder="1" applyAlignment="1" applyProtection="1">
      <alignment horizontal="right" vertical="center" wrapText="1" indent="1"/>
      <protection locked="0"/>
    </xf>
    <xf numFmtId="3" fontId="15" fillId="10" borderId="23" xfId="0" applyNumberFormat="1" applyFont="1" applyFill="1" applyBorder="1" applyAlignment="1" applyProtection="1">
      <alignment horizontal="right" vertical="center" wrapText="1" indent="1"/>
      <protection locked="0"/>
    </xf>
    <xf numFmtId="3" fontId="44" fillId="10" borderId="7" xfId="0" applyNumberFormat="1" applyFont="1" applyFill="1" applyBorder="1" applyAlignment="1" applyProtection="1">
      <alignment vertical="center" wrapText="1"/>
      <protection locked="0"/>
    </xf>
    <xf numFmtId="3" fontId="17" fillId="10" borderId="20" xfId="0" applyNumberFormat="1" applyFont="1" applyFill="1" applyBorder="1" applyAlignment="1" applyProtection="1">
      <alignment vertical="center" wrapText="1"/>
      <protection locked="0"/>
    </xf>
    <xf numFmtId="0" fontId="3" fillId="10" borderId="0" xfId="0" applyFont="1" applyFill="1" applyAlignment="1">
      <alignment vertical="center" wrapText="1"/>
    </xf>
    <xf numFmtId="3" fontId="3" fillId="10" borderId="0" xfId="0" applyNumberFormat="1" applyFont="1" applyFill="1" applyBorder="1" applyAlignment="1">
      <alignment vertical="center" wrapText="1"/>
    </xf>
    <xf numFmtId="3" fontId="111" fillId="10" borderId="0" xfId="0" applyNumberFormat="1" applyFont="1" applyFill="1" applyBorder="1" applyAlignment="1">
      <alignment vertical="center" wrapText="1"/>
    </xf>
    <xf numFmtId="0" fontId="0" fillId="10" borderId="0" xfId="0" applyFill="1" applyBorder="1" applyAlignment="1">
      <alignment vertical="center" wrapText="1"/>
    </xf>
    <xf numFmtId="3" fontId="0" fillId="10" borderId="0" xfId="0" applyNumberFormat="1" applyFill="1" applyAlignment="1">
      <alignment vertical="center" wrapText="1"/>
    </xf>
    <xf numFmtId="3" fontId="17" fillId="10" borderId="23" xfId="0" applyNumberFormat="1" applyFont="1" applyFill="1" applyBorder="1" applyAlignment="1" applyProtection="1">
      <alignment vertical="center" wrapText="1"/>
      <protection locked="0"/>
    </xf>
    <xf numFmtId="3" fontId="15" fillId="10" borderId="88" xfId="0" applyNumberFormat="1" applyFont="1" applyFill="1" applyBorder="1" applyAlignment="1" applyProtection="1">
      <alignment vertical="center" wrapText="1"/>
    </xf>
    <xf numFmtId="3" fontId="15" fillId="10" borderId="18" xfId="0" applyNumberFormat="1" applyFont="1" applyFill="1" applyBorder="1" applyAlignment="1" applyProtection="1">
      <alignment vertical="center" wrapText="1"/>
      <protection locked="0"/>
    </xf>
    <xf numFmtId="3" fontId="6" fillId="11" borderId="40" xfId="0" applyNumberFormat="1" applyFont="1" applyFill="1" applyBorder="1" applyAlignment="1" applyProtection="1">
      <alignment vertical="center" wrapText="1"/>
    </xf>
    <xf numFmtId="3" fontId="44" fillId="10" borderId="27" xfId="0" applyNumberFormat="1" applyFont="1" applyFill="1" applyBorder="1" applyAlignment="1" applyProtection="1">
      <alignment vertical="center" wrapText="1"/>
      <protection locked="0"/>
    </xf>
    <xf numFmtId="3" fontId="44" fillId="10" borderId="5" xfId="0" applyNumberFormat="1" applyFont="1" applyFill="1" applyBorder="1" applyAlignment="1" applyProtection="1">
      <alignment vertical="center" wrapText="1"/>
      <protection locked="0"/>
    </xf>
    <xf numFmtId="3" fontId="44" fillId="10" borderId="23" xfId="0" applyNumberFormat="1" applyFont="1" applyFill="1" applyBorder="1" applyAlignment="1" applyProtection="1">
      <alignment vertical="center" wrapText="1"/>
      <protection locked="0"/>
    </xf>
    <xf numFmtId="3" fontId="44" fillId="10" borderId="9" xfId="0" applyNumberFormat="1" applyFont="1" applyFill="1" applyBorder="1" applyAlignment="1" applyProtection="1">
      <alignment vertical="center" wrapText="1"/>
      <protection locked="0"/>
    </xf>
    <xf numFmtId="3" fontId="6" fillId="11" borderId="88" xfId="0" applyNumberFormat="1" applyFont="1" applyFill="1" applyBorder="1" applyAlignment="1" applyProtection="1">
      <alignment vertical="center" wrapText="1"/>
    </xf>
    <xf numFmtId="3" fontId="6" fillId="11" borderId="90" xfId="0" applyNumberFormat="1" applyFont="1" applyFill="1" applyBorder="1" applyAlignment="1" applyProtection="1">
      <alignment vertical="center" wrapText="1"/>
    </xf>
    <xf numFmtId="3" fontId="15" fillId="10" borderId="40" xfId="0" applyNumberFormat="1" applyFont="1" applyFill="1" applyBorder="1" applyAlignment="1" applyProtection="1">
      <alignment vertical="center" wrapText="1"/>
    </xf>
    <xf numFmtId="3" fontId="17" fillId="10" borderId="83" xfId="0" applyNumberFormat="1" applyFont="1" applyFill="1" applyBorder="1" applyAlignment="1" applyProtection="1">
      <alignment vertical="center" wrapText="1"/>
      <protection locked="0"/>
    </xf>
    <xf numFmtId="3" fontId="15" fillId="10" borderId="137" xfId="0" applyNumberFormat="1" applyFont="1" applyFill="1" applyBorder="1" applyAlignment="1" applyProtection="1">
      <alignment vertical="center" wrapText="1"/>
      <protection locked="0"/>
    </xf>
    <xf numFmtId="3" fontId="32" fillId="10" borderId="26" xfId="28" applyNumberFormat="1" applyFont="1" applyFill="1" applyBorder="1" applyAlignment="1">
      <alignment horizontal="right" vertical="center" wrapText="1"/>
    </xf>
    <xf numFmtId="3" fontId="17" fillId="10" borderId="88" xfId="0" applyNumberFormat="1" applyFont="1" applyFill="1" applyBorder="1" applyAlignment="1" applyProtection="1">
      <alignment vertical="center" wrapText="1"/>
      <protection locked="0"/>
    </xf>
    <xf numFmtId="3" fontId="17" fillId="10" borderId="2" xfId="0" applyNumberFormat="1" applyFont="1" applyFill="1" applyBorder="1" applyAlignment="1" applyProtection="1">
      <alignment vertical="center" wrapText="1"/>
      <protection locked="0"/>
    </xf>
    <xf numFmtId="3" fontId="6" fillId="11" borderId="35" xfId="0" applyNumberFormat="1" applyFont="1" applyFill="1" applyBorder="1" applyAlignment="1" applyProtection="1">
      <alignment vertical="center" wrapText="1"/>
    </xf>
    <xf numFmtId="3" fontId="17" fillId="0" borderId="34" xfId="0" applyNumberFormat="1" applyFont="1" applyFill="1" applyBorder="1" applyAlignment="1" applyProtection="1">
      <alignment vertical="center" wrapText="1"/>
      <protection locked="0"/>
    </xf>
    <xf numFmtId="0" fontId="17" fillId="0" borderId="0" xfId="0" applyFont="1" applyFill="1" applyAlignment="1" applyProtection="1">
      <alignment vertical="center" wrapText="1"/>
    </xf>
    <xf numFmtId="167" fontId="15" fillId="0" borderId="0" xfId="0" applyNumberFormat="1" applyFont="1" applyFill="1" applyBorder="1" applyAlignment="1" applyProtection="1">
      <alignment horizontal="center"/>
    </xf>
    <xf numFmtId="0" fontId="0" fillId="0" borderId="23" xfId="0" applyFill="1" applyBorder="1" applyAlignment="1">
      <alignment horizontal="center" vertical="center" wrapText="1"/>
    </xf>
    <xf numFmtId="3" fontId="17" fillId="0" borderId="17" xfId="0" applyNumberFormat="1" applyFont="1" applyFill="1" applyBorder="1" applyAlignment="1" applyProtection="1">
      <alignment vertical="center" wrapText="1"/>
      <protection locked="0"/>
    </xf>
    <xf numFmtId="3" fontId="15" fillId="0" borderId="0" xfId="0" applyNumberFormat="1" applyFont="1" applyFill="1" applyBorder="1" applyAlignment="1" applyProtection="1">
      <alignment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26" fillId="0" borderId="56" xfId="28" applyFont="1" applyFill="1" applyBorder="1" applyAlignment="1">
      <alignment horizontal="left"/>
    </xf>
    <xf numFmtId="3" fontId="6" fillId="0" borderId="35" xfId="0" applyNumberFormat="1" applyFont="1" applyFill="1" applyBorder="1" applyAlignment="1" applyProtection="1">
      <alignment vertical="center" wrapText="1"/>
    </xf>
    <xf numFmtId="3" fontId="6" fillId="0" borderId="34" xfId="0" applyNumberFormat="1" applyFont="1" applyFill="1" applyBorder="1" applyAlignment="1" applyProtection="1">
      <alignment vertical="center" wrapText="1"/>
    </xf>
    <xf numFmtId="0" fontId="15" fillId="0" borderId="34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 applyProtection="1">
      <alignment vertical="center" wrapText="1"/>
    </xf>
    <xf numFmtId="167" fontId="6" fillId="0" borderId="34" xfId="0" applyNumberFormat="1" applyFont="1" applyBorder="1" applyAlignment="1" applyProtection="1">
      <alignment vertical="center"/>
    </xf>
    <xf numFmtId="167" fontId="15" fillId="0" borderId="34" xfId="0" applyNumberFormat="1" applyFont="1" applyFill="1" applyBorder="1" applyAlignment="1" applyProtection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/>
    </xf>
    <xf numFmtId="3" fontId="15" fillId="0" borderId="30" xfId="0" applyNumberFormat="1" applyFont="1" applyFill="1" applyBorder="1" applyAlignment="1" applyProtection="1">
      <alignment vertical="center" wrapText="1"/>
    </xf>
    <xf numFmtId="3" fontId="15" fillId="0" borderId="53" xfId="0" applyNumberFormat="1" applyFont="1" applyBorder="1" applyAlignment="1" applyProtection="1">
      <alignment vertical="center" wrapText="1"/>
    </xf>
    <xf numFmtId="3" fontId="15" fillId="0" borderId="28" xfId="0" applyNumberFormat="1" applyFont="1" applyBorder="1" applyAlignment="1" applyProtection="1">
      <alignment vertical="center" wrapText="1"/>
    </xf>
    <xf numFmtId="3" fontId="15" fillId="0" borderId="34" xfId="0" applyNumberFormat="1" applyFont="1" applyFill="1" applyBorder="1" applyAlignment="1" applyProtection="1">
      <alignment vertical="center" wrapText="1"/>
    </xf>
    <xf numFmtId="3" fontId="15" fillId="10" borderId="90" xfId="0" applyNumberFormat="1" applyFont="1" applyFill="1" applyBorder="1" applyAlignment="1" applyProtection="1">
      <alignment vertical="center" wrapText="1"/>
    </xf>
    <xf numFmtId="3" fontId="15" fillId="10" borderId="25" xfId="0" applyNumberFormat="1" applyFont="1" applyFill="1" applyBorder="1" applyAlignment="1" applyProtection="1">
      <alignment vertical="center" wrapText="1"/>
      <protection locked="0"/>
    </xf>
    <xf numFmtId="3" fontId="15" fillId="10" borderId="91" xfId="0" applyNumberFormat="1" applyFont="1" applyFill="1" applyBorder="1" applyAlignment="1" applyProtection="1">
      <alignment vertical="center" wrapText="1"/>
      <protection locked="0"/>
    </xf>
    <xf numFmtId="3" fontId="15" fillId="10" borderId="90" xfId="0" applyNumberFormat="1" applyFont="1" applyFill="1" applyBorder="1" applyAlignment="1" applyProtection="1">
      <alignment vertical="center" wrapText="1"/>
      <protection locked="0"/>
    </xf>
    <xf numFmtId="3" fontId="6" fillId="11" borderId="42" xfId="0" applyNumberFormat="1" applyFont="1" applyFill="1" applyBorder="1" applyAlignment="1" applyProtection="1">
      <alignment vertical="center" wrapText="1"/>
    </xf>
    <xf numFmtId="3" fontId="17" fillId="10" borderId="120" xfId="0" applyNumberFormat="1" applyFont="1" applyFill="1" applyBorder="1" applyAlignment="1" applyProtection="1">
      <alignment vertical="center" wrapText="1"/>
      <protection locked="0"/>
    </xf>
    <xf numFmtId="3" fontId="17" fillId="10" borderId="49" xfId="0" applyNumberFormat="1" applyFont="1" applyFill="1" applyBorder="1" applyAlignment="1" applyProtection="1">
      <alignment vertical="center" wrapText="1"/>
      <protection locked="0"/>
    </xf>
    <xf numFmtId="3" fontId="17" fillId="10" borderId="48" xfId="0" applyNumberFormat="1" applyFont="1" applyFill="1" applyBorder="1" applyAlignment="1" applyProtection="1">
      <alignment vertical="center" wrapText="1"/>
      <protection locked="0"/>
    </xf>
    <xf numFmtId="3" fontId="44" fillId="10" borderId="88" xfId="0" applyNumberFormat="1" applyFont="1" applyFill="1" applyBorder="1" applyAlignment="1" applyProtection="1">
      <alignment vertical="center" wrapText="1"/>
      <protection locked="0"/>
    </xf>
    <xf numFmtId="3" fontId="3" fillId="10" borderId="0" xfId="0" applyNumberFormat="1" applyFont="1" applyFill="1" applyAlignment="1">
      <alignment vertical="center" wrapText="1"/>
    </xf>
    <xf numFmtId="3" fontId="17" fillId="11" borderId="7" xfId="0" applyNumberFormat="1" applyFont="1" applyFill="1" applyBorder="1" applyAlignment="1" applyProtection="1">
      <alignment vertical="center" wrapText="1"/>
      <protection locked="0"/>
    </xf>
    <xf numFmtId="0" fontId="6" fillId="0" borderId="59" xfId="0" applyFont="1" applyBorder="1" applyAlignment="1" applyProtection="1">
      <alignment horizontal="center" vertical="center"/>
      <protection locked="0"/>
    </xf>
    <xf numFmtId="0" fontId="6" fillId="0" borderId="62" xfId="0" applyFont="1" applyBorder="1" applyAlignment="1" applyProtection="1">
      <alignment horizontal="center" vertical="center"/>
      <protection locked="0"/>
    </xf>
    <xf numFmtId="3" fontId="17" fillId="10" borderId="40" xfId="0" applyNumberFormat="1" applyFont="1" applyFill="1" applyBorder="1" applyAlignment="1" applyProtection="1">
      <alignment vertical="center" wrapText="1"/>
      <protection locked="0"/>
    </xf>
    <xf numFmtId="3" fontId="44" fillId="10" borderId="88" xfId="0" applyNumberFormat="1" applyFont="1" applyFill="1" applyBorder="1" applyAlignment="1" applyProtection="1">
      <alignment vertical="center" wrapText="1"/>
    </xf>
    <xf numFmtId="3" fontId="45" fillId="10" borderId="2" xfId="0" applyNumberFormat="1" applyFont="1" applyFill="1" applyBorder="1" applyAlignment="1" applyProtection="1">
      <alignment vertical="center" wrapText="1"/>
      <protection locked="0"/>
    </xf>
    <xf numFmtId="3" fontId="45" fillId="10" borderId="23" xfId="0" applyNumberFormat="1" applyFont="1" applyFill="1" applyBorder="1" applyAlignment="1" applyProtection="1">
      <alignment vertical="center" wrapText="1"/>
      <protection locked="0"/>
    </xf>
    <xf numFmtId="3" fontId="46" fillId="11" borderId="40" xfId="0" applyNumberFormat="1" applyFont="1" applyFill="1" applyBorder="1" applyAlignment="1" applyProtection="1">
      <alignment vertical="center" wrapText="1"/>
    </xf>
    <xf numFmtId="3" fontId="15" fillId="0" borderId="88" xfId="0" applyNumberFormat="1" applyFont="1" applyBorder="1" applyAlignment="1" applyProtection="1">
      <alignment vertical="center" wrapText="1"/>
    </xf>
    <xf numFmtId="3" fontId="15" fillId="0" borderId="18" xfId="0" applyNumberFormat="1" applyFont="1" applyBorder="1" applyAlignment="1" applyProtection="1">
      <alignment vertical="center" wrapText="1"/>
    </xf>
    <xf numFmtId="3" fontId="6" fillId="0" borderId="13" xfId="0" applyNumberFormat="1" applyFont="1" applyFill="1" applyBorder="1" applyAlignment="1" applyProtection="1">
      <alignment vertical="center" wrapText="1"/>
    </xf>
    <xf numFmtId="3" fontId="45" fillId="10" borderId="2" xfId="0" applyNumberFormat="1" applyFont="1" applyFill="1" applyBorder="1" applyAlignment="1" applyProtection="1">
      <alignment vertical="center" wrapText="1"/>
    </xf>
    <xf numFmtId="3" fontId="45" fillId="0" borderId="2" xfId="0" applyNumberFormat="1" applyFont="1" applyBorder="1" applyAlignment="1" applyProtection="1">
      <alignment vertical="center" wrapText="1"/>
    </xf>
    <xf numFmtId="3" fontId="44" fillId="10" borderId="2" xfId="0" applyNumberFormat="1" applyFont="1" applyFill="1" applyBorder="1" applyAlignment="1" applyProtection="1">
      <alignment vertical="center" wrapText="1"/>
    </xf>
    <xf numFmtId="3" fontId="44" fillId="0" borderId="2" xfId="0" applyNumberFormat="1" applyFont="1" applyBorder="1" applyAlignment="1" applyProtection="1">
      <alignment vertical="center" wrapText="1"/>
      <protection locked="0"/>
    </xf>
    <xf numFmtId="3" fontId="44" fillId="0" borderId="18" xfId="0" applyNumberFormat="1" applyFont="1" applyBorder="1" applyAlignment="1" applyProtection="1">
      <alignment vertical="center" wrapText="1"/>
    </xf>
    <xf numFmtId="3" fontId="45" fillId="0" borderId="31" xfId="0" applyNumberFormat="1" applyFont="1" applyBorder="1" applyAlignment="1" applyProtection="1">
      <alignment vertical="center" wrapText="1"/>
      <protection locked="0"/>
    </xf>
    <xf numFmtId="3" fontId="44" fillId="0" borderId="18" xfId="0" applyNumberFormat="1" applyFont="1" applyBorder="1" applyAlignment="1" applyProtection="1">
      <alignment vertical="center" wrapText="1"/>
      <protection locked="0"/>
    </xf>
    <xf numFmtId="3" fontId="45" fillId="10" borderId="40" xfId="0" applyNumberFormat="1" applyFont="1" applyFill="1" applyBorder="1" applyAlignment="1" applyProtection="1">
      <alignment vertical="center" wrapText="1"/>
      <protection locked="0"/>
    </xf>
    <xf numFmtId="3" fontId="15" fillId="10" borderId="15" xfId="0" applyNumberFormat="1" applyFont="1" applyFill="1" applyBorder="1" applyAlignment="1" applyProtection="1">
      <alignment vertical="center" wrapText="1"/>
    </xf>
    <xf numFmtId="3" fontId="15" fillId="10" borderId="54" xfId="0" applyNumberFormat="1" applyFont="1" applyFill="1" applyBorder="1" applyAlignment="1" applyProtection="1">
      <alignment vertical="center" wrapText="1"/>
    </xf>
    <xf numFmtId="3" fontId="52" fillId="10" borderId="7" xfId="0" applyNumberFormat="1" applyFont="1" applyFill="1" applyBorder="1" applyAlignment="1" applyProtection="1">
      <alignment vertical="center" wrapText="1"/>
      <protection locked="0"/>
    </xf>
    <xf numFmtId="3" fontId="45" fillId="10" borderId="9" xfId="0" applyNumberFormat="1" applyFont="1" applyFill="1" applyBorder="1" applyAlignment="1" applyProtection="1">
      <alignment vertical="center" wrapText="1"/>
      <protection locked="0"/>
    </xf>
    <xf numFmtId="3" fontId="15" fillId="8" borderId="15" xfId="0" applyNumberFormat="1" applyFont="1" applyFill="1" applyBorder="1" applyAlignment="1" applyProtection="1">
      <alignment vertical="center" wrapText="1"/>
    </xf>
    <xf numFmtId="3" fontId="6" fillId="10" borderId="2" xfId="0" applyNumberFormat="1" applyFont="1" applyFill="1" applyBorder="1" applyAlignment="1" applyProtection="1">
      <alignment vertical="center" wrapText="1"/>
    </xf>
    <xf numFmtId="3" fontId="45" fillId="10" borderId="7" xfId="0" applyNumberFormat="1" applyFont="1" applyFill="1" applyBorder="1" applyAlignment="1" applyProtection="1">
      <alignment vertical="center" wrapText="1"/>
      <protection locked="0"/>
    </xf>
    <xf numFmtId="3" fontId="45" fillId="10" borderId="16" xfId="0" applyNumberFormat="1" applyFont="1" applyFill="1" applyBorder="1" applyAlignment="1" applyProtection="1">
      <alignment vertical="center" wrapText="1"/>
      <protection locked="0"/>
    </xf>
    <xf numFmtId="3" fontId="17" fillId="10" borderId="15" xfId="0" applyNumberFormat="1" applyFont="1" applyFill="1" applyBorder="1" applyAlignment="1" applyProtection="1">
      <alignment vertical="center" wrapText="1"/>
      <protection locked="0"/>
    </xf>
    <xf numFmtId="3" fontId="45" fillId="10" borderId="88" xfId="0" applyNumberFormat="1" applyFont="1" applyFill="1" applyBorder="1" applyAlignment="1" applyProtection="1">
      <alignment vertical="center" wrapText="1"/>
      <protection locked="0"/>
    </xf>
    <xf numFmtId="3" fontId="44" fillId="10" borderId="15" xfId="0" applyNumberFormat="1" applyFont="1" applyFill="1" applyBorder="1" applyAlignment="1" applyProtection="1">
      <alignment vertical="center" wrapText="1"/>
      <protection locked="0"/>
    </xf>
    <xf numFmtId="3" fontId="44" fillId="10" borderId="31" xfId="0" applyNumberFormat="1" applyFont="1" applyFill="1" applyBorder="1" applyAlignment="1" applyProtection="1">
      <alignment vertical="center" wrapText="1"/>
      <protection locked="0"/>
    </xf>
    <xf numFmtId="3" fontId="44" fillId="10" borderId="15" xfId="0" applyNumberFormat="1" applyFont="1" applyFill="1" applyBorder="1" applyAlignment="1" applyProtection="1">
      <alignment vertical="center" wrapText="1"/>
    </xf>
    <xf numFmtId="3" fontId="44" fillId="10" borderId="27" xfId="0" applyNumberFormat="1" applyFont="1" applyFill="1" applyBorder="1" applyAlignment="1" applyProtection="1">
      <alignment vertical="center" wrapText="1"/>
    </xf>
    <xf numFmtId="3" fontId="44" fillId="10" borderId="31" xfId="0" applyNumberFormat="1" applyFont="1" applyFill="1" applyBorder="1" applyAlignment="1" applyProtection="1">
      <alignment vertical="center" wrapText="1"/>
    </xf>
    <xf numFmtId="3" fontId="44" fillId="10" borderId="40" xfId="0" applyNumberFormat="1" applyFont="1" applyFill="1" applyBorder="1" applyAlignment="1" applyProtection="1">
      <alignment vertical="center" wrapText="1"/>
    </xf>
    <xf numFmtId="3" fontId="45" fillId="10" borderId="40" xfId="0" applyNumberFormat="1" applyFont="1" applyFill="1" applyBorder="1" applyAlignment="1" applyProtection="1">
      <alignment vertical="center" wrapText="1"/>
    </xf>
    <xf numFmtId="3" fontId="52" fillId="10" borderId="5" xfId="0" applyNumberFormat="1" applyFont="1" applyFill="1" applyBorder="1" applyAlignment="1" applyProtection="1">
      <alignment vertical="center" wrapText="1"/>
      <protection locked="0"/>
    </xf>
    <xf numFmtId="0" fontId="15" fillId="0" borderId="53" xfId="0" applyFont="1" applyBorder="1" applyAlignment="1">
      <alignment horizontal="center" vertical="center"/>
    </xf>
    <xf numFmtId="3" fontId="17" fillId="10" borderId="35" xfId="0" applyNumberFormat="1" applyFont="1" applyFill="1" applyBorder="1" applyAlignment="1" applyProtection="1">
      <alignment vertical="center" wrapText="1"/>
      <protection locked="0"/>
    </xf>
    <xf numFmtId="3" fontId="22" fillId="10" borderId="5" xfId="0" applyNumberFormat="1" applyFont="1" applyFill="1" applyBorder="1" applyAlignment="1" applyProtection="1">
      <alignment vertical="center" wrapText="1"/>
      <protection locked="0"/>
    </xf>
    <xf numFmtId="167" fontId="6" fillId="0" borderId="0" xfId="0" applyNumberFormat="1" applyFont="1" applyFill="1" applyBorder="1" applyAlignment="1" applyProtection="1">
      <alignment horizontal="center"/>
    </xf>
    <xf numFmtId="3" fontId="17" fillId="0" borderId="0" xfId="0" applyNumberFormat="1" applyFont="1" applyFill="1" applyAlignment="1" applyProtection="1">
      <alignment vertical="center" wrapText="1"/>
    </xf>
    <xf numFmtId="3" fontId="15" fillId="0" borderId="19" xfId="0" applyNumberFormat="1" applyFont="1" applyFill="1" applyBorder="1" applyAlignment="1" applyProtection="1">
      <alignment vertical="center" wrapText="1"/>
    </xf>
    <xf numFmtId="3" fontId="15" fillId="10" borderId="19" xfId="0" applyNumberFormat="1" applyFont="1" applyFill="1" applyBorder="1" applyAlignment="1" applyProtection="1">
      <alignment vertical="center" wrapText="1"/>
    </xf>
    <xf numFmtId="3" fontId="15" fillId="0" borderId="13" xfId="0" applyNumberFormat="1" applyFont="1" applyBorder="1" applyAlignment="1" applyProtection="1">
      <alignment vertical="center" wrapText="1"/>
    </xf>
    <xf numFmtId="3" fontId="15" fillId="10" borderId="134" xfId="0" applyNumberFormat="1" applyFont="1" applyFill="1" applyBorder="1" applyAlignment="1" applyProtection="1">
      <alignment vertical="center" wrapText="1"/>
    </xf>
    <xf numFmtId="3" fontId="15" fillId="10" borderId="16" xfId="0" applyNumberFormat="1" applyFont="1" applyFill="1" applyBorder="1" applyAlignment="1" applyProtection="1">
      <alignment vertical="center" wrapText="1"/>
    </xf>
    <xf numFmtId="3" fontId="17" fillId="10" borderId="21" xfId="0" applyNumberFormat="1" applyFont="1" applyFill="1" applyBorder="1" applyAlignment="1" applyProtection="1">
      <alignment vertical="center" wrapText="1"/>
      <protection locked="0"/>
    </xf>
    <xf numFmtId="3" fontId="17" fillId="10" borderId="53" xfId="0" applyNumberFormat="1" applyFont="1" applyFill="1" applyBorder="1" applyAlignment="1" applyProtection="1">
      <alignment vertical="center" wrapText="1"/>
      <protection locked="0"/>
    </xf>
    <xf numFmtId="3" fontId="17" fillId="10" borderId="54" xfId="0" applyNumberFormat="1" applyFont="1" applyFill="1" applyBorder="1" applyAlignment="1" applyProtection="1">
      <alignment vertical="center" wrapText="1"/>
    </xf>
    <xf numFmtId="3" fontId="15" fillId="10" borderId="54" xfId="0" applyNumberFormat="1" applyFont="1" applyFill="1" applyBorder="1" applyAlignment="1" applyProtection="1">
      <alignment vertical="center" wrapText="1"/>
      <protection locked="0"/>
    </xf>
    <xf numFmtId="3" fontId="22" fillId="10" borderId="16" xfId="0" applyNumberFormat="1" applyFont="1" applyFill="1" applyBorder="1" applyAlignment="1" applyProtection="1">
      <alignment vertical="center" wrapText="1"/>
      <protection locked="0"/>
    </xf>
    <xf numFmtId="166" fontId="17" fillId="10" borderId="16" xfId="0" applyNumberFormat="1" applyFont="1" applyFill="1" applyBorder="1" applyAlignment="1" applyProtection="1">
      <alignment vertical="center" wrapText="1"/>
      <protection locked="0"/>
    </xf>
    <xf numFmtId="166" fontId="17" fillId="10" borderId="5" xfId="0" applyNumberFormat="1" applyFont="1" applyFill="1" applyBorder="1" applyAlignment="1" applyProtection="1">
      <alignment vertical="center" wrapText="1"/>
      <protection locked="0"/>
    </xf>
    <xf numFmtId="166" fontId="17" fillId="10" borderId="7" xfId="0" applyNumberFormat="1" applyFont="1" applyFill="1" applyBorder="1" applyAlignment="1" applyProtection="1">
      <alignment vertical="center" wrapText="1"/>
      <protection locked="0"/>
    </xf>
    <xf numFmtId="166" fontId="15" fillId="10" borderId="2" xfId="0" applyNumberFormat="1" applyFont="1" applyFill="1" applyBorder="1" applyAlignment="1" applyProtection="1">
      <alignment vertical="center" wrapText="1"/>
      <protection locked="0"/>
    </xf>
    <xf numFmtId="169" fontId="15" fillId="10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46" fillId="10" borderId="0" xfId="0" applyNumberFormat="1" applyFont="1" applyFill="1" applyAlignment="1">
      <alignment vertical="center" wrapText="1"/>
    </xf>
    <xf numFmtId="3" fontId="50" fillId="10" borderId="0" xfId="0" applyNumberFormat="1" applyFont="1" applyFill="1" applyAlignment="1">
      <alignment vertical="center" wrapText="1"/>
    </xf>
    <xf numFmtId="166" fontId="15" fillId="10" borderId="2" xfId="0" applyNumberFormat="1" applyFont="1" applyFill="1" applyBorder="1" applyAlignment="1" applyProtection="1">
      <alignment vertical="center" wrapText="1"/>
    </xf>
    <xf numFmtId="0" fontId="6" fillId="0" borderId="0" xfId="0" applyFont="1" applyFill="1" applyAlignment="1" applyProtection="1">
      <alignment horizontal="center"/>
    </xf>
    <xf numFmtId="166" fontId="15" fillId="0" borderId="0" xfId="0" applyNumberFormat="1" applyFont="1" applyFill="1" applyBorder="1" applyAlignment="1" applyProtection="1">
      <alignment vertical="center" wrapText="1"/>
    </xf>
    <xf numFmtId="3" fontId="17" fillId="10" borderId="134" xfId="0" applyNumberFormat="1" applyFont="1" applyFill="1" applyBorder="1" applyAlignment="1" applyProtection="1">
      <alignment vertical="center" wrapText="1"/>
      <protection locked="0"/>
    </xf>
    <xf numFmtId="3" fontId="52" fillId="10" borderId="20" xfId="0" applyNumberFormat="1" applyFont="1" applyFill="1" applyBorder="1" applyAlignment="1" applyProtection="1">
      <alignment vertical="center" wrapText="1"/>
      <protection locked="0"/>
    </xf>
    <xf numFmtId="3" fontId="15" fillId="10" borderId="16" xfId="0" applyNumberFormat="1" applyFont="1" applyFill="1" applyBorder="1" applyAlignment="1" applyProtection="1">
      <alignment vertical="center" wrapText="1"/>
      <protection locked="0"/>
    </xf>
    <xf numFmtId="4" fontId="16" fillId="10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16" fillId="10" borderId="2" xfId="0" applyNumberFormat="1" applyFont="1" applyFill="1" applyBorder="1" applyAlignment="1" applyProtection="1">
      <alignment horizontal="right" vertical="center" wrapText="1" indent="1"/>
      <protection locked="0"/>
    </xf>
    <xf numFmtId="0" fontId="6" fillId="0" borderId="0" xfId="0" applyFont="1" applyFill="1" applyAlignment="1">
      <alignment horizontal="center" vertical="center"/>
    </xf>
    <xf numFmtId="3" fontId="8" fillId="0" borderId="0" xfId="0" applyNumberFormat="1" applyFont="1" applyFill="1" applyBorder="1" applyAlignment="1" applyProtection="1">
      <alignment vertical="center" wrapText="1"/>
    </xf>
    <xf numFmtId="3" fontId="9" fillId="0" borderId="0" xfId="0" applyNumberFormat="1" applyFont="1" applyFill="1" applyAlignment="1" applyProtection="1">
      <alignment vertical="center" wrapText="1"/>
    </xf>
    <xf numFmtId="0" fontId="0" fillId="0" borderId="0" xfId="0" applyFill="1" applyAlignment="1" applyProtection="1">
      <alignment vertical="center" wrapText="1"/>
    </xf>
    <xf numFmtId="0" fontId="0" fillId="0" borderId="90" xfId="0" applyBorder="1" applyAlignment="1">
      <alignment horizontal="center" vertical="center" wrapText="1"/>
    </xf>
    <xf numFmtId="49" fontId="6" fillId="0" borderId="90" xfId="0" applyNumberFormat="1" applyFont="1" applyBorder="1" applyAlignment="1" applyProtection="1">
      <alignment horizontal="center" vertical="center" wrapText="1"/>
      <protection locked="0"/>
    </xf>
    <xf numFmtId="49" fontId="6" fillId="10" borderId="90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90" xfId="0" applyFill="1" applyBorder="1" applyAlignment="1">
      <alignment horizontal="center" vertical="center" wrapText="1"/>
    </xf>
    <xf numFmtId="3" fontId="15" fillId="10" borderId="134" xfId="0" applyNumberFormat="1" applyFont="1" applyFill="1" applyBorder="1" applyAlignment="1" applyProtection="1">
      <alignment vertical="center" wrapText="1"/>
      <protection locked="0"/>
    </xf>
    <xf numFmtId="3" fontId="15" fillId="10" borderId="21" xfId="0" applyNumberFormat="1" applyFont="1" applyFill="1" applyBorder="1" applyAlignment="1" applyProtection="1">
      <alignment vertical="center" wrapText="1"/>
      <protection locked="0"/>
    </xf>
    <xf numFmtId="3" fontId="15" fillId="10" borderId="7" xfId="0" applyNumberFormat="1" applyFont="1" applyFill="1" applyBorder="1" applyAlignment="1" applyProtection="1">
      <alignment vertical="center" wrapText="1"/>
      <protection locked="0"/>
    </xf>
    <xf numFmtId="0" fontId="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 applyProtection="1">
      <alignment vertical="center" wrapText="1"/>
    </xf>
    <xf numFmtId="0" fontId="15" fillId="10" borderId="78" xfId="0" applyFont="1" applyFill="1" applyBorder="1" applyAlignment="1" applyProtection="1">
      <alignment horizontal="center" vertical="center" wrapText="1"/>
    </xf>
    <xf numFmtId="0" fontId="15" fillId="10" borderId="23" xfId="0" applyFont="1" applyFill="1" applyBorder="1" applyAlignment="1" applyProtection="1">
      <alignment horizontal="center" vertical="center" wrapText="1"/>
    </xf>
    <xf numFmtId="166" fontId="6" fillId="11" borderId="91" xfId="0" applyNumberFormat="1" applyFont="1" applyFill="1" applyBorder="1" applyAlignment="1" applyProtection="1">
      <alignment horizontal="center" vertical="center" wrapText="1"/>
    </xf>
    <xf numFmtId="3" fontId="15" fillId="10" borderId="78" xfId="0" applyNumberFormat="1" applyFont="1" applyFill="1" applyBorder="1" applyAlignment="1" applyProtection="1">
      <alignment vertical="center" wrapText="1"/>
      <protection locked="0"/>
    </xf>
    <xf numFmtId="3" fontId="22" fillId="10" borderId="27" xfId="0" applyNumberFormat="1" applyFont="1" applyFill="1" applyBorder="1" applyAlignment="1" applyProtection="1">
      <alignment vertical="center" wrapText="1"/>
      <protection locked="0"/>
    </xf>
    <xf numFmtId="3" fontId="22" fillId="10" borderId="88" xfId="0" applyNumberFormat="1" applyFont="1" applyFill="1" applyBorder="1" applyAlignment="1" applyProtection="1">
      <alignment vertical="center" wrapText="1"/>
      <protection locked="0"/>
    </xf>
    <xf numFmtId="166" fontId="15" fillId="10" borderId="34" xfId="0" applyNumberFormat="1" applyFont="1" applyFill="1" applyBorder="1" applyAlignment="1" applyProtection="1">
      <alignment vertical="center" wrapText="1"/>
    </xf>
    <xf numFmtId="166" fontId="6" fillId="11" borderId="23" xfId="0" applyNumberFormat="1" applyFont="1" applyFill="1" applyBorder="1" applyAlignment="1" applyProtection="1">
      <alignment horizontal="center" vertical="center" wrapText="1"/>
    </xf>
    <xf numFmtId="4" fontId="15" fillId="10" borderId="35" xfId="0" applyNumberFormat="1" applyFont="1" applyFill="1" applyBorder="1" applyAlignment="1" applyProtection="1">
      <alignment horizontal="right" vertical="center" wrapText="1" indent="1"/>
      <protection locked="0"/>
    </xf>
    <xf numFmtId="3" fontId="15" fillId="10" borderId="35" xfId="0" applyNumberFormat="1" applyFont="1" applyFill="1" applyBorder="1" applyAlignment="1" applyProtection="1">
      <alignment horizontal="right" vertical="center" wrapText="1" indent="1"/>
      <protection locked="0"/>
    </xf>
    <xf numFmtId="0" fontId="15" fillId="0" borderId="30" xfId="0" applyFont="1" applyFill="1" applyBorder="1" applyAlignment="1">
      <alignment horizontal="center" vertical="center"/>
    </xf>
    <xf numFmtId="0" fontId="15" fillId="0" borderId="53" xfId="0" applyFont="1" applyFill="1" applyBorder="1" applyAlignment="1">
      <alignment horizontal="center" vertical="center"/>
    </xf>
    <xf numFmtId="166" fontId="15" fillId="0" borderId="34" xfId="0" applyNumberFormat="1" applyFont="1" applyFill="1" applyBorder="1" applyAlignment="1" applyProtection="1">
      <alignment vertical="center" wrapText="1"/>
    </xf>
    <xf numFmtId="166" fontId="17" fillId="10" borderId="23" xfId="0" applyNumberFormat="1" applyFont="1" applyFill="1" applyBorder="1" applyAlignment="1" applyProtection="1">
      <alignment vertical="center" wrapText="1"/>
    </xf>
    <xf numFmtId="166" fontId="6" fillId="11" borderId="23" xfId="0" applyNumberFormat="1" applyFont="1" applyFill="1" applyBorder="1" applyAlignment="1" applyProtection="1">
      <alignment vertical="center" wrapText="1"/>
    </xf>
    <xf numFmtId="4" fontId="15" fillId="10" borderId="2" xfId="0" applyNumberFormat="1" applyFont="1" applyFill="1" applyBorder="1" applyAlignment="1" applyProtection="1">
      <alignment vertical="center" wrapText="1"/>
      <protection locked="0"/>
    </xf>
    <xf numFmtId="0" fontId="17" fillId="10" borderId="0" xfId="0" applyFont="1" applyFill="1" applyAlignment="1">
      <alignment vertical="center" wrapText="1"/>
    </xf>
    <xf numFmtId="0" fontId="6" fillId="0" borderId="34" xfId="0" applyFont="1" applyFill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3" fontId="45" fillId="10" borderId="23" xfId="0" applyNumberFormat="1" applyFont="1" applyFill="1" applyBorder="1" applyAlignment="1" applyProtection="1">
      <alignment vertical="center" wrapText="1"/>
    </xf>
    <xf numFmtId="4" fontId="15" fillId="10" borderId="35" xfId="0" applyNumberFormat="1" applyFont="1" applyFill="1" applyBorder="1" applyAlignment="1" applyProtection="1">
      <alignment vertical="center" wrapText="1"/>
      <protection locked="0"/>
    </xf>
    <xf numFmtId="3" fontId="52" fillId="10" borderId="27" xfId="0" applyNumberFormat="1" applyFont="1" applyFill="1" applyBorder="1" applyAlignment="1" applyProtection="1">
      <alignment vertical="center" wrapText="1"/>
      <protection locked="0"/>
    </xf>
    <xf numFmtId="0" fontId="6" fillId="0" borderId="34" xfId="0" applyFont="1" applyFill="1" applyBorder="1" applyAlignment="1" applyProtection="1">
      <alignment horizontal="center" vertical="center" wrapText="1"/>
    </xf>
    <xf numFmtId="0" fontId="6" fillId="0" borderId="35" xfId="0" applyFont="1" applyBorder="1" applyAlignment="1" applyProtection="1">
      <alignment horizontal="center" vertical="center" wrapText="1"/>
    </xf>
    <xf numFmtId="3" fontId="17" fillId="10" borderId="0" xfId="0" applyNumberFormat="1" applyFont="1" applyFill="1" applyAlignment="1">
      <alignment vertical="center" wrapText="1"/>
    </xf>
    <xf numFmtId="0" fontId="46" fillId="10" borderId="0" xfId="0" applyFont="1" applyFill="1" applyAlignment="1">
      <alignment vertical="center" wrapText="1"/>
    </xf>
    <xf numFmtId="0" fontId="50" fillId="10" borderId="0" xfId="0" applyFont="1" applyFill="1" applyAlignment="1">
      <alignment vertical="center" wrapText="1"/>
    </xf>
    <xf numFmtId="0" fontId="15" fillId="0" borderId="0" xfId="0" applyFont="1" applyFill="1" applyBorder="1" applyAlignment="1" applyProtection="1">
      <alignment horizontal="center"/>
    </xf>
    <xf numFmtId="0" fontId="15" fillId="0" borderId="34" xfId="0" applyFont="1" applyFill="1" applyBorder="1" applyAlignment="1" applyProtection="1">
      <alignment horizontal="center"/>
    </xf>
    <xf numFmtId="0" fontId="24" fillId="10" borderId="17" xfId="28" applyFont="1" applyFill="1" applyBorder="1" applyAlignment="1">
      <alignment horizontal="center"/>
    </xf>
    <xf numFmtId="3" fontId="7" fillId="11" borderId="17" xfId="0" applyNumberFormat="1" applyFont="1" applyFill="1" applyBorder="1" applyAlignment="1" applyProtection="1">
      <alignment vertical="center" wrapText="1"/>
    </xf>
    <xf numFmtId="3" fontId="11" fillId="11" borderId="17" xfId="28" applyNumberFormat="1" applyFont="1" applyFill="1" applyBorder="1" applyAlignment="1"/>
    <xf numFmtId="3" fontId="12" fillId="11" borderId="17" xfId="0" applyNumberFormat="1" applyFont="1" applyFill="1" applyBorder="1" applyAlignment="1" applyProtection="1">
      <alignment vertical="center" wrapText="1"/>
    </xf>
    <xf numFmtId="3" fontId="26" fillId="11" borderId="47" xfId="28" applyNumberFormat="1" applyFont="1" applyFill="1" applyBorder="1" applyAlignment="1">
      <alignment vertical="center"/>
    </xf>
    <xf numFmtId="166" fontId="18" fillId="10" borderId="0" xfId="0" applyNumberFormat="1" applyFont="1" applyFill="1" applyAlignment="1">
      <alignment horizontal="center" vertical="center" wrapText="1"/>
    </xf>
    <xf numFmtId="3" fontId="18" fillId="10" borderId="0" xfId="0" applyNumberFormat="1" applyFont="1" applyFill="1" applyAlignment="1">
      <alignment vertical="center" wrapText="1"/>
    </xf>
    <xf numFmtId="3" fontId="24" fillId="10" borderId="17" xfId="28" applyNumberFormat="1" applyFont="1" applyFill="1" applyBorder="1" applyAlignment="1">
      <alignment horizontal="center" vertical="center" wrapText="1"/>
    </xf>
    <xf numFmtId="3" fontId="19" fillId="10" borderId="21" xfId="0" applyNumberFormat="1" applyFont="1" applyFill="1" applyBorder="1" applyAlignment="1" applyProtection="1">
      <alignment horizontal="center" vertical="center" wrapText="1"/>
    </xf>
    <xf numFmtId="3" fontId="12" fillId="10" borderId="2" xfId="0" applyNumberFormat="1" applyFont="1" applyFill="1" applyBorder="1" applyAlignment="1" applyProtection="1">
      <alignment vertical="center" wrapText="1"/>
    </xf>
    <xf numFmtId="166" fontId="15" fillId="10" borderId="0" xfId="0" applyNumberFormat="1" applyFont="1" applyFill="1" applyBorder="1" applyAlignment="1" applyProtection="1">
      <alignment vertical="center" wrapText="1"/>
    </xf>
    <xf numFmtId="166" fontId="15" fillId="10" borderId="35" xfId="0" applyNumberFormat="1" applyFont="1" applyFill="1" applyBorder="1" applyAlignment="1" applyProtection="1">
      <alignment horizontal="center" vertical="center" wrapText="1"/>
    </xf>
    <xf numFmtId="3" fontId="22" fillId="10" borderId="18" xfId="0" applyNumberFormat="1" applyFont="1" applyFill="1" applyBorder="1" applyAlignment="1" applyProtection="1">
      <alignment vertical="center" wrapText="1"/>
      <protection locked="0"/>
    </xf>
    <xf numFmtId="3" fontId="22" fillId="10" borderId="7" xfId="0" applyNumberFormat="1" applyFont="1" applyFill="1" applyBorder="1" applyAlignment="1" applyProtection="1">
      <alignment vertical="center" wrapText="1"/>
      <protection locked="0"/>
    </xf>
    <xf numFmtId="3" fontId="22" fillId="10" borderId="9" xfId="0" applyNumberFormat="1" applyFont="1" applyFill="1" applyBorder="1" applyAlignment="1" applyProtection="1">
      <alignment vertical="center" wrapText="1"/>
      <protection locked="0"/>
    </xf>
    <xf numFmtId="3" fontId="23" fillId="10" borderId="2" xfId="0" applyNumberFormat="1" applyFont="1" applyFill="1" applyBorder="1" applyAlignment="1" applyProtection="1">
      <alignment vertical="center" wrapText="1"/>
    </xf>
    <xf numFmtId="3" fontId="6" fillId="11" borderId="0" xfId="0" applyNumberFormat="1" applyFont="1" applyFill="1" applyBorder="1" applyAlignment="1" applyProtection="1">
      <alignment vertical="center" wrapText="1"/>
    </xf>
    <xf numFmtId="3" fontId="7" fillId="10" borderId="0" xfId="0" applyNumberFormat="1" applyFont="1" applyFill="1" applyAlignment="1" applyProtection="1">
      <alignment vertical="center" wrapText="1"/>
    </xf>
    <xf numFmtId="0" fontId="15" fillId="0" borderId="0" xfId="0" applyFont="1" applyFill="1" applyAlignment="1" applyProtection="1">
      <alignment horizontal="center"/>
    </xf>
    <xf numFmtId="166" fontId="15" fillId="0" borderId="35" xfId="0" applyNumberFormat="1" applyFont="1" applyFill="1" applyBorder="1" applyAlignment="1" applyProtection="1">
      <alignment horizontal="center" vertical="center" wrapText="1"/>
    </xf>
    <xf numFmtId="3" fontId="7" fillId="10" borderId="0" xfId="0" applyNumberFormat="1" applyFont="1" applyFill="1" applyBorder="1" applyAlignment="1" applyProtection="1">
      <alignment vertical="center" wrapText="1"/>
    </xf>
    <xf numFmtId="3" fontId="19" fillId="10" borderId="91" xfId="0" applyNumberFormat="1" applyFont="1" applyFill="1" applyBorder="1" applyAlignment="1" applyProtection="1">
      <alignment horizontal="center" vertical="center" wrapText="1"/>
    </xf>
    <xf numFmtId="3" fontId="12" fillId="10" borderId="23" xfId="0" applyNumberFormat="1" applyFont="1" applyFill="1" applyBorder="1" applyAlignment="1" applyProtection="1">
      <alignment vertical="center" wrapText="1"/>
    </xf>
    <xf numFmtId="3" fontId="44" fillId="10" borderId="25" xfId="0" applyNumberFormat="1" applyFont="1" applyFill="1" applyBorder="1" applyAlignment="1" applyProtection="1">
      <alignment vertical="center" wrapText="1"/>
    </xf>
    <xf numFmtId="3" fontId="6" fillId="10" borderId="30" xfId="0" applyNumberFormat="1" applyFont="1" applyFill="1" applyBorder="1" applyAlignment="1" applyProtection="1">
      <alignment vertical="center" wrapText="1"/>
      <protection locked="0"/>
    </xf>
    <xf numFmtId="3" fontId="22" fillId="10" borderId="91" xfId="0" applyNumberFormat="1" applyFont="1" applyFill="1" applyBorder="1" applyAlignment="1" applyProtection="1">
      <alignment vertical="center" wrapText="1"/>
      <protection locked="0"/>
    </xf>
    <xf numFmtId="3" fontId="23" fillId="10" borderId="23" xfId="0" applyNumberFormat="1" applyFont="1" applyFill="1" applyBorder="1" applyAlignment="1" applyProtection="1">
      <alignment vertical="center" wrapText="1"/>
    </xf>
    <xf numFmtId="0" fontId="15" fillId="0" borderId="34" xfId="0" applyFont="1" applyBorder="1" applyAlignment="1" applyProtection="1">
      <alignment horizontal="center"/>
    </xf>
    <xf numFmtId="3" fontId="6" fillId="10" borderId="23" xfId="0" applyNumberFormat="1" applyFont="1" applyFill="1" applyBorder="1" applyAlignment="1" applyProtection="1">
      <alignment vertical="center" wrapText="1"/>
      <protection locked="0"/>
    </xf>
    <xf numFmtId="3" fontId="6" fillId="3" borderId="78" xfId="0" applyNumberFormat="1" applyFont="1" applyFill="1" applyBorder="1" applyAlignment="1" applyProtection="1">
      <alignment vertical="center" wrapText="1"/>
    </xf>
    <xf numFmtId="166" fontId="15" fillId="0" borderId="33" xfId="0" applyNumberFormat="1" applyFont="1" applyBorder="1" applyAlignment="1" applyProtection="1">
      <alignment horizontal="center" vertical="center" wrapText="1"/>
    </xf>
    <xf numFmtId="166" fontId="15" fillId="0" borderId="34" xfId="0" applyNumberFormat="1" applyFont="1" applyFill="1" applyBorder="1" applyAlignment="1" applyProtection="1">
      <alignment horizontal="center" vertical="center" wrapText="1"/>
    </xf>
    <xf numFmtId="49" fontId="6" fillId="10" borderId="33" xfId="0" applyNumberFormat="1" applyFont="1" applyFill="1" applyBorder="1" applyAlignment="1" applyProtection="1">
      <alignment horizontal="center" vertical="center" wrapText="1"/>
      <protection locked="0"/>
    </xf>
    <xf numFmtId="3" fontId="15" fillId="10" borderId="27" xfId="0" applyNumberFormat="1" applyFont="1" applyFill="1" applyBorder="1" applyAlignment="1" applyProtection="1">
      <alignment vertical="center" wrapText="1"/>
    </xf>
    <xf numFmtId="0" fontId="15" fillId="10" borderId="34" xfId="28" applyFont="1" applyFill="1" applyBorder="1" applyAlignment="1" applyProtection="1">
      <alignment horizontal="center" vertical="center" wrapText="1"/>
    </xf>
    <xf numFmtId="3" fontId="44" fillId="10" borderId="29" xfId="0" applyNumberFormat="1" applyFont="1" applyFill="1" applyBorder="1" applyAlignment="1" applyProtection="1">
      <alignment vertical="center" wrapText="1"/>
    </xf>
    <xf numFmtId="3" fontId="6" fillId="10" borderId="2" xfId="0" applyNumberFormat="1" applyFont="1" applyFill="1" applyBorder="1" applyAlignment="1" applyProtection="1">
      <alignment vertical="center" wrapText="1"/>
      <protection locked="0"/>
    </xf>
    <xf numFmtId="3" fontId="6" fillId="12" borderId="70" xfId="0" applyNumberFormat="1" applyFont="1" applyFill="1" applyBorder="1" applyAlignment="1" applyProtection="1">
      <alignment vertical="center" wrapText="1"/>
    </xf>
    <xf numFmtId="49" fontId="6" fillId="10" borderId="23" xfId="0" applyNumberFormat="1" applyFont="1" applyFill="1" applyBorder="1" applyAlignment="1" applyProtection="1">
      <alignment horizontal="center" vertical="center" wrapText="1"/>
      <protection locked="0"/>
    </xf>
    <xf numFmtId="3" fontId="19" fillId="10" borderId="53" xfId="0" applyNumberFormat="1" applyFont="1" applyFill="1" applyBorder="1" applyAlignment="1" applyProtection="1">
      <alignment horizontal="center" vertical="center" wrapText="1"/>
    </xf>
    <xf numFmtId="3" fontId="6" fillId="11" borderId="86" xfId="0" applyNumberFormat="1" applyFont="1" applyFill="1" applyBorder="1" applyAlignment="1" applyProtection="1">
      <alignment vertical="center" wrapText="1"/>
    </xf>
    <xf numFmtId="4" fontId="15" fillId="10" borderId="40" xfId="0" applyNumberFormat="1" applyFont="1" applyFill="1" applyBorder="1" applyAlignment="1" applyProtection="1">
      <alignment horizontal="right" vertical="center" wrapText="1" indent="1"/>
      <protection locked="0"/>
    </xf>
    <xf numFmtId="0" fontId="59" fillId="10" borderId="0" xfId="0" applyFont="1" applyFill="1" applyAlignment="1">
      <alignment horizontal="right" vertical="center" wrapText="1"/>
    </xf>
    <xf numFmtId="3" fontId="50" fillId="10" borderId="44" xfId="0" applyNumberFormat="1" applyFont="1" applyFill="1" applyBorder="1" applyAlignment="1">
      <alignment vertical="center" wrapText="1"/>
    </xf>
    <xf numFmtId="3" fontId="3" fillId="10" borderId="67" xfId="0" applyNumberFormat="1" applyFont="1" applyFill="1" applyBorder="1" applyAlignment="1">
      <alignment vertical="center" wrapText="1"/>
    </xf>
    <xf numFmtId="3" fontId="111" fillId="10" borderId="0" xfId="0" applyNumberFormat="1" applyFont="1" applyFill="1" applyAlignment="1">
      <alignment vertical="center" wrapText="1"/>
    </xf>
    <xf numFmtId="3" fontId="111" fillId="10" borderId="44" xfId="0" applyNumberFormat="1" applyFont="1" applyFill="1" applyBorder="1" applyAlignment="1">
      <alignment vertical="center" wrapText="1"/>
    </xf>
    <xf numFmtId="0" fontId="15" fillId="10" borderId="23" xfId="28" applyFont="1" applyFill="1" applyBorder="1" applyAlignment="1" applyProtection="1">
      <alignment horizontal="center" vertical="center" wrapText="1"/>
    </xf>
    <xf numFmtId="4" fontId="0" fillId="10" borderId="0" xfId="0" applyNumberFormat="1" applyFill="1" applyBorder="1" applyAlignment="1">
      <alignment horizontal="center" vertical="center" wrapText="1"/>
    </xf>
    <xf numFmtId="166" fontId="17" fillId="10" borderId="55" xfId="0" applyNumberFormat="1" applyFont="1" applyFill="1" applyBorder="1" applyAlignment="1" applyProtection="1">
      <alignment vertical="center" wrapText="1"/>
      <protection locked="0"/>
    </xf>
    <xf numFmtId="166" fontId="17" fillId="10" borderId="27" xfId="0" applyNumberFormat="1" applyFont="1" applyFill="1" applyBorder="1" applyAlignment="1" applyProtection="1">
      <alignment vertical="center" wrapText="1"/>
      <protection locked="0"/>
    </xf>
    <xf numFmtId="166" fontId="6" fillId="10" borderId="2" xfId="0" applyNumberFormat="1" applyFont="1" applyFill="1" applyBorder="1" applyAlignment="1">
      <alignment vertical="center" wrapText="1"/>
    </xf>
    <xf numFmtId="166" fontId="6" fillId="10" borderId="40" xfId="0" applyNumberFormat="1" applyFont="1" applyFill="1" applyBorder="1" applyAlignment="1" applyProtection="1">
      <alignment horizontal="right" vertical="center" wrapText="1"/>
    </xf>
    <xf numFmtId="166" fontId="3" fillId="10" borderId="0" xfId="0" applyNumberFormat="1" applyFont="1" applyFill="1" applyAlignment="1">
      <alignment vertical="center" wrapText="1"/>
    </xf>
    <xf numFmtId="3" fontId="6" fillId="10" borderId="0" xfId="0" applyNumberFormat="1" applyFont="1" applyFill="1" applyAlignment="1">
      <alignment vertical="center" wrapText="1"/>
    </xf>
    <xf numFmtId="167" fontId="15" fillId="10" borderId="34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>
      <alignment horizontal="center" vertical="center"/>
    </xf>
    <xf numFmtId="166" fontId="0" fillId="10" borderId="0" xfId="0" applyNumberFormat="1" applyFill="1" applyAlignment="1">
      <alignment horizontal="center" vertical="center" wrapText="1"/>
    </xf>
    <xf numFmtId="166" fontId="17" fillId="10" borderId="25" xfId="0" applyNumberFormat="1" applyFont="1" applyFill="1" applyBorder="1" applyAlignment="1" applyProtection="1">
      <alignment vertical="center" wrapText="1"/>
      <protection locked="0"/>
    </xf>
    <xf numFmtId="166" fontId="6" fillId="10" borderId="2" xfId="0" applyNumberFormat="1" applyFont="1" applyFill="1" applyBorder="1" applyAlignment="1" applyProtection="1">
      <alignment vertical="center" wrapText="1"/>
    </xf>
    <xf numFmtId="166" fontId="6" fillId="10" borderId="34" xfId="0" applyNumberFormat="1" applyFont="1" applyFill="1" applyBorder="1" applyAlignment="1" applyProtection="1">
      <alignment horizontal="right" vertical="center" wrapText="1"/>
    </xf>
    <xf numFmtId="166" fontId="3" fillId="10" borderId="0" xfId="0" applyNumberFormat="1" applyFont="1" applyFill="1" applyBorder="1" applyAlignment="1" applyProtection="1">
      <alignment vertical="center" wrapText="1"/>
    </xf>
    <xf numFmtId="166" fontId="6" fillId="10" borderId="35" xfId="0" applyNumberFormat="1" applyFont="1" applyFill="1" applyBorder="1" applyAlignment="1" applyProtection="1">
      <alignment vertical="center" wrapText="1"/>
    </xf>
    <xf numFmtId="166" fontId="6" fillId="10" borderId="0" xfId="0" applyNumberFormat="1" applyFont="1" applyFill="1" applyBorder="1" applyAlignment="1" applyProtection="1">
      <alignment vertical="center" wrapText="1"/>
    </xf>
    <xf numFmtId="3" fontId="104" fillId="12" borderId="20" xfId="0" applyNumberFormat="1" applyFont="1" applyFill="1" applyBorder="1" applyAlignment="1">
      <alignment horizontal="right" vertical="center" wrapText="1"/>
    </xf>
    <xf numFmtId="166" fontId="17" fillId="10" borderId="0" xfId="0" applyNumberFormat="1" applyFont="1" applyFill="1" applyAlignment="1">
      <alignment horizontal="center" vertical="center" wrapText="1"/>
    </xf>
    <xf numFmtId="3" fontId="104" fillId="10" borderId="20" xfId="0" applyNumberFormat="1" applyFont="1" applyFill="1" applyBorder="1" applyAlignment="1">
      <alignment horizontal="right" vertical="center" wrapText="1"/>
    </xf>
    <xf numFmtId="166" fontId="119" fillId="10" borderId="0" xfId="0" applyNumberFormat="1" applyFont="1" applyFill="1" applyBorder="1" applyAlignment="1" applyProtection="1">
      <alignment vertical="center" wrapText="1"/>
    </xf>
    <xf numFmtId="3" fontId="3" fillId="10" borderId="0" xfId="0" applyNumberFormat="1" applyFont="1" applyFill="1" applyBorder="1" applyAlignment="1" applyProtection="1">
      <alignment vertical="center" wrapText="1"/>
    </xf>
    <xf numFmtId="166" fontId="0" fillId="12" borderId="64" xfId="0" applyNumberFormat="1" applyFill="1" applyBorder="1" applyAlignment="1">
      <alignment vertical="center" wrapText="1"/>
    </xf>
    <xf numFmtId="3" fontId="119" fillId="10" borderId="0" xfId="0" applyNumberFormat="1" applyFont="1" applyFill="1" applyBorder="1" applyAlignment="1" applyProtection="1">
      <alignment vertical="center" wrapText="1"/>
    </xf>
    <xf numFmtId="166" fontId="17" fillId="10" borderId="0" xfId="0" applyNumberFormat="1" applyFont="1" applyFill="1" applyAlignment="1">
      <alignment vertical="center" wrapText="1"/>
    </xf>
    <xf numFmtId="166" fontId="17" fillId="10" borderId="83" xfId="0" applyNumberFormat="1" applyFont="1" applyFill="1" applyBorder="1" applyAlignment="1" applyProtection="1">
      <alignment vertical="center" wrapText="1"/>
      <protection locked="0"/>
    </xf>
    <xf numFmtId="166" fontId="6" fillId="10" borderId="35" xfId="0" applyNumberFormat="1" applyFont="1" applyFill="1" applyBorder="1" applyAlignment="1" applyProtection="1">
      <alignment horizontal="right" vertical="center" wrapText="1"/>
    </xf>
    <xf numFmtId="3" fontId="15" fillId="10" borderId="0" xfId="0" applyNumberFormat="1" applyFont="1" applyFill="1" applyBorder="1" applyAlignment="1">
      <alignment horizontal="right" vertical="center" wrapText="1"/>
    </xf>
    <xf numFmtId="166" fontId="0" fillId="10" borderId="0" xfId="0" applyNumberFormat="1" applyFill="1" applyBorder="1" applyAlignment="1">
      <alignment vertical="center" wrapText="1"/>
    </xf>
    <xf numFmtId="3" fontId="104" fillId="10" borderId="49" xfId="0" applyNumberFormat="1" applyFont="1" applyFill="1" applyBorder="1" applyAlignment="1">
      <alignment horizontal="right" vertical="center" wrapText="1"/>
    </xf>
    <xf numFmtId="166" fontId="17" fillId="10" borderId="0" xfId="0" applyNumberFormat="1" applyFont="1" applyFill="1" applyBorder="1" applyAlignment="1" applyProtection="1">
      <alignment vertical="center" wrapText="1"/>
    </xf>
    <xf numFmtId="3" fontId="15" fillId="10" borderId="0" xfId="0" applyNumberFormat="1" applyFont="1" applyFill="1" applyAlignment="1">
      <alignment vertical="center" wrapText="1"/>
    </xf>
    <xf numFmtId="166" fontId="0" fillId="0" borderId="0" xfId="0" applyNumberFormat="1" applyFill="1" applyAlignment="1">
      <alignment horizontal="center" vertical="center" wrapText="1"/>
    </xf>
    <xf numFmtId="0" fontId="3" fillId="10" borderId="0" xfId="28" applyFont="1" applyFill="1" applyAlignment="1" applyProtection="1">
      <alignment horizontal="right" vertical="center" indent="1"/>
    </xf>
    <xf numFmtId="167" fontId="6" fillId="10" borderId="23" xfId="0" applyNumberFormat="1" applyFont="1" applyFill="1" applyBorder="1" applyAlignment="1" applyProtection="1">
      <alignment horizontal="center"/>
    </xf>
    <xf numFmtId="166" fontId="6" fillId="10" borderId="23" xfId="28" applyNumberFormat="1" applyFont="1" applyFill="1" applyBorder="1" applyAlignment="1" applyProtection="1">
      <alignment horizontal="right" vertical="center" wrapText="1" indent="1"/>
    </xf>
    <xf numFmtId="167" fontId="6" fillId="10" borderId="13" xfId="0" applyNumberFormat="1" applyFont="1" applyFill="1" applyBorder="1" applyAlignment="1" applyProtection="1">
      <alignment horizontal="center"/>
    </xf>
    <xf numFmtId="166" fontId="6" fillId="10" borderId="54" xfId="28" applyNumberFormat="1" applyFont="1" applyFill="1" applyBorder="1" applyAlignment="1" applyProtection="1">
      <alignment horizontal="right" vertical="center" wrapText="1" indent="1"/>
    </xf>
    <xf numFmtId="166" fontId="6" fillId="10" borderId="2" xfId="28" applyNumberFormat="1" applyFont="1" applyFill="1" applyBorder="1" applyAlignment="1" applyProtection="1">
      <alignment horizontal="right" vertical="center" wrapText="1" indent="1"/>
    </xf>
    <xf numFmtId="0" fontId="3" fillId="10" borderId="0" xfId="28" applyFill="1" applyProtection="1"/>
    <xf numFmtId="0" fontId="3" fillId="0" borderId="0" xfId="28" applyFont="1" applyFill="1" applyAlignment="1" applyProtection="1">
      <alignment horizontal="right" vertical="center" indent="1"/>
    </xf>
    <xf numFmtId="0" fontId="6" fillId="0" borderId="1" xfId="28" applyFont="1" applyFill="1" applyBorder="1" applyAlignment="1" applyProtection="1">
      <alignment horizontal="right" vertical="center"/>
    </xf>
    <xf numFmtId="0" fontId="6" fillId="0" borderId="0" xfId="28" applyFont="1" applyFill="1" applyBorder="1" applyAlignment="1" applyProtection="1">
      <alignment horizontal="right" vertical="center"/>
    </xf>
    <xf numFmtId="166" fontId="6" fillId="0" borderId="0" xfId="28" applyNumberFormat="1" applyFont="1" applyFill="1" applyBorder="1" applyAlignment="1" applyProtection="1">
      <alignment horizontal="right" vertical="center" wrapText="1" indent="1"/>
    </xf>
    <xf numFmtId="0" fontId="13" fillId="0" borderId="1" xfId="28" applyFont="1" applyFill="1" applyBorder="1" applyAlignment="1" applyProtection="1">
      <alignment horizontal="right"/>
    </xf>
    <xf numFmtId="0" fontId="13" fillId="0" borderId="0" xfId="28" applyFont="1" applyFill="1" applyBorder="1" applyAlignment="1" applyProtection="1">
      <alignment horizontal="right"/>
    </xf>
    <xf numFmtId="0" fontId="3" fillId="0" borderId="0" xfId="28" applyFill="1" applyAlignment="1" applyProtection="1"/>
    <xf numFmtId="0" fontId="3" fillId="0" borderId="0" xfId="28" applyFill="1" applyProtection="1"/>
    <xf numFmtId="0" fontId="13" fillId="0" borderId="0" xfId="28" applyFont="1" applyFill="1" applyBorder="1" applyAlignment="1" applyProtection="1">
      <alignment horizontal="right" vertical="center"/>
    </xf>
    <xf numFmtId="3" fontId="17" fillId="0" borderId="76" xfId="0" applyNumberFormat="1" applyFont="1" applyFill="1" applyBorder="1" applyAlignment="1" applyProtection="1">
      <alignment vertical="center" wrapText="1"/>
      <protection locked="0"/>
    </xf>
    <xf numFmtId="3" fontId="17" fillId="0" borderId="48" xfId="0" applyNumberFormat="1" applyFont="1" applyBorder="1" applyAlignment="1" applyProtection="1">
      <alignment vertical="center" wrapText="1"/>
      <protection locked="0"/>
    </xf>
    <xf numFmtId="3" fontId="17" fillId="0" borderId="81" xfId="0" applyNumberFormat="1" applyFont="1" applyBorder="1" applyAlignment="1" applyProtection="1">
      <alignment vertical="center" wrapText="1"/>
      <protection locked="0"/>
    </xf>
    <xf numFmtId="3" fontId="17" fillId="0" borderId="83" xfId="0" applyNumberFormat="1" applyFont="1" applyBorder="1" applyAlignment="1" applyProtection="1">
      <alignment vertical="center" wrapText="1"/>
      <protection locked="0"/>
    </xf>
    <xf numFmtId="3" fontId="17" fillId="10" borderId="45" xfId="0" applyNumberFormat="1" applyFont="1" applyFill="1" applyBorder="1" applyAlignment="1" applyProtection="1">
      <alignment vertical="center" wrapText="1"/>
      <protection locked="0"/>
    </xf>
    <xf numFmtId="3" fontId="17" fillId="10" borderId="6" xfId="0" applyNumberFormat="1" applyFont="1" applyFill="1" applyBorder="1" applyAlignment="1" applyProtection="1">
      <alignment vertical="center" wrapText="1"/>
      <protection locked="0"/>
    </xf>
    <xf numFmtId="3" fontId="46" fillId="11" borderId="3" xfId="0" applyNumberFormat="1" applyFont="1" applyFill="1" applyBorder="1" applyAlignment="1" applyProtection="1">
      <alignment vertical="center" wrapText="1"/>
    </xf>
    <xf numFmtId="3" fontId="44" fillId="0" borderId="34" xfId="0" applyNumberFormat="1" applyFont="1" applyFill="1" applyBorder="1" applyAlignment="1" applyProtection="1">
      <alignment vertical="center" wrapText="1"/>
    </xf>
    <xf numFmtId="3" fontId="45" fillId="10" borderId="31" xfId="0" applyNumberFormat="1" applyFont="1" applyFill="1" applyBorder="1" applyAlignment="1" applyProtection="1">
      <alignment vertical="center" wrapText="1"/>
      <protection locked="0"/>
    </xf>
    <xf numFmtId="3" fontId="44" fillId="10" borderId="25" xfId="0" applyNumberFormat="1" applyFont="1" applyFill="1" applyBorder="1" applyAlignment="1" applyProtection="1">
      <alignment vertical="center" wrapText="1"/>
      <protection locked="0"/>
    </xf>
    <xf numFmtId="3" fontId="17" fillId="0" borderId="21" xfId="0" applyNumberFormat="1" applyFont="1" applyBorder="1" applyAlignment="1" applyProtection="1">
      <alignment vertical="center" wrapText="1"/>
      <protection locked="0"/>
    </xf>
    <xf numFmtId="3" fontId="6" fillId="0" borderId="35" xfId="0" applyNumberFormat="1" applyFont="1" applyBorder="1" applyAlignment="1" applyProtection="1">
      <alignment horizontal="right" vertical="center" wrapText="1"/>
    </xf>
    <xf numFmtId="3" fontId="6" fillId="10" borderId="35" xfId="0" applyNumberFormat="1" applyFont="1" applyFill="1" applyBorder="1" applyAlignment="1" applyProtection="1">
      <alignment horizontal="right" vertical="center" wrapText="1"/>
    </xf>
    <xf numFmtId="3" fontId="17" fillId="0" borderId="120" xfId="0" applyNumberFormat="1" applyFont="1" applyBorder="1" applyAlignment="1" applyProtection="1">
      <alignment vertical="center" wrapText="1"/>
      <protection locked="0"/>
    </xf>
    <xf numFmtId="166" fontId="15" fillId="10" borderId="23" xfId="0" applyNumberFormat="1" applyFont="1" applyFill="1" applyBorder="1" applyAlignment="1" applyProtection="1">
      <alignment horizontal="right" vertical="center" wrapText="1"/>
      <protection locked="0"/>
    </xf>
    <xf numFmtId="3" fontId="6" fillId="0" borderId="51" xfId="0" applyNumberFormat="1" applyFont="1" applyBorder="1" applyAlignment="1">
      <alignment vertical="center" wrapText="1"/>
    </xf>
    <xf numFmtId="3" fontId="6" fillId="0" borderId="84" xfId="0" applyNumberFormat="1" applyFont="1" applyBorder="1" applyAlignment="1" applyProtection="1">
      <alignment horizontal="right" vertical="center" wrapText="1"/>
    </xf>
    <xf numFmtId="3" fontId="6" fillId="0" borderId="2" xfId="0" applyNumberFormat="1" applyFont="1" applyFill="1" applyBorder="1" applyAlignment="1">
      <alignment vertical="center" wrapText="1"/>
    </xf>
    <xf numFmtId="3" fontId="6" fillId="0" borderId="40" xfId="0" applyNumberFormat="1" applyFont="1" applyBorder="1" applyAlignment="1" applyProtection="1">
      <alignment horizontal="right" vertical="center" wrapText="1"/>
    </xf>
    <xf numFmtId="3" fontId="6" fillId="10" borderId="2" xfId="0" applyNumberFormat="1" applyFont="1" applyFill="1" applyBorder="1" applyAlignment="1">
      <alignment vertical="center" wrapText="1"/>
    </xf>
    <xf numFmtId="3" fontId="6" fillId="10" borderId="40" xfId="0" applyNumberFormat="1" applyFont="1" applyFill="1" applyBorder="1" applyAlignment="1" applyProtection="1">
      <alignment horizontal="right" vertical="center" wrapText="1"/>
    </xf>
    <xf numFmtId="3" fontId="12" fillId="0" borderId="2" xfId="0" applyNumberFormat="1" applyFont="1" applyFill="1" applyBorder="1" applyAlignment="1" applyProtection="1">
      <alignment vertical="center" wrapText="1"/>
    </xf>
    <xf numFmtId="3" fontId="45" fillId="0" borderId="2" xfId="0" applyNumberFormat="1" applyFont="1" applyFill="1" applyBorder="1" applyAlignment="1" applyProtection="1">
      <alignment vertical="center" wrapText="1"/>
      <protection locked="0"/>
    </xf>
    <xf numFmtId="3" fontId="17" fillId="0" borderId="2" xfId="0" applyNumberFormat="1" applyFont="1" applyFill="1" applyBorder="1" applyAlignment="1" applyProtection="1">
      <alignment vertical="center" wrapText="1"/>
      <protection locked="0"/>
    </xf>
    <xf numFmtId="167" fontId="6" fillId="0" borderId="13" xfId="0" applyNumberFormat="1" applyFont="1" applyFill="1" applyBorder="1" applyAlignment="1" applyProtection="1">
      <alignment horizontal="center"/>
    </xf>
    <xf numFmtId="3" fontId="17" fillId="0" borderId="41" xfId="0" applyNumberFormat="1" applyFont="1" applyBorder="1" applyAlignment="1" applyProtection="1">
      <alignment vertical="center" wrapText="1"/>
      <protection locked="0"/>
    </xf>
    <xf numFmtId="3" fontId="6" fillId="0" borderId="15" xfId="28" applyNumberFormat="1" applyFont="1" applyBorder="1" applyAlignment="1" applyProtection="1">
      <alignment horizontal="right" vertical="center" wrapText="1" indent="1"/>
    </xf>
    <xf numFmtId="3" fontId="3" fillId="0" borderId="16" xfId="28" applyNumberFormat="1" applyFont="1" applyBorder="1" applyAlignment="1" applyProtection="1">
      <alignment horizontal="right" vertical="center" wrapText="1" indent="1"/>
      <protection locked="0"/>
    </xf>
    <xf numFmtId="3" fontId="3" fillId="0" borderId="7" xfId="28" applyNumberFormat="1" applyFont="1" applyBorder="1" applyAlignment="1" applyProtection="1">
      <alignment horizontal="right" vertical="center" wrapText="1" indent="1"/>
      <protection locked="0"/>
    </xf>
    <xf numFmtId="3" fontId="3" fillId="0" borderId="9" xfId="28" applyNumberFormat="1" applyFont="1" applyBorder="1" applyAlignment="1" applyProtection="1">
      <alignment horizontal="right" vertical="center" wrapText="1" indent="1"/>
      <protection locked="0"/>
    </xf>
    <xf numFmtId="3" fontId="3" fillId="0" borderId="18" xfId="28" applyNumberFormat="1" applyFont="1" applyBorder="1" applyAlignment="1" applyProtection="1">
      <alignment horizontal="right" vertical="center" wrapText="1" indent="1"/>
      <protection locked="0"/>
    </xf>
    <xf numFmtId="3" fontId="3" fillId="0" borderId="5" xfId="28" applyNumberFormat="1" applyFont="1" applyBorder="1" applyAlignment="1" applyProtection="1">
      <alignment horizontal="right" vertical="center" wrapText="1" indent="1"/>
      <protection locked="0"/>
    </xf>
    <xf numFmtId="3" fontId="3" fillId="0" borderId="20" xfId="28" applyNumberFormat="1" applyFont="1" applyBorder="1" applyAlignment="1" applyProtection="1">
      <alignment horizontal="right" vertical="center" wrapText="1" indent="1"/>
      <protection locked="0"/>
    </xf>
    <xf numFmtId="3" fontId="3" fillId="0" borderId="21" xfId="28" applyNumberFormat="1" applyFont="1" applyBorder="1" applyAlignment="1" applyProtection="1">
      <alignment horizontal="right" vertical="center" wrapText="1" indent="1"/>
      <protection locked="0"/>
    </xf>
    <xf numFmtId="0" fontId="48" fillId="0" borderId="0" xfId="0" applyFont="1" applyAlignment="1">
      <alignment vertical="center" wrapText="1"/>
    </xf>
    <xf numFmtId="3" fontId="50" fillId="0" borderId="0" xfId="0" applyNumberFormat="1" applyFont="1" applyBorder="1" applyAlignment="1">
      <alignment vertical="center" wrapText="1"/>
    </xf>
    <xf numFmtId="3" fontId="50" fillId="10" borderId="0" xfId="0" applyNumberFormat="1" applyFont="1" applyFill="1" applyBorder="1" applyAlignment="1">
      <alignment vertical="center" wrapText="1"/>
    </xf>
    <xf numFmtId="3" fontId="50" fillId="0" borderId="53" xfId="0" applyNumberFormat="1" applyFont="1" applyBorder="1" applyAlignment="1">
      <alignment vertical="center" wrapText="1"/>
    </xf>
    <xf numFmtId="0" fontId="49" fillId="0" borderId="0" xfId="0" applyFont="1" applyAlignment="1">
      <alignment vertical="center" wrapText="1"/>
    </xf>
    <xf numFmtId="0" fontId="3" fillId="10" borderId="0" xfId="0" applyFont="1" applyFill="1" applyBorder="1" applyAlignment="1">
      <alignment vertical="center" wrapText="1"/>
    </xf>
    <xf numFmtId="0" fontId="50" fillId="10" borderId="0" xfId="0" applyFont="1" applyFill="1" applyBorder="1" applyAlignment="1">
      <alignment vertical="center" wrapText="1"/>
    </xf>
    <xf numFmtId="3" fontId="0" fillId="0" borderId="0" xfId="0" applyNumberFormat="1" applyBorder="1" applyAlignment="1">
      <alignment vertical="center" wrapText="1"/>
    </xf>
    <xf numFmtId="3" fontId="17" fillId="10" borderId="17" xfId="0" applyNumberFormat="1" applyFont="1" applyFill="1" applyBorder="1" applyAlignment="1" applyProtection="1">
      <alignment wrapText="1"/>
      <protection locked="0"/>
    </xf>
    <xf numFmtId="3" fontId="32" fillId="0" borderId="49" xfId="28" applyNumberFormat="1" applyFont="1" applyBorder="1" applyAlignment="1"/>
    <xf numFmtId="3" fontId="32" fillId="10" borderId="17" xfId="28" applyNumberFormat="1" applyFont="1" applyFill="1" applyBorder="1" applyAlignment="1">
      <alignment horizontal="right" wrapText="1"/>
    </xf>
    <xf numFmtId="3" fontId="34" fillId="9" borderId="17" xfId="28" applyNumberFormat="1" applyFont="1" applyFill="1" applyBorder="1"/>
    <xf numFmtId="3" fontId="2" fillId="9" borderId="17" xfId="28" applyNumberFormat="1" applyFont="1" applyFill="1" applyBorder="1"/>
    <xf numFmtId="3" fontId="24" fillId="13" borderId="17" xfId="28" applyNumberFormat="1" applyFont="1" applyFill="1" applyBorder="1" applyAlignment="1">
      <alignment horizontal="right"/>
    </xf>
    <xf numFmtId="3" fontId="34" fillId="7" borderId="17" xfId="28" applyNumberFormat="1" applyFont="1" applyFill="1" applyBorder="1"/>
    <xf numFmtId="3" fontId="2" fillId="7" borderId="17" xfId="28" applyNumberFormat="1" applyFont="1" applyFill="1" applyBorder="1"/>
    <xf numFmtId="3" fontId="34" fillId="14" borderId="17" xfId="28" applyNumberFormat="1" applyFont="1" applyFill="1" applyBorder="1"/>
    <xf numFmtId="3" fontId="24" fillId="15" borderId="17" xfId="28" applyNumberFormat="1" applyFont="1" applyFill="1" applyBorder="1" applyAlignment="1">
      <alignment horizontal="right"/>
    </xf>
    <xf numFmtId="166" fontId="17" fillId="0" borderId="16" xfId="0" applyNumberFormat="1" applyFont="1" applyFill="1" applyBorder="1" applyAlignment="1" applyProtection="1">
      <alignment vertical="center" wrapText="1"/>
      <protection locked="0"/>
    </xf>
    <xf numFmtId="166" fontId="17" fillId="0" borderId="5" xfId="0" applyNumberFormat="1" applyFont="1" applyFill="1" applyBorder="1" applyAlignment="1" applyProtection="1">
      <alignment vertical="center" wrapText="1"/>
      <protection locked="0"/>
    </xf>
    <xf numFmtId="4" fontId="15" fillId="0" borderId="2" xfId="0" applyNumberFormat="1" applyFont="1" applyFill="1" applyBorder="1" applyAlignment="1" applyProtection="1">
      <alignment vertical="center" wrapText="1"/>
      <protection locked="0"/>
    </xf>
    <xf numFmtId="166" fontId="69" fillId="0" borderId="0" xfId="0" applyNumberFormat="1" applyFont="1" applyAlignment="1" applyProtection="1">
      <alignment horizontal="left" vertical="center" wrapText="1"/>
    </xf>
    <xf numFmtId="166" fontId="69" fillId="0" borderId="0" xfId="0" applyNumberFormat="1" applyFont="1" applyAlignment="1" applyProtection="1">
      <alignment vertical="center" wrapText="1"/>
    </xf>
    <xf numFmtId="166" fontId="70" fillId="0" borderId="0" xfId="0" applyNumberFormat="1" applyFont="1" applyAlignment="1">
      <alignment vertical="center" wrapText="1"/>
    </xf>
    <xf numFmtId="49" fontId="71" fillId="0" borderId="16" xfId="0" applyNumberFormat="1" applyFont="1" applyBorder="1" applyAlignment="1" applyProtection="1">
      <alignment horizontal="right" vertical="center"/>
      <protection locked="0"/>
    </xf>
    <xf numFmtId="0" fontId="72" fillId="0" borderId="0" xfId="0" applyFont="1" applyAlignment="1">
      <alignment vertical="center"/>
    </xf>
    <xf numFmtId="0" fontId="71" fillId="0" borderId="47" xfId="0" applyFont="1" applyBorder="1" applyAlignment="1" applyProtection="1">
      <alignment horizontal="center" vertical="center"/>
      <protection locked="0"/>
    </xf>
    <xf numFmtId="49" fontId="71" fillId="0" borderId="42" xfId="0" applyNumberFormat="1" applyFont="1" applyBorder="1" applyAlignment="1" applyProtection="1">
      <alignment horizontal="right" vertical="center"/>
      <protection locked="0"/>
    </xf>
    <xf numFmtId="167" fontId="72" fillId="0" borderId="0" xfId="0" applyNumberFormat="1" applyFont="1" applyFill="1" applyBorder="1" applyAlignment="1" applyProtection="1">
      <alignment horizontal="center"/>
    </xf>
    <xf numFmtId="0" fontId="71" fillId="0" borderId="24" xfId="0" applyFont="1" applyBorder="1" applyAlignment="1" applyProtection="1">
      <alignment horizontal="center" vertical="center" wrapText="1"/>
    </xf>
    <xf numFmtId="0" fontId="71" fillId="0" borderId="14" xfId="0" applyFont="1" applyBorder="1" applyAlignment="1" applyProtection="1">
      <alignment horizontal="center" vertical="center" wrapText="1"/>
    </xf>
    <xf numFmtId="0" fontId="71" fillId="0" borderId="15" xfId="0" applyFont="1" applyBorder="1" applyAlignment="1" applyProtection="1">
      <alignment horizontal="center" vertical="center" wrapText="1"/>
    </xf>
    <xf numFmtId="0" fontId="71" fillId="10" borderId="15" xfId="0" applyFont="1" applyFill="1" applyBorder="1" applyAlignment="1" applyProtection="1">
      <alignment horizontal="center" vertical="center" wrapText="1"/>
    </xf>
    <xf numFmtId="0" fontId="70" fillId="0" borderId="0" xfId="0" applyFont="1" applyAlignment="1">
      <alignment vertical="center" wrapText="1"/>
    </xf>
    <xf numFmtId="0" fontId="71" fillId="0" borderId="19" xfId="0" applyFont="1" applyBorder="1" applyAlignment="1" applyProtection="1">
      <alignment horizontal="center" vertical="center" wrapText="1"/>
    </xf>
    <xf numFmtId="0" fontId="71" fillId="0" borderId="2" xfId="0" applyFont="1" applyBorder="1" applyAlignment="1" applyProtection="1">
      <alignment horizontal="center" vertical="center" wrapText="1"/>
    </xf>
    <xf numFmtId="0" fontId="71" fillId="10" borderId="2" xfId="0" applyFont="1" applyFill="1" applyBorder="1" applyAlignment="1" applyProtection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1" fillId="3" borderId="24" xfId="0" applyFont="1" applyFill="1" applyBorder="1" applyAlignment="1" applyProtection="1">
      <alignment horizontal="center" vertical="center" wrapText="1"/>
    </xf>
    <xf numFmtId="0" fontId="69" fillId="3" borderId="19" xfId="0" applyFont="1" applyFill="1" applyBorder="1" applyAlignment="1" applyProtection="1">
      <alignment horizontal="center" vertical="center" wrapText="1"/>
    </xf>
    <xf numFmtId="0" fontId="71" fillId="3" borderId="19" xfId="0" applyFont="1" applyFill="1" applyBorder="1" applyAlignment="1" applyProtection="1">
      <alignment horizontal="center" vertical="center" wrapText="1"/>
    </xf>
    <xf numFmtId="3" fontId="71" fillId="3" borderId="2" xfId="0" applyNumberFormat="1" applyFont="1" applyFill="1" applyBorder="1" applyAlignment="1" applyProtection="1">
      <alignment vertical="center" wrapText="1"/>
    </xf>
    <xf numFmtId="3" fontId="71" fillId="11" borderId="2" xfId="0" applyNumberFormat="1" applyFont="1" applyFill="1" applyBorder="1" applyAlignment="1" applyProtection="1">
      <alignment vertical="center" wrapText="1"/>
    </xf>
    <xf numFmtId="0" fontId="72" fillId="0" borderId="24" xfId="0" applyFont="1" applyBorder="1" applyAlignment="1" applyProtection="1">
      <alignment horizontal="center" vertical="center" wrapText="1"/>
    </xf>
    <xf numFmtId="0" fontId="74" fillId="0" borderId="19" xfId="0" applyFont="1" applyBorder="1" applyAlignment="1" applyProtection="1">
      <alignment horizontal="center" vertical="center" wrapText="1"/>
    </xf>
    <xf numFmtId="0" fontId="72" fillId="0" borderId="19" xfId="0" applyFont="1" applyBorder="1" applyAlignment="1" applyProtection="1">
      <alignment horizontal="left" vertical="center" wrapText="1" indent="1"/>
    </xf>
    <xf numFmtId="3" fontId="72" fillId="0" borderId="2" xfId="0" applyNumberFormat="1" applyFont="1" applyBorder="1" applyAlignment="1" applyProtection="1">
      <alignment vertical="center" wrapText="1"/>
    </xf>
    <xf numFmtId="3" fontId="72" fillId="10" borderId="2" xfId="0" applyNumberFormat="1" applyFont="1" applyFill="1" applyBorder="1" applyAlignment="1" applyProtection="1">
      <alignment vertical="center" wrapText="1"/>
    </xf>
    <xf numFmtId="3" fontId="70" fillId="10" borderId="7" xfId="0" applyNumberFormat="1" applyFont="1" applyFill="1" applyBorder="1" applyAlignment="1" applyProtection="1">
      <alignment vertical="center" wrapText="1"/>
      <protection locked="0"/>
    </xf>
    <xf numFmtId="0" fontId="75" fillId="0" borderId="0" xfId="0" applyFont="1" applyAlignment="1">
      <alignment vertical="center" wrapText="1"/>
    </xf>
    <xf numFmtId="0" fontId="72" fillId="0" borderId="45" xfId="0" applyFont="1" applyBorder="1" applyAlignment="1" applyProtection="1">
      <alignment horizontal="center" vertical="center" wrapText="1"/>
    </xf>
    <xf numFmtId="49" fontId="70" fillId="0" borderId="17" xfId="0" applyNumberFormat="1" applyFont="1" applyBorder="1" applyAlignment="1" applyProtection="1">
      <alignment horizontal="center" vertical="center" wrapText="1"/>
    </xf>
    <xf numFmtId="0" fontId="70" fillId="0" borderId="41" xfId="28" applyFont="1" applyBorder="1" applyAlignment="1" applyProtection="1">
      <alignment horizontal="left" vertical="center" wrapText="1" indent="1"/>
    </xf>
    <xf numFmtId="3" fontId="70" fillId="0" borderId="16" xfId="0" applyNumberFormat="1" applyFont="1" applyBorder="1" applyAlignment="1" applyProtection="1">
      <alignment vertical="center" wrapText="1"/>
      <protection locked="0"/>
    </xf>
    <xf numFmtId="0" fontId="72" fillId="0" borderId="6" xfId="0" applyFont="1" applyBorder="1" applyAlignment="1" applyProtection="1">
      <alignment horizontal="center" vertical="center" wrapText="1"/>
    </xf>
    <xf numFmtId="0" fontId="70" fillId="0" borderId="17" xfId="28" applyFont="1" applyBorder="1" applyAlignment="1" applyProtection="1">
      <alignment horizontal="left" vertical="center" wrapText="1" indent="1"/>
    </xf>
    <xf numFmtId="3" fontId="70" fillId="0" borderId="7" xfId="0" applyNumberFormat="1" applyFont="1" applyBorder="1" applyAlignment="1" applyProtection="1">
      <alignment vertical="center" wrapText="1"/>
      <protection locked="0"/>
    </xf>
    <xf numFmtId="0" fontId="70" fillId="0" borderId="22" xfId="28" applyFont="1" applyBorder="1" applyAlignment="1" applyProtection="1">
      <alignment horizontal="left" vertical="center" wrapText="1" indent="1"/>
    </xf>
    <xf numFmtId="3" fontId="70" fillId="0" borderId="31" xfId="0" applyNumberFormat="1" applyFont="1" applyBorder="1" applyAlignment="1" applyProtection="1">
      <alignment vertical="center" wrapText="1"/>
      <protection locked="0"/>
    </xf>
    <xf numFmtId="0" fontId="72" fillId="0" borderId="3" xfId="0" applyFont="1" applyBorder="1" applyAlignment="1" applyProtection="1">
      <alignment horizontal="center" vertical="center" wrapText="1"/>
    </xf>
    <xf numFmtId="49" fontId="70" fillId="0" borderId="29" xfId="0" applyNumberFormat="1" applyFont="1" applyBorder="1" applyAlignment="1" applyProtection="1">
      <alignment horizontal="center" vertical="center" wrapText="1"/>
    </xf>
    <xf numFmtId="0" fontId="72" fillId="0" borderId="8" xfId="0" applyFont="1" applyBorder="1" applyAlignment="1" applyProtection="1">
      <alignment horizontal="center" vertical="center" wrapText="1"/>
    </xf>
    <xf numFmtId="3" fontId="70" fillId="0" borderId="9" xfId="0" applyNumberFormat="1" applyFont="1" applyBorder="1" applyAlignment="1" applyProtection="1">
      <alignment vertical="center" wrapText="1"/>
      <protection locked="0"/>
    </xf>
    <xf numFmtId="3" fontId="70" fillId="10" borderId="9" xfId="0" applyNumberFormat="1" applyFont="1" applyFill="1" applyBorder="1" applyAlignment="1" applyProtection="1">
      <alignment vertical="center" wrapText="1"/>
      <protection locked="0"/>
    </xf>
    <xf numFmtId="3" fontId="76" fillId="10" borderId="23" xfId="0" applyNumberFormat="1" applyFont="1" applyFill="1" applyBorder="1" applyAlignment="1" applyProtection="1">
      <alignment vertical="center" wrapText="1"/>
      <protection locked="0"/>
    </xf>
    <xf numFmtId="3" fontId="76" fillId="10" borderId="2" xfId="0" applyNumberFormat="1" applyFont="1" applyFill="1" applyBorder="1" applyAlignment="1" applyProtection="1">
      <alignment vertical="center" wrapText="1"/>
      <protection locked="0"/>
    </xf>
    <xf numFmtId="0" fontId="70" fillId="0" borderId="26" xfId="28" applyFont="1" applyBorder="1" applyAlignment="1" applyProtection="1">
      <alignment horizontal="left" vertical="center" wrapText="1" indent="1"/>
    </xf>
    <xf numFmtId="3" fontId="70" fillId="10" borderId="5" xfId="0" applyNumberFormat="1" applyFont="1" applyFill="1" applyBorder="1" applyAlignment="1" applyProtection="1">
      <alignment vertical="center" wrapText="1"/>
      <protection locked="0"/>
    </xf>
    <xf numFmtId="0" fontId="72" fillId="0" borderId="19" xfId="28" applyFont="1" applyBorder="1" applyAlignment="1" applyProtection="1">
      <alignment horizontal="left" vertical="center" wrapText="1" indent="1"/>
    </xf>
    <xf numFmtId="3" fontId="70" fillId="10" borderId="23" xfId="0" applyNumberFormat="1" applyFont="1" applyFill="1" applyBorder="1" applyAlignment="1" applyProtection="1">
      <alignment vertical="center" wrapText="1"/>
      <protection locked="0"/>
    </xf>
    <xf numFmtId="3" fontId="70" fillId="10" borderId="2" xfId="0" applyNumberFormat="1" applyFont="1" applyFill="1" applyBorder="1" applyAlignment="1" applyProtection="1">
      <alignment vertical="center" wrapText="1"/>
      <protection locked="0"/>
    </xf>
    <xf numFmtId="3" fontId="77" fillId="10" borderId="9" xfId="0" applyNumberFormat="1" applyFont="1" applyFill="1" applyBorder="1" applyAlignment="1" applyProtection="1">
      <alignment vertical="center" wrapText="1"/>
      <protection locked="0"/>
    </xf>
    <xf numFmtId="3" fontId="72" fillId="0" borderId="2" xfId="0" applyNumberFormat="1" applyFont="1" applyBorder="1" applyAlignment="1" applyProtection="1">
      <alignment vertical="center" wrapText="1"/>
      <protection locked="0"/>
    </xf>
    <xf numFmtId="3" fontId="72" fillId="0" borderId="23" xfId="0" applyNumberFormat="1" applyFont="1" applyBorder="1" applyAlignment="1" applyProtection="1">
      <alignment vertical="center" wrapText="1"/>
      <protection locked="0"/>
    </xf>
    <xf numFmtId="49" fontId="70" fillId="0" borderId="17" xfId="28" applyNumberFormat="1" applyFont="1" applyBorder="1" applyAlignment="1" applyProtection="1">
      <alignment horizontal="center" vertical="center" wrapText="1"/>
    </xf>
    <xf numFmtId="3" fontId="70" fillId="0" borderId="5" xfId="0" applyNumberFormat="1" applyFont="1" applyBorder="1" applyAlignment="1" applyProtection="1">
      <alignment vertical="center" wrapText="1"/>
      <protection locked="0"/>
    </xf>
    <xf numFmtId="0" fontId="72" fillId="0" borderId="46" xfId="0" applyFont="1" applyBorder="1" applyAlignment="1" applyProtection="1">
      <alignment horizontal="center" vertical="center" wrapText="1"/>
    </xf>
    <xf numFmtId="3" fontId="72" fillId="10" borderId="88" xfId="0" applyNumberFormat="1" applyFont="1" applyFill="1" applyBorder="1" applyAlignment="1" applyProtection="1">
      <alignment vertical="center" wrapText="1"/>
      <protection locked="0"/>
    </xf>
    <xf numFmtId="3" fontId="70" fillId="0" borderId="18" xfId="0" applyNumberFormat="1" applyFont="1" applyBorder="1" applyAlignment="1" applyProtection="1">
      <alignment vertical="center" wrapText="1"/>
      <protection locked="0"/>
    </xf>
    <xf numFmtId="3" fontId="72" fillId="10" borderId="18" xfId="0" applyNumberFormat="1" applyFont="1" applyFill="1" applyBorder="1" applyAlignment="1" applyProtection="1">
      <alignment vertical="center" wrapText="1"/>
      <protection locked="0"/>
    </xf>
    <xf numFmtId="3" fontId="72" fillId="10" borderId="2" xfId="0" applyNumberFormat="1" applyFont="1" applyFill="1" applyBorder="1" applyAlignment="1" applyProtection="1">
      <alignment vertical="center" wrapText="1"/>
      <protection locked="0"/>
    </xf>
    <xf numFmtId="3" fontId="72" fillId="10" borderId="35" xfId="0" applyNumberFormat="1" applyFont="1" applyFill="1" applyBorder="1" applyAlignment="1" applyProtection="1">
      <alignment vertical="center" wrapText="1"/>
    </xf>
    <xf numFmtId="49" fontId="72" fillId="0" borderId="19" xfId="28" applyNumberFormat="1" applyFont="1" applyBorder="1" applyAlignment="1" applyProtection="1">
      <alignment horizontal="left" vertical="center" wrapText="1" indent="1"/>
    </xf>
    <xf numFmtId="3" fontId="72" fillId="0" borderId="35" xfId="0" applyNumberFormat="1" applyFont="1" applyBorder="1" applyAlignment="1" applyProtection="1">
      <alignment vertical="center" wrapText="1"/>
    </xf>
    <xf numFmtId="3" fontId="70" fillId="10" borderId="54" xfId="0" applyNumberFormat="1" applyFont="1" applyFill="1" applyBorder="1" applyAlignment="1" applyProtection="1">
      <alignment vertical="center" wrapText="1"/>
      <protection locked="0"/>
    </xf>
    <xf numFmtId="49" fontId="70" fillId="0" borderId="41" xfId="28" applyNumberFormat="1" applyFont="1" applyBorder="1" applyAlignment="1" applyProtection="1">
      <alignment horizontal="left" vertical="center" wrapText="1" indent="1"/>
    </xf>
    <xf numFmtId="3" fontId="70" fillId="0" borderId="54" xfId="0" applyNumberFormat="1" applyFont="1" applyBorder="1" applyAlignment="1" applyProtection="1">
      <alignment vertical="center" wrapText="1"/>
      <protection locked="0"/>
    </xf>
    <xf numFmtId="3" fontId="70" fillId="10" borderId="55" xfId="0" applyNumberFormat="1" applyFont="1" applyFill="1" applyBorder="1" applyAlignment="1" applyProtection="1">
      <alignment vertical="center" wrapText="1"/>
      <protection locked="0"/>
    </xf>
    <xf numFmtId="3" fontId="70" fillId="10" borderId="16" xfId="0" applyNumberFormat="1" applyFont="1" applyFill="1" applyBorder="1" applyAlignment="1" applyProtection="1">
      <alignment vertical="center" wrapText="1"/>
      <protection locked="0"/>
    </xf>
    <xf numFmtId="49" fontId="70" fillId="0" borderId="47" xfId="28" applyNumberFormat="1" applyFont="1" applyBorder="1" applyAlignment="1" applyProtection="1">
      <alignment horizontal="left" vertical="center" wrapText="1" indent="1"/>
    </xf>
    <xf numFmtId="0" fontId="70" fillId="0" borderId="39" xfId="28" applyFont="1" applyBorder="1" applyAlignment="1" applyProtection="1">
      <alignment horizontal="left" vertical="center" wrapText="1" indent="1"/>
    </xf>
    <xf numFmtId="3" fontId="70" fillId="10" borderId="18" xfId="0" applyNumberFormat="1" applyFont="1" applyFill="1" applyBorder="1" applyAlignment="1" applyProtection="1">
      <alignment vertical="center" wrapText="1"/>
      <protection locked="0"/>
    </xf>
    <xf numFmtId="3" fontId="72" fillId="10" borderId="40" xfId="0" applyNumberFormat="1" applyFont="1" applyFill="1" applyBorder="1" applyAlignment="1" applyProtection="1">
      <alignment vertical="center" wrapText="1"/>
      <protection locked="0"/>
    </xf>
    <xf numFmtId="3" fontId="70" fillId="0" borderId="40" xfId="0" applyNumberFormat="1" applyFont="1" applyBorder="1" applyAlignment="1" applyProtection="1">
      <alignment vertical="center" wrapText="1"/>
      <protection locked="0"/>
    </xf>
    <xf numFmtId="49" fontId="72" fillId="0" borderId="19" xfId="28" applyNumberFormat="1" applyFont="1" applyBorder="1" applyAlignment="1" applyProtection="1">
      <alignment horizontal="center" vertical="center" wrapText="1"/>
    </xf>
    <xf numFmtId="49" fontId="70" fillId="0" borderId="41" xfId="28" applyNumberFormat="1" applyFont="1" applyBorder="1" applyAlignment="1" applyProtection="1">
      <alignment horizontal="center" vertical="center" wrapText="1"/>
    </xf>
    <xf numFmtId="0" fontId="78" fillId="0" borderId="24" xfId="0" applyFont="1" applyBorder="1" applyAlignment="1" applyProtection="1">
      <alignment horizontal="center" vertical="center" wrapText="1"/>
    </xf>
    <xf numFmtId="3" fontId="70" fillId="10" borderId="40" xfId="0" applyNumberFormat="1" applyFont="1" applyFill="1" applyBorder="1" applyAlignment="1" applyProtection="1">
      <alignment vertical="center" wrapText="1"/>
      <protection locked="0"/>
    </xf>
    <xf numFmtId="49" fontId="70" fillId="0" borderId="22" xfId="28" applyNumberFormat="1" applyFont="1" applyBorder="1" applyAlignment="1" applyProtection="1">
      <alignment horizontal="center" vertical="center" wrapText="1"/>
    </xf>
    <xf numFmtId="3" fontId="77" fillId="10" borderId="40" xfId="0" applyNumberFormat="1" applyFont="1" applyFill="1" applyBorder="1" applyAlignment="1" applyProtection="1">
      <alignment vertical="center" wrapText="1"/>
      <protection locked="0"/>
    </xf>
    <xf numFmtId="3" fontId="72" fillId="0" borderId="40" xfId="0" applyNumberFormat="1" applyFont="1" applyBorder="1" applyAlignment="1" applyProtection="1">
      <alignment vertical="center" wrapText="1"/>
      <protection locked="0"/>
    </xf>
    <xf numFmtId="3" fontId="79" fillId="10" borderId="7" xfId="0" applyNumberFormat="1" applyFont="1" applyFill="1" applyBorder="1" applyAlignment="1" applyProtection="1">
      <alignment vertical="center" wrapText="1"/>
      <protection locked="0"/>
    </xf>
    <xf numFmtId="3" fontId="70" fillId="0" borderId="0" xfId="0" applyNumberFormat="1" applyFont="1" applyBorder="1" applyAlignment="1" applyProtection="1">
      <alignment vertical="center" wrapText="1"/>
      <protection locked="0"/>
    </xf>
    <xf numFmtId="3" fontId="80" fillId="0" borderId="2" xfId="0" applyNumberFormat="1" applyFont="1" applyBorder="1" applyAlignment="1" applyProtection="1">
      <alignment vertical="center" wrapText="1"/>
      <protection locked="0"/>
    </xf>
    <xf numFmtId="3" fontId="79" fillId="0" borderId="7" xfId="0" applyNumberFormat="1" applyFont="1" applyBorder="1" applyAlignment="1" applyProtection="1">
      <alignment vertical="center" wrapText="1"/>
      <protection locked="0"/>
    </xf>
    <xf numFmtId="0" fontId="71" fillId="3" borderId="19" xfId="0" applyFont="1" applyFill="1" applyBorder="1" applyAlignment="1" applyProtection="1">
      <alignment horizontal="left" vertical="center" wrapText="1" indent="1"/>
    </xf>
    <xf numFmtId="3" fontId="70" fillId="0" borderId="0" xfId="0" applyNumberFormat="1" applyFont="1" applyAlignment="1">
      <alignment vertical="center" wrapText="1"/>
    </xf>
    <xf numFmtId="0" fontId="70" fillId="0" borderId="0" xfId="0" applyFont="1" applyBorder="1" applyAlignment="1" applyProtection="1">
      <alignment horizontal="center" vertical="center" wrapText="1"/>
    </xf>
    <xf numFmtId="0" fontId="72" fillId="0" borderId="0" xfId="0" applyFont="1" applyBorder="1" applyAlignment="1" applyProtection="1">
      <alignment horizontal="left" vertical="center" wrapText="1" indent="1"/>
    </xf>
    <xf numFmtId="3" fontId="72" fillId="0" borderId="0" xfId="0" applyNumberFormat="1" applyFont="1" applyBorder="1" applyAlignment="1" applyProtection="1">
      <alignment vertical="center" wrapText="1"/>
    </xf>
    <xf numFmtId="3" fontId="72" fillId="0" borderId="0" xfId="0" applyNumberFormat="1" applyFont="1" applyFill="1" applyBorder="1" applyAlignment="1" applyProtection="1">
      <alignment vertical="center" wrapText="1"/>
    </xf>
    <xf numFmtId="3" fontId="70" fillId="0" borderId="34" xfId="0" applyNumberFormat="1" applyFont="1" applyFill="1" applyBorder="1" applyAlignment="1" applyProtection="1">
      <alignment vertical="center" wrapText="1"/>
      <protection locked="0"/>
    </xf>
    <xf numFmtId="3" fontId="71" fillId="0" borderId="2" xfId="0" applyNumberFormat="1" applyFont="1" applyFill="1" applyBorder="1" applyAlignment="1" applyProtection="1">
      <alignment vertical="center" wrapText="1"/>
    </xf>
    <xf numFmtId="3" fontId="71" fillId="0" borderId="13" xfId="0" applyNumberFormat="1" applyFont="1" applyFill="1" applyBorder="1" applyAlignment="1" applyProtection="1">
      <alignment vertical="center" wrapText="1"/>
    </xf>
    <xf numFmtId="3" fontId="72" fillId="0" borderId="34" xfId="0" applyNumberFormat="1" applyFont="1" applyFill="1" applyBorder="1" applyAlignment="1" applyProtection="1">
      <alignment vertical="center" wrapText="1"/>
    </xf>
    <xf numFmtId="0" fontId="72" fillId="0" borderId="4" xfId="0" applyFont="1" applyBorder="1" applyAlignment="1" applyProtection="1">
      <alignment horizontal="center" vertical="center" wrapText="1"/>
    </xf>
    <xf numFmtId="49" fontId="70" fillId="0" borderId="26" xfId="28" applyNumberFormat="1" applyFont="1" applyBorder="1" applyAlignment="1" applyProtection="1">
      <alignment horizontal="center" vertical="center" wrapText="1"/>
    </xf>
    <xf numFmtId="3" fontId="70" fillId="0" borderId="7" xfId="0" applyNumberFormat="1" applyFont="1" applyFill="1" applyBorder="1" applyAlignment="1" applyProtection="1">
      <alignment vertical="center" wrapText="1"/>
      <protection locked="0"/>
    </xf>
    <xf numFmtId="3" fontId="70" fillId="3" borderId="7" xfId="0" applyNumberFormat="1" applyFont="1" applyFill="1" applyBorder="1" applyAlignment="1" applyProtection="1">
      <alignment vertical="center" wrapText="1"/>
      <protection locked="0"/>
    </xf>
    <xf numFmtId="49" fontId="70" fillId="0" borderId="17" xfId="28" applyNumberFormat="1" applyFont="1" applyBorder="1" applyAlignment="1" applyProtection="1">
      <alignment horizontal="left" vertical="center" wrapText="1" indent="1"/>
    </xf>
    <xf numFmtId="0" fontId="72" fillId="0" borderId="19" xfId="28" applyFont="1" applyBorder="1" applyAlignment="1" applyProtection="1">
      <alignment vertical="center" wrapText="1"/>
    </xf>
    <xf numFmtId="0" fontId="72" fillId="0" borderId="24" xfId="0" applyFont="1" applyBorder="1" applyAlignment="1" applyProtection="1">
      <alignment horizontal="left" vertical="center"/>
    </xf>
    <xf numFmtId="0" fontId="70" fillId="0" borderId="34" xfId="0" applyFont="1" applyBorder="1" applyAlignment="1" applyProtection="1">
      <alignment vertical="center" wrapText="1"/>
    </xf>
    <xf numFmtId="0" fontId="72" fillId="0" borderId="51" xfId="0" applyFont="1" applyBorder="1" applyAlignment="1" applyProtection="1">
      <alignment vertical="center" wrapText="1"/>
    </xf>
    <xf numFmtId="4" fontId="72" fillId="0" borderId="2" xfId="0" applyNumberFormat="1" applyFont="1" applyBorder="1" applyAlignment="1" applyProtection="1">
      <alignment horizontal="right" vertical="center" wrapText="1" indent="1"/>
      <protection locked="0"/>
    </xf>
    <xf numFmtId="4" fontId="72" fillId="10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72" fillId="0" borderId="2" xfId="0" applyNumberFormat="1" applyFont="1" applyBorder="1" applyAlignment="1" applyProtection="1">
      <alignment horizontal="right" vertical="center" wrapText="1" indent="1"/>
      <protection locked="0"/>
    </xf>
    <xf numFmtId="3" fontId="72" fillId="10" borderId="2" xfId="0" applyNumberFormat="1" applyFont="1" applyFill="1" applyBorder="1" applyAlignment="1" applyProtection="1">
      <alignment horizontal="right" vertical="center" wrapText="1" indent="1"/>
      <protection locked="0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vertical="center" wrapText="1"/>
    </xf>
    <xf numFmtId="0" fontId="69" fillId="0" borderId="0" xfId="0" applyFont="1" applyAlignment="1">
      <alignment vertical="center" wrapText="1"/>
    </xf>
    <xf numFmtId="0" fontId="73" fillId="10" borderId="0" xfId="0" applyFont="1" applyFill="1" applyAlignment="1">
      <alignment vertical="center" wrapText="1"/>
    </xf>
    <xf numFmtId="0" fontId="69" fillId="10" borderId="0" xfId="0" applyFont="1" applyFill="1" applyAlignment="1">
      <alignment vertical="center" wrapText="1"/>
    </xf>
    <xf numFmtId="0" fontId="81" fillId="0" borderId="0" xfId="0" applyFont="1" applyAlignment="1">
      <alignment vertical="center" wrapText="1"/>
    </xf>
    <xf numFmtId="0" fontId="82" fillId="0" borderId="0" xfId="0" applyFont="1" applyAlignment="1">
      <alignment vertical="center" wrapText="1"/>
    </xf>
    <xf numFmtId="0" fontId="83" fillId="0" borderId="0" xfId="0" applyFont="1" applyAlignment="1">
      <alignment vertical="center" wrapText="1"/>
    </xf>
    <xf numFmtId="0" fontId="84" fillId="0" borderId="17" xfId="28" applyFont="1" applyBorder="1"/>
    <xf numFmtId="0" fontId="87" fillId="0" borderId="17" xfId="28" applyFont="1" applyBorder="1" applyAlignment="1">
      <alignment horizontal="justify" vertical="center" wrapText="1"/>
    </xf>
    <xf numFmtId="0" fontId="86" fillId="0" borderId="17" xfId="28" applyFont="1" applyBorder="1" applyAlignment="1">
      <alignment horizontal="left" vertical="center" wrapText="1" indent="2"/>
    </xf>
    <xf numFmtId="0" fontId="87" fillId="0" borderId="29" xfId="28" applyFont="1" applyFill="1" applyBorder="1" applyAlignment="1">
      <alignment vertical="center" wrapText="1"/>
    </xf>
    <xf numFmtId="0" fontId="87" fillId="0" borderId="29" xfId="28" applyFont="1" applyBorder="1" applyAlignment="1">
      <alignment vertical="center" wrapText="1"/>
    </xf>
    <xf numFmtId="0" fontId="87" fillId="0" borderId="29" xfId="28" applyFont="1" applyBorder="1" applyAlignment="1">
      <alignment horizontal="justify" vertical="center" wrapText="1"/>
    </xf>
    <xf numFmtId="0" fontId="87" fillId="0" borderId="29" xfId="28" applyFont="1" applyFill="1" applyBorder="1" applyAlignment="1">
      <alignment horizontal="justify" vertical="center" wrapText="1"/>
    </xf>
    <xf numFmtId="0" fontId="87" fillId="0" borderId="29" xfId="28" applyFont="1" applyFill="1" applyBorder="1" applyAlignment="1">
      <alignment horizontal="left" vertical="center" wrapText="1" indent="2"/>
    </xf>
    <xf numFmtId="0" fontId="3" fillId="0" borderId="53" xfId="0" applyFont="1" applyBorder="1" applyAlignment="1">
      <alignment vertical="center" wrapText="1"/>
    </xf>
    <xf numFmtId="0" fontId="106" fillId="0" borderId="0" xfId="25" applyFont="1" applyBorder="1"/>
    <xf numFmtId="0" fontId="106" fillId="0" borderId="128" xfId="25" applyFont="1" applyBorder="1"/>
    <xf numFmtId="3" fontId="106" fillId="0" borderId="108" xfId="25" applyNumberFormat="1" applyFont="1" applyBorder="1"/>
    <xf numFmtId="3" fontId="32" fillId="0" borderId="5" xfId="25" applyNumberFormat="1" applyFont="1" applyFill="1" applyBorder="1" applyAlignment="1">
      <alignment horizontal="right"/>
    </xf>
    <xf numFmtId="3" fontId="24" fillId="0" borderId="117" xfId="25" applyNumberFormat="1" applyFont="1" applyFill="1" applyBorder="1" applyAlignment="1"/>
    <xf numFmtId="3" fontId="24" fillId="0" borderId="101" xfId="25" applyNumberFormat="1" applyFont="1" applyFill="1" applyBorder="1" applyAlignment="1"/>
    <xf numFmtId="3" fontId="6" fillId="10" borderId="54" xfId="28" applyNumberFormat="1" applyFont="1" applyFill="1" applyBorder="1" applyAlignment="1" applyProtection="1">
      <alignment horizontal="right" vertical="center" wrapText="1" indent="1"/>
    </xf>
    <xf numFmtId="0" fontId="15" fillId="0" borderId="0" xfId="0" applyFont="1" applyBorder="1" applyAlignment="1">
      <alignment vertical="center"/>
    </xf>
    <xf numFmtId="3" fontId="106" fillId="0" borderId="26" xfId="25" applyNumberFormat="1" applyFont="1" applyBorder="1"/>
    <xf numFmtId="3" fontId="106" fillId="0" borderId="138" xfId="25" applyNumberFormat="1" applyFont="1" applyBorder="1"/>
    <xf numFmtId="3" fontId="18" fillId="0" borderId="32" xfId="0" applyNumberFormat="1" applyFont="1" applyBorder="1" applyAlignment="1">
      <alignment horizontal="left" vertical="center" wrapText="1"/>
    </xf>
    <xf numFmtId="3" fontId="6" fillId="0" borderId="0" xfId="0" applyNumberFormat="1" applyFont="1" applyBorder="1" applyAlignment="1" applyProtection="1">
      <alignment vertical="center" wrapText="1"/>
    </xf>
    <xf numFmtId="3" fontId="6" fillId="10" borderId="0" xfId="0" applyNumberFormat="1" applyFont="1" applyFill="1" applyBorder="1" applyAlignment="1" applyProtection="1">
      <alignment vertical="center" wrapText="1"/>
    </xf>
    <xf numFmtId="166" fontId="103" fillId="0" borderId="0" xfId="0" applyNumberFormat="1" applyFont="1" applyAlignment="1">
      <alignment vertical="center" wrapText="1"/>
    </xf>
    <xf numFmtId="0" fontId="121" fillId="0" borderId="0" xfId="0" applyFont="1" applyAlignment="1">
      <alignment vertical="center"/>
    </xf>
    <xf numFmtId="0" fontId="121" fillId="0" borderId="0" xfId="0" applyFont="1" applyAlignment="1">
      <alignment horizontal="center" vertical="center" wrapText="1"/>
    </xf>
    <xf numFmtId="3" fontId="122" fillId="0" borderId="0" xfId="0" applyNumberFormat="1" applyFont="1" applyAlignment="1">
      <alignment vertical="center" wrapText="1"/>
    </xf>
    <xf numFmtId="166" fontId="120" fillId="0" borderId="0" xfId="0" applyNumberFormat="1" applyFont="1" applyAlignment="1">
      <alignment vertical="center" wrapText="1"/>
    </xf>
    <xf numFmtId="0" fontId="123" fillId="0" borderId="0" xfId="0" applyFont="1" applyAlignment="1">
      <alignment vertical="center"/>
    </xf>
    <xf numFmtId="0" fontId="120" fillId="0" borderId="0" xfId="0" applyFont="1" applyAlignment="1">
      <alignment vertical="center" wrapText="1"/>
    </xf>
    <xf numFmtId="0" fontId="123" fillId="0" borderId="0" xfId="0" applyFont="1" applyAlignment="1">
      <alignment horizontal="center" vertical="center" wrapText="1"/>
    </xf>
    <xf numFmtId="3" fontId="124" fillId="0" borderId="0" xfId="0" applyNumberFormat="1" applyFont="1" applyAlignment="1">
      <alignment vertical="center" wrapText="1"/>
    </xf>
    <xf numFmtId="0" fontId="118" fillId="0" borderId="0" xfId="0" applyFont="1" applyAlignment="1">
      <alignment vertical="center" wrapText="1"/>
    </xf>
    <xf numFmtId="0" fontId="120" fillId="0" borderId="139" xfId="0" applyFont="1" applyBorder="1" applyAlignment="1">
      <alignment vertical="center" wrapText="1"/>
    </xf>
    <xf numFmtId="0" fontId="123" fillId="0" borderId="139" xfId="0" applyFont="1" applyBorder="1" applyAlignment="1">
      <alignment horizontal="center" vertical="center" wrapText="1"/>
    </xf>
    <xf numFmtId="3" fontId="124" fillId="0" borderId="139" xfId="0" applyNumberFormat="1" applyFont="1" applyBorder="1" applyAlignment="1">
      <alignment vertical="center" wrapText="1"/>
    </xf>
    <xf numFmtId="0" fontId="124" fillId="0" borderId="139" xfId="0" applyFont="1" applyBorder="1" applyAlignment="1">
      <alignment vertical="center" wrapText="1"/>
    </xf>
    <xf numFmtId="166" fontId="125" fillId="0" borderId="0" xfId="0" applyNumberFormat="1" applyFont="1" applyAlignment="1">
      <alignment vertical="center" wrapText="1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center" vertical="center" wrapText="1"/>
    </xf>
    <xf numFmtId="3" fontId="127" fillId="0" borderId="0" xfId="0" applyNumberFormat="1" applyFont="1" applyAlignment="1">
      <alignment vertical="center" wrapText="1"/>
    </xf>
    <xf numFmtId="0" fontId="128" fillId="0" borderId="0" xfId="0" applyFont="1" applyAlignment="1">
      <alignment vertical="center" wrapText="1"/>
    </xf>
    <xf numFmtId="0" fontId="129" fillId="16" borderId="0" xfId="0" applyFont="1" applyFill="1" applyAlignment="1">
      <alignment horizontal="center" vertical="center" wrapText="1"/>
    </xf>
    <xf numFmtId="166" fontId="130" fillId="0" borderId="0" xfId="0" applyNumberFormat="1" applyFont="1" applyAlignment="1">
      <alignment vertical="center" wrapText="1"/>
    </xf>
    <xf numFmtId="0" fontId="129" fillId="0" borderId="0" xfId="0" applyFont="1" applyAlignment="1">
      <alignment vertical="center"/>
    </xf>
    <xf numFmtId="0" fontId="130" fillId="0" borderId="0" xfId="0" applyFont="1" applyAlignment="1">
      <alignment vertical="center" wrapText="1"/>
    </xf>
    <xf numFmtId="0" fontId="129" fillId="0" borderId="0" xfId="0" applyFont="1" applyAlignment="1">
      <alignment horizontal="center" vertical="center" wrapText="1"/>
    </xf>
    <xf numFmtId="0" fontId="131" fillId="0" borderId="0" xfId="0" applyFont="1" applyAlignment="1">
      <alignment vertical="center" wrapText="1"/>
    </xf>
    <xf numFmtId="166" fontId="132" fillId="16" borderId="0" xfId="0" applyNumberFormat="1" applyFont="1" applyFill="1" applyAlignment="1">
      <alignment vertical="center" wrapText="1"/>
    </xf>
    <xf numFmtId="0" fontId="133" fillId="16" borderId="0" xfId="0" applyFont="1" applyFill="1" applyAlignment="1">
      <alignment vertical="center"/>
    </xf>
    <xf numFmtId="0" fontId="132" fillId="16" borderId="0" xfId="0" applyFont="1" applyFill="1" applyAlignment="1">
      <alignment vertical="center" wrapText="1"/>
    </xf>
    <xf numFmtId="0" fontId="133" fillId="16" borderId="0" xfId="0" applyFont="1" applyFill="1" applyAlignment="1">
      <alignment horizontal="center" vertical="center" wrapText="1"/>
    </xf>
    <xf numFmtId="3" fontId="134" fillId="16" borderId="0" xfId="0" applyNumberFormat="1" applyFont="1" applyFill="1" applyAlignment="1">
      <alignment vertical="center" wrapText="1"/>
    </xf>
    <xf numFmtId="0" fontId="135" fillId="16" borderId="0" xfId="0" applyFont="1" applyFill="1" applyAlignment="1">
      <alignment vertical="center" wrapText="1"/>
    </xf>
    <xf numFmtId="166" fontId="132" fillId="0" borderId="0" xfId="0" applyNumberFormat="1" applyFont="1" applyAlignment="1">
      <alignment vertical="center" wrapText="1"/>
    </xf>
    <xf numFmtId="0" fontId="133" fillId="0" borderId="0" xfId="0" applyFont="1" applyAlignment="1">
      <alignment vertical="center"/>
    </xf>
    <xf numFmtId="0" fontId="132" fillId="0" borderId="0" xfId="0" applyFont="1" applyAlignment="1">
      <alignment vertical="center" wrapText="1"/>
    </xf>
    <xf numFmtId="0" fontId="133" fillId="0" borderId="0" xfId="0" applyFont="1" applyAlignment="1">
      <alignment horizontal="center" vertical="center" wrapText="1"/>
    </xf>
    <xf numFmtId="3" fontId="134" fillId="0" borderId="0" xfId="0" applyNumberFormat="1" applyFont="1" applyAlignment="1">
      <alignment vertical="center" wrapText="1"/>
    </xf>
    <xf numFmtId="0" fontId="135" fillId="0" borderId="0" xfId="0" applyFont="1" applyAlignment="1">
      <alignment vertical="center" wrapText="1"/>
    </xf>
    <xf numFmtId="3" fontId="44" fillId="10" borderId="2" xfId="0" applyNumberFormat="1" applyFont="1" applyFill="1" applyBorder="1" applyAlignment="1" applyProtection="1">
      <alignment vertical="center" wrapText="1"/>
      <protection locked="0"/>
    </xf>
    <xf numFmtId="0" fontId="132" fillId="0" borderId="0" xfId="0" applyFont="1" applyAlignment="1">
      <alignment horizontal="center" vertical="center" wrapText="1"/>
    </xf>
    <xf numFmtId="0" fontId="134" fillId="0" borderId="0" xfId="0" applyFont="1" applyAlignment="1">
      <alignment vertical="center" wrapText="1"/>
    </xf>
    <xf numFmtId="0" fontId="120" fillId="0" borderId="0" xfId="0" applyFont="1" applyAlignment="1">
      <alignment horizontal="center" vertical="center" wrapText="1"/>
    </xf>
    <xf numFmtId="0" fontId="124" fillId="0" borderId="0" xfId="0" applyFont="1" applyAlignment="1">
      <alignment vertical="center" wrapText="1"/>
    </xf>
    <xf numFmtId="0" fontId="103" fillId="0" borderId="0" xfId="0" applyFont="1" applyAlignment="1">
      <alignment horizontal="center" vertical="center" wrapText="1"/>
    </xf>
    <xf numFmtId="0" fontId="122" fillId="0" borderId="0" xfId="0" applyFont="1" applyAlignment="1">
      <alignment vertical="center" wrapText="1"/>
    </xf>
    <xf numFmtId="3" fontId="103" fillId="0" borderId="0" xfId="0" applyNumberFormat="1" applyFont="1" applyAlignment="1">
      <alignment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vertical="center" wrapText="1"/>
    </xf>
    <xf numFmtId="3" fontId="125" fillId="0" borderId="0" xfId="0" applyNumberFormat="1" applyFont="1" applyAlignment="1">
      <alignment vertical="center" wrapText="1"/>
    </xf>
    <xf numFmtId="3" fontId="120" fillId="0" borderId="0" xfId="0" applyNumberFormat="1" applyFont="1" applyAlignment="1">
      <alignment vertical="center" wrapText="1"/>
    </xf>
    <xf numFmtId="166" fontId="136" fillId="0" borderId="0" xfId="0" applyNumberFormat="1" applyFont="1" applyAlignment="1">
      <alignment vertical="center" wrapText="1"/>
    </xf>
    <xf numFmtId="0" fontId="137" fillId="0" borderId="0" xfId="0" applyFont="1" applyAlignment="1">
      <alignment vertical="center"/>
    </xf>
    <xf numFmtId="0" fontId="136" fillId="0" borderId="0" xfId="0" applyFont="1" applyAlignment="1">
      <alignment vertical="center" wrapText="1"/>
    </xf>
    <xf numFmtId="0" fontId="137" fillId="0" borderId="0" xfId="0" applyFont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3" fontId="136" fillId="0" borderId="0" xfId="0" applyNumberFormat="1" applyFont="1" applyAlignment="1">
      <alignment vertical="center" wrapText="1"/>
    </xf>
    <xf numFmtId="0" fontId="138" fillId="0" borderId="0" xfId="0" applyFont="1" applyAlignment="1">
      <alignment vertical="center" wrapText="1"/>
    </xf>
    <xf numFmtId="166" fontId="139" fillId="0" borderId="0" xfId="0" applyNumberFormat="1" applyFont="1" applyAlignment="1">
      <alignment vertical="center" wrapText="1"/>
    </xf>
    <xf numFmtId="0" fontId="140" fillId="0" borderId="0" xfId="0" applyFont="1" applyAlignment="1">
      <alignment vertical="center"/>
    </xf>
    <xf numFmtId="0" fontId="139" fillId="0" borderId="0" xfId="0" applyFont="1" applyAlignment="1">
      <alignment horizontal="center" vertical="center" wrapText="1"/>
    </xf>
    <xf numFmtId="0" fontId="140" fillId="0" borderId="0" xfId="0" applyFont="1" applyAlignment="1">
      <alignment horizontal="center" vertical="center" wrapText="1"/>
    </xf>
    <xf numFmtId="3" fontId="139" fillId="0" borderId="0" xfId="0" applyNumberFormat="1" applyFont="1" applyAlignment="1">
      <alignment vertical="center" wrapText="1"/>
    </xf>
    <xf numFmtId="0" fontId="139" fillId="0" borderId="0" xfId="0" applyFont="1" applyAlignment="1">
      <alignment vertical="center" wrapText="1"/>
    </xf>
    <xf numFmtId="0" fontId="141" fillId="0" borderId="0" xfId="0" applyFont="1" applyAlignment="1">
      <alignment vertical="center" wrapText="1"/>
    </xf>
    <xf numFmtId="166" fontId="142" fillId="0" borderId="0" xfId="0" applyNumberFormat="1" applyFont="1" applyAlignment="1">
      <alignment vertical="center" wrapText="1"/>
    </xf>
    <xf numFmtId="0" fontId="143" fillId="0" borderId="0" xfId="0" applyFont="1" applyAlignment="1">
      <alignment vertical="center"/>
    </xf>
    <xf numFmtId="0" fontId="142" fillId="0" borderId="0" xfId="0" applyFont="1" applyAlignment="1">
      <alignment horizontal="center" vertical="center" wrapText="1"/>
    </xf>
    <xf numFmtId="3" fontId="142" fillId="0" borderId="0" xfId="0" applyNumberFormat="1" applyFont="1" applyAlignment="1">
      <alignment vertical="center" wrapText="1"/>
    </xf>
    <xf numFmtId="0" fontId="142" fillId="0" borderId="0" xfId="0" applyFont="1" applyAlignment="1">
      <alignment vertical="center" wrapText="1"/>
    </xf>
    <xf numFmtId="166" fontId="144" fillId="8" borderId="0" xfId="0" applyNumberFormat="1" applyFont="1" applyFill="1" applyAlignment="1">
      <alignment vertical="center" wrapText="1"/>
    </xf>
    <xf numFmtId="0" fontId="145" fillId="8" borderId="0" xfId="0" applyFont="1" applyFill="1" applyAlignment="1">
      <alignment vertical="center"/>
    </xf>
    <xf numFmtId="0" fontId="144" fillId="8" borderId="0" xfId="0" applyFont="1" applyFill="1" applyAlignment="1">
      <alignment vertical="center" wrapText="1"/>
    </xf>
    <xf numFmtId="0" fontId="145" fillId="8" borderId="0" xfId="0" applyFont="1" applyFill="1" applyAlignment="1">
      <alignment horizontal="center" vertical="center" wrapText="1"/>
    </xf>
    <xf numFmtId="0" fontId="144" fillId="8" borderId="0" xfId="0" applyFont="1" applyFill="1" applyAlignment="1">
      <alignment horizontal="center" vertical="center" wrapText="1"/>
    </xf>
    <xf numFmtId="3" fontId="144" fillId="8" borderId="0" xfId="0" applyNumberFormat="1" applyFont="1" applyFill="1" applyAlignment="1">
      <alignment vertical="center" wrapText="1"/>
    </xf>
    <xf numFmtId="0" fontId="146" fillId="8" borderId="0" xfId="0" applyFont="1" applyFill="1" applyAlignment="1">
      <alignment vertical="center" wrapText="1"/>
    </xf>
    <xf numFmtId="0" fontId="130" fillId="0" borderId="0" xfId="0" applyFont="1" applyAlignment="1">
      <alignment horizontal="center" vertical="center" wrapText="1"/>
    </xf>
    <xf numFmtId="3" fontId="130" fillId="0" borderId="0" xfId="0" applyNumberFormat="1" applyFont="1" applyAlignment="1">
      <alignment vertical="center" wrapText="1"/>
    </xf>
    <xf numFmtId="0" fontId="103" fillId="0" borderId="0" xfId="0" applyFont="1" applyAlignment="1">
      <alignment horizontal="right" vertical="center" wrapText="1"/>
    </xf>
    <xf numFmtId="0" fontId="132" fillId="8" borderId="0" xfId="0" applyFont="1" applyFill="1" applyAlignment="1">
      <alignment vertical="center" wrapText="1"/>
    </xf>
    <xf numFmtId="0" fontId="133" fillId="8" borderId="0" xfId="0" applyFont="1" applyFill="1" applyAlignment="1">
      <alignment horizontal="center" vertical="center" wrapText="1"/>
    </xf>
    <xf numFmtId="0" fontId="132" fillId="0" borderId="0" xfId="0" applyFont="1" applyAlignment="1">
      <alignment horizontal="right" vertical="center" wrapText="1"/>
    </xf>
    <xf numFmtId="0" fontId="125" fillId="0" borderId="0" xfId="0" applyFont="1" applyAlignment="1">
      <alignment horizontal="right" vertical="center" wrapText="1"/>
    </xf>
    <xf numFmtId="0" fontId="120" fillId="0" borderId="28" xfId="0" applyFont="1" applyBorder="1" applyAlignment="1">
      <alignment horizontal="right" vertical="center" wrapText="1"/>
    </xf>
    <xf numFmtId="0" fontId="123" fillId="0" borderId="28" xfId="0" applyFont="1" applyBorder="1" applyAlignment="1">
      <alignment horizontal="center" vertical="center" wrapText="1"/>
    </xf>
    <xf numFmtId="3" fontId="124" fillId="0" borderId="28" xfId="0" applyNumberFormat="1" applyFont="1" applyBorder="1" applyAlignment="1">
      <alignment vertical="center" wrapText="1"/>
    </xf>
    <xf numFmtId="0" fontId="118" fillId="0" borderId="28" xfId="0" applyFont="1" applyBorder="1" applyAlignment="1">
      <alignment vertical="center" wrapText="1"/>
    </xf>
    <xf numFmtId="166" fontId="114" fillId="0" borderId="0" xfId="0" applyNumberFormat="1" applyFont="1" applyAlignment="1">
      <alignment vertical="center" wrapText="1"/>
    </xf>
    <xf numFmtId="0" fontId="92" fillId="0" borderId="0" xfId="0" applyFont="1" applyAlignment="1">
      <alignment vertical="center"/>
    </xf>
    <xf numFmtId="0" fontId="114" fillId="0" borderId="0" xfId="0" applyFont="1" applyAlignment="1">
      <alignment horizontal="center" vertical="center" wrapText="1"/>
    </xf>
    <xf numFmtId="0" fontId="147" fillId="0" borderId="0" xfId="0" applyFont="1" applyAlignment="1">
      <alignment vertical="center"/>
    </xf>
    <xf numFmtId="0" fontId="92" fillId="0" borderId="0" xfId="0" applyFont="1" applyAlignment="1">
      <alignment horizontal="center" vertical="center" wrapText="1"/>
    </xf>
    <xf numFmtId="166" fontId="148" fillId="0" borderId="0" xfId="0" applyNumberFormat="1" applyFont="1" applyAlignment="1">
      <alignment vertical="center" wrapText="1"/>
    </xf>
    <xf numFmtId="0" fontId="149" fillId="0" borderId="0" xfId="0" applyFont="1" applyAlignment="1">
      <alignment vertical="center"/>
    </xf>
    <xf numFmtId="0" fontId="148" fillId="0" borderId="0" xfId="0" applyFont="1" applyAlignment="1">
      <alignment horizontal="center" vertical="center" wrapText="1"/>
    </xf>
    <xf numFmtId="3" fontId="134" fillId="0" borderId="53" xfId="0" applyNumberFormat="1" applyFont="1" applyBorder="1" applyAlignment="1">
      <alignment vertical="center" wrapText="1"/>
    </xf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center" vertical="center" wrapText="1"/>
    </xf>
    <xf numFmtId="166" fontId="151" fillId="0" borderId="0" xfId="0" applyNumberFormat="1" applyFont="1" applyAlignment="1">
      <alignment vertical="center" wrapText="1"/>
    </xf>
    <xf numFmtId="0" fontId="152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0" fontId="152" fillId="0" borderId="0" xfId="0" applyFont="1" applyAlignment="1">
      <alignment horizontal="center" vertical="center" wrapText="1"/>
    </xf>
    <xf numFmtId="0" fontId="151" fillId="0" borderId="0" xfId="0" applyFont="1" applyAlignment="1">
      <alignment horizontal="center" vertical="center" wrapText="1"/>
    </xf>
    <xf numFmtId="166" fontId="119" fillId="0" borderId="0" xfId="0" applyNumberFormat="1" applyFont="1" applyAlignment="1">
      <alignment vertical="center" wrapText="1"/>
    </xf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4" fillId="0" borderId="0" xfId="0" applyFont="1" applyAlignment="1">
      <alignment horizontal="center" vertical="center" wrapText="1"/>
    </xf>
    <xf numFmtId="0" fontId="119" fillId="0" borderId="0" xfId="0" applyFont="1" applyAlignment="1">
      <alignment horizontal="center" vertical="center" wrapText="1"/>
    </xf>
    <xf numFmtId="166" fontId="156" fillId="0" borderId="0" xfId="0" applyNumberFormat="1" applyFont="1" applyBorder="1" applyAlignment="1" applyProtection="1">
      <alignment horizontal="right" vertical="top"/>
      <protection locked="0"/>
    </xf>
    <xf numFmtId="166" fontId="157" fillId="9" borderId="0" xfId="0" applyNumberFormat="1" applyFont="1" applyFill="1" applyBorder="1" applyAlignment="1" applyProtection="1">
      <alignment horizontal="right" vertical="top"/>
      <protection locked="0"/>
    </xf>
    <xf numFmtId="0" fontId="154" fillId="9" borderId="0" xfId="0" applyFont="1" applyFill="1" applyAlignment="1">
      <alignment vertical="center"/>
    </xf>
    <xf numFmtId="3" fontId="124" fillId="9" borderId="0" xfId="0" applyNumberFormat="1" applyFont="1" applyFill="1" applyAlignment="1">
      <alignment vertical="center" wrapText="1"/>
    </xf>
    <xf numFmtId="0" fontId="118" fillId="9" borderId="0" xfId="0" applyFont="1" applyFill="1" applyAlignment="1">
      <alignment vertical="center" wrapText="1"/>
    </xf>
    <xf numFmtId="166" fontId="157" fillId="8" borderId="0" xfId="0" applyNumberFormat="1" applyFont="1" applyFill="1" applyBorder="1" applyAlignment="1" applyProtection="1">
      <alignment horizontal="right" vertical="top"/>
      <protection locked="0"/>
    </xf>
    <xf numFmtId="0" fontId="154" fillId="8" borderId="0" xfId="0" applyFont="1" applyFill="1" applyAlignment="1">
      <alignment vertical="center"/>
    </xf>
    <xf numFmtId="0" fontId="120" fillId="8" borderId="0" xfId="0" applyFont="1" applyFill="1" applyAlignment="1">
      <alignment vertical="center" wrapText="1"/>
    </xf>
    <xf numFmtId="0" fontId="123" fillId="8" borderId="0" xfId="0" applyFont="1" applyFill="1" applyAlignment="1">
      <alignment horizontal="center" vertical="center" wrapText="1"/>
    </xf>
    <xf numFmtId="0" fontId="154" fillId="8" borderId="0" xfId="0" applyFont="1" applyFill="1" applyAlignment="1">
      <alignment horizontal="center" vertical="center" wrapText="1"/>
    </xf>
    <xf numFmtId="3" fontId="124" fillId="8" borderId="0" xfId="0" applyNumberFormat="1" applyFont="1" applyFill="1" applyAlignment="1">
      <alignment vertical="center" wrapText="1"/>
    </xf>
    <xf numFmtId="0" fontId="118" fillId="8" borderId="0" xfId="0" applyFont="1" applyFill="1" applyAlignment="1">
      <alignment vertical="center" wrapText="1"/>
    </xf>
    <xf numFmtId="166" fontId="158" fillId="0" borderId="0" xfId="0" applyNumberFormat="1" applyFont="1" applyBorder="1" applyAlignment="1" applyProtection="1">
      <alignment horizontal="right" vertical="top"/>
      <protection locked="0"/>
    </xf>
    <xf numFmtId="0" fontId="159" fillId="0" borderId="0" xfId="0" applyFont="1" applyAlignment="1">
      <alignment vertical="center"/>
    </xf>
    <xf numFmtId="0" fontId="159" fillId="0" borderId="0" xfId="0" applyFont="1" applyAlignment="1">
      <alignment horizontal="center" vertical="center" wrapText="1"/>
    </xf>
    <xf numFmtId="3" fontId="160" fillId="0" borderId="0" xfId="0" applyNumberFormat="1" applyFont="1" applyAlignment="1">
      <alignment vertical="center" wrapText="1"/>
    </xf>
    <xf numFmtId="0" fontId="161" fillId="0" borderId="0" xfId="0" applyFont="1" applyAlignment="1">
      <alignment vertical="center" wrapText="1"/>
    </xf>
    <xf numFmtId="166" fontId="162" fillId="0" borderId="0" xfId="0" applyNumberFormat="1" applyFont="1" applyAlignment="1">
      <alignment vertical="center" wrapText="1"/>
    </xf>
    <xf numFmtId="166" fontId="163" fillId="0" borderId="0" xfId="0" applyNumberFormat="1" applyFont="1" applyBorder="1" applyAlignment="1" applyProtection="1">
      <alignment horizontal="right" vertical="top"/>
      <protection locked="0"/>
    </xf>
    <xf numFmtId="3" fontId="164" fillId="0" borderId="0" xfId="0" applyNumberFormat="1" applyFont="1" applyAlignment="1">
      <alignment vertical="center" wrapText="1"/>
    </xf>
    <xf numFmtId="0" fontId="132" fillId="8" borderId="128" xfId="0" applyFont="1" applyFill="1" applyBorder="1" applyAlignment="1">
      <alignment vertical="center" wrapText="1"/>
    </xf>
    <xf numFmtId="0" fontId="133" fillId="8" borderId="128" xfId="0" applyFont="1" applyFill="1" applyBorder="1" applyAlignment="1">
      <alignment horizontal="center" vertical="center" wrapText="1"/>
    </xf>
    <xf numFmtId="0" fontId="149" fillId="0" borderId="128" xfId="0" applyFont="1" applyBorder="1" applyAlignment="1">
      <alignment horizontal="center" vertical="center" wrapText="1"/>
    </xf>
    <xf numFmtId="3" fontId="134" fillId="0" borderId="128" xfId="0" applyNumberFormat="1" applyFont="1" applyBorder="1" applyAlignment="1">
      <alignment vertical="center" wrapText="1"/>
    </xf>
    <xf numFmtId="3" fontId="92" fillId="0" borderId="0" xfId="0" applyNumberFormat="1" applyFont="1" applyAlignment="1">
      <alignment horizontal="center" vertical="center" wrapText="1"/>
    </xf>
    <xf numFmtId="0" fontId="148" fillId="0" borderId="128" xfId="0" applyFont="1" applyBorder="1" applyAlignment="1">
      <alignment horizontal="center" vertical="center" wrapText="1"/>
    </xf>
    <xf numFmtId="3" fontId="149" fillId="0" borderId="128" xfId="0" applyNumberFormat="1" applyFont="1" applyBorder="1" applyAlignment="1">
      <alignment horizontal="center" vertical="center" wrapText="1"/>
    </xf>
    <xf numFmtId="3" fontId="149" fillId="0" borderId="0" xfId="0" applyNumberFormat="1" applyFont="1" applyAlignment="1">
      <alignment horizontal="center" vertical="center" wrapText="1"/>
    </xf>
    <xf numFmtId="3" fontId="154" fillId="0" borderId="0" xfId="0" applyNumberFormat="1" applyFont="1" applyAlignment="1">
      <alignment horizontal="center" vertical="center" wrapText="1"/>
    </xf>
    <xf numFmtId="0" fontId="162" fillId="0" borderId="0" xfId="0" applyFont="1" applyAlignment="1">
      <alignment horizontal="center" vertical="center" wrapText="1"/>
    </xf>
    <xf numFmtId="3" fontId="159" fillId="0" borderId="0" xfId="0" applyNumberFormat="1" applyFont="1" applyAlignment="1">
      <alignment horizontal="center" vertical="center" wrapText="1"/>
    </xf>
    <xf numFmtId="0" fontId="165" fillId="0" borderId="0" xfId="0" applyFont="1" applyAlignment="1">
      <alignment vertical="center"/>
    </xf>
    <xf numFmtId="4" fontId="159" fillId="0" borderId="0" xfId="0" applyNumberFormat="1" applyFont="1" applyAlignment="1">
      <alignment horizontal="center" vertical="center" wrapText="1"/>
    </xf>
    <xf numFmtId="4" fontId="154" fillId="0" borderId="0" xfId="0" applyNumberFormat="1" applyFont="1" applyAlignment="1">
      <alignment horizontal="center" vertical="center" wrapText="1"/>
    </xf>
    <xf numFmtId="4" fontId="92" fillId="0" borderId="0" xfId="0" applyNumberFormat="1" applyFont="1" applyAlignment="1">
      <alignment horizontal="center" vertical="center" wrapText="1"/>
    </xf>
    <xf numFmtId="3" fontId="166" fillId="0" borderId="0" xfId="0" applyNumberFormat="1" applyFont="1" applyAlignment="1">
      <alignment horizontal="center" vertical="center" wrapText="1"/>
    </xf>
    <xf numFmtId="3" fontId="167" fillId="0" borderId="0" xfId="0" applyNumberFormat="1" applyFont="1" applyAlignment="1">
      <alignment vertical="center" wrapText="1"/>
    </xf>
    <xf numFmtId="0" fontId="119" fillId="0" borderId="0" xfId="0" applyFont="1" applyAlignment="1">
      <alignment vertical="center" wrapText="1"/>
    </xf>
    <xf numFmtId="3" fontId="168" fillId="0" borderId="0" xfId="0" applyNumberFormat="1" applyFont="1" applyAlignment="1">
      <alignment vertical="center" wrapText="1"/>
    </xf>
    <xf numFmtId="3" fontId="50" fillId="0" borderId="0" xfId="0" applyNumberFormat="1" applyFont="1" applyAlignment="1">
      <alignment horizontal="center" vertical="center" wrapText="1"/>
    </xf>
    <xf numFmtId="0" fontId="120" fillId="8" borderId="0" xfId="0" applyFont="1" applyFill="1" applyAlignment="1">
      <alignment horizontal="center" wrapText="1"/>
    </xf>
    <xf numFmtId="0" fontId="123" fillId="8" borderId="0" xfId="0" applyFont="1" applyFill="1" applyAlignment="1">
      <alignment horizontal="center" wrapText="1"/>
    </xf>
    <xf numFmtId="0" fontId="119" fillId="8" borderId="0" xfId="0" applyFont="1" applyFill="1" applyAlignment="1">
      <alignment horizontal="center" vertical="center" wrapText="1"/>
    </xf>
    <xf numFmtId="0" fontId="0" fillId="8" borderId="0" xfId="0" applyFill="1" applyAlignment="1">
      <alignment vertical="center" wrapText="1"/>
    </xf>
    <xf numFmtId="3" fontId="154" fillId="8" borderId="0" xfId="0" applyNumberFormat="1" applyFont="1" applyFill="1" applyAlignment="1">
      <alignment horizontal="center" vertical="center" wrapText="1"/>
    </xf>
    <xf numFmtId="3" fontId="119" fillId="0" borderId="0" xfId="0" applyNumberFormat="1" applyFont="1" applyAlignment="1">
      <alignment vertical="center" wrapText="1"/>
    </xf>
    <xf numFmtId="3" fontId="162" fillId="0" borderId="0" xfId="0" applyNumberFormat="1" applyFont="1" applyAlignment="1">
      <alignment vertical="center" wrapText="1"/>
    </xf>
    <xf numFmtId="0" fontId="169" fillId="0" borderId="0" xfId="0" applyFont="1" applyAlignment="1">
      <alignment vertical="center" wrapText="1"/>
    </xf>
    <xf numFmtId="3" fontId="170" fillId="0" borderId="0" xfId="0" applyNumberFormat="1" applyFont="1" applyAlignment="1">
      <alignment vertical="center" wrapText="1"/>
    </xf>
    <xf numFmtId="166" fontId="15" fillId="8" borderId="0" xfId="0" applyNumberFormat="1" applyFont="1" applyFill="1" applyBorder="1" applyAlignment="1" applyProtection="1">
      <alignment vertical="center" wrapText="1"/>
    </xf>
    <xf numFmtId="3" fontId="3" fillId="8" borderId="0" xfId="0" applyNumberFormat="1" applyFont="1" applyFill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171" fillId="0" borderId="0" xfId="0" applyFont="1" applyAlignment="1">
      <alignment vertical="center"/>
    </xf>
    <xf numFmtId="0" fontId="172" fillId="0" borderId="0" xfId="0" applyFont="1" applyAlignment="1">
      <alignment horizontal="center" vertical="center" wrapText="1"/>
    </xf>
    <xf numFmtId="0" fontId="171" fillId="0" borderId="0" xfId="0" applyFont="1" applyAlignment="1">
      <alignment horizontal="center" vertical="center" wrapText="1"/>
    </xf>
    <xf numFmtId="3" fontId="171" fillId="0" borderId="0" xfId="0" applyNumberFormat="1" applyFont="1" applyAlignment="1">
      <alignment horizontal="center" vertical="center" wrapText="1"/>
    </xf>
    <xf numFmtId="0" fontId="173" fillId="0" borderId="0" xfId="0" applyFont="1" applyAlignment="1">
      <alignment vertical="center" wrapText="1"/>
    </xf>
    <xf numFmtId="0" fontId="174" fillId="0" borderId="0" xfId="0" applyFont="1" applyAlignment="1">
      <alignment vertical="center" wrapText="1"/>
    </xf>
    <xf numFmtId="3" fontId="174" fillId="0" borderId="0" xfId="0" applyNumberFormat="1" applyFont="1" applyAlignment="1">
      <alignment vertical="center" wrapText="1"/>
    </xf>
    <xf numFmtId="0" fontId="175" fillId="0" borderId="0" xfId="0" applyFont="1" applyAlignment="1">
      <alignment vertical="center"/>
    </xf>
    <xf numFmtId="0" fontId="130" fillId="8" borderId="128" xfId="0" applyFont="1" applyFill="1" applyBorder="1" applyAlignment="1">
      <alignment vertical="center" wrapText="1"/>
    </xf>
    <xf numFmtId="0" fontId="129" fillId="8" borderId="128" xfId="0" applyFont="1" applyFill="1" applyBorder="1" applyAlignment="1">
      <alignment horizontal="center" vertical="center" wrapText="1"/>
    </xf>
    <xf numFmtId="0" fontId="176" fillId="0" borderId="128" xfId="0" applyFont="1" applyBorder="1" applyAlignment="1">
      <alignment horizontal="center" vertical="center" wrapText="1"/>
    </xf>
    <xf numFmtId="0" fontId="175" fillId="0" borderId="128" xfId="0" applyFont="1" applyBorder="1" applyAlignment="1">
      <alignment horizontal="center" vertical="center" wrapText="1"/>
    </xf>
    <xf numFmtId="3" fontId="175" fillId="0" borderId="128" xfId="0" applyNumberFormat="1" applyFont="1" applyBorder="1" applyAlignment="1">
      <alignment horizontal="center" vertical="center" wrapText="1"/>
    </xf>
    <xf numFmtId="0" fontId="175" fillId="0" borderId="0" xfId="0" applyFont="1" applyAlignment="1">
      <alignment horizontal="center" vertical="center" wrapText="1"/>
    </xf>
    <xf numFmtId="3" fontId="175" fillId="0" borderId="0" xfId="0" applyNumberFormat="1" applyFont="1" applyAlignment="1">
      <alignment horizontal="center" vertical="center" wrapText="1"/>
    </xf>
    <xf numFmtId="3" fontId="120" fillId="0" borderId="0" xfId="0" applyNumberFormat="1" applyFont="1" applyAlignment="1">
      <alignment horizontal="center" vertical="center" wrapText="1"/>
    </xf>
    <xf numFmtId="3" fontId="174" fillId="0" borderId="0" xfId="0" applyNumberFormat="1" applyFont="1" applyAlignment="1">
      <alignment horizontal="center" vertical="center" wrapText="1"/>
    </xf>
    <xf numFmtId="3" fontId="17" fillId="0" borderId="0" xfId="0" applyNumberFormat="1" applyFont="1" applyAlignment="1">
      <alignment horizontal="center" vertical="center" wrapText="1"/>
    </xf>
    <xf numFmtId="0" fontId="174" fillId="0" borderId="0" xfId="0" applyFont="1" applyAlignment="1">
      <alignment horizontal="center" vertical="center" wrapText="1"/>
    </xf>
    <xf numFmtId="3" fontId="103" fillId="0" borderId="0" xfId="0" applyNumberFormat="1" applyFont="1" applyAlignment="1">
      <alignment horizontal="center" vertical="center" wrapText="1"/>
    </xf>
    <xf numFmtId="0" fontId="177" fillId="0" borderId="0" xfId="0" applyFont="1" applyAlignment="1">
      <alignment horizontal="center" vertical="center" wrapText="1"/>
    </xf>
    <xf numFmtId="0" fontId="178" fillId="0" borderId="0" xfId="0" applyFont="1" applyAlignment="1">
      <alignment vertical="center"/>
    </xf>
    <xf numFmtId="4" fontId="175" fillId="0" borderId="0" xfId="0" applyNumberFormat="1" applyFont="1" applyAlignment="1">
      <alignment horizontal="center" vertical="center" wrapText="1"/>
    </xf>
    <xf numFmtId="0" fontId="130" fillId="8" borderId="0" xfId="0" applyFont="1" applyFill="1" applyBorder="1" applyAlignment="1">
      <alignment vertical="center" wrapText="1"/>
    </xf>
    <xf numFmtId="0" fontId="129" fillId="8" borderId="0" xfId="0" applyFont="1" applyFill="1" applyBorder="1" applyAlignment="1">
      <alignment horizontal="center" vertical="center" wrapText="1"/>
    </xf>
    <xf numFmtId="0" fontId="176" fillId="0" borderId="0" xfId="0" applyFont="1" applyBorder="1" applyAlignment="1">
      <alignment horizontal="center" vertical="center" wrapText="1"/>
    </xf>
    <xf numFmtId="0" fontId="0" fillId="0" borderId="139" xfId="0" applyBorder="1" applyAlignment="1">
      <alignment vertical="center" wrapText="1"/>
    </xf>
    <xf numFmtId="0" fontId="6" fillId="0" borderId="139" xfId="0" applyFont="1" applyBorder="1" applyAlignment="1">
      <alignment horizontal="center" vertical="center" wrapText="1"/>
    </xf>
    <xf numFmtId="3" fontId="6" fillId="0" borderId="139" xfId="0" applyNumberFormat="1" applyFont="1" applyBorder="1" applyAlignment="1">
      <alignment horizontal="center" vertical="center" wrapText="1"/>
    </xf>
    <xf numFmtId="4" fontId="6" fillId="0" borderId="139" xfId="0" applyNumberFormat="1" applyFont="1" applyBorder="1" applyAlignment="1">
      <alignment horizontal="center" vertical="center" wrapText="1"/>
    </xf>
    <xf numFmtId="0" fontId="166" fillId="0" borderId="0" xfId="0" applyFont="1" applyAlignment="1">
      <alignment vertical="center"/>
    </xf>
    <xf numFmtId="0" fontId="166" fillId="0" borderId="0" xfId="0" applyFont="1" applyAlignment="1">
      <alignment horizontal="center" vertical="center" wrapText="1"/>
    </xf>
    <xf numFmtId="0" fontId="179" fillId="0" borderId="0" xfId="0" applyFont="1" applyAlignment="1">
      <alignment vertical="center" wrapText="1"/>
    </xf>
    <xf numFmtId="3" fontId="179" fillId="0" borderId="0" xfId="0" applyNumberFormat="1" applyFont="1" applyAlignment="1">
      <alignment horizontal="center" vertical="center" wrapText="1"/>
    </xf>
    <xf numFmtId="0" fontId="179" fillId="0" borderId="0" xfId="0" applyFont="1" applyAlignment="1">
      <alignment horizontal="center" vertical="center" wrapText="1"/>
    </xf>
    <xf numFmtId="3" fontId="179" fillId="0" borderId="0" xfId="0" applyNumberFormat="1" applyFont="1" applyAlignment="1">
      <alignment vertical="center" wrapText="1"/>
    </xf>
    <xf numFmtId="0" fontId="180" fillId="0" borderId="0" xfId="0" applyFont="1" applyAlignment="1">
      <alignment vertical="center" wrapText="1"/>
    </xf>
    <xf numFmtId="0" fontId="181" fillId="0" borderId="0" xfId="0" applyFont="1" applyAlignment="1">
      <alignment vertical="center"/>
    </xf>
    <xf numFmtId="0" fontId="181" fillId="0" borderId="0" xfId="0" applyFont="1" applyAlignment="1">
      <alignment horizontal="center" vertical="center" wrapText="1"/>
    </xf>
    <xf numFmtId="0" fontId="182" fillId="0" borderId="0" xfId="0" applyFont="1" applyAlignment="1">
      <alignment vertical="center"/>
    </xf>
    <xf numFmtId="3" fontId="183" fillId="0" borderId="0" xfId="0" applyNumberFormat="1" applyFont="1" applyAlignment="1">
      <alignment vertical="center" wrapText="1"/>
    </xf>
    <xf numFmtId="0" fontId="184" fillId="0" borderId="0" xfId="0" applyFont="1" applyAlignment="1">
      <alignment vertical="center" wrapText="1"/>
    </xf>
    <xf numFmtId="0" fontId="185" fillId="0" borderId="0" xfId="0" applyFont="1" applyAlignment="1">
      <alignment vertical="center"/>
    </xf>
    <xf numFmtId="3" fontId="186" fillId="0" borderId="0" xfId="0" applyNumberFormat="1" applyFont="1" applyAlignment="1">
      <alignment vertical="center" wrapText="1"/>
    </xf>
    <xf numFmtId="3" fontId="187" fillId="8" borderId="0" xfId="0" applyNumberFormat="1" applyFont="1" applyFill="1" applyAlignment="1">
      <alignment vertical="center" wrapText="1"/>
    </xf>
    <xf numFmtId="3" fontId="187" fillId="0" borderId="0" xfId="0" applyNumberFormat="1" applyFont="1" applyAlignment="1">
      <alignment vertical="center" wrapText="1"/>
    </xf>
    <xf numFmtId="3" fontId="24" fillId="0" borderId="140" xfId="25" applyNumberFormat="1" applyFont="1" applyFill="1" applyBorder="1" applyAlignment="1">
      <alignment horizontal="center" vertical="center" wrapText="1"/>
    </xf>
    <xf numFmtId="166" fontId="0" fillId="0" borderId="3" xfId="0" applyNumberFormat="1" applyBorder="1" applyAlignment="1">
      <alignment vertical="center" wrapText="1"/>
    </xf>
    <xf numFmtId="3" fontId="12" fillId="0" borderId="0" xfId="0" applyNumberFormat="1" applyFont="1" applyAlignment="1">
      <alignment horizontal="center" vertical="center" wrapText="1"/>
    </xf>
    <xf numFmtId="3" fontId="188" fillId="0" borderId="0" xfId="0" applyNumberFormat="1" applyFont="1" applyAlignment="1">
      <alignment horizontal="center" vertical="center" wrapText="1"/>
    </xf>
    <xf numFmtId="3" fontId="104" fillId="0" borderId="0" xfId="0" applyNumberFormat="1" applyFont="1" applyAlignment="1">
      <alignment horizontal="center" vertical="center" wrapText="1"/>
    </xf>
    <xf numFmtId="0" fontId="88" fillId="0" borderId="0" xfId="0" applyFont="1" applyAlignment="1">
      <alignment vertical="center" wrapText="1"/>
    </xf>
    <xf numFmtId="0" fontId="189" fillId="0" borderId="0" xfId="0" applyFont="1" applyAlignment="1">
      <alignment vertical="center" wrapText="1"/>
    </xf>
    <xf numFmtId="0" fontId="190" fillId="0" borderId="0" xfId="0" applyFont="1" applyAlignment="1">
      <alignment vertical="center" wrapText="1"/>
    </xf>
    <xf numFmtId="0" fontId="89" fillId="0" borderId="19" xfId="0" applyFont="1" applyBorder="1" applyAlignment="1" applyProtection="1">
      <alignment horizontal="center" vertical="center" wrapText="1"/>
    </xf>
    <xf numFmtId="3" fontId="3" fillId="0" borderId="35" xfId="0" applyNumberFormat="1" applyFont="1" applyBorder="1" applyAlignment="1" applyProtection="1">
      <alignment vertical="center" wrapText="1"/>
    </xf>
    <xf numFmtId="167" fontId="15" fillId="0" borderId="35" xfId="0" applyNumberFormat="1" applyFont="1" applyBorder="1" applyAlignment="1" applyProtection="1">
      <alignment horizontal="center"/>
    </xf>
    <xf numFmtId="3" fontId="32" fillId="0" borderId="110" xfId="25" applyNumberFormat="1" applyFont="1" applyFill="1" applyBorder="1" applyAlignment="1">
      <alignment horizontal="right" wrapText="1"/>
    </xf>
    <xf numFmtId="3" fontId="32" fillId="0" borderId="138" xfId="25" applyNumberFormat="1" applyFont="1" applyFill="1" applyBorder="1" applyAlignment="1">
      <alignment horizontal="right"/>
    </xf>
    <xf numFmtId="3" fontId="10" fillId="0" borderId="122" xfId="25" applyNumberFormat="1" applyFont="1" applyFill="1" applyBorder="1" applyAlignment="1">
      <alignment horizontal="right"/>
    </xf>
    <xf numFmtId="3" fontId="15" fillId="10" borderId="41" xfId="0" applyNumberFormat="1" applyFont="1" applyFill="1" applyBorder="1" applyAlignment="1" applyProtection="1">
      <alignment vertical="center" wrapText="1"/>
      <protection locked="0"/>
    </xf>
    <xf numFmtId="3" fontId="15" fillId="10" borderId="17" xfId="0" applyNumberFormat="1" applyFont="1" applyFill="1" applyBorder="1" applyAlignment="1" applyProtection="1">
      <alignment vertical="center" wrapText="1"/>
      <protection locked="0"/>
    </xf>
    <xf numFmtId="3" fontId="15" fillId="10" borderId="47" xfId="0" applyNumberFormat="1" applyFont="1" applyFill="1" applyBorder="1" applyAlignment="1" applyProtection="1">
      <alignment vertical="center" wrapText="1"/>
      <protection locked="0"/>
    </xf>
    <xf numFmtId="166" fontId="15" fillId="0" borderId="13" xfId="0" applyNumberFormat="1" applyFont="1" applyBorder="1" applyAlignment="1">
      <alignment horizontal="center" vertical="center" wrapText="1"/>
    </xf>
    <xf numFmtId="0" fontId="15" fillId="0" borderId="35" xfId="0" applyFont="1" applyBorder="1" applyAlignment="1" applyProtection="1">
      <alignment horizontal="center"/>
    </xf>
    <xf numFmtId="0" fontId="19" fillId="0" borderId="33" xfId="0" applyFont="1" applyBorder="1" applyAlignment="1" applyProtection="1">
      <alignment vertical="center"/>
    </xf>
    <xf numFmtId="0" fontId="19" fillId="0" borderId="141" xfId="0" applyFont="1" applyBorder="1" applyAlignment="1" applyProtection="1">
      <alignment vertical="center"/>
    </xf>
    <xf numFmtId="0" fontId="19" fillId="0" borderId="79" xfId="0" applyFont="1" applyBorder="1" applyAlignment="1" applyProtection="1">
      <alignment vertical="center"/>
    </xf>
    <xf numFmtId="0" fontId="19" fillId="0" borderId="142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7" fillId="0" borderId="28" xfId="0" applyFont="1" applyBorder="1" applyAlignment="1" applyProtection="1">
      <alignment horizontal="center" vertical="center" wrapText="1"/>
    </xf>
    <xf numFmtId="166" fontId="3" fillId="0" borderId="1" xfId="0" applyNumberFormat="1" applyFont="1" applyBorder="1" applyAlignment="1" applyProtection="1">
      <alignment horizontal="left" vertical="center" wrapText="1"/>
    </xf>
    <xf numFmtId="0" fontId="17" fillId="0" borderId="53" xfId="0" applyFont="1" applyFill="1" applyBorder="1" applyAlignment="1" applyProtection="1">
      <alignment vertical="center" wrapText="1"/>
    </xf>
    <xf numFmtId="0" fontId="15" fillId="0" borderId="28" xfId="0" applyFont="1" applyBorder="1" applyAlignment="1" applyProtection="1">
      <alignment vertical="center"/>
    </xf>
    <xf numFmtId="0" fontId="15" fillId="0" borderId="0" xfId="0" applyFont="1" applyBorder="1" applyAlignment="1" applyProtection="1">
      <alignment vertical="center"/>
    </xf>
    <xf numFmtId="0" fontId="3" fillId="3" borderId="13" xfId="0" applyFont="1" applyFill="1" applyBorder="1" applyAlignment="1" applyProtection="1">
      <alignment horizontal="center" vertical="center" wrapText="1"/>
    </xf>
    <xf numFmtId="49" fontId="17" fillId="0" borderId="11" xfId="0" applyNumberFormat="1" applyFont="1" applyBorder="1" applyAlignment="1" applyProtection="1">
      <alignment horizontal="center" vertical="center" wrapText="1"/>
    </xf>
    <xf numFmtId="49" fontId="17" fillId="0" borderId="12" xfId="0" applyNumberFormat="1" applyFont="1" applyBorder="1" applyAlignment="1" applyProtection="1">
      <alignment horizontal="center" vertical="center" wrapText="1"/>
    </xf>
    <xf numFmtId="49" fontId="17" fillId="0" borderId="11" xfId="28" applyNumberFormat="1" applyFont="1" applyBorder="1" applyAlignment="1" applyProtection="1">
      <alignment horizontal="center" vertical="center" wrapText="1"/>
    </xf>
    <xf numFmtId="49" fontId="15" fillId="0" borderId="13" xfId="28" applyNumberFormat="1" applyFont="1" applyBorder="1" applyAlignment="1" applyProtection="1">
      <alignment horizontal="center" vertical="center" wrapText="1"/>
    </xf>
    <xf numFmtId="49" fontId="17" fillId="0" borderId="76" xfId="28" applyNumberFormat="1" applyFont="1" applyBorder="1" applyAlignment="1" applyProtection="1">
      <alignment horizontal="center" vertical="center" wrapText="1"/>
    </xf>
    <xf numFmtId="0" fontId="93" fillId="0" borderId="13" xfId="0" applyFont="1" applyBorder="1" applyAlignment="1" applyProtection="1">
      <alignment horizontal="center" wrapText="1"/>
    </xf>
    <xf numFmtId="49" fontId="17" fillId="0" borderId="63" xfId="28" applyNumberFormat="1" applyFont="1" applyBorder="1" applyAlignment="1" applyProtection="1">
      <alignment horizontal="center" vertical="center" wrapText="1"/>
    </xf>
    <xf numFmtId="49" fontId="17" fillId="0" borderId="12" xfId="28" applyNumberFormat="1" applyFont="1" applyBorder="1" applyAlignment="1" applyProtection="1">
      <alignment horizontal="center" vertical="center" wrapText="1"/>
    </xf>
    <xf numFmtId="49" fontId="17" fillId="0" borderId="77" xfId="28" applyNumberFormat="1" applyFont="1" applyBorder="1" applyAlignment="1" applyProtection="1">
      <alignment horizontal="center" vertical="center" wrapText="1"/>
    </xf>
    <xf numFmtId="49" fontId="17" fillId="0" borderId="10" xfId="28" applyNumberFormat="1" applyFont="1" applyBorder="1" applyAlignment="1" applyProtection="1">
      <alignment horizontal="left" vertical="center" wrapText="1" indent="1"/>
    </xf>
    <xf numFmtId="49" fontId="17" fillId="0" borderId="11" xfId="28" applyNumberFormat="1" applyFont="1" applyBorder="1" applyAlignment="1" applyProtection="1">
      <alignment horizontal="left" vertical="center" wrapText="1" indent="1"/>
    </xf>
    <xf numFmtId="49" fontId="17" fillId="0" borderId="10" xfId="28" applyNumberFormat="1" applyFont="1" applyBorder="1" applyAlignment="1" applyProtection="1">
      <alignment horizontal="center" vertical="center" wrapText="1"/>
    </xf>
    <xf numFmtId="0" fontId="6" fillId="0" borderId="46" xfId="0" applyFont="1" applyBorder="1" applyAlignment="1" applyProtection="1">
      <alignment horizontal="center" vertical="center"/>
      <protection locked="0"/>
    </xf>
    <xf numFmtId="0" fontId="6" fillId="0" borderId="52" xfId="0" applyFont="1" applyBorder="1" applyAlignment="1" applyProtection="1">
      <alignment horizontal="center" vertical="center" wrapText="1"/>
    </xf>
    <xf numFmtId="0" fontId="15" fillId="0" borderId="24" xfId="0" applyFont="1" applyBorder="1" applyAlignment="1" applyProtection="1">
      <alignment horizontal="left" vertical="center" wrapText="1" indent="1"/>
    </xf>
    <xf numFmtId="0" fontId="17" fillId="0" borderId="45" xfId="28" applyFont="1" applyBorder="1" applyAlignment="1" applyProtection="1">
      <alignment horizontal="left" vertical="center" wrapText="1" indent="1"/>
    </xf>
    <xf numFmtId="0" fontId="17" fillId="0" borderId="6" xfId="28" applyFont="1" applyBorder="1" applyAlignment="1" applyProtection="1">
      <alignment horizontal="left" vertical="center" wrapText="1" indent="1"/>
    </xf>
    <xf numFmtId="0" fontId="17" fillId="0" borderId="3" xfId="28" applyFont="1" applyBorder="1" applyAlignment="1" applyProtection="1">
      <alignment horizontal="left" vertical="center" wrapText="1" indent="1"/>
    </xf>
    <xf numFmtId="0" fontId="17" fillId="0" borderId="4" xfId="28" applyFont="1" applyBorder="1" applyAlignment="1" applyProtection="1">
      <alignment horizontal="left" vertical="center" wrapText="1" indent="1"/>
    </xf>
    <xf numFmtId="0" fontId="15" fillId="0" borderId="24" xfId="28" applyFont="1" applyBorder="1" applyAlignment="1" applyProtection="1">
      <alignment horizontal="left" vertical="center" wrapText="1" indent="1"/>
    </xf>
    <xf numFmtId="0" fontId="22" fillId="0" borderId="4" xfId="28" applyFont="1" applyBorder="1" applyAlignment="1" applyProtection="1">
      <alignment horizontal="left" vertical="center" wrapText="1" indent="1"/>
    </xf>
    <xf numFmtId="0" fontId="22" fillId="0" borderId="46" xfId="28" applyFont="1" applyBorder="1" applyAlignment="1" applyProtection="1">
      <alignment horizontal="left" vertical="center" wrapText="1" indent="1"/>
    </xf>
    <xf numFmtId="0" fontId="6" fillId="3" borderId="24" xfId="0" applyFont="1" applyFill="1" applyBorder="1" applyAlignment="1" applyProtection="1">
      <alignment horizontal="left" vertical="center" wrapText="1" indent="1"/>
    </xf>
    <xf numFmtId="0" fontId="0" fillId="0" borderId="0" xfId="0" applyFill="1" applyBorder="1" applyAlignment="1">
      <alignment vertical="center" wrapText="1"/>
    </xf>
    <xf numFmtId="0" fontId="15" fillId="0" borderId="24" xfId="28" applyFont="1" applyBorder="1" applyAlignment="1" applyProtection="1">
      <alignment vertical="center" wrapText="1"/>
    </xf>
    <xf numFmtId="0" fontId="15" fillId="0" borderId="24" xfId="0" applyFont="1" applyBorder="1" applyAlignment="1" applyProtection="1">
      <alignment vertical="center" wrapText="1"/>
    </xf>
    <xf numFmtId="0" fontId="17" fillId="0" borderId="35" xfId="0" applyFont="1" applyBorder="1" applyAlignment="1" applyProtection="1">
      <alignment vertical="center" wrapText="1"/>
    </xf>
    <xf numFmtId="3" fontId="17" fillId="0" borderId="53" xfId="0" applyNumberFormat="1" applyFont="1" applyBorder="1" applyAlignment="1" applyProtection="1">
      <alignment vertical="center" wrapText="1"/>
    </xf>
    <xf numFmtId="3" fontId="8" fillId="0" borderId="53" xfId="0" applyNumberFormat="1" applyFont="1" applyBorder="1" applyAlignment="1" applyProtection="1">
      <alignment horizontal="right" vertical="center" wrapText="1"/>
    </xf>
    <xf numFmtId="3" fontId="9" fillId="0" borderId="53" xfId="0" applyNumberFormat="1" applyFont="1" applyBorder="1" applyAlignment="1" applyProtection="1">
      <alignment horizontal="right" vertical="center" wrapText="1"/>
    </xf>
    <xf numFmtId="0" fontId="0" fillId="0" borderId="53" xfId="0" applyBorder="1" applyAlignment="1" applyProtection="1">
      <alignment horizontal="right" vertical="center" wrapText="1"/>
    </xf>
    <xf numFmtId="0" fontId="9" fillId="0" borderId="28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 wrapText="1"/>
    </xf>
    <xf numFmtId="0" fontId="67" fillId="0" borderId="128" xfId="25" applyFont="1" applyFill="1" applyBorder="1" applyAlignment="1">
      <alignment horizontal="center"/>
    </xf>
    <xf numFmtId="0" fontId="32" fillId="0" borderId="114" xfId="25" applyFont="1" applyFill="1" applyBorder="1"/>
    <xf numFmtId="0" fontId="67" fillId="0" borderId="139" xfId="25" applyFont="1" applyFill="1" applyBorder="1" applyAlignment="1">
      <alignment horizontal="center"/>
    </xf>
    <xf numFmtId="0" fontId="32" fillId="0" borderId="139" xfId="25" applyFont="1" applyFill="1" applyBorder="1"/>
    <xf numFmtId="0" fontId="6" fillId="0" borderId="54" xfId="0" applyFont="1" applyBorder="1" applyAlignment="1" applyProtection="1">
      <alignment horizontal="center" vertical="center" wrapText="1"/>
    </xf>
    <xf numFmtId="0" fontId="6" fillId="0" borderId="53" xfId="0" applyFont="1" applyBorder="1" applyAlignment="1" applyProtection="1">
      <alignment horizontal="center"/>
    </xf>
    <xf numFmtId="166" fontId="15" fillId="0" borderId="53" xfId="0" applyNumberFormat="1" applyFont="1" applyBorder="1" applyAlignment="1" applyProtection="1">
      <alignment horizontal="right" vertical="center" wrapText="1"/>
    </xf>
    <xf numFmtId="0" fontId="15" fillId="0" borderId="28" xfId="0" applyFont="1" applyBorder="1" applyAlignment="1" applyProtection="1">
      <alignment horizontal="center" vertical="center" wrapText="1"/>
    </xf>
    <xf numFmtId="3" fontId="17" fillId="0" borderId="0" xfId="0" applyNumberFormat="1" applyFont="1" applyBorder="1" applyAlignment="1" applyProtection="1">
      <alignment vertical="center" wrapText="1"/>
    </xf>
    <xf numFmtId="3" fontId="17" fillId="0" borderId="0" xfId="0" applyNumberFormat="1" applyFont="1" applyFill="1" applyBorder="1" applyAlignment="1" applyProtection="1">
      <alignment vertical="center" wrapText="1"/>
    </xf>
    <xf numFmtId="0" fontId="32" fillId="0" borderId="143" xfId="25" applyFont="1" applyFill="1" applyBorder="1"/>
    <xf numFmtId="0" fontId="32" fillId="0" borderId="74" xfId="25" applyFont="1" applyFill="1" applyBorder="1"/>
    <xf numFmtId="0" fontId="32" fillId="0" borderId="75" xfId="25" applyFont="1" applyFill="1" applyBorder="1"/>
    <xf numFmtId="0" fontId="90" fillId="0" borderId="95" xfId="25" applyFont="1" applyFill="1" applyBorder="1"/>
    <xf numFmtId="0" fontId="71" fillId="0" borderId="28" xfId="0" applyFont="1" applyBorder="1" applyAlignment="1" applyProtection="1">
      <alignment vertical="center"/>
    </xf>
    <xf numFmtId="0" fontId="71" fillId="0" borderId="0" xfId="0" applyFont="1" applyBorder="1" applyAlignment="1" applyProtection="1">
      <alignment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53" xfId="0" applyFont="1" applyBorder="1" applyAlignment="1">
      <alignment horizontal="center" vertical="center"/>
    </xf>
    <xf numFmtId="0" fontId="70" fillId="0" borderId="28" xfId="0" applyFont="1" applyBorder="1" applyAlignment="1" applyProtection="1">
      <alignment horizontal="center" vertical="center" wrapText="1"/>
    </xf>
    <xf numFmtId="3" fontId="72" fillId="0" borderId="53" xfId="0" applyNumberFormat="1" applyFont="1" applyBorder="1" applyAlignment="1" applyProtection="1">
      <alignment vertical="center" wrapText="1"/>
    </xf>
    <xf numFmtId="0" fontId="70" fillId="0" borderId="28" xfId="0" applyFont="1" applyBorder="1" applyAlignment="1" applyProtection="1">
      <alignment horizontal="left" vertical="center" wrapText="1"/>
    </xf>
    <xf numFmtId="0" fontId="70" fillId="0" borderId="0" xfId="0" applyFont="1" applyBorder="1" applyAlignment="1" applyProtection="1">
      <alignment vertical="center" wrapText="1"/>
    </xf>
    <xf numFmtId="0" fontId="70" fillId="0" borderId="0" xfId="0" applyFont="1" applyFill="1" applyBorder="1" applyAlignment="1" applyProtection="1">
      <alignment vertical="center" wrapText="1"/>
    </xf>
    <xf numFmtId="0" fontId="70" fillId="0" borderId="53" xfId="0" applyFont="1" applyBorder="1" applyAlignment="1" applyProtection="1">
      <alignment vertical="center" wrapText="1"/>
    </xf>
    <xf numFmtId="0" fontId="17" fillId="10" borderId="0" xfId="0" applyFont="1" applyFill="1" applyBorder="1" applyAlignment="1" applyProtection="1">
      <alignment vertical="center" wrapText="1"/>
    </xf>
    <xf numFmtId="3" fontId="15" fillId="0" borderId="53" xfId="0" applyNumberFormat="1" applyFont="1" applyFill="1" applyBorder="1" applyAlignment="1" applyProtection="1">
      <alignment vertical="center" wrapText="1"/>
    </xf>
    <xf numFmtId="0" fontId="32" fillId="0" borderId="71" xfId="25" applyFont="1" applyFill="1" applyBorder="1"/>
    <xf numFmtId="167" fontId="6" fillId="0" borderId="0" xfId="0" applyNumberFormat="1" applyFont="1" applyBorder="1" applyAlignment="1" applyProtection="1">
      <alignment vertical="center"/>
    </xf>
    <xf numFmtId="0" fontId="15" fillId="0" borderId="33" xfId="0" applyFont="1" applyBorder="1" applyAlignment="1" applyProtection="1">
      <alignment horizontal="left" vertical="center"/>
    </xf>
    <xf numFmtId="0" fontId="17" fillId="0" borderId="33" xfId="0" applyFont="1" applyBorder="1" applyAlignment="1" applyProtection="1">
      <alignment vertical="center" wrapText="1"/>
    </xf>
    <xf numFmtId="0" fontId="17" fillId="0" borderId="53" xfId="0" applyFont="1" applyBorder="1" applyAlignment="1">
      <alignment vertical="center" wrapText="1"/>
    </xf>
    <xf numFmtId="14" fontId="24" fillId="0" borderId="61" xfId="28" applyNumberFormat="1" applyFont="1" applyBorder="1" applyAlignment="1">
      <alignment horizontal="center" vertical="center" wrapText="1"/>
    </xf>
    <xf numFmtId="3" fontId="32" fillId="9" borderId="49" xfId="28" applyNumberFormat="1" applyFont="1" applyFill="1" applyBorder="1"/>
    <xf numFmtId="0" fontId="26" fillId="0" borderId="144" xfId="28" applyFont="1" applyBorder="1"/>
    <xf numFmtId="0" fontId="24" fillId="0" borderId="145" xfId="28" applyFont="1" applyBorder="1" applyAlignment="1">
      <alignment horizontal="center"/>
    </xf>
    <xf numFmtId="3" fontId="12" fillId="3" borderId="7" xfId="0" applyNumberFormat="1" applyFont="1" applyFill="1" applyBorder="1" applyAlignment="1" applyProtection="1">
      <alignment vertical="center" wrapText="1"/>
    </xf>
    <xf numFmtId="166" fontId="16" fillId="0" borderId="49" xfId="0" applyNumberFormat="1" applyFont="1" applyBorder="1" applyAlignment="1" applyProtection="1">
      <alignment horizontal="center" vertical="center" wrapText="1"/>
    </xf>
    <xf numFmtId="3" fontId="11" fillId="0" borderId="49" xfId="28" applyNumberFormat="1" applyFont="1" applyBorder="1" applyAlignment="1">
      <alignment wrapText="1"/>
    </xf>
    <xf numFmtId="166" fontId="26" fillId="3" borderId="49" xfId="28" applyNumberFormat="1" applyFont="1" applyFill="1" applyBorder="1" applyAlignment="1">
      <alignment horizontal="right" vertical="center"/>
    </xf>
    <xf numFmtId="0" fontId="26" fillId="3" borderId="49" xfId="28" applyFont="1" applyFill="1" applyBorder="1" applyAlignment="1">
      <alignment horizontal="right" vertical="center"/>
    </xf>
    <xf numFmtId="49" fontId="26" fillId="3" borderId="49" xfId="28" applyNumberFormat="1" applyFont="1" applyFill="1" applyBorder="1" applyAlignment="1">
      <alignment horizontal="right" vertical="center"/>
    </xf>
    <xf numFmtId="14" fontId="24" fillId="0" borderId="14" xfId="28" applyNumberFormat="1" applyFont="1" applyBorder="1" applyAlignment="1">
      <alignment horizontal="center" vertical="center" wrapText="1"/>
    </xf>
    <xf numFmtId="3" fontId="24" fillId="0" borderId="20" xfId="28" applyNumberFormat="1" applyFont="1" applyBorder="1" applyAlignment="1">
      <alignment horizontal="center" vertical="center" wrapText="1"/>
    </xf>
    <xf numFmtId="3" fontId="26" fillId="3" borderId="20" xfId="28" applyNumberFormat="1" applyFont="1" applyFill="1" applyBorder="1" applyAlignment="1">
      <alignment horizontal="right" vertical="center"/>
    </xf>
    <xf numFmtId="166" fontId="6" fillId="3" borderId="21" xfId="0" applyNumberFormat="1" applyFont="1" applyFill="1" applyBorder="1" applyAlignment="1" applyProtection="1">
      <alignment vertical="center" wrapText="1"/>
      <protection locked="0"/>
    </xf>
    <xf numFmtId="0" fontId="11" fillId="0" borderId="20" xfId="28" applyFont="1" applyBorder="1" applyAlignment="1">
      <alignment horizontal="right" wrapText="1"/>
    </xf>
    <xf numFmtId="166" fontId="3" fillId="0" borderId="20" xfId="0" applyNumberFormat="1" applyFont="1" applyBorder="1" applyAlignment="1" applyProtection="1">
      <alignment vertical="center" wrapText="1"/>
      <protection locked="0"/>
    </xf>
    <xf numFmtId="166" fontId="3" fillId="0" borderId="21" xfId="0" applyNumberFormat="1" applyFont="1" applyBorder="1" applyAlignment="1" applyProtection="1">
      <alignment vertical="center" wrapText="1"/>
      <protection locked="0"/>
    </xf>
    <xf numFmtId="166" fontId="3" fillId="0" borderId="20" xfId="0" applyNumberFormat="1" applyFont="1" applyFill="1" applyBorder="1" applyAlignment="1" applyProtection="1">
      <alignment vertical="center" wrapText="1"/>
      <protection locked="0"/>
    </xf>
    <xf numFmtId="3" fontId="26" fillId="3" borderId="20" xfId="28" applyNumberFormat="1" applyFont="1" applyFill="1" applyBorder="1" applyAlignment="1">
      <alignment vertical="center"/>
    </xf>
    <xf numFmtId="166" fontId="0" fillId="0" borderId="53" xfId="0" applyNumberFormat="1" applyBorder="1" applyAlignment="1">
      <alignment vertical="center" wrapText="1"/>
    </xf>
    <xf numFmtId="1" fontId="21" fillId="0" borderId="20" xfId="0" applyNumberFormat="1" applyFont="1" applyBorder="1" applyAlignment="1" applyProtection="1">
      <alignment vertical="center" wrapText="1"/>
      <protection locked="0"/>
    </xf>
    <xf numFmtId="1" fontId="3" fillId="0" borderId="20" xfId="0" applyNumberFormat="1" applyFont="1" applyBorder="1" applyAlignment="1" applyProtection="1">
      <alignment vertical="center" wrapText="1"/>
      <protection locked="0"/>
    </xf>
    <xf numFmtId="3" fontId="24" fillId="10" borderId="120" xfId="28" applyNumberFormat="1" applyFont="1" applyFill="1" applyBorder="1" applyAlignment="1">
      <alignment horizontal="right" vertical="center" wrapText="1"/>
    </xf>
    <xf numFmtId="3" fontId="32" fillId="10" borderId="49" xfId="28" applyNumberFormat="1" applyFont="1" applyFill="1" applyBorder="1" applyAlignment="1">
      <alignment horizontal="right" vertical="center" wrapText="1"/>
    </xf>
    <xf numFmtId="3" fontId="15" fillId="10" borderId="49" xfId="28" applyNumberFormat="1" applyFont="1" applyFill="1" applyBorder="1" applyAlignment="1">
      <alignment horizontal="right" vertical="center"/>
    </xf>
    <xf numFmtId="3" fontId="24" fillId="10" borderId="49" xfId="28" applyNumberFormat="1" applyFont="1" applyFill="1" applyBorder="1" applyAlignment="1">
      <alignment horizontal="right" vertical="center" wrapText="1"/>
    </xf>
    <xf numFmtId="3" fontId="24" fillId="11" borderId="62" xfId="28" applyNumberFormat="1" applyFont="1" applyFill="1" applyBorder="1" applyAlignment="1">
      <alignment horizontal="right" vertical="center" wrapText="1"/>
    </xf>
    <xf numFmtId="3" fontId="24" fillId="0" borderId="5" xfId="28" applyNumberFormat="1" applyFont="1" applyBorder="1" applyAlignment="1">
      <alignment horizontal="right" vertical="center" wrapText="1"/>
    </xf>
    <xf numFmtId="3" fontId="32" fillId="0" borderId="7" xfId="28" applyNumberFormat="1" applyFont="1" applyBorder="1" applyAlignment="1">
      <alignment horizontal="right" vertical="center" wrapText="1"/>
    </xf>
    <xf numFmtId="3" fontId="35" fillId="0" borderId="20" xfId="28" applyNumberFormat="1" applyFont="1" applyBorder="1" applyAlignment="1">
      <alignment horizontal="right" vertical="center" wrapText="1"/>
    </xf>
    <xf numFmtId="0" fontId="2" fillId="0" borderId="53" xfId="28" applyFont="1" applyBorder="1"/>
    <xf numFmtId="3" fontId="15" fillId="0" borderId="7" xfId="28" applyNumberFormat="1" applyFont="1" applyBorder="1" applyAlignment="1">
      <alignment horizontal="right" vertical="center"/>
    </xf>
    <xf numFmtId="3" fontId="32" fillId="0" borderId="20" xfId="28" applyNumberFormat="1" applyFont="1" applyBorder="1" applyAlignment="1">
      <alignment horizontal="right" vertical="center" wrapText="1"/>
    </xf>
    <xf numFmtId="3" fontId="29" fillId="0" borderId="20" xfId="28" applyNumberFormat="1" applyFont="1" applyBorder="1" applyAlignment="1">
      <alignment horizontal="right" vertical="center" wrapText="1"/>
    </xf>
    <xf numFmtId="3" fontId="24" fillId="0" borderId="7" xfId="28" applyNumberFormat="1" applyFont="1" applyBorder="1" applyAlignment="1">
      <alignment horizontal="right" vertical="center" wrapText="1"/>
    </xf>
    <xf numFmtId="3" fontId="32" fillId="0" borderId="20" xfId="28" applyNumberFormat="1" applyFont="1" applyBorder="1" applyAlignment="1">
      <alignment horizontal="right" vertical="center"/>
    </xf>
    <xf numFmtId="3" fontId="32" fillId="0" borderId="7" xfId="28" applyNumberFormat="1" applyFont="1" applyBorder="1" applyAlignment="1">
      <alignment horizontal="right" vertical="center"/>
    </xf>
    <xf numFmtId="3" fontId="29" fillId="0" borderId="20" xfId="28" applyNumberFormat="1" applyFont="1" applyBorder="1" applyAlignment="1">
      <alignment horizontal="right" vertical="center"/>
    </xf>
    <xf numFmtId="3" fontId="29" fillId="0" borderId="21" xfId="28" applyNumberFormat="1" applyFont="1" applyBorder="1" applyAlignment="1">
      <alignment horizontal="right" vertical="center"/>
    </xf>
    <xf numFmtId="3" fontId="32" fillId="0" borderId="9" xfId="28" applyNumberFormat="1" applyFont="1" applyBorder="1" applyAlignment="1">
      <alignment horizontal="right" vertical="center" wrapText="1"/>
    </xf>
    <xf numFmtId="3" fontId="24" fillId="3" borderId="18" xfId="28" applyNumberFormat="1" applyFont="1" applyFill="1" applyBorder="1" applyAlignment="1">
      <alignment horizontal="right" vertical="center" wrapText="1"/>
    </xf>
    <xf numFmtId="3" fontId="92" fillId="0" borderId="49" xfId="0" applyNumberFormat="1" applyFont="1" applyBorder="1" applyAlignment="1">
      <alignment horizontal="right" vertical="center" wrapText="1"/>
    </xf>
    <xf numFmtId="3" fontId="24" fillId="0" borderId="146" xfId="28" applyNumberFormat="1" applyFont="1" applyBorder="1" applyAlignment="1">
      <alignment horizontal="center" vertical="center" wrapText="1"/>
    </xf>
    <xf numFmtId="49" fontId="6" fillId="10" borderId="41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Alignment="1">
      <alignment horizontal="center" vertical="center" wrapText="1"/>
    </xf>
    <xf numFmtId="0" fontId="11" fillId="0" borderId="72" xfId="25" applyFont="1" applyFill="1" applyBorder="1" applyAlignment="1">
      <alignment horizontal="left"/>
    </xf>
    <xf numFmtId="0" fontId="120" fillId="0" borderId="0" xfId="0" applyFont="1" applyBorder="1" applyAlignment="1">
      <alignment vertical="center" wrapText="1"/>
    </xf>
    <xf numFmtId="0" fontId="123" fillId="0" borderId="0" xfId="0" applyFont="1" applyBorder="1" applyAlignment="1">
      <alignment horizontal="center" vertical="center" wrapText="1"/>
    </xf>
    <xf numFmtId="3" fontId="124" fillId="0" borderId="0" xfId="0" applyNumberFormat="1" applyFont="1" applyBorder="1" applyAlignment="1">
      <alignment vertical="center" wrapText="1"/>
    </xf>
    <xf numFmtId="0" fontId="124" fillId="0" borderId="0" xfId="0" applyFont="1" applyBorder="1" applyAlignment="1">
      <alignment vertical="center" wrapText="1"/>
    </xf>
    <xf numFmtId="3" fontId="32" fillId="0" borderId="82" xfId="25" applyNumberFormat="1" applyFont="1" applyFill="1" applyBorder="1" applyAlignment="1">
      <alignment horizontal="right" wrapText="1"/>
    </xf>
    <xf numFmtId="3" fontId="32" fillId="0" borderId="44" xfId="25" applyNumberFormat="1" applyFont="1" applyFill="1" applyBorder="1" applyAlignment="1">
      <alignment horizontal="right" wrapText="1"/>
    </xf>
    <xf numFmtId="3" fontId="32" fillId="0" borderId="44" xfId="25" applyNumberFormat="1" applyFont="1" applyFill="1" applyBorder="1" applyAlignment="1"/>
    <xf numFmtId="0" fontId="10" fillId="0" borderId="67" xfId="25" applyFont="1" applyFill="1" applyBorder="1"/>
    <xf numFmtId="3" fontId="34" fillId="0" borderId="11" xfId="25" applyNumberFormat="1" applyFont="1" applyFill="1" applyBorder="1" applyAlignment="1">
      <alignment horizontal="right" wrapText="1"/>
    </xf>
    <xf numFmtId="3" fontId="24" fillId="0" borderId="101" xfId="25" applyNumberFormat="1" applyFont="1" applyFill="1" applyBorder="1" applyAlignment="1">
      <alignment horizontal="right" wrapText="1"/>
    </xf>
    <xf numFmtId="0" fontId="133" fillId="16" borderId="128" xfId="0" applyFont="1" applyFill="1" applyBorder="1" applyAlignment="1">
      <alignment horizontal="center" vertical="center" wrapText="1"/>
    </xf>
    <xf numFmtId="0" fontId="132" fillId="16" borderId="128" xfId="0" applyFont="1" applyFill="1" applyBorder="1" applyAlignment="1">
      <alignment horizontal="center" vertical="center" wrapText="1"/>
    </xf>
    <xf numFmtId="3" fontId="132" fillId="16" borderId="128" xfId="0" applyNumberFormat="1" applyFont="1" applyFill="1" applyBorder="1" applyAlignment="1">
      <alignment vertical="center" wrapText="1"/>
    </xf>
    <xf numFmtId="3" fontId="10" fillId="0" borderId="103" xfId="25" applyNumberFormat="1" applyFont="1" applyFill="1" applyBorder="1" applyAlignment="1">
      <alignment horizontal="right" wrapText="1"/>
    </xf>
    <xf numFmtId="0" fontId="10" fillId="0" borderId="99" xfId="0" applyFont="1" applyBorder="1"/>
    <xf numFmtId="3" fontId="32" fillId="0" borderId="10" xfId="25" applyNumberFormat="1" applyFont="1" applyFill="1" applyBorder="1" applyAlignment="1">
      <alignment horizontal="right"/>
    </xf>
    <xf numFmtId="3" fontId="32" fillId="0" borderId="26" xfId="25" applyNumberFormat="1" applyFont="1" applyFill="1" applyBorder="1" applyAlignment="1">
      <alignment horizontal="right" wrapText="1"/>
    </xf>
    <xf numFmtId="3" fontId="32" fillId="0" borderId="10" xfId="25" applyNumberFormat="1" applyFont="1" applyFill="1" applyBorder="1" applyAlignment="1">
      <alignment horizontal="right" wrapText="1"/>
    </xf>
    <xf numFmtId="3" fontId="10" fillId="0" borderId="101" xfId="25" applyNumberFormat="1" applyFont="1" applyFill="1" applyBorder="1" applyAlignment="1">
      <alignment horizontal="right" wrapText="1"/>
    </xf>
    <xf numFmtId="3" fontId="32" fillId="0" borderId="120" xfId="25" applyNumberFormat="1" applyFont="1" applyFill="1" applyBorder="1" applyAlignment="1">
      <alignment horizontal="right" wrapText="1"/>
    </xf>
    <xf numFmtId="3" fontId="10" fillId="0" borderId="104" xfId="25" applyNumberFormat="1" applyFont="1" applyFill="1" applyBorder="1" applyAlignment="1">
      <alignment horizontal="right" wrapText="1"/>
    </xf>
    <xf numFmtId="3" fontId="24" fillId="0" borderId="147" xfId="25" applyNumberFormat="1" applyFont="1" applyFill="1" applyBorder="1" applyAlignment="1">
      <alignment horizontal="center" vertical="center" wrapText="1"/>
    </xf>
    <xf numFmtId="3" fontId="10" fillId="0" borderId="103" xfId="0" applyNumberFormat="1" applyFont="1" applyBorder="1"/>
    <xf numFmtId="3" fontId="32" fillId="0" borderId="5" xfId="25" applyNumberFormat="1" applyFont="1" applyFill="1" applyBorder="1" applyAlignment="1">
      <alignment horizontal="right" wrapText="1"/>
    </xf>
    <xf numFmtId="3" fontId="10" fillId="0" borderId="102" xfId="0" applyNumberFormat="1" applyFont="1" applyBorder="1"/>
    <xf numFmtId="3" fontId="32" fillId="0" borderId="76" xfId="25" applyNumberFormat="1" applyFont="1" applyFill="1" applyBorder="1" applyAlignment="1">
      <alignment horizontal="right"/>
    </xf>
    <xf numFmtId="3" fontId="32" fillId="0" borderId="148" xfId="25" applyNumberFormat="1" applyFont="1" applyFill="1" applyBorder="1" applyAlignment="1">
      <alignment wrapText="1"/>
    </xf>
    <xf numFmtId="3" fontId="32" fillId="0" borderId="133" xfId="25" applyNumberFormat="1" applyFont="1" applyFill="1" applyBorder="1" applyAlignment="1"/>
    <xf numFmtId="3" fontId="32" fillId="0" borderId="149" xfId="0" applyNumberFormat="1" applyFont="1" applyBorder="1"/>
    <xf numFmtId="3" fontId="32" fillId="0" borderId="133" xfId="25" applyNumberFormat="1" applyFont="1" applyFill="1" applyBorder="1" applyAlignment="1">
      <alignment horizontal="right" wrapText="1"/>
    </xf>
    <xf numFmtId="0" fontId="34" fillId="0" borderId="128" xfId="0" applyFont="1" applyBorder="1"/>
    <xf numFmtId="0" fontId="32" fillId="0" borderId="44" xfId="25" applyFont="1" applyFill="1" applyBorder="1" applyAlignment="1">
      <alignment horizontal="left" wrapText="1"/>
    </xf>
    <xf numFmtId="3" fontId="32" fillId="0" borderId="106" xfId="25" applyNumberFormat="1" applyFont="1" applyFill="1" applyBorder="1" applyAlignment="1">
      <alignment wrapText="1"/>
    </xf>
    <xf numFmtId="0" fontId="106" fillId="0" borderId="17" xfId="25" applyFont="1" applyFill="1" applyBorder="1"/>
    <xf numFmtId="0" fontId="106" fillId="0" borderId="106" xfId="25" applyFont="1" applyFill="1" applyBorder="1"/>
    <xf numFmtId="0" fontId="90" fillId="0" borderId="106" xfId="25" applyFont="1" applyFill="1" applyBorder="1"/>
    <xf numFmtId="3" fontId="32" fillId="0" borderId="41" xfId="0" applyNumberFormat="1" applyFont="1" applyBorder="1"/>
    <xf numFmtId="3" fontId="106" fillId="0" borderId="41" xfId="25" applyNumberFormat="1" applyFont="1" applyFill="1" applyBorder="1"/>
    <xf numFmtId="3" fontId="106" fillId="0" borderId="119" xfId="25" applyNumberFormat="1" applyFont="1" applyFill="1" applyBorder="1"/>
    <xf numFmtId="0" fontId="90" fillId="0" borderId="110" xfId="25" applyFont="1" applyFill="1" applyBorder="1"/>
    <xf numFmtId="0" fontId="11" fillId="0" borderId="0" xfId="25" applyFont="1" applyFill="1" applyBorder="1" applyAlignment="1">
      <alignment horizontal="left"/>
    </xf>
    <xf numFmtId="0" fontId="11" fillId="0" borderId="0" xfId="25" applyFont="1" applyFill="1" applyBorder="1" applyAlignment="1">
      <alignment horizontal="left" wrapText="1"/>
    </xf>
    <xf numFmtId="3" fontId="32" fillId="0" borderId="17" xfId="0" applyNumberFormat="1" applyFont="1" applyBorder="1"/>
    <xf numFmtId="3" fontId="32" fillId="0" borderId="4" xfId="25" applyNumberFormat="1" applyFont="1" applyFill="1" applyBorder="1" applyAlignment="1">
      <alignment wrapText="1"/>
    </xf>
    <xf numFmtId="3" fontId="32" fillId="0" borderId="26" xfId="25" applyNumberFormat="1" applyFont="1" applyFill="1" applyBorder="1" applyAlignment="1">
      <alignment wrapText="1"/>
    </xf>
    <xf numFmtId="3" fontId="32" fillId="0" borderId="106" xfId="0" applyNumberFormat="1" applyFont="1" applyBorder="1"/>
    <xf numFmtId="3" fontId="32" fillId="0" borderId="60" xfId="0" applyNumberFormat="1" applyFont="1" applyBorder="1"/>
    <xf numFmtId="3" fontId="10" fillId="0" borderId="98" xfId="0" applyNumberFormat="1" applyFont="1" applyBorder="1"/>
    <xf numFmtId="3" fontId="10" fillId="0" borderId="102" xfId="25" applyNumberFormat="1" applyFont="1" applyFill="1" applyBorder="1" applyAlignment="1">
      <alignment horizontal="right" wrapText="1"/>
    </xf>
    <xf numFmtId="3" fontId="32" fillId="0" borderId="106" xfId="25" applyNumberFormat="1" applyFont="1" applyFill="1" applyBorder="1" applyAlignment="1"/>
    <xf numFmtId="3" fontId="32" fillId="0" borderId="113" xfId="25" applyNumberFormat="1" applyFont="1" applyFill="1" applyBorder="1" applyAlignment="1">
      <alignment horizontal="right"/>
    </xf>
    <xf numFmtId="3" fontId="10" fillId="0" borderId="102" xfId="25" applyNumberFormat="1" applyFont="1" applyFill="1" applyBorder="1" applyAlignment="1">
      <alignment horizontal="right"/>
    </xf>
    <xf numFmtId="3" fontId="32" fillId="0" borderId="12" xfId="25" applyNumberFormat="1" applyFont="1" applyFill="1" applyBorder="1" applyAlignment="1"/>
    <xf numFmtId="0" fontId="32" fillId="0" borderId="44" xfId="25" applyFont="1" applyFill="1" applyBorder="1" applyAlignment="1">
      <alignment horizontal="left"/>
    </xf>
    <xf numFmtId="0" fontId="25" fillId="0" borderId="73" xfId="25" applyFont="1" applyFill="1" applyBorder="1" applyAlignment="1">
      <alignment vertical="center"/>
    </xf>
    <xf numFmtId="3" fontId="11" fillId="9" borderId="0" xfId="25" applyNumberFormat="1" applyFont="1" applyFill="1"/>
    <xf numFmtId="3" fontId="32" fillId="0" borderId="120" xfId="25" applyNumberFormat="1" applyFont="1" applyFill="1" applyBorder="1" applyAlignment="1">
      <alignment horizontal="center"/>
    </xf>
    <xf numFmtId="3" fontId="32" fillId="0" borderId="112" xfId="25" applyNumberFormat="1" applyFont="1" applyFill="1" applyBorder="1" applyAlignment="1">
      <alignment horizontal="center"/>
    </xf>
    <xf numFmtId="3" fontId="32" fillId="0" borderId="10" xfId="25" applyNumberFormat="1" applyFont="1" applyFill="1" applyBorder="1" applyAlignment="1">
      <alignment horizontal="center"/>
    </xf>
    <xf numFmtId="3" fontId="32" fillId="0" borderId="11" xfId="25" applyNumberFormat="1" applyFont="1" applyFill="1" applyBorder="1" applyAlignment="1">
      <alignment horizontal="center" wrapText="1"/>
    </xf>
    <xf numFmtId="0" fontId="32" fillId="0" borderId="11" xfId="25" applyFont="1" applyFill="1" applyBorder="1" applyAlignment="1">
      <alignment horizontal="center" wrapText="1"/>
    </xf>
    <xf numFmtId="3" fontId="10" fillId="0" borderId="102" xfId="25" applyNumberFormat="1" applyFont="1" applyFill="1" applyBorder="1" applyAlignment="1">
      <alignment horizontal="center"/>
    </xf>
    <xf numFmtId="3" fontId="24" fillId="0" borderId="49" xfId="25" applyNumberFormat="1" applyFont="1" applyFill="1" applyBorder="1" applyAlignment="1">
      <alignment horizontal="center"/>
    </xf>
    <xf numFmtId="3" fontId="32" fillId="0" borderId="11" xfId="25" applyNumberFormat="1" applyFont="1" applyFill="1" applyBorder="1" applyAlignment="1">
      <alignment horizontal="center"/>
    </xf>
    <xf numFmtId="3" fontId="24" fillId="0" borderId="11" xfId="25" applyNumberFormat="1" applyFont="1" applyFill="1" applyBorder="1" applyAlignment="1">
      <alignment horizontal="center"/>
    </xf>
    <xf numFmtId="0" fontId="32" fillId="0" borderId="72" xfId="25" applyFont="1" applyFill="1" applyBorder="1" applyAlignment="1">
      <alignment horizontal="left"/>
    </xf>
    <xf numFmtId="0" fontId="24" fillId="0" borderId="67" xfId="25" applyFont="1" applyFill="1" applyBorder="1"/>
    <xf numFmtId="3" fontId="32" fillId="0" borderId="113" xfId="25" applyNumberFormat="1" applyFont="1" applyFill="1" applyBorder="1" applyAlignment="1">
      <alignment horizontal="center"/>
    </xf>
    <xf numFmtId="3" fontId="32" fillId="0" borderId="48" xfId="25" applyNumberFormat="1" applyFont="1" applyFill="1" applyBorder="1" applyAlignment="1">
      <alignment horizontal="center"/>
    </xf>
    <xf numFmtId="3" fontId="10" fillId="0" borderId="103" xfId="25" applyNumberFormat="1" applyFont="1" applyFill="1" applyBorder="1" applyAlignment="1">
      <alignment horizontal="center"/>
    </xf>
    <xf numFmtId="0" fontId="24" fillId="0" borderId="150" xfId="25" applyFont="1" applyFill="1" applyBorder="1" applyAlignment="1">
      <alignment horizontal="center" vertical="center" wrapText="1"/>
    </xf>
    <xf numFmtId="0" fontId="24" fillId="0" borderId="151" xfId="25" applyFont="1" applyFill="1" applyBorder="1" applyAlignment="1">
      <alignment horizontal="center" vertical="center" wrapText="1"/>
    </xf>
    <xf numFmtId="0" fontId="32" fillId="0" borderId="106" xfId="25" applyFont="1" applyFill="1" applyBorder="1" applyAlignment="1">
      <alignment horizontal="center" wrapText="1"/>
    </xf>
    <xf numFmtId="0" fontId="143" fillId="0" borderId="0" xfId="0" applyFont="1" applyAlignment="1">
      <alignment horizontal="center" vertical="center" wrapText="1"/>
    </xf>
    <xf numFmtId="0" fontId="32" fillId="0" borderId="108" xfId="25" applyFont="1" applyFill="1" applyBorder="1" applyAlignment="1">
      <alignment horizontal="center" wrapText="1"/>
    </xf>
    <xf numFmtId="3" fontId="10" fillId="0" borderId="99" xfId="25" applyNumberFormat="1" applyFont="1" applyFill="1" applyBorder="1" applyAlignment="1">
      <alignment horizontal="right" wrapText="1"/>
    </xf>
    <xf numFmtId="0" fontId="143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37" fillId="0" borderId="139" xfId="0" applyFont="1" applyBorder="1" applyAlignment="1">
      <alignment horizontal="center" vertical="center" wrapText="1"/>
    </xf>
    <xf numFmtId="0" fontId="136" fillId="0" borderId="139" xfId="0" applyFont="1" applyBorder="1" applyAlignment="1">
      <alignment horizontal="center" vertical="center" wrapText="1"/>
    </xf>
    <xf numFmtId="3" fontId="136" fillId="0" borderId="139" xfId="0" applyNumberFormat="1" applyFont="1" applyBorder="1" applyAlignment="1">
      <alignment vertical="center" wrapText="1"/>
    </xf>
    <xf numFmtId="0" fontId="137" fillId="0" borderId="0" xfId="0" applyFont="1" applyBorder="1" applyAlignment="1">
      <alignment horizontal="center" vertical="center" wrapText="1"/>
    </xf>
    <xf numFmtId="0" fontId="136" fillId="0" borderId="0" xfId="0" applyFont="1" applyBorder="1" applyAlignment="1">
      <alignment horizontal="center" vertical="center" wrapText="1"/>
    </xf>
    <xf numFmtId="3" fontId="136" fillId="0" borderId="0" xfId="0" applyNumberFormat="1" applyFont="1" applyBorder="1" applyAlignment="1">
      <alignment vertical="center" wrapText="1"/>
    </xf>
    <xf numFmtId="0" fontId="121" fillId="0" borderId="0" xfId="0" applyFont="1" applyAlignment="1">
      <alignment vertical="center" wrapText="1"/>
    </xf>
    <xf numFmtId="3" fontId="191" fillId="0" borderId="0" xfId="0" applyNumberFormat="1" applyFont="1" applyAlignment="1">
      <alignment vertical="center" wrapText="1"/>
    </xf>
    <xf numFmtId="0" fontId="129" fillId="8" borderId="0" xfId="0" applyFont="1" applyFill="1" applyAlignment="1">
      <alignment horizontal="center" vertical="center" wrapText="1"/>
    </xf>
    <xf numFmtId="0" fontId="130" fillId="8" borderId="0" xfId="0" applyFont="1" applyFill="1" applyAlignment="1">
      <alignment horizontal="center" vertical="center" wrapText="1"/>
    </xf>
    <xf numFmtId="0" fontId="129" fillId="0" borderId="0" xfId="0" applyFont="1" applyAlignment="1">
      <alignment vertical="center" wrapText="1"/>
    </xf>
    <xf numFmtId="0" fontId="120" fillId="0" borderId="139" xfId="0" applyFont="1" applyBorder="1" applyAlignment="1">
      <alignment horizontal="center" vertical="center" wrapText="1"/>
    </xf>
    <xf numFmtId="0" fontId="0" fillId="0" borderId="92" xfId="0" applyBorder="1" applyAlignment="1"/>
    <xf numFmtId="0" fontId="0" fillId="0" borderId="114" xfId="0" applyBorder="1" applyAlignment="1"/>
    <xf numFmtId="0" fontId="192" fillId="0" borderId="0" xfId="0" applyFont="1" applyAlignment="1">
      <alignment horizontal="center" vertical="center" wrapText="1"/>
    </xf>
    <xf numFmtId="0" fontId="193" fillId="0" borderId="0" xfId="0" applyFont="1" applyAlignment="1">
      <alignment horizontal="center" vertical="center" wrapText="1"/>
    </xf>
    <xf numFmtId="3" fontId="32" fillId="0" borderId="20" xfId="25" applyNumberFormat="1" applyFont="1" applyFill="1" applyBorder="1" applyAlignment="1">
      <alignment horizontal="right"/>
    </xf>
    <xf numFmtId="3" fontId="32" fillId="0" borderId="20" xfId="25" applyNumberFormat="1" applyFont="1" applyFill="1" applyBorder="1" applyAlignment="1">
      <alignment horizontal="right" wrapText="1"/>
    </xf>
    <xf numFmtId="3" fontId="24" fillId="0" borderId="97" xfId="25" applyNumberFormat="1" applyFont="1" applyFill="1" applyBorder="1" applyAlignment="1"/>
    <xf numFmtId="3" fontId="24" fillId="0" borderId="97" xfId="25" applyNumberFormat="1" applyFont="1" applyFill="1" applyBorder="1" applyAlignment="1">
      <alignment horizontal="right"/>
    </xf>
    <xf numFmtId="3" fontId="32" fillId="0" borderId="152" xfId="25" applyNumberFormat="1" applyFont="1" applyFill="1" applyBorder="1" applyAlignment="1">
      <alignment horizontal="right" wrapText="1"/>
    </xf>
    <xf numFmtId="3" fontId="32" fillId="0" borderId="153" xfId="25" applyNumberFormat="1" applyFont="1" applyFill="1" applyBorder="1" applyAlignment="1">
      <alignment horizontal="right" wrapText="1"/>
    </xf>
    <xf numFmtId="3" fontId="32" fillId="0" borderId="27" xfId="25" applyNumberFormat="1" applyFont="1" applyFill="1" applyBorder="1" applyAlignment="1">
      <alignment horizontal="right" wrapText="1"/>
    </xf>
    <xf numFmtId="3" fontId="32" fillId="0" borderId="27" xfId="25" applyNumberFormat="1" applyFont="1" applyFill="1" applyBorder="1" applyAlignment="1">
      <alignment horizontal="right"/>
    </xf>
    <xf numFmtId="3" fontId="32" fillId="0" borderId="91" xfId="25" applyNumberFormat="1" applyFont="1" applyFill="1" applyBorder="1" applyAlignment="1">
      <alignment horizontal="right"/>
    </xf>
    <xf numFmtId="3" fontId="32" fillId="0" borderId="152" xfId="25" applyNumberFormat="1" applyFont="1" applyFill="1" applyBorder="1" applyAlignment="1">
      <alignment horizontal="right"/>
    </xf>
    <xf numFmtId="3" fontId="10" fillId="0" borderId="100" xfId="25" applyNumberFormat="1" applyFont="1" applyFill="1" applyBorder="1" applyAlignment="1">
      <alignment horizontal="right"/>
    </xf>
    <xf numFmtId="3" fontId="32" fillId="0" borderId="153" xfId="25" applyNumberFormat="1" applyFont="1" applyFill="1" applyBorder="1" applyAlignment="1">
      <alignment horizontal="right"/>
    </xf>
    <xf numFmtId="3" fontId="10" fillId="0" borderId="118" xfId="25" applyNumberFormat="1" applyFont="1" applyFill="1" applyBorder="1" applyAlignment="1">
      <alignment horizontal="right"/>
    </xf>
    <xf numFmtId="3" fontId="10" fillId="0" borderId="100" xfId="25" applyNumberFormat="1" applyFont="1" applyFill="1" applyBorder="1" applyAlignment="1">
      <alignment horizontal="right" wrapText="1"/>
    </xf>
    <xf numFmtId="0" fontId="106" fillId="0" borderId="26" xfId="25" applyFont="1" applyBorder="1"/>
    <xf numFmtId="0" fontId="106" fillId="0" borderId="138" xfId="25" applyFont="1" applyBorder="1"/>
    <xf numFmtId="3" fontId="10" fillId="0" borderId="118" xfId="0" applyNumberFormat="1" applyFont="1" applyBorder="1"/>
    <xf numFmtId="3" fontId="32" fillId="0" borderId="154" xfId="25" applyNumberFormat="1" applyFont="1" applyFill="1" applyBorder="1" applyAlignment="1">
      <alignment horizontal="right" wrapText="1"/>
    </xf>
    <xf numFmtId="3" fontId="32" fillId="0" borderId="25" xfId="25" applyNumberFormat="1" applyFont="1" applyFill="1" applyBorder="1" applyAlignment="1">
      <alignment horizontal="right" wrapText="1"/>
    </xf>
    <xf numFmtId="3" fontId="32" fillId="0" borderId="154" xfId="25" applyNumberFormat="1" applyFont="1" applyFill="1" applyBorder="1" applyAlignment="1">
      <alignment horizontal="right"/>
    </xf>
    <xf numFmtId="3" fontId="32" fillId="0" borderId="155" xfId="25" applyNumberFormat="1" applyFont="1" applyFill="1" applyBorder="1" applyAlignment="1">
      <alignment horizontal="right" wrapText="1"/>
    </xf>
    <xf numFmtId="3" fontId="32" fillId="0" borderId="30" xfId="25" applyNumberFormat="1" applyFont="1" applyFill="1" applyBorder="1" applyAlignment="1">
      <alignment horizontal="right"/>
    </xf>
    <xf numFmtId="3" fontId="32" fillId="0" borderId="155" xfId="25" applyNumberFormat="1" applyFont="1" applyFill="1" applyBorder="1" applyAlignment="1">
      <alignment horizontal="right"/>
    </xf>
    <xf numFmtId="3" fontId="10" fillId="0" borderId="156" xfId="0" applyNumberFormat="1" applyFont="1" applyBorder="1"/>
    <xf numFmtId="3" fontId="10" fillId="0" borderId="118" xfId="25" applyNumberFormat="1" applyFont="1" applyFill="1" applyBorder="1" applyAlignment="1">
      <alignment horizontal="right" wrapText="1"/>
    </xf>
    <xf numFmtId="0" fontId="0" fillId="0" borderId="143" xfId="0" applyBorder="1" applyAlignment="1"/>
    <xf numFmtId="0" fontId="15" fillId="0" borderId="0" xfId="0" applyFont="1" applyBorder="1" applyAlignment="1">
      <alignment horizontal="center" vertical="center" wrapText="1"/>
    </xf>
    <xf numFmtId="3" fontId="22" fillId="0" borderId="0" xfId="0" applyNumberFormat="1" applyFont="1" applyBorder="1" applyAlignment="1">
      <alignment vertical="center" wrapText="1"/>
    </xf>
    <xf numFmtId="169" fontId="22" fillId="0" borderId="0" xfId="0" applyNumberFormat="1" applyFont="1" applyBorder="1" applyAlignment="1">
      <alignment vertical="center" wrapText="1"/>
    </xf>
    <xf numFmtId="169" fontId="122" fillId="0" borderId="0" xfId="0" applyNumberFormat="1" applyFont="1" applyAlignment="1">
      <alignment vertical="center" wrapText="1"/>
    </xf>
    <xf numFmtId="166" fontId="120" fillId="0" borderId="0" xfId="0" applyNumberFormat="1" applyFont="1" applyBorder="1" applyAlignment="1">
      <alignment vertical="center" wrapText="1"/>
    </xf>
    <xf numFmtId="0" fontId="123" fillId="0" borderId="0" xfId="0" applyFont="1" applyBorder="1" applyAlignment="1">
      <alignment vertical="center"/>
    </xf>
    <xf numFmtId="169" fontId="124" fillId="0" borderId="139" xfId="0" applyNumberFormat="1" applyFont="1" applyBorder="1" applyAlignment="1">
      <alignment vertical="center" wrapText="1"/>
    </xf>
    <xf numFmtId="0" fontId="118" fillId="0" borderId="0" xfId="0" applyFont="1" applyBorder="1" applyAlignment="1">
      <alignment vertical="center" wrapText="1"/>
    </xf>
    <xf numFmtId="0" fontId="130" fillId="8" borderId="128" xfId="0" applyFont="1" applyFill="1" applyBorder="1" applyAlignment="1">
      <alignment horizontal="center" vertical="center" wrapText="1"/>
    </xf>
    <xf numFmtId="0" fontId="15" fillId="0" borderId="128" xfId="0" applyFont="1" applyBorder="1" applyAlignment="1">
      <alignment horizontal="center" vertical="center" wrapText="1"/>
    </xf>
    <xf numFmtId="0" fontId="120" fillId="0" borderId="0" xfId="0" applyFont="1" applyBorder="1" applyAlignment="1">
      <alignment horizontal="center" vertical="center" wrapText="1"/>
    </xf>
    <xf numFmtId="3" fontId="191" fillId="0" borderId="128" xfId="0" applyNumberFormat="1" applyFont="1" applyBorder="1" applyAlignment="1">
      <alignment vertical="center" wrapText="1"/>
    </xf>
    <xf numFmtId="0" fontId="130" fillId="8" borderId="0" xfId="0" applyFont="1" applyFill="1" applyBorder="1" applyAlignment="1">
      <alignment horizontal="center" vertical="center" wrapText="1"/>
    </xf>
    <xf numFmtId="4" fontId="124" fillId="0" borderId="139" xfId="0" applyNumberFormat="1" applyFont="1" applyBorder="1" applyAlignment="1">
      <alignment vertical="center" wrapText="1"/>
    </xf>
    <xf numFmtId="4" fontId="122" fillId="0" borderId="0" xfId="0" applyNumberFormat="1" applyFont="1" applyAlignment="1">
      <alignment vertical="center" wrapText="1"/>
    </xf>
    <xf numFmtId="0" fontId="120" fillId="0" borderId="0" xfId="0" applyFont="1" applyBorder="1" applyAlignment="1">
      <alignment horizontal="right" vertical="center" wrapText="1"/>
    </xf>
    <xf numFmtId="3" fontId="134" fillId="0" borderId="0" xfId="0" applyNumberFormat="1" applyFont="1" applyBorder="1" applyAlignment="1">
      <alignment vertical="center" wrapText="1"/>
    </xf>
    <xf numFmtId="0" fontId="135" fillId="0" borderId="0" xfId="0" applyFont="1" applyBorder="1" applyAlignment="1">
      <alignment vertical="center" wrapText="1"/>
    </xf>
    <xf numFmtId="0" fontId="126" fillId="0" borderId="0" xfId="0" applyFont="1" applyAlignment="1">
      <alignment vertical="center" wrapText="1"/>
    </xf>
    <xf numFmtId="3" fontId="194" fillId="0" borderId="0" xfId="0" applyNumberFormat="1" applyFont="1" applyAlignment="1">
      <alignment horizontal="center" vertical="center" wrapText="1"/>
    </xf>
    <xf numFmtId="0" fontId="132" fillId="8" borderId="0" xfId="0" applyFont="1" applyFill="1" applyBorder="1" applyAlignment="1">
      <alignment vertical="center" wrapText="1"/>
    </xf>
    <xf numFmtId="0" fontId="133" fillId="8" borderId="0" xfId="0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center" vertical="center" wrapText="1"/>
    </xf>
    <xf numFmtId="0" fontId="22" fillId="0" borderId="17" xfId="28" applyFont="1" applyBorder="1" applyAlignment="1">
      <alignment horizontal="left" vertical="center" wrapText="1" indent="2"/>
    </xf>
    <xf numFmtId="0" fontId="17" fillId="0" borderId="29" xfId="28" applyFont="1" applyFill="1" applyBorder="1" applyAlignment="1">
      <alignment vertical="center" wrapText="1"/>
    </xf>
    <xf numFmtId="0" fontId="17" fillId="0" borderId="29" xfId="28" applyFont="1" applyBorder="1" applyAlignment="1">
      <alignment horizontal="justify" vertical="center" wrapText="1"/>
    </xf>
    <xf numFmtId="3" fontId="0" fillId="0" borderId="0" xfId="0" applyNumberFormat="1"/>
    <xf numFmtId="0" fontId="17" fillId="0" borderId="29" xfId="28" applyFont="1" applyFill="1" applyBorder="1" applyAlignment="1">
      <alignment horizontal="justify" vertical="center" wrapText="1"/>
    </xf>
    <xf numFmtId="3" fontId="75" fillId="0" borderId="0" xfId="0" applyNumberFormat="1" applyFont="1" applyAlignment="1">
      <alignment vertical="center" wrapText="1"/>
    </xf>
    <xf numFmtId="0" fontId="11" fillId="0" borderId="17" xfId="18" applyFont="1" applyFill="1" applyBorder="1" applyAlignment="1">
      <alignment wrapText="1"/>
    </xf>
    <xf numFmtId="3" fontId="11" fillId="0" borderId="29" xfId="15" applyNumberFormat="1" applyFont="1" applyFill="1" applyBorder="1"/>
    <xf numFmtId="0" fontId="29" fillId="0" borderId="17" xfId="28" applyFont="1" applyFill="1" applyBorder="1" applyAlignment="1">
      <alignment horizontal="left" vertical="center" wrapText="1" indent="2"/>
    </xf>
    <xf numFmtId="3" fontId="29" fillId="0" borderId="29" xfId="28" applyNumberFormat="1" applyFont="1" applyFill="1" applyBorder="1" applyAlignment="1">
      <alignment horizontal="right" vertical="center" wrapText="1"/>
    </xf>
    <xf numFmtId="3" fontId="29" fillId="0" borderId="12" xfId="28" applyNumberFormat="1" applyFont="1" applyFill="1" applyBorder="1" applyAlignment="1">
      <alignment horizontal="right" vertical="center"/>
    </xf>
    <xf numFmtId="3" fontId="29" fillId="0" borderId="29" xfId="28" applyNumberFormat="1" applyFont="1" applyFill="1" applyBorder="1" applyAlignment="1">
      <alignment horizontal="right" vertical="center"/>
    </xf>
    <xf numFmtId="3" fontId="29" fillId="0" borderId="61" xfId="28" applyNumberFormat="1" applyFont="1" applyFill="1" applyBorder="1" applyAlignment="1">
      <alignment horizontal="right" vertical="center"/>
    </xf>
    <xf numFmtId="3" fontId="29" fillId="0" borderId="17" xfId="28" applyNumberFormat="1" applyFont="1" applyFill="1" applyBorder="1"/>
    <xf numFmtId="3" fontId="32" fillId="0" borderId="0" xfId="28" applyNumberFormat="1" applyFont="1" applyFill="1" applyBorder="1"/>
    <xf numFmtId="0" fontId="24" fillId="3" borderId="17" xfId="28" applyFont="1" applyFill="1" applyBorder="1" applyAlignment="1">
      <alignment horizontal="left" wrapText="1"/>
    </xf>
    <xf numFmtId="0" fontId="44" fillId="0" borderId="17" xfId="28" applyFont="1" applyBorder="1" applyAlignment="1" applyProtection="1">
      <alignment horizontal="left" vertical="center" wrapText="1" indent="2"/>
    </xf>
    <xf numFmtId="3" fontId="32" fillId="0" borderId="26" xfId="28" applyNumberFormat="1" applyFont="1" applyFill="1" applyBorder="1"/>
    <xf numFmtId="0" fontId="17" fillId="0" borderId="29" xfId="28" applyFont="1" applyBorder="1" applyAlignment="1" applyProtection="1">
      <alignment horizontal="left" vertical="center" wrapText="1" indent="1"/>
    </xf>
    <xf numFmtId="0" fontId="29" fillId="0" borderId="17" xfId="28" applyFont="1" applyBorder="1" applyAlignment="1">
      <alignment horizontal="left" indent="2"/>
    </xf>
    <xf numFmtId="0" fontId="24" fillId="3" borderId="11" xfId="28" applyFont="1" applyFill="1" applyBorder="1"/>
    <xf numFmtId="3" fontId="24" fillId="0" borderId="49" xfId="28" applyNumberFormat="1" applyFont="1" applyFill="1" applyBorder="1"/>
    <xf numFmtId="3" fontId="24" fillId="0" borderId="49" xfId="28" applyNumberFormat="1" applyFont="1" applyFill="1" applyBorder="1" applyAlignment="1">
      <alignment horizontal="right"/>
    </xf>
    <xf numFmtId="0" fontId="24" fillId="0" borderId="17" xfId="28" applyFont="1" applyFill="1" applyBorder="1"/>
    <xf numFmtId="0" fontId="32" fillId="0" borderId="17" xfId="28" applyFont="1" applyFill="1" applyBorder="1"/>
    <xf numFmtId="0" fontId="0" fillId="0" borderId="11" xfId="0" applyBorder="1"/>
    <xf numFmtId="1" fontId="24" fillId="0" borderId="48" xfId="28" applyNumberFormat="1" applyFont="1" applyBorder="1"/>
    <xf numFmtId="0" fontId="87" fillId="0" borderId="17" xfId="28" applyFont="1" applyBorder="1" applyAlignment="1">
      <alignment vertical="center" wrapText="1"/>
    </xf>
    <xf numFmtId="0" fontId="17" fillId="0" borderId="17" xfId="0" applyFont="1" applyBorder="1"/>
    <xf numFmtId="3" fontId="30" fillId="0" borderId="49" xfId="28" applyNumberFormat="1" applyFont="1" applyFill="1" applyBorder="1"/>
    <xf numFmtId="3" fontId="92" fillId="0" borderId="20" xfId="0" applyNumberFormat="1" applyFont="1" applyBorder="1" applyAlignment="1">
      <alignment horizontal="right" vertical="center" wrapText="1"/>
    </xf>
    <xf numFmtId="3" fontId="32" fillId="0" borderId="50" xfId="28" applyNumberFormat="1" applyFont="1" applyFill="1" applyBorder="1"/>
    <xf numFmtId="3" fontId="24" fillId="3" borderId="48" xfId="28" applyNumberFormat="1" applyFont="1" applyFill="1" applyBorder="1"/>
    <xf numFmtId="3" fontId="29" fillId="0" borderId="49" xfId="28" applyNumberFormat="1" applyFont="1" applyFill="1" applyBorder="1"/>
    <xf numFmtId="3" fontId="32" fillId="0" borderId="157" xfId="28" applyNumberFormat="1" applyFont="1" applyBorder="1"/>
    <xf numFmtId="0" fontId="15" fillId="0" borderId="17" xfId="28" applyFont="1" applyBorder="1" applyAlignment="1" applyProtection="1">
      <alignment horizontal="left" vertical="center" wrapText="1" indent="1"/>
    </xf>
    <xf numFmtId="3" fontId="24" fillId="3" borderId="82" xfId="28" applyNumberFormat="1" applyFont="1" applyFill="1" applyBorder="1"/>
    <xf numFmtId="0" fontId="32" fillId="0" borderId="17" xfId="28" applyFont="1" applyFill="1" applyBorder="1" applyAlignment="1">
      <alignment horizontal="left" indent="1"/>
    </xf>
    <xf numFmtId="0" fontId="0" fillId="0" borderId="63" xfId="0" applyBorder="1"/>
    <xf numFmtId="0" fontId="0" fillId="0" borderId="0" xfId="0" applyBorder="1"/>
    <xf numFmtId="0" fontId="0" fillId="0" borderId="158" xfId="0" applyBorder="1"/>
    <xf numFmtId="0" fontId="198" fillId="0" borderId="0" xfId="0" applyFont="1" applyBorder="1" applyAlignment="1">
      <alignment vertical="center"/>
    </xf>
    <xf numFmtId="0" fontId="0" fillId="0" borderId="159" xfId="0" applyBorder="1"/>
    <xf numFmtId="0" fontId="198" fillId="0" borderId="158" xfId="0" applyFont="1" applyBorder="1" applyAlignment="1">
      <alignment vertical="center"/>
    </xf>
    <xf numFmtId="0" fontId="48" fillId="0" borderId="63" xfId="0" applyFont="1" applyBorder="1" applyAlignment="1">
      <alignment vertical="center"/>
    </xf>
    <xf numFmtId="0" fontId="24" fillId="3" borderId="29" xfId="28" applyFont="1" applyFill="1" applyBorder="1" applyAlignment="1">
      <alignment horizontal="left"/>
    </xf>
    <xf numFmtId="3" fontId="24" fillId="3" borderId="29" xfId="28" applyNumberFormat="1" applyFont="1" applyFill="1" applyBorder="1"/>
    <xf numFmtId="0" fontId="48" fillId="7" borderId="11" xfId="0" applyFont="1" applyFill="1" applyBorder="1"/>
    <xf numFmtId="0" fontId="48" fillId="7" borderId="48" xfId="0" applyFont="1" applyFill="1" applyBorder="1"/>
    <xf numFmtId="0" fontId="48" fillId="7" borderId="49" xfId="0" applyFont="1" applyFill="1" applyBorder="1"/>
    <xf numFmtId="0" fontId="48" fillId="7" borderId="11" xfId="0" applyFont="1" applyFill="1" applyBorder="1" applyAlignment="1">
      <alignment vertical="center"/>
    </xf>
    <xf numFmtId="0" fontId="198" fillId="7" borderId="11" xfId="0" applyFont="1" applyFill="1" applyBorder="1"/>
    <xf numFmtId="0" fontId="198" fillId="7" borderId="48" xfId="0" applyFont="1" applyFill="1" applyBorder="1"/>
    <xf numFmtId="0" fontId="198" fillId="7" borderId="49" xfId="0" applyFont="1" applyFill="1" applyBorder="1"/>
    <xf numFmtId="0" fontId="88" fillId="0" borderId="48" xfId="0" applyFont="1" applyBorder="1"/>
    <xf numFmtId="3" fontId="26" fillId="7" borderId="17" xfId="28" applyNumberFormat="1" applyFont="1" applyFill="1" applyBorder="1"/>
    <xf numFmtId="0" fontId="198" fillId="0" borderId="63" xfId="0" applyFont="1" applyBorder="1" applyAlignment="1">
      <alignment vertical="center"/>
    </xf>
    <xf numFmtId="0" fontId="198" fillId="0" borderId="48" xfId="0" applyFont="1" applyBorder="1" applyAlignment="1">
      <alignment vertical="center"/>
    </xf>
    <xf numFmtId="0" fontId="0" fillId="0" borderId="48" xfId="0" applyBorder="1"/>
    <xf numFmtId="0" fontId="27" fillId="0" borderId="63" xfId="28" applyFont="1" applyBorder="1"/>
    <xf numFmtId="49" fontId="32" fillId="0" borderId="0" xfId="28" applyNumberFormat="1" applyFont="1" applyBorder="1"/>
    <xf numFmtId="169" fontId="24" fillId="0" borderId="49" xfId="28" applyNumberFormat="1" applyFont="1" applyFill="1" applyBorder="1" applyAlignment="1">
      <alignment horizontal="center"/>
    </xf>
    <xf numFmtId="0" fontId="15" fillId="0" borderId="14" xfId="28" applyFont="1" applyBorder="1" applyAlignment="1" applyProtection="1">
      <alignment vertical="center" wrapText="1"/>
    </xf>
    <xf numFmtId="0" fontId="6" fillId="0" borderId="17" xfId="28" applyFont="1" applyBorder="1" applyAlignment="1" applyProtection="1">
      <alignment vertical="center" wrapText="1"/>
    </xf>
    <xf numFmtId="3" fontId="15" fillId="0" borderId="20" xfId="0" applyNumberFormat="1" applyFont="1" applyBorder="1" applyAlignment="1" applyProtection="1">
      <alignment vertical="center" wrapText="1"/>
    </xf>
    <xf numFmtId="3" fontId="44" fillId="0" borderId="20" xfId="0" applyNumberFormat="1" applyFont="1" applyBorder="1" applyAlignment="1" applyProtection="1">
      <alignment vertical="center" wrapText="1"/>
    </xf>
    <xf numFmtId="49" fontId="6" fillId="10" borderId="35" xfId="0" applyNumberFormat="1" applyFont="1" applyFill="1" applyBorder="1" applyAlignment="1" applyProtection="1">
      <alignment horizontal="center" vertical="center" wrapText="1"/>
      <protection locked="0"/>
    </xf>
    <xf numFmtId="167" fontId="6" fillId="10" borderId="34" xfId="0" applyNumberFormat="1" applyFont="1" applyFill="1" applyBorder="1" applyAlignment="1" applyProtection="1">
      <alignment horizontal="center"/>
    </xf>
    <xf numFmtId="166" fontId="6" fillId="10" borderId="35" xfId="28" applyNumberFormat="1" applyFont="1" applyFill="1" applyBorder="1" applyAlignment="1" applyProtection="1">
      <alignment horizontal="right" vertical="center" wrapText="1" indent="1"/>
    </xf>
    <xf numFmtId="167" fontId="6" fillId="0" borderId="2" xfId="0" applyNumberFormat="1" applyFont="1" applyBorder="1" applyAlignment="1" applyProtection="1">
      <alignment horizontal="center"/>
    </xf>
    <xf numFmtId="0" fontId="3" fillId="0" borderId="79" xfId="28" applyFont="1" applyBorder="1" applyProtection="1"/>
    <xf numFmtId="0" fontId="3" fillId="0" borderId="79" xfId="28" applyFont="1" applyBorder="1" applyAlignment="1" applyProtection="1">
      <alignment horizontal="right" vertical="center" indent="1"/>
    </xf>
    <xf numFmtId="0" fontId="9" fillId="0" borderId="42" xfId="0" applyFont="1" applyBorder="1" applyAlignment="1">
      <alignment horizontal="center" vertical="center" wrapText="1"/>
    </xf>
    <xf numFmtId="14" fontId="8" fillId="0" borderId="35" xfId="28" applyNumberFormat="1" applyFont="1" applyBorder="1" applyAlignment="1" applyProtection="1">
      <alignment horizontal="center" vertical="center" wrapText="1"/>
    </xf>
    <xf numFmtId="0" fontId="6" fillId="6" borderId="160" xfId="28" applyFont="1" applyFill="1" applyBorder="1" applyAlignment="1" applyProtection="1">
      <alignment horizontal="center" vertical="center" wrapText="1"/>
    </xf>
    <xf numFmtId="0" fontId="0" fillId="0" borderId="28" xfId="0" applyBorder="1" applyAlignment="1">
      <alignment horizontal="left" vertical="center" wrapText="1"/>
    </xf>
    <xf numFmtId="1" fontId="0" fillId="0" borderId="0" xfId="0" applyNumberFormat="1" applyBorder="1" applyAlignment="1">
      <alignment vertical="center" wrapText="1"/>
    </xf>
    <xf numFmtId="0" fontId="0" fillId="0" borderId="161" xfId="0" applyBorder="1" applyAlignment="1">
      <alignment horizontal="left" vertical="center" wrapText="1"/>
    </xf>
    <xf numFmtId="1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4" fontId="0" fillId="0" borderId="1" xfId="0" applyNumberFormat="1" applyBorder="1" applyAlignment="1">
      <alignment vertical="center" wrapText="1"/>
    </xf>
    <xf numFmtId="4" fontId="0" fillId="10" borderId="1" xfId="0" applyNumberFormat="1" applyFill="1" applyBorder="1" applyAlignment="1">
      <alignment vertical="center" wrapText="1"/>
    </xf>
    <xf numFmtId="4" fontId="0" fillId="0" borderId="42" xfId="0" applyNumberFormat="1" applyBorder="1" applyAlignment="1">
      <alignment vertical="center" wrapText="1"/>
    </xf>
    <xf numFmtId="1" fontId="19" fillId="0" borderId="34" xfId="0" applyNumberFormat="1" applyFont="1" applyBorder="1" applyAlignment="1" applyProtection="1">
      <alignment vertical="center"/>
    </xf>
    <xf numFmtId="1" fontId="19" fillId="0" borderId="35" xfId="0" applyNumberFormat="1" applyFont="1" applyBorder="1" applyAlignment="1" applyProtection="1">
      <alignment vertical="center"/>
    </xf>
    <xf numFmtId="0" fontId="0" fillId="0" borderId="34" xfId="0" applyBorder="1" applyAlignment="1">
      <alignment vertical="center" wrapText="1"/>
    </xf>
    <xf numFmtId="0" fontId="0" fillId="0" borderId="35" xfId="0" applyBorder="1" applyAlignment="1">
      <alignment vertical="center" wrapText="1"/>
    </xf>
    <xf numFmtId="3" fontId="12" fillId="10" borderId="35" xfId="0" applyNumberFormat="1" applyFont="1" applyFill="1" applyBorder="1" applyAlignment="1" applyProtection="1">
      <alignment vertical="center" wrapText="1"/>
    </xf>
    <xf numFmtId="3" fontId="44" fillId="10" borderId="35" xfId="0" applyNumberFormat="1" applyFont="1" applyFill="1" applyBorder="1" applyAlignment="1" applyProtection="1">
      <alignment vertical="center" wrapText="1"/>
    </xf>
    <xf numFmtId="3" fontId="52" fillId="10" borderId="35" xfId="0" applyNumberFormat="1" applyFont="1" applyFill="1" applyBorder="1" applyAlignment="1" applyProtection="1">
      <alignment vertical="center" wrapText="1"/>
    </xf>
    <xf numFmtId="3" fontId="6" fillId="12" borderId="162" xfId="0" applyNumberFormat="1" applyFont="1" applyFill="1" applyBorder="1" applyAlignment="1" applyProtection="1">
      <alignment vertical="center" wrapText="1"/>
    </xf>
    <xf numFmtId="3" fontId="6" fillId="11" borderId="163" xfId="0" applyNumberFormat="1" applyFont="1" applyFill="1" applyBorder="1" applyAlignment="1" applyProtection="1">
      <alignment vertical="center" wrapText="1"/>
    </xf>
    <xf numFmtId="4" fontId="15" fillId="10" borderId="42" xfId="0" applyNumberFormat="1" applyFont="1" applyFill="1" applyBorder="1" applyAlignment="1" applyProtection="1">
      <alignment horizontal="right" vertical="center" wrapText="1" indent="1"/>
      <protection locked="0"/>
    </xf>
    <xf numFmtId="169" fontId="15" fillId="10" borderId="35" xfId="0" applyNumberFormat="1" applyFont="1" applyFill="1" applyBorder="1" applyAlignment="1" applyProtection="1">
      <alignment horizontal="right" vertical="center" wrapText="1" indent="1"/>
      <protection locked="0"/>
    </xf>
    <xf numFmtId="166" fontId="15" fillId="0" borderId="53" xfId="0" applyNumberFormat="1" applyFont="1" applyFill="1" applyBorder="1" applyAlignment="1" applyProtection="1">
      <alignment vertical="center" wrapText="1"/>
    </xf>
    <xf numFmtId="3" fontId="6" fillId="3" borderId="164" xfId="0" applyNumberFormat="1" applyFont="1" applyFill="1" applyBorder="1" applyAlignment="1" applyProtection="1">
      <alignment vertical="center" wrapText="1"/>
    </xf>
    <xf numFmtId="49" fontId="6" fillId="10" borderId="34" xfId="0" applyNumberFormat="1" applyFont="1" applyFill="1" applyBorder="1" applyAlignment="1" applyProtection="1">
      <alignment horizontal="center" vertical="center" wrapText="1"/>
      <protection locked="0"/>
    </xf>
    <xf numFmtId="0" fontId="6" fillId="10" borderId="35" xfId="0" applyFont="1" applyFill="1" applyBorder="1" applyAlignment="1" applyProtection="1">
      <alignment horizontal="center" vertical="center" wrapText="1"/>
    </xf>
    <xf numFmtId="3" fontId="15" fillId="0" borderId="35" xfId="0" applyNumberFormat="1" applyFont="1" applyFill="1" applyBorder="1" applyAlignment="1" applyProtection="1">
      <alignment vertical="center" wrapText="1"/>
    </xf>
    <xf numFmtId="3" fontId="15" fillId="10" borderId="20" xfId="0" applyNumberFormat="1" applyFont="1" applyFill="1" applyBorder="1" applyAlignment="1" applyProtection="1">
      <alignment vertical="center" wrapText="1"/>
    </xf>
    <xf numFmtId="3" fontId="44" fillId="10" borderId="20" xfId="0" applyNumberFormat="1" applyFont="1" applyFill="1" applyBorder="1" applyAlignment="1" applyProtection="1">
      <alignment vertical="center" wrapText="1"/>
    </xf>
    <xf numFmtId="167" fontId="15" fillId="0" borderId="35" xfId="0" applyNumberFormat="1" applyFont="1" applyFill="1" applyBorder="1" applyAlignment="1" applyProtection="1">
      <alignment horizontal="center"/>
    </xf>
    <xf numFmtId="3" fontId="6" fillId="0" borderId="79" xfId="28" applyNumberFormat="1" applyFont="1" applyBorder="1" applyAlignment="1" applyProtection="1">
      <alignment horizontal="right" vertical="center" wrapText="1" indent="1"/>
    </xf>
    <xf numFmtId="170" fontId="45" fillId="0" borderId="5" xfId="0" applyNumberFormat="1" applyFont="1" applyBorder="1" applyAlignment="1" applyProtection="1">
      <alignment vertical="center" wrapText="1"/>
      <protection locked="0"/>
    </xf>
    <xf numFmtId="0" fontId="212" fillId="0" borderId="0" xfId="27" applyAlignment="1">
      <alignment vertical="center"/>
    </xf>
    <xf numFmtId="0" fontId="200" fillId="0" borderId="0" xfId="27" applyFont="1" applyAlignment="1">
      <alignment vertical="center"/>
    </xf>
    <xf numFmtId="0" fontId="202" fillId="0" borderId="0" xfId="27" applyFont="1" applyAlignment="1">
      <alignment vertical="center"/>
    </xf>
    <xf numFmtId="3" fontId="202" fillId="17" borderId="26" xfId="27" applyNumberFormat="1" applyFont="1" applyFill="1" applyBorder="1" applyAlignment="1">
      <alignment vertical="center"/>
    </xf>
    <xf numFmtId="3" fontId="202" fillId="17" borderId="5" xfId="27" applyNumberFormat="1" applyFont="1" applyFill="1" applyBorder="1" applyAlignment="1">
      <alignment vertical="center"/>
    </xf>
    <xf numFmtId="3" fontId="202" fillId="17" borderId="7" xfId="27" applyNumberFormat="1" applyFont="1" applyFill="1" applyBorder="1" applyAlignment="1">
      <alignment vertical="center"/>
    </xf>
    <xf numFmtId="0" fontId="203" fillId="0" borderId="27" xfId="27" applyFont="1" applyBorder="1" applyAlignment="1">
      <alignment vertical="center"/>
    </xf>
    <xf numFmtId="0" fontId="204" fillId="0" borderId="0" xfId="27" applyFont="1" applyAlignment="1">
      <alignment vertical="center"/>
    </xf>
    <xf numFmtId="0" fontId="203" fillId="0" borderId="27" xfId="27" applyFont="1" applyBorder="1" applyAlignment="1">
      <alignment horizontal="left" vertical="center" indent="2"/>
    </xf>
    <xf numFmtId="0" fontId="205" fillId="0" borderId="0" xfId="27" applyFont="1" applyBorder="1" applyAlignment="1">
      <alignment vertical="center"/>
    </xf>
    <xf numFmtId="0" fontId="212" fillId="0" borderId="0" xfId="27" applyBorder="1" applyAlignment="1">
      <alignment vertical="center"/>
    </xf>
    <xf numFmtId="3" fontId="206" fillId="17" borderId="0" xfId="27" applyNumberFormat="1" applyFont="1" applyFill="1" applyBorder="1" applyAlignment="1">
      <alignment vertical="center"/>
    </xf>
    <xf numFmtId="3" fontId="207" fillId="0" borderId="0" xfId="27" applyNumberFormat="1" applyFont="1" applyBorder="1" applyAlignment="1">
      <alignment vertical="center"/>
    </xf>
    <xf numFmtId="3" fontId="207" fillId="17" borderId="0" xfId="27" applyNumberFormat="1" applyFont="1" applyFill="1" applyBorder="1" applyAlignment="1">
      <alignment vertical="center"/>
    </xf>
    <xf numFmtId="0" fontId="205" fillId="0" borderId="0" xfId="27" applyFont="1" applyAlignment="1">
      <alignment vertical="center"/>
    </xf>
    <xf numFmtId="0" fontId="212" fillId="0" borderId="0" xfId="27"/>
    <xf numFmtId="0" fontId="208" fillId="0" borderId="27" xfId="27" applyFont="1" applyBorder="1" applyAlignment="1">
      <alignment vertical="center"/>
    </xf>
    <xf numFmtId="3" fontId="209" fillId="17" borderId="26" xfId="27" applyNumberFormat="1" applyFont="1" applyFill="1" applyBorder="1" applyAlignment="1">
      <alignment vertical="center"/>
    </xf>
    <xf numFmtId="3" fontId="209" fillId="17" borderId="5" xfId="27" applyNumberFormat="1" applyFont="1" applyFill="1" applyBorder="1" applyAlignment="1">
      <alignment vertical="center"/>
    </xf>
    <xf numFmtId="3" fontId="209" fillId="0" borderId="17" xfId="27" applyNumberFormat="1" applyFont="1" applyBorder="1" applyAlignment="1">
      <alignment vertical="center"/>
    </xf>
    <xf numFmtId="3" fontId="209" fillId="17" borderId="17" xfId="27" applyNumberFormat="1" applyFont="1" applyFill="1" applyBorder="1"/>
    <xf numFmtId="3" fontId="207" fillId="17" borderId="47" xfId="27" applyNumberFormat="1" applyFont="1" applyFill="1" applyBorder="1"/>
    <xf numFmtId="3" fontId="207" fillId="0" borderId="47" xfId="27" applyNumberFormat="1" applyFont="1" applyBorder="1" applyAlignment="1">
      <alignment vertical="center"/>
    </xf>
    <xf numFmtId="3" fontId="209" fillId="0" borderId="0" xfId="27" applyNumberFormat="1" applyFont="1"/>
    <xf numFmtId="3" fontId="209" fillId="0" borderId="0" xfId="27" applyNumberFormat="1" applyFont="1" applyAlignment="1">
      <alignment vertical="center"/>
    </xf>
    <xf numFmtId="0" fontId="206" fillId="0" borderId="0" xfId="27" applyFont="1" applyAlignment="1">
      <alignment horizontal="right"/>
    </xf>
    <xf numFmtId="0" fontId="208" fillId="0" borderId="0" xfId="27" applyFont="1" applyAlignment="1"/>
    <xf numFmtId="0" fontId="201" fillId="0" borderId="0" xfId="27" applyFont="1" applyBorder="1" applyAlignment="1">
      <alignment horizontal="center" vertical="center" wrapText="1"/>
    </xf>
    <xf numFmtId="3" fontId="209" fillId="0" borderId="17" xfId="27" applyNumberFormat="1" applyFont="1" applyBorder="1"/>
    <xf numFmtId="0" fontId="209" fillId="0" borderId="6" xfId="27" applyFont="1" applyBorder="1"/>
    <xf numFmtId="0" fontId="209" fillId="0" borderId="8" xfId="27" applyFont="1" applyBorder="1"/>
    <xf numFmtId="3" fontId="209" fillId="0" borderId="29" xfId="27" applyNumberFormat="1" applyFont="1" applyBorder="1"/>
    <xf numFmtId="3" fontId="207" fillId="7" borderId="69" xfId="27" applyNumberFormat="1" applyFont="1" applyFill="1" applyBorder="1"/>
    <xf numFmtId="0" fontId="206" fillId="0" borderId="0" xfId="27" applyFont="1"/>
    <xf numFmtId="0" fontId="209" fillId="0" borderId="0" xfId="27" applyFont="1"/>
    <xf numFmtId="3" fontId="212" fillId="17" borderId="17" xfId="27" applyNumberFormat="1" applyFill="1" applyBorder="1"/>
    <xf numFmtId="0" fontId="212" fillId="17" borderId="7" xfId="27" applyFill="1" applyBorder="1"/>
    <xf numFmtId="3" fontId="212" fillId="17" borderId="29" xfId="27" applyNumberFormat="1" applyFill="1" applyBorder="1"/>
    <xf numFmtId="0" fontId="212" fillId="17" borderId="9" xfId="27" applyFill="1" applyBorder="1"/>
    <xf numFmtId="3" fontId="207" fillId="18" borderId="69" xfId="27" applyNumberFormat="1" applyFont="1" applyFill="1" applyBorder="1"/>
    <xf numFmtId="3" fontId="209" fillId="17" borderId="29" xfId="27" applyNumberFormat="1" applyFont="1" applyFill="1" applyBorder="1"/>
    <xf numFmtId="3" fontId="208" fillId="17" borderId="120" xfId="27" applyNumberFormat="1" applyFont="1" applyFill="1" applyBorder="1"/>
    <xf numFmtId="3" fontId="210" fillId="17" borderId="120" xfId="27" applyNumberFormat="1" applyFont="1" applyFill="1" applyBorder="1"/>
    <xf numFmtId="3" fontId="210" fillId="17" borderId="26" xfId="27" applyNumberFormat="1" applyFont="1" applyFill="1" applyBorder="1"/>
    <xf numFmtId="3" fontId="203" fillId="0" borderId="17" xfId="27" applyNumberFormat="1" applyFont="1" applyBorder="1" applyAlignment="1">
      <alignment vertical="center"/>
    </xf>
    <xf numFmtId="3" fontId="203" fillId="17" borderId="26" xfId="27" applyNumberFormat="1" applyFont="1" applyFill="1" applyBorder="1" applyAlignment="1">
      <alignment vertical="center"/>
    </xf>
    <xf numFmtId="3" fontId="208" fillId="17" borderId="26" xfId="27" applyNumberFormat="1" applyFont="1" applyFill="1" applyBorder="1" applyAlignment="1">
      <alignment vertical="center"/>
    </xf>
    <xf numFmtId="3" fontId="208" fillId="17" borderId="49" xfId="27" applyNumberFormat="1" applyFont="1" applyFill="1" applyBorder="1"/>
    <xf numFmtId="3" fontId="208" fillId="17" borderId="17" xfId="27" applyNumberFormat="1" applyFont="1" applyFill="1" applyBorder="1"/>
    <xf numFmtId="3" fontId="208" fillId="17" borderId="61" xfId="27" applyNumberFormat="1" applyFont="1" applyFill="1" applyBorder="1"/>
    <xf numFmtId="0" fontId="3" fillId="0" borderId="17" xfId="0" applyFont="1" applyBorder="1" applyAlignment="1">
      <alignment horizontal="center" vertical="center" wrapText="1"/>
    </xf>
    <xf numFmtId="3" fontId="212" fillId="0" borderId="0" xfId="27" applyNumberFormat="1" applyAlignment="1">
      <alignment vertical="center"/>
    </xf>
    <xf numFmtId="0" fontId="211" fillId="0" borderId="0" xfId="27" applyFont="1" applyAlignment="1">
      <alignment vertical="center"/>
    </xf>
    <xf numFmtId="0" fontId="94" fillId="0" borderId="0" xfId="27" applyFont="1" applyAlignment="1">
      <alignment vertical="center"/>
    </xf>
    <xf numFmtId="0" fontId="207" fillId="0" borderId="0" xfId="27" applyFont="1" applyAlignment="1">
      <alignment horizontal="left"/>
    </xf>
    <xf numFmtId="3" fontId="3" fillId="0" borderId="17" xfId="0" applyNumberFormat="1" applyFont="1" applyBorder="1"/>
    <xf numFmtId="0" fontId="3" fillId="0" borderId="17" xfId="0" applyFont="1" applyBorder="1"/>
    <xf numFmtId="0" fontId="3" fillId="0" borderId="7" xfId="0" applyFont="1" applyBorder="1"/>
    <xf numFmtId="3" fontId="3" fillId="0" borderId="7" xfId="0" applyNumberFormat="1" applyFont="1" applyBorder="1"/>
    <xf numFmtId="3" fontId="3" fillId="0" borderId="0" xfId="0" applyNumberFormat="1" applyFont="1"/>
    <xf numFmtId="0" fontId="18" fillId="0" borderId="0" xfId="0" applyFont="1"/>
    <xf numFmtId="0" fontId="48" fillId="0" borderId="0" xfId="0" applyFont="1"/>
    <xf numFmtId="3" fontId="48" fillId="0" borderId="0" xfId="0" applyNumberFormat="1" applyFont="1"/>
    <xf numFmtId="0" fontId="18" fillId="0" borderId="79" xfId="0" applyFont="1" applyBorder="1"/>
    <xf numFmtId="0" fontId="3" fillId="0" borderId="79" xfId="0" applyFont="1" applyBorder="1"/>
    <xf numFmtId="0" fontId="46" fillId="0" borderId="6" xfId="0" applyFont="1" applyBorder="1" applyAlignment="1" applyProtection="1">
      <alignment horizontal="left" vertical="center"/>
      <protection locked="0"/>
    </xf>
    <xf numFmtId="3" fontId="3" fillId="0" borderId="9" xfId="0" applyNumberFormat="1" applyFont="1" applyBorder="1"/>
    <xf numFmtId="0" fontId="48" fillId="7" borderId="24" xfId="0" applyFont="1" applyFill="1" applyBorder="1"/>
    <xf numFmtId="3" fontId="198" fillId="7" borderId="19" xfId="0" applyNumberFormat="1" applyFont="1" applyFill="1" applyBorder="1"/>
    <xf numFmtId="3" fontId="198" fillId="7" borderId="2" xfId="0" applyNumberFormat="1" applyFont="1" applyFill="1" applyBorder="1"/>
    <xf numFmtId="166" fontId="0" fillId="0" borderId="166" xfId="0" applyNumberFormat="1" applyBorder="1" applyAlignment="1">
      <alignment vertical="center" wrapText="1"/>
    </xf>
    <xf numFmtId="49" fontId="32" fillId="0" borderId="82" xfId="28" applyNumberFormat="1" applyFont="1" applyBorder="1" applyAlignment="1">
      <alignment horizontal="left" vertical="center"/>
    </xf>
    <xf numFmtId="166" fontId="0" fillId="0" borderId="82" xfId="0" applyNumberFormat="1" applyBorder="1" applyAlignment="1">
      <alignment vertical="center" wrapText="1"/>
    </xf>
    <xf numFmtId="0" fontId="11" fillId="0" borderId="120" xfId="28" applyFont="1" applyFill="1" applyBorder="1" applyAlignment="1">
      <alignment horizontal="center" wrapText="1"/>
    </xf>
    <xf numFmtId="3" fontId="11" fillId="10" borderId="120" xfId="15" applyNumberFormat="1" applyFont="1" applyFill="1" applyBorder="1"/>
    <xf numFmtId="3" fontId="11" fillId="0" borderId="26" xfId="28" applyNumberFormat="1" applyFont="1" applyBorder="1"/>
    <xf numFmtId="166" fontId="3" fillId="0" borderId="83" xfId="0" applyNumberFormat="1" applyFont="1" applyBorder="1" applyAlignment="1" applyProtection="1">
      <alignment vertical="center" wrapText="1"/>
      <protection locked="0"/>
    </xf>
    <xf numFmtId="166" fontId="0" fillId="0" borderId="142" xfId="0" applyNumberFormat="1" applyBorder="1" applyAlignment="1">
      <alignment vertical="center" wrapText="1"/>
    </xf>
    <xf numFmtId="49" fontId="32" fillId="0" borderId="81" xfId="28" applyNumberFormat="1" applyFont="1" applyBorder="1" applyAlignment="1">
      <alignment horizontal="left" vertical="center"/>
    </xf>
    <xf numFmtId="166" fontId="0" fillId="0" borderId="81" xfId="0" applyNumberFormat="1" applyBorder="1" applyAlignment="1">
      <alignment vertical="center" wrapText="1"/>
    </xf>
    <xf numFmtId="0" fontId="11" fillId="0" borderId="47" xfId="28" applyFont="1" applyBorder="1" applyAlignment="1">
      <alignment wrapText="1"/>
    </xf>
    <xf numFmtId="3" fontId="29" fillId="0" borderId="47" xfId="28" applyNumberFormat="1" applyFont="1" applyBorder="1"/>
    <xf numFmtId="0" fontId="11" fillId="0" borderId="62" xfId="28" applyFont="1" applyFill="1" applyBorder="1" applyAlignment="1">
      <alignment horizontal="center" wrapText="1"/>
    </xf>
    <xf numFmtId="166" fontId="3" fillId="0" borderId="47" xfId="0" applyNumberFormat="1" applyFont="1" applyBorder="1" applyAlignment="1" applyProtection="1">
      <alignment vertical="center" wrapText="1"/>
      <protection locked="0"/>
    </xf>
    <xf numFmtId="3" fontId="11" fillId="10" borderId="62" xfId="15" applyNumberFormat="1" applyFont="1" applyFill="1" applyBorder="1"/>
    <xf numFmtId="3" fontId="11" fillId="0" borderId="47" xfId="28" applyNumberFormat="1" applyFont="1" applyBorder="1"/>
    <xf numFmtId="166" fontId="3" fillId="0" borderId="137" xfId="0" applyNumberFormat="1" applyFont="1" applyBorder="1" applyAlignment="1" applyProtection="1">
      <alignment vertical="center" wrapText="1"/>
      <protection locked="0"/>
    </xf>
    <xf numFmtId="3" fontId="2" fillId="0" borderId="82" xfId="28" applyNumberFormat="1" applyFont="1" applyBorder="1"/>
    <xf numFmtId="0" fontId="109" fillId="0" borderId="27" xfId="27" applyFont="1" applyBorder="1" applyAlignment="1">
      <alignment vertical="center"/>
    </xf>
    <xf numFmtId="0" fontId="109" fillId="0" borderId="30" xfId="27" applyFont="1" applyBorder="1" applyAlignment="1">
      <alignment vertical="center"/>
    </xf>
    <xf numFmtId="3" fontId="109" fillId="17" borderId="5" xfId="27" applyNumberFormat="1" applyFont="1" applyFill="1" applyBorder="1" applyAlignment="1">
      <alignment vertical="center"/>
    </xf>
    <xf numFmtId="3" fontId="108" fillId="17" borderId="26" xfId="27" applyNumberFormat="1" applyFont="1" applyFill="1" applyBorder="1" applyAlignment="1">
      <alignment vertical="center"/>
    </xf>
    <xf numFmtId="0" fontId="18" fillId="0" borderId="0" xfId="0" applyFont="1" applyFill="1" applyBorder="1"/>
    <xf numFmtId="0" fontId="48" fillId="0" borderId="0" xfId="0" applyFont="1" applyFill="1" applyBorder="1"/>
    <xf numFmtId="3" fontId="50" fillId="0" borderId="0" xfId="0" applyNumberFormat="1" applyFont="1"/>
    <xf numFmtId="0" fontId="49" fillId="0" borderId="0" xfId="0" applyFont="1"/>
    <xf numFmtId="0" fontId="32" fillId="0" borderId="29" xfId="28" applyFont="1" applyFill="1" applyBorder="1" applyAlignment="1">
      <alignment horizontal="left" vertical="center" wrapText="1"/>
    </xf>
    <xf numFmtId="3" fontId="32" fillId="0" borderId="12" xfId="28" applyNumberFormat="1" applyFont="1" applyFill="1" applyBorder="1" applyAlignment="1">
      <alignment horizontal="right" vertical="center" wrapText="1"/>
    </xf>
    <xf numFmtId="0" fontId="24" fillId="0" borderId="166" xfId="28" applyFont="1" applyFill="1" applyBorder="1" applyAlignment="1">
      <alignment horizontal="center" vertical="center"/>
    </xf>
    <xf numFmtId="0" fontId="24" fillId="0" borderId="82" xfId="28" applyFont="1" applyFill="1" applyBorder="1" applyAlignment="1">
      <alignment horizontal="center" vertical="center"/>
    </xf>
    <xf numFmtId="0" fontId="24" fillId="0" borderId="120" xfId="28" applyFont="1" applyFill="1" applyBorder="1" applyAlignment="1">
      <alignment horizontal="center" vertical="center"/>
    </xf>
    <xf numFmtId="0" fontId="24" fillId="0" borderId="17" xfId="28" applyFont="1" applyFill="1" applyBorder="1" applyAlignment="1">
      <alignment horizontal="left" vertical="center" wrapText="1"/>
    </xf>
    <xf numFmtId="3" fontId="24" fillId="0" borderId="17" xfId="28" applyNumberFormat="1" applyFont="1" applyFill="1" applyBorder="1" applyAlignment="1">
      <alignment horizontal="right" vertical="center" wrapText="1"/>
    </xf>
    <xf numFmtId="0" fontId="24" fillId="0" borderId="48" xfId="28" applyFont="1" applyFill="1" applyBorder="1" applyAlignment="1">
      <alignment horizontal="center" vertical="center"/>
    </xf>
    <xf numFmtId="0" fontId="24" fillId="0" borderId="49" xfId="28" applyFont="1" applyFill="1" applyBorder="1" applyAlignment="1">
      <alignment horizontal="center" vertical="center"/>
    </xf>
    <xf numFmtId="49" fontId="24" fillId="0" borderId="49" xfId="28" applyNumberFormat="1" applyFont="1" applyFill="1" applyBorder="1" applyAlignment="1">
      <alignment horizontal="center" vertical="center"/>
    </xf>
    <xf numFmtId="0" fontId="30" fillId="0" borderId="60" xfId="28" applyFont="1" applyFill="1" applyBorder="1" applyAlignment="1">
      <alignment horizontal="center" vertical="center"/>
    </xf>
    <xf numFmtId="49" fontId="29" fillId="0" borderId="48" xfId="28" applyNumberFormat="1" applyFont="1" applyFill="1" applyBorder="1" applyAlignment="1">
      <alignment horizontal="center" vertical="center"/>
    </xf>
    <xf numFmtId="49" fontId="29" fillId="0" borderId="49" xfId="28" applyNumberFormat="1" applyFont="1" applyFill="1" applyBorder="1" applyAlignment="1">
      <alignment horizontal="center" vertical="center"/>
    </xf>
    <xf numFmtId="0" fontId="40" fillId="0" borderId="60" xfId="28" applyFont="1" applyFill="1" applyBorder="1" applyAlignment="1">
      <alignment horizontal="center" vertical="center"/>
    </xf>
    <xf numFmtId="49" fontId="34" fillId="0" borderId="48" xfId="28" applyNumberFormat="1" applyFont="1" applyFill="1" applyBorder="1" applyAlignment="1">
      <alignment horizontal="center" vertical="center"/>
    </xf>
    <xf numFmtId="49" fontId="34" fillId="0" borderId="49" xfId="28" applyNumberFormat="1" applyFont="1" applyFill="1" applyBorder="1" applyAlignment="1">
      <alignment horizontal="center" vertical="center"/>
    </xf>
    <xf numFmtId="0" fontId="32" fillId="0" borderId="17" xfId="28" applyFont="1" applyFill="1" applyBorder="1" applyAlignment="1">
      <alignment horizontal="left" vertical="center" wrapText="1" indent="3"/>
    </xf>
    <xf numFmtId="0" fontId="35" fillId="0" borderId="17" xfId="28" applyFont="1" applyFill="1" applyBorder="1" applyAlignment="1">
      <alignment horizontal="left" wrapText="1" indent="4"/>
    </xf>
    <xf numFmtId="49" fontId="35" fillId="0" borderId="49" xfId="28" applyNumberFormat="1" applyFont="1" applyFill="1" applyBorder="1" applyAlignment="1">
      <alignment horizontal="center" vertical="center"/>
    </xf>
    <xf numFmtId="49" fontId="35" fillId="0" borderId="17" xfId="28" applyNumberFormat="1" applyFont="1" applyFill="1" applyBorder="1" applyAlignment="1">
      <alignment horizontal="left" wrapText="1" indent="4"/>
    </xf>
    <xf numFmtId="0" fontId="29" fillId="0" borderId="17" xfId="28" applyFont="1" applyFill="1" applyBorder="1" applyAlignment="1">
      <alignment horizontal="left" wrapText="1" indent="4"/>
    </xf>
    <xf numFmtId="0" fontId="2" fillId="0" borderId="28" xfId="28" applyFont="1" applyFill="1" applyBorder="1"/>
    <xf numFmtId="0" fontId="2" fillId="0" borderId="0" xfId="28" applyFont="1" applyFill="1" applyBorder="1"/>
    <xf numFmtId="49" fontId="24" fillId="0" borderId="48" xfId="28" applyNumberFormat="1" applyFont="1" applyFill="1" applyBorder="1" applyAlignment="1">
      <alignment horizontal="center" vertical="center"/>
    </xf>
    <xf numFmtId="0" fontId="15" fillId="0" borderId="17" xfId="28" applyFont="1" applyFill="1" applyBorder="1" applyAlignment="1">
      <alignment horizontal="left" vertical="center" wrapText="1"/>
    </xf>
    <xf numFmtId="3" fontId="15" fillId="0" borderId="17" xfId="28" applyNumberFormat="1" applyFont="1" applyFill="1" applyBorder="1" applyAlignment="1">
      <alignment horizontal="right" vertical="center"/>
    </xf>
    <xf numFmtId="0" fontId="17" fillId="0" borderId="17" xfId="28" applyFont="1" applyFill="1" applyBorder="1" applyAlignment="1">
      <alignment vertical="center" wrapText="1"/>
    </xf>
    <xf numFmtId="3" fontId="32" fillId="0" borderId="49" xfId="28" applyNumberFormat="1" applyFont="1" applyFill="1" applyBorder="1" applyAlignment="1">
      <alignment horizontal="right" vertical="center" wrapText="1"/>
    </xf>
    <xf numFmtId="49" fontId="32" fillId="0" borderId="48" xfId="28" applyNumberFormat="1" applyFont="1" applyFill="1" applyBorder="1" applyAlignment="1">
      <alignment horizontal="left" vertical="center"/>
    </xf>
    <xf numFmtId="0" fontId="22" fillId="0" borderId="17" xfId="28" applyFont="1" applyFill="1" applyBorder="1" applyAlignment="1">
      <alignment horizontal="left" vertical="center" wrapText="1" indent="1"/>
    </xf>
    <xf numFmtId="0" fontId="17" fillId="0" borderId="17" xfId="28" applyFont="1" applyFill="1" applyBorder="1" applyAlignment="1">
      <alignment horizontal="left" vertical="center" wrapText="1"/>
    </xf>
    <xf numFmtId="0" fontId="31" fillId="0" borderId="60" xfId="28" applyFont="1" applyFill="1" applyBorder="1"/>
    <xf numFmtId="49" fontId="29" fillId="0" borderId="49" xfId="28" applyNumberFormat="1" applyFont="1" applyFill="1" applyBorder="1" applyAlignment="1">
      <alignment horizontal="left" vertical="center"/>
    </xf>
    <xf numFmtId="3" fontId="29" fillId="0" borderId="49" xfId="28" applyNumberFormat="1" applyFont="1" applyFill="1" applyBorder="1" applyAlignment="1">
      <alignment horizontal="right" vertical="center" wrapText="1"/>
    </xf>
    <xf numFmtId="3" fontId="35" fillId="0" borderId="50" xfId="28" applyNumberFormat="1" applyFont="1" applyFill="1" applyBorder="1" applyAlignment="1">
      <alignment horizontal="right" vertical="center" wrapText="1"/>
    </xf>
    <xf numFmtId="3" fontId="29" fillId="0" borderId="50" xfId="28" applyNumberFormat="1" applyFont="1" applyFill="1" applyBorder="1" applyAlignment="1">
      <alignment horizontal="right" vertical="center" wrapText="1"/>
    </xf>
    <xf numFmtId="0" fontId="17" fillId="0" borderId="17" xfId="28" applyFont="1" applyFill="1" applyBorder="1" applyAlignment="1">
      <alignment horizontal="justify" vertical="center" wrapText="1"/>
    </xf>
    <xf numFmtId="49" fontId="32" fillId="0" borderId="49" xfId="28" applyNumberFormat="1" applyFont="1" applyFill="1" applyBorder="1" applyAlignment="1">
      <alignment vertical="center"/>
    </xf>
    <xf numFmtId="49" fontId="29" fillId="0" borderId="48" xfId="28" applyNumberFormat="1" applyFont="1" applyFill="1" applyBorder="1" applyAlignment="1">
      <alignment horizontal="left" vertical="center"/>
    </xf>
    <xf numFmtId="0" fontId="29" fillId="0" borderId="17" xfId="28" applyFont="1" applyFill="1" applyBorder="1" applyAlignment="1">
      <alignment horizontal="left" vertical="center" wrapText="1" indent="1"/>
    </xf>
    <xf numFmtId="3" fontId="29" fillId="0" borderId="50" xfId="28" applyNumberFormat="1" applyFont="1" applyFill="1" applyBorder="1" applyAlignment="1">
      <alignment horizontal="right" vertical="center"/>
    </xf>
    <xf numFmtId="3" fontId="29" fillId="0" borderId="17" xfId="28" applyNumberFormat="1" applyFont="1" applyFill="1" applyBorder="1" applyAlignment="1">
      <alignment horizontal="right" vertical="center"/>
    </xf>
    <xf numFmtId="3" fontId="29" fillId="0" borderId="49" xfId="28" applyNumberFormat="1" applyFont="1" applyFill="1" applyBorder="1" applyAlignment="1">
      <alignment horizontal="right" vertical="center"/>
    </xf>
    <xf numFmtId="49" fontId="32" fillId="0" borderId="48" xfId="28" applyNumberFormat="1" applyFont="1" applyFill="1" applyBorder="1" applyAlignment="1">
      <alignment vertical="center"/>
    </xf>
    <xf numFmtId="49" fontId="32" fillId="0" borderId="60" xfId="28" applyNumberFormat="1" applyFont="1" applyFill="1" applyBorder="1" applyAlignment="1">
      <alignment vertical="center"/>
    </xf>
    <xf numFmtId="0" fontId="29" fillId="0" borderId="17" xfId="28" applyFont="1" applyFill="1" applyBorder="1" applyAlignment="1">
      <alignment horizontal="left" vertical="center" wrapText="1" indent="3"/>
    </xf>
    <xf numFmtId="168" fontId="29" fillId="0" borderId="17" xfId="28" applyNumberFormat="1" applyFont="1" applyFill="1" applyBorder="1" applyAlignment="1">
      <alignment horizontal="left" vertical="center" wrapText="1" indent="3"/>
    </xf>
    <xf numFmtId="49" fontId="29" fillId="0" borderId="17" xfId="28" applyNumberFormat="1" applyFont="1" applyFill="1" applyBorder="1" applyAlignment="1">
      <alignment horizontal="left" vertical="center" wrapText="1" indent="3"/>
    </xf>
    <xf numFmtId="0" fontId="0" fillId="0" borderId="17" xfId="0" applyFill="1" applyBorder="1" applyAlignment="1">
      <alignment wrapText="1"/>
    </xf>
    <xf numFmtId="0" fontId="24" fillId="0" borderId="43" xfId="28" applyFont="1" applyFill="1" applyBorder="1" applyAlignment="1">
      <alignment horizontal="center" vertical="center"/>
    </xf>
    <xf numFmtId="49" fontId="32" fillId="0" borderId="44" xfId="28" applyNumberFormat="1" applyFont="1" applyFill="1" applyBorder="1" applyAlignment="1">
      <alignment horizontal="left" vertical="center"/>
    </xf>
    <xf numFmtId="49" fontId="32" fillId="0" borderId="61" xfId="28" applyNumberFormat="1" applyFont="1" applyFill="1" applyBorder="1" applyAlignment="1">
      <alignment horizontal="left" vertical="center"/>
    </xf>
    <xf numFmtId="0" fontId="24" fillId="0" borderId="142" xfId="28" applyFont="1" applyFill="1" applyBorder="1" applyAlignment="1">
      <alignment horizontal="center" vertical="center"/>
    </xf>
    <xf numFmtId="49" fontId="24" fillId="0" borderId="81" xfId="28" applyNumberFormat="1" applyFont="1" applyFill="1" applyBorder="1" applyAlignment="1">
      <alignment horizontal="center" vertical="center"/>
    </xf>
    <xf numFmtId="49" fontId="24" fillId="0" borderId="62" xfId="28" applyNumberFormat="1" applyFont="1" applyFill="1" applyBorder="1" applyAlignment="1">
      <alignment horizontal="center" vertical="center"/>
    </xf>
    <xf numFmtId="0" fontId="10" fillId="0" borderId="47" xfId="28" applyFont="1" applyFill="1" applyBorder="1" applyAlignment="1">
      <alignment horizontal="left" vertical="center" wrapText="1"/>
    </xf>
    <xf numFmtId="3" fontId="24" fillId="0" borderId="47" xfId="28" applyNumberFormat="1" applyFont="1" applyFill="1" applyBorder="1" applyAlignment="1">
      <alignment horizontal="right" vertical="center" wrapText="1"/>
    </xf>
    <xf numFmtId="0" fontId="33" fillId="0" borderId="0" xfId="28" applyFont="1" applyFill="1"/>
    <xf numFmtId="49" fontId="33" fillId="0" borderId="0" xfId="28" applyNumberFormat="1" applyFont="1" applyFill="1"/>
    <xf numFmtId="3" fontId="33" fillId="0" borderId="0" xfId="28" applyNumberFormat="1" applyFont="1" applyFill="1" applyAlignment="1">
      <alignment horizontal="right"/>
    </xf>
    <xf numFmtId="3" fontId="2" fillId="0" borderId="0" xfId="28" applyNumberFormat="1" applyFont="1" applyFill="1"/>
    <xf numFmtId="0" fontId="34" fillId="0" borderId="50" xfId="28" applyFont="1" applyFill="1" applyBorder="1"/>
    <xf numFmtId="0" fontId="34" fillId="0" borderId="17" xfId="28" applyFont="1" applyFill="1" applyBorder="1"/>
    <xf numFmtId="49" fontId="32" fillId="0" borderId="61" xfId="28" applyNumberFormat="1" applyFont="1" applyFill="1" applyBorder="1" applyAlignment="1">
      <alignment horizontal="center" vertical="center"/>
    </xf>
    <xf numFmtId="3" fontId="24" fillId="0" borderId="5" xfId="28" applyNumberFormat="1" applyFont="1" applyFill="1" applyBorder="1" applyAlignment="1">
      <alignment horizontal="right" vertical="center" wrapText="1"/>
    </xf>
    <xf numFmtId="3" fontId="32" fillId="0" borderId="7" xfId="28" applyNumberFormat="1" applyFont="1" applyFill="1" applyBorder="1" applyAlignment="1">
      <alignment horizontal="right" vertical="center" wrapText="1"/>
    </xf>
    <xf numFmtId="3" fontId="29" fillId="0" borderId="7" xfId="28" applyNumberFormat="1" applyFont="1" applyFill="1" applyBorder="1" applyAlignment="1">
      <alignment horizontal="right" vertical="center" wrapText="1"/>
    </xf>
    <xf numFmtId="3" fontId="24" fillId="0" borderId="7" xfId="28" applyNumberFormat="1" applyFont="1" applyFill="1" applyBorder="1" applyAlignment="1">
      <alignment horizontal="right" vertical="center" wrapText="1"/>
    </xf>
    <xf numFmtId="3" fontId="32" fillId="0" borderId="9" xfId="28" applyNumberFormat="1" applyFont="1" applyFill="1" applyBorder="1" applyAlignment="1">
      <alignment horizontal="right" vertical="center" wrapText="1"/>
    </xf>
    <xf numFmtId="3" fontId="24" fillId="0" borderId="18" xfId="28" applyNumberFormat="1" applyFont="1" applyFill="1" applyBorder="1" applyAlignment="1">
      <alignment horizontal="right" vertical="center" wrapText="1"/>
    </xf>
    <xf numFmtId="3" fontId="35" fillId="0" borderId="20" xfId="28" applyNumberFormat="1" applyFont="1" applyFill="1" applyBorder="1" applyAlignment="1">
      <alignment horizontal="right" vertical="center" wrapText="1"/>
    </xf>
    <xf numFmtId="0" fontId="2" fillId="0" borderId="53" xfId="28" applyFont="1" applyFill="1" applyBorder="1"/>
    <xf numFmtId="3" fontId="15" fillId="0" borderId="7" xfId="28" applyNumberFormat="1" applyFont="1" applyFill="1" applyBorder="1" applyAlignment="1">
      <alignment horizontal="right" vertical="center"/>
    </xf>
    <xf numFmtId="3" fontId="32" fillId="0" borderId="20" xfId="28" applyNumberFormat="1" applyFont="1" applyFill="1" applyBorder="1" applyAlignment="1">
      <alignment horizontal="right" vertical="center" wrapText="1"/>
    </xf>
    <xf numFmtId="3" fontId="29" fillId="0" borderId="20" xfId="28" applyNumberFormat="1" applyFont="1" applyFill="1" applyBorder="1" applyAlignment="1">
      <alignment horizontal="right" vertical="center" wrapText="1"/>
    </xf>
    <xf numFmtId="3" fontId="32" fillId="0" borderId="20" xfId="28" applyNumberFormat="1" applyFont="1" applyFill="1" applyBorder="1" applyAlignment="1">
      <alignment horizontal="right" vertical="center"/>
    </xf>
    <xf numFmtId="3" fontId="32" fillId="0" borderId="7" xfId="28" applyNumberFormat="1" applyFont="1" applyFill="1" applyBorder="1" applyAlignment="1">
      <alignment horizontal="right" vertical="center"/>
    </xf>
    <xf numFmtId="3" fontId="29" fillId="0" borderId="20" xfId="28" applyNumberFormat="1" applyFont="1" applyFill="1" applyBorder="1" applyAlignment="1">
      <alignment horizontal="right" vertical="center"/>
    </xf>
    <xf numFmtId="0" fontId="0" fillId="0" borderId="0" xfId="0" applyFill="1" applyBorder="1"/>
    <xf numFmtId="3" fontId="32" fillId="0" borderId="53" xfId="28" applyNumberFormat="1" applyFont="1" applyFill="1" applyBorder="1" applyAlignment="1">
      <alignment horizontal="right" vertical="center"/>
    </xf>
    <xf numFmtId="3" fontId="29" fillId="0" borderId="7" xfId="28" applyNumberFormat="1" applyFont="1" applyFill="1" applyBorder="1"/>
    <xf numFmtId="49" fontId="26" fillId="0" borderId="60" xfId="28" applyNumberFormat="1" applyFont="1" applyFill="1" applyBorder="1" applyAlignment="1">
      <alignment horizontal="left" vertical="center"/>
    </xf>
    <xf numFmtId="49" fontId="26" fillId="0" borderId="49" xfId="28" applyNumberFormat="1" applyFont="1" applyFill="1" applyBorder="1" applyAlignment="1">
      <alignment horizontal="left" vertical="center"/>
    </xf>
    <xf numFmtId="166" fontId="0" fillId="0" borderId="60" xfId="0" applyNumberFormat="1" applyFill="1" applyBorder="1" applyAlignment="1">
      <alignment vertical="center" wrapText="1"/>
    </xf>
    <xf numFmtId="166" fontId="0" fillId="0" borderId="48" xfId="0" applyNumberFormat="1" applyFill="1" applyBorder="1" applyAlignment="1">
      <alignment vertical="center" wrapText="1"/>
    </xf>
    <xf numFmtId="49" fontId="26" fillId="3" borderId="142" xfId="28" applyNumberFormat="1" applyFont="1" applyFill="1" applyBorder="1" applyAlignment="1">
      <alignment horizontal="left" vertical="center"/>
    </xf>
    <xf numFmtId="49" fontId="26" fillId="3" borderId="81" xfId="28" applyNumberFormat="1" applyFont="1" applyFill="1" applyBorder="1" applyAlignment="1">
      <alignment horizontal="left" vertical="center"/>
    </xf>
    <xf numFmtId="49" fontId="26" fillId="3" borderId="62" xfId="28" applyNumberFormat="1" applyFont="1" applyFill="1" applyBorder="1" applyAlignment="1">
      <alignment horizontal="left" vertical="center"/>
    </xf>
    <xf numFmtId="3" fontId="11" fillId="0" borderId="7" xfId="28" applyNumberFormat="1" applyFont="1" applyFill="1" applyBorder="1" applyAlignment="1"/>
    <xf numFmtId="3" fontId="11" fillId="0" borderId="49" xfId="28" applyNumberFormat="1" applyFont="1" applyFill="1" applyBorder="1" applyAlignment="1"/>
    <xf numFmtId="0" fontId="24" fillId="3" borderId="166" xfId="28" applyFont="1" applyFill="1" applyBorder="1" applyAlignment="1">
      <alignment horizontal="center" vertical="center"/>
    </xf>
    <xf numFmtId="166" fontId="0" fillId="3" borderId="82" xfId="0" applyNumberFormat="1" applyFill="1" applyBorder="1" applyAlignment="1" applyProtection="1">
      <alignment vertical="center" wrapText="1"/>
    </xf>
    <xf numFmtId="166" fontId="0" fillId="3" borderId="120" xfId="0" applyNumberFormat="1" applyFill="1" applyBorder="1" applyAlignment="1" applyProtection="1">
      <alignment vertical="center" wrapText="1"/>
    </xf>
    <xf numFmtId="166" fontId="0" fillId="0" borderId="49" xfId="0" applyNumberFormat="1" applyBorder="1" applyAlignment="1">
      <alignment vertical="center" wrapText="1"/>
    </xf>
    <xf numFmtId="166" fontId="0" fillId="0" borderId="49" xfId="0" applyNumberFormat="1" applyBorder="1" applyAlignment="1" applyProtection="1">
      <alignment vertical="center" wrapText="1"/>
    </xf>
    <xf numFmtId="0" fontId="24" fillId="3" borderId="60" xfId="28" applyFont="1" applyFill="1" applyBorder="1" applyAlignment="1">
      <alignment horizontal="center" vertical="center"/>
    </xf>
    <xf numFmtId="166" fontId="0" fillId="3" borderId="48" xfId="0" applyNumberFormat="1" applyFill="1" applyBorder="1" applyAlignment="1" applyProtection="1">
      <alignment vertical="center" wrapText="1"/>
    </xf>
    <xf numFmtId="166" fontId="0" fillId="3" borderId="49" xfId="0" applyNumberFormat="1" applyFill="1" applyBorder="1" applyAlignment="1" applyProtection="1">
      <alignment vertical="center" wrapText="1"/>
    </xf>
    <xf numFmtId="0" fontId="27" fillId="19" borderId="11" xfId="28" applyFont="1" applyFill="1" applyBorder="1"/>
    <xf numFmtId="0" fontId="27" fillId="19" borderId="48" xfId="28" applyFont="1" applyFill="1" applyBorder="1"/>
    <xf numFmtId="49" fontId="26" fillId="19" borderId="49" xfId="28" applyNumberFormat="1" applyFont="1" applyFill="1" applyBorder="1"/>
    <xf numFmtId="0" fontId="6" fillId="10" borderId="54" xfId="0" applyFont="1" applyFill="1" applyBorder="1" applyAlignment="1" applyProtection="1">
      <alignment horizontal="center" vertical="center" wrapText="1"/>
    </xf>
    <xf numFmtId="3" fontId="44" fillId="10" borderId="35" xfId="0" applyNumberFormat="1" applyFont="1" applyFill="1" applyBorder="1" applyAlignment="1" applyProtection="1">
      <alignment vertical="center" wrapText="1"/>
      <protection locked="0"/>
    </xf>
    <xf numFmtId="3" fontId="15" fillId="10" borderId="59" xfId="0" applyNumberFormat="1" applyFont="1" applyFill="1" applyBorder="1" applyAlignment="1" applyProtection="1">
      <alignment vertical="center" wrapText="1"/>
      <protection locked="0"/>
    </xf>
    <xf numFmtId="3" fontId="15" fillId="10" borderId="49" xfId="0" applyNumberFormat="1" applyFont="1" applyFill="1" applyBorder="1" applyAlignment="1" applyProtection="1">
      <alignment vertical="center" wrapText="1"/>
      <protection locked="0"/>
    </xf>
    <xf numFmtId="3" fontId="15" fillId="10" borderId="62" xfId="0" applyNumberFormat="1" applyFont="1" applyFill="1" applyBorder="1" applyAlignment="1" applyProtection="1">
      <alignment vertical="center" wrapText="1"/>
      <protection locked="0"/>
    </xf>
    <xf numFmtId="3" fontId="44" fillId="10" borderId="20" xfId="0" applyNumberFormat="1" applyFont="1" applyFill="1" applyBorder="1" applyAlignment="1" applyProtection="1">
      <alignment vertical="center" wrapText="1"/>
      <protection locked="0"/>
    </xf>
    <xf numFmtId="166" fontId="15" fillId="10" borderId="35" xfId="0" applyNumberFormat="1" applyFont="1" applyFill="1" applyBorder="1" applyAlignment="1" applyProtection="1">
      <alignment vertical="center" wrapText="1"/>
    </xf>
    <xf numFmtId="3" fontId="15" fillId="10" borderId="20" xfId="0" applyNumberFormat="1" applyFont="1" applyFill="1" applyBorder="1" applyAlignment="1" applyProtection="1">
      <alignment vertical="center" wrapText="1"/>
      <protection locked="0"/>
    </xf>
    <xf numFmtId="3" fontId="17" fillId="10" borderId="137" xfId="0" applyNumberFormat="1" applyFont="1" applyFill="1" applyBorder="1" applyAlignment="1" applyProtection="1">
      <alignment vertical="center" wrapText="1"/>
      <protection locked="0"/>
    </xf>
    <xf numFmtId="0" fontId="6" fillId="3" borderId="46" xfId="0" applyFont="1" applyFill="1" applyBorder="1" applyAlignment="1" applyProtection="1">
      <alignment horizontal="center" vertical="center" wrapText="1"/>
    </xf>
    <xf numFmtId="0" fontId="3" fillId="3" borderId="47" xfId="0" applyFont="1" applyFill="1" applyBorder="1" applyAlignment="1" applyProtection="1">
      <alignment horizontal="center" vertical="center" wrapText="1"/>
    </xf>
    <xf numFmtId="0" fontId="6" fillId="3" borderId="77" xfId="0" applyFont="1" applyFill="1" applyBorder="1" applyAlignment="1" applyProtection="1">
      <alignment horizontal="left" vertical="center" wrapText="1" indent="1"/>
    </xf>
    <xf numFmtId="3" fontId="6" fillId="3" borderId="88" xfId="0" applyNumberFormat="1" applyFont="1" applyFill="1" applyBorder="1" applyAlignment="1" applyProtection="1">
      <alignment vertical="center" wrapText="1"/>
    </xf>
    <xf numFmtId="0" fontId="17" fillId="0" borderId="34" xfId="0" applyFont="1" applyBorder="1" applyAlignment="1" applyProtection="1">
      <alignment horizontal="center" vertical="center" wrapText="1"/>
    </xf>
    <xf numFmtId="3" fontId="44" fillId="10" borderId="137" xfId="0" applyNumberFormat="1" applyFont="1" applyFill="1" applyBorder="1" applyAlignment="1" applyProtection="1">
      <alignment vertical="center" wrapText="1"/>
      <protection locked="0"/>
    </xf>
    <xf numFmtId="3" fontId="17" fillId="0" borderId="48" xfId="0" applyNumberFormat="1" applyFont="1" applyFill="1" applyBorder="1" applyAlignment="1" applyProtection="1">
      <alignment vertical="center" wrapText="1"/>
      <protection locked="0"/>
    </xf>
    <xf numFmtId="3" fontId="17" fillId="11" borderId="20" xfId="0" applyNumberFormat="1" applyFont="1" applyFill="1" applyBorder="1" applyAlignment="1" applyProtection="1">
      <alignment vertical="center" wrapText="1"/>
      <protection locked="0"/>
    </xf>
    <xf numFmtId="49" fontId="17" fillId="0" borderId="29" xfId="28" applyNumberFormat="1" applyFont="1" applyBorder="1" applyAlignment="1" applyProtection="1">
      <alignment horizontal="center" vertical="center" wrapText="1"/>
    </xf>
    <xf numFmtId="3" fontId="15" fillId="0" borderId="11" xfId="0" applyNumberFormat="1" applyFont="1" applyBorder="1" applyAlignment="1" applyProtection="1">
      <alignment vertical="center" wrapText="1"/>
      <protection locked="0"/>
    </xf>
    <xf numFmtId="0" fontId="6" fillId="3" borderId="47" xfId="0" applyFont="1" applyFill="1" applyBorder="1" applyAlignment="1" applyProtection="1">
      <alignment horizontal="left" vertical="center" wrapText="1" indent="1"/>
    </xf>
    <xf numFmtId="3" fontId="6" fillId="3" borderId="18" xfId="0" applyNumberFormat="1" applyFont="1" applyFill="1" applyBorder="1" applyAlignment="1" applyProtection="1">
      <alignment vertical="center" wrapText="1"/>
    </xf>
    <xf numFmtId="3" fontId="17" fillId="10" borderId="62" xfId="0" applyNumberFormat="1" applyFont="1" applyFill="1" applyBorder="1" applyAlignment="1" applyProtection="1">
      <alignment vertical="center" wrapText="1"/>
      <protection locked="0"/>
    </xf>
    <xf numFmtId="3" fontId="15" fillId="0" borderId="19" xfId="0" applyNumberFormat="1" applyFont="1" applyBorder="1" applyAlignment="1" applyProtection="1">
      <alignment vertical="center" wrapText="1"/>
      <protection locked="0"/>
    </xf>
    <xf numFmtId="3" fontId="17" fillId="10" borderId="42" xfId="0" applyNumberFormat="1" applyFont="1" applyFill="1" applyBorder="1" applyAlignment="1" applyProtection="1">
      <alignment vertical="center" wrapText="1"/>
      <protection locked="0"/>
    </xf>
    <xf numFmtId="3" fontId="45" fillId="10" borderId="42" xfId="0" applyNumberFormat="1" applyFont="1" applyFill="1" applyBorder="1" applyAlignment="1" applyProtection="1">
      <alignment vertical="center" wrapText="1"/>
      <protection locked="0"/>
    </xf>
    <xf numFmtId="3" fontId="17" fillId="0" borderId="20" xfId="0" applyNumberFormat="1" applyFont="1" applyFill="1" applyBorder="1" applyAlignment="1" applyProtection="1">
      <alignment vertical="center" wrapText="1"/>
      <protection locked="0"/>
    </xf>
    <xf numFmtId="49" fontId="52" fillId="0" borderId="17" xfId="28" applyNumberFormat="1" applyFont="1" applyBorder="1" applyAlignment="1" applyProtection="1">
      <alignment horizontal="center" vertical="center" wrapText="1"/>
    </xf>
    <xf numFmtId="0" fontId="52" fillId="0" borderId="17" xfId="28" applyFont="1" applyBorder="1" applyAlignment="1" applyProtection="1">
      <alignment horizontal="left" vertical="center" wrapText="1" indent="1"/>
    </xf>
    <xf numFmtId="0" fontId="10" fillId="0" borderId="114" xfId="25" applyFont="1" applyFill="1" applyBorder="1" applyAlignment="1">
      <alignment horizontal="center" vertical="center" wrapText="1"/>
    </xf>
    <xf numFmtId="3" fontId="24" fillId="0" borderId="114" xfId="25" applyNumberFormat="1" applyFont="1" applyFill="1" applyBorder="1" applyAlignment="1">
      <alignment horizontal="center" vertical="center" wrapText="1"/>
    </xf>
    <xf numFmtId="0" fontId="67" fillId="0" borderId="73" xfId="25" applyFont="1" applyFill="1" applyBorder="1" applyAlignment="1"/>
    <xf numFmtId="0" fontId="67" fillId="0" borderId="128" xfId="25" applyFont="1" applyFill="1" applyBorder="1" applyAlignment="1"/>
    <xf numFmtId="3" fontId="15" fillId="10" borderId="42" xfId="0" applyNumberFormat="1" applyFont="1" applyFill="1" applyBorder="1" applyAlignment="1" applyProtection="1">
      <alignment vertical="center" wrapText="1"/>
      <protection locked="0"/>
    </xf>
    <xf numFmtId="3" fontId="44" fillId="10" borderId="54" xfId="0" applyNumberFormat="1" applyFont="1" applyFill="1" applyBorder="1" applyAlignment="1" applyProtection="1">
      <alignment vertical="center" wrapText="1"/>
    </xf>
    <xf numFmtId="3" fontId="44" fillId="10" borderId="53" xfId="0" applyNumberFormat="1" applyFont="1" applyFill="1" applyBorder="1" applyAlignment="1" applyProtection="1">
      <alignment vertical="center" wrapText="1"/>
    </xf>
    <xf numFmtId="3" fontId="44" fillId="10" borderId="137" xfId="0" applyNumberFormat="1" applyFont="1" applyFill="1" applyBorder="1" applyAlignment="1" applyProtection="1">
      <alignment vertical="center" wrapText="1"/>
    </xf>
    <xf numFmtId="3" fontId="44" fillId="10" borderId="42" xfId="0" applyNumberFormat="1" applyFont="1" applyFill="1" applyBorder="1" applyAlignment="1" applyProtection="1">
      <alignment vertical="center" wrapText="1"/>
    </xf>
    <xf numFmtId="3" fontId="45" fillId="10" borderId="35" xfId="0" applyNumberFormat="1" applyFont="1" applyFill="1" applyBorder="1" applyAlignment="1" applyProtection="1">
      <alignment vertical="center" wrapText="1"/>
    </xf>
    <xf numFmtId="3" fontId="80" fillId="0" borderId="7" xfId="0" applyNumberFormat="1" applyFont="1" applyBorder="1" applyAlignment="1" applyProtection="1">
      <alignment vertical="center" wrapText="1"/>
      <protection locked="0"/>
    </xf>
    <xf numFmtId="49" fontId="52" fillId="0" borderId="47" xfId="28" applyNumberFormat="1" applyFont="1" applyBorder="1" applyAlignment="1" applyProtection="1">
      <alignment horizontal="center" vertical="center" wrapText="1"/>
    </xf>
    <xf numFmtId="0" fontId="52" fillId="0" borderId="47" xfId="28" applyFont="1" applyBorder="1" applyAlignment="1" applyProtection="1">
      <alignment horizontal="left" vertical="center" wrapText="1" indent="1"/>
    </xf>
    <xf numFmtId="3" fontId="80" fillId="0" borderId="18" xfId="0" applyNumberFormat="1" applyFont="1" applyBorder="1" applyAlignment="1" applyProtection="1">
      <alignment vertical="center" wrapText="1"/>
      <protection locked="0"/>
    </xf>
    <xf numFmtId="3" fontId="52" fillId="0" borderId="18" xfId="0" applyNumberFormat="1" applyFont="1" applyBorder="1" applyAlignment="1" applyProtection="1">
      <alignment vertical="center" wrapText="1"/>
      <protection locked="0"/>
    </xf>
    <xf numFmtId="3" fontId="45" fillId="10" borderId="20" xfId="0" applyNumberFormat="1" applyFont="1" applyFill="1" applyBorder="1" applyAlignment="1" applyProtection="1">
      <alignment vertical="center" wrapText="1"/>
      <protection locked="0"/>
    </xf>
    <xf numFmtId="3" fontId="45" fillId="10" borderId="21" xfId="0" applyNumberFormat="1" applyFont="1" applyFill="1" applyBorder="1" applyAlignment="1" applyProtection="1">
      <alignment vertical="center" wrapText="1"/>
      <protection locked="0"/>
    </xf>
    <xf numFmtId="3" fontId="45" fillId="10" borderId="53" xfId="0" applyNumberFormat="1" applyFont="1" applyFill="1" applyBorder="1" applyAlignment="1" applyProtection="1">
      <alignment vertical="center" wrapText="1"/>
      <protection locked="0"/>
    </xf>
    <xf numFmtId="0" fontId="106" fillId="0" borderId="108" xfId="25" applyFont="1" applyFill="1" applyBorder="1"/>
    <xf numFmtId="0" fontId="106" fillId="0" borderId="49" xfId="25" applyFont="1" applyFill="1" applyBorder="1"/>
    <xf numFmtId="3" fontId="106" fillId="0" borderId="59" xfId="25" applyNumberFormat="1" applyFont="1" applyFill="1" applyBorder="1"/>
    <xf numFmtId="3" fontId="106" fillId="0" borderId="49" xfId="25" applyNumberFormat="1" applyFont="1" applyFill="1" applyBorder="1"/>
    <xf numFmtId="0" fontId="34" fillId="0" borderId="67" xfId="0" applyFont="1" applyBorder="1"/>
    <xf numFmtId="3" fontId="6" fillId="3" borderId="13" xfId="0" applyNumberFormat="1" applyFont="1" applyFill="1" applyBorder="1" applyAlignment="1" applyProtection="1">
      <alignment vertical="center" wrapText="1"/>
    </xf>
    <xf numFmtId="3" fontId="45" fillId="10" borderId="137" xfId="0" applyNumberFormat="1" applyFont="1" applyFill="1" applyBorder="1" applyAlignment="1" applyProtection="1">
      <alignment vertical="center" wrapText="1"/>
      <protection locked="0"/>
    </xf>
    <xf numFmtId="3" fontId="45" fillId="10" borderId="134" xfId="0" applyNumberFormat="1" applyFont="1" applyFill="1" applyBorder="1" applyAlignment="1" applyProtection="1">
      <alignment vertical="center" wrapText="1"/>
      <protection locked="0"/>
    </xf>
    <xf numFmtId="3" fontId="45" fillId="10" borderId="35" xfId="0" applyNumberFormat="1" applyFont="1" applyFill="1" applyBorder="1" applyAlignment="1" applyProtection="1">
      <alignment vertical="center" wrapText="1"/>
      <protection locked="0"/>
    </xf>
    <xf numFmtId="3" fontId="44" fillId="10" borderId="54" xfId="0" applyNumberFormat="1" applyFont="1" applyFill="1" applyBorder="1" applyAlignment="1" applyProtection="1">
      <alignment vertical="center" wrapText="1"/>
      <protection locked="0"/>
    </xf>
    <xf numFmtId="3" fontId="44" fillId="10" borderId="53" xfId="0" applyNumberFormat="1" applyFont="1" applyFill="1" applyBorder="1" applyAlignment="1" applyProtection="1">
      <alignment vertical="center" wrapText="1"/>
      <protection locked="0"/>
    </xf>
    <xf numFmtId="3" fontId="44" fillId="10" borderId="83" xfId="0" applyNumberFormat="1" applyFont="1" applyFill="1" applyBorder="1" applyAlignment="1" applyProtection="1">
      <alignment vertical="center" wrapText="1"/>
      <protection locked="0"/>
    </xf>
    <xf numFmtId="3" fontId="45" fillId="10" borderId="42" xfId="0" applyNumberFormat="1" applyFont="1" applyFill="1" applyBorder="1" applyAlignment="1" applyProtection="1">
      <alignment vertical="center" wrapText="1"/>
    </xf>
    <xf numFmtId="3" fontId="52" fillId="10" borderId="83" xfId="0" applyNumberFormat="1" applyFont="1" applyFill="1" applyBorder="1" applyAlignment="1" applyProtection="1">
      <alignment vertical="center" wrapText="1"/>
      <protection locked="0"/>
    </xf>
    <xf numFmtId="3" fontId="6" fillId="10" borderId="35" xfId="0" applyNumberFormat="1" applyFont="1" applyFill="1" applyBorder="1" applyAlignment="1" applyProtection="1">
      <alignment vertical="center" wrapText="1"/>
    </xf>
    <xf numFmtId="0" fontId="15" fillId="0" borderId="34" xfId="0" applyFont="1" applyBorder="1" applyAlignment="1" applyProtection="1">
      <alignment vertical="center" wrapText="1"/>
    </xf>
    <xf numFmtId="0" fontId="17" fillId="0" borderId="63" xfId="0" applyFont="1" applyBorder="1" applyAlignment="1" applyProtection="1">
      <alignment vertical="center" wrapText="1"/>
    </xf>
    <xf numFmtId="0" fontId="6" fillId="0" borderId="34" xfId="0" applyFont="1" applyBorder="1" applyAlignment="1" applyProtection="1">
      <alignment vertical="center"/>
    </xf>
    <xf numFmtId="0" fontId="52" fillId="0" borderId="7" xfId="28" applyFont="1" applyBorder="1" applyAlignment="1" applyProtection="1">
      <alignment horizontal="left" vertical="center" wrapText="1" indent="1"/>
    </xf>
    <xf numFmtId="3" fontId="80" fillId="0" borderId="23" xfId="0" applyNumberFormat="1" applyFont="1" applyBorder="1" applyAlignment="1" applyProtection="1">
      <alignment vertical="center" wrapText="1"/>
      <protection locked="0"/>
    </xf>
    <xf numFmtId="0" fontId="52" fillId="0" borderId="18" xfId="28" applyFont="1" applyBorder="1" applyAlignment="1" applyProtection="1">
      <alignment horizontal="left" vertical="center" wrapText="1" indent="1"/>
    </xf>
    <xf numFmtId="0" fontId="52" fillId="0" borderId="11" xfId="28" applyFont="1" applyBorder="1" applyAlignment="1" applyProtection="1">
      <alignment horizontal="left" vertical="center" wrapText="1" indent="1"/>
    </xf>
    <xf numFmtId="3" fontId="80" fillId="0" borderId="27" xfId="0" applyNumberFormat="1" applyFont="1" applyBorder="1" applyAlignment="1" applyProtection="1">
      <alignment vertical="center" wrapText="1"/>
      <protection locked="0"/>
    </xf>
    <xf numFmtId="3" fontId="80" fillId="0" borderId="11" xfId="0" applyNumberFormat="1" applyFont="1" applyBorder="1" applyAlignment="1" applyProtection="1">
      <alignment vertical="center" wrapText="1"/>
      <protection locked="0"/>
    </xf>
    <xf numFmtId="3" fontId="80" fillId="0" borderId="13" xfId="0" applyNumberFormat="1" applyFont="1" applyBorder="1" applyAlignment="1" applyProtection="1">
      <alignment vertical="center" wrapText="1"/>
      <protection locked="0"/>
    </xf>
    <xf numFmtId="49" fontId="52" fillId="0" borderId="26" xfId="28" applyNumberFormat="1" applyFont="1" applyBorder="1" applyAlignment="1" applyProtection="1">
      <alignment horizontal="center" vertical="center" wrapText="1"/>
    </xf>
    <xf numFmtId="0" fontId="52" fillId="0" borderId="26" xfId="28" applyFont="1" applyBorder="1" applyAlignment="1" applyProtection="1">
      <alignment horizontal="left" vertical="center" wrapText="1" indent="1"/>
    </xf>
    <xf numFmtId="3" fontId="80" fillId="0" borderId="16" xfId="0" applyNumberFormat="1" applyFont="1" applyBorder="1" applyAlignment="1" applyProtection="1">
      <alignment vertical="center" wrapText="1"/>
      <protection locked="0"/>
    </xf>
    <xf numFmtId="49" fontId="52" fillId="0" borderId="22" xfId="28" applyNumberFormat="1" applyFont="1" applyBorder="1" applyAlignment="1" applyProtection="1">
      <alignment horizontal="center" vertical="center" wrapText="1"/>
    </xf>
    <xf numFmtId="0" fontId="52" fillId="0" borderId="22" xfId="28" applyFont="1" applyBorder="1" applyAlignment="1" applyProtection="1">
      <alignment horizontal="left" vertical="center" wrapText="1" indent="1"/>
    </xf>
    <xf numFmtId="3" fontId="80" fillId="0" borderId="40" xfId="0" applyNumberFormat="1" applyFont="1" applyBorder="1" applyAlignment="1" applyProtection="1">
      <alignment vertical="center" wrapText="1"/>
      <protection locked="0"/>
    </xf>
    <xf numFmtId="49" fontId="44" fillId="0" borderId="17" xfId="28" applyNumberFormat="1" applyFont="1" applyBorder="1" applyAlignment="1" applyProtection="1">
      <alignment horizontal="center" vertical="center" wrapText="1"/>
    </xf>
    <xf numFmtId="0" fontId="52" fillId="0" borderId="77" xfId="28" applyFont="1" applyBorder="1" applyAlignment="1" applyProtection="1">
      <alignment horizontal="left" vertical="center" wrapText="1" indent="1"/>
    </xf>
    <xf numFmtId="3" fontId="80" fillId="0" borderId="88" xfId="0" applyNumberFormat="1" applyFont="1" applyBorder="1" applyAlignment="1" applyProtection="1">
      <alignment vertical="center" wrapText="1"/>
      <protection locked="0"/>
    </xf>
    <xf numFmtId="3" fontId="52" fillId="0" borderId="88" xfId="0" applyNumberFormat="1" applyFont="1" applyBorder="1" applyAlignment="1" applyProtection="1">
      <alignment vertical="center" wrapText="1"/>
      <protection locked="0"/>
    </xf>
    <xf numFmtId="3" fontId="22" fillId="10" borderId="83" xfId="0" applyNumberFormat="1" applyFont="1" applyFill="1" applyBorder="1" applyAlignment="1" applyProtection="1">
      <alignment vertical="center" wrapText="1"/>
      <protection locked="0"/>
    </xf>
    <xf numFmtId="3" fontId="17" fillId="0" borderId="53" xfId="0" applyNumberFormat="1" applyFont="1" applyFill="1" applyBorder="1" applyAlignment="1" applyProtection="1">
      <alignment vertical="center" wrapText="1"/>
    </xf>
    <xf numFmtId="3" fontId="15" fillId="10" borderId="51" xfId="0" applyNumberFormat="1" applyFont="1" applyFill="1" applyBorder="1" applyAlignment="1" applyProtection="1">
      <alignment vertical="center" wrapText="1"/>
    </xf>
    <xf numFmtId="3" fontId="17" fillId="0" borderId="10" xfId="0" applyNumberFormat="1" applyFont="1" applyBorder="1" applyAlignment="1" applyProtection="1">
      <alignment vertical="center" wrapText="1"/>
      <protection locked="0"/>
    </xf>
    <xf numFmtId="3" fontId="22" fillId="0" borderId="10" xfId="0" applyNumberFormat="1" applyFont="1" applyBorder="1" applyAlignment="1" applyProtection="1">
      <alignment vertical="center" wrapText="1"/>
      <protection locked="0"/>
    </xf>
    <xf numFmtId="3" fontId="15" fillId="0" borderId="13" xfId="0" applyNumberFormat="1" applyFont="1" applyBorder="1" applyAlignment="1" applyProtection="1">
      <alignment horizontal="right" vertical="center" wrapText="1" indent="1"/>
      <protection locked="0"/>
    </xf>
    <xf numFmtId="166" fontId="17" fillId="10" borderId="20" xfId="0" applyNumberFormat="1" applyFont="1" applyFill="1" applyBorder="1" applyAlignment="1" applyProtection="1">
      <alignment vertical="center" wrapText="1"/>
      <protection locked="0"/>
    </xf>
    <xf numFmtId="166" fontId="15" fillId="10" borderId="35" xfId="0" applyNumberFormat="1" applyFont="1" applyFill="1" applyBorder="1" applyAlignment="1" applyProtection="1">
      <alignment vertical="center" wrapText="1"/>
      <protection locked="0"/>
    </xf>
    <xf numFmtId="0" fontId="15" fillId="0" borderId="47" xfId="28" applyFont="1" applyBorder="1" applyAlignment="1" applyProtection="1">
      <alignment horizontal="left" vertical="center" wrapText="1" indent="1"/>
    </xf>
    <xf numFmtId="0" fontId="15" fillId="0" borderId="47" xfId="28" applyFont="1" applyBorder="1" applyAlignment="1" applyProtection="1">
      <alignment vertical="center" wrapText="1"/>
    </xf>
    <xf numFmtId="166" fontId="15" fillId="0" borderId="18" xfId="0" applyNumberFormat="1" applyFont="1" applyBorder="1" applyAlignment="1" applyProtection="1">
      <alignment vertical="center" wrapText="1"/>
      <protection locked="0"/>
    </xf>
    <xf numFmtId="3" fontId="22" fillId="10" borderId="134" xfId="0" applyNumberFormat="1" applyFont="1" applyFill="1" applyBorder="1" applyAlignment="1" applyProtection="1">
      <alignment vertical="center" wrapText="1"/>
      <protection locked="0"/>
    </xf>
    <xf numFmtId="166" fontId="17" fillId="10" borderId="134" xfId="0" applyNumberFormat="1" applyFont="1" applyFill="1" applyBorder="1" applyAlignment="1" applyProtection="1">
      <alignment vertical="center" wrapText="1"/>
      <protection locked="0"/>
    </xf>
    <xf numFmtId="3" fontId="15" fillId="10" borderId="53" xfId="0" applyNumberFormat="1" applyFont="1" applyFill="1" applyBorder="1" applyAlignment="1" applyProtection="1">
      <alignment vertical="center" wrapText="1"/>
      <protection locked="0"/>
    </xf>
    <xf numFmtId="49" fontId="17" fillId="0" borderId="12" xfId="28" applyNumberFormat="1" applyFont="1" applyBorder="1" applyAlignment="1" applyProtection="1">
      <alignment horizontal="left" vertical="center" wrapText="1" indent="1"/>
    </xf>
    <xf numFmtId="0" fontId="17" fillId="0" borderId="8" xfId="28" applyFont="1" applyBorder="1" applyAlignment="1" applyProtection="1">
      <alignment horizontal="left" vertical="center" wrapText="1" indent="1"/>
    </xf>
    <xf numFmtId="0" fontId="15" fillId="0" borderId="77" xfId="28" applyFont="1" applyBorder="1" applyAlignment="1" applyProtection="1">
      <alignment horizontal="left" vertical="center" wrapText="1" indent="1"/>
    </xf>
    <xf numFmtId="0" fontId="15" fillId="0" borderId="46" xfId="28" applyFont="1" applyBorder="1" applyAlignment="1" applyProtection="1">
      <alignment vertical="center" wrapText="1"/>
    </xf>
    <xf numFmtId="0" fontId="15" fillId="10" borderId="54" xfId="0" applyFont="1" applyFill="1" applyBorder="1" applyAlignment="1" applyProtection="1">
      <alignment horizontal="center" vertical="center" wrapText="1"/>
    </xf>
    <xf numFmtId="0" fontId="15" fillId="10" borderId="35" xfId="0" applyFont="1" applyFill="1" applyBorder="1" applyAlignment="1" applyProtection="1">
      <alignment horizontal="center" vertical="center" wrapText="1"/>
    </xf>
    <xf numFmtId="166" fontId="6" fillId="11" borderId="21" xfId="0" applyNumberFormat="1" applyFont="1" applyFill="1" applyBorder="1" applyAlignment="1" applyProtection="1">
      <alignment horizontal="center" vertical="center" wrapText="1"/>
    </xf>
    <xf numFmtId="3" fontId="22" fillId="10" borderId="20" xfId="0" applyNumberFormat="1" applyFont="1" applyFill="1" applyBorder="1" applyAlignment="1" applyProtection="1">
      <alignment vertical="center" wrapText="1"/>
      <protection locked="0"/>
    </xf>
    <xf numFmtId="3" fontId="22" fillId="10" borderId="137" xfId="0" applyNumberFormat="1" applyFont="1" applyFill="1" applyBorder="1" applyAlignment="1" applyProtection="1">
      <alignment vertical="center" wrapText="1"/>
      <protection locked="0"/>
    </xf>
    <xf numFmtId="166" fontId="6" fillId="11" borderId="35" xfId="0" applyNumberFormat="1" applyFont="1" applyFill="1" applyBorder="1" applyAlignment="1" applyProtection="1">
      <alignment horizontal="center" vertical="center" wrapText="1"/>
    </xf>
    <xf numFmtId="0" fontId="15" fillId="0" borderId="77" xfId="28" applyFont="1" applyBorder="1" applyAlignment="1" applyProtection="1">
      <alignment vertical="center" wrapText="1"/>
    </xf>
    <xf numFmtId="0" fontId="8" fillId="0" borderId="47" xfId="28" applyFont="1" applyBorder="1" applyAlignment="1" applyProtection="1">
      <alignment horizontal="left" vertical="center" wrapText="1" indent="1"/>
    </xf>
    <xf numFmtId="0" fontId="8" fillId="0" borderId="29" xfId="28" applyFont="1" applyBorder="1" applyAlignment="1" applyProtection="1">
      <alignment horizontal="left" vertical="center" wrapText="1" indent="1"/>
    </xf>
    <xf numFmtId="3" fontId="15" fillId="10" borderId="42" xfId="0" applyNumberFormat="1" applyFont="1" applyFill="1" applyBorder="1" applyAlignment="1" applyProtection="1">
      <alignment vertical="center" wrapText="1"/>
    </xf>
    <xf numFmtId="166" fontId="17" fillId="10" borderId="35" xfId="0" applyNumberFormat="1" applyFont="1" applyFill="1" applyBorder="1" applyAlignment="1" applyProtection="1">
      <alignment vertical="center" wrapText="1"/>
    </xf>
    <xf numFmtId="166" fontId="6" fillId="11" borderId="35" xfId="0" applyNumberFormat="1" applyFont="1" applyFill="1" applyBorder="1" applyAlignment="1" applyProtection="1">
      <alignment vertical="center" wrapText="1"/>
    </xf>
    <xf numFmtId="166" fontId="15" fillId="0" borderId="35" xfId="0" applyNumberFormat="1" applyFont="1" applyFill="1" applyBorder="1" applyAlignment="1" applyProtection="1">
      <alignment vertical="center" wrapText="1"/>
    </xf>
    <xf numFmtId="0" fontId="8" fillId="0" borderId="17" xfId="28" applyFont="1" applyBorder="1" applyAlignment="1" applyProtection="1">
      <alignment horizontal="left" vertical="center" wrapText="1" indent="1"/>
    </xf>
    <xf numFmtId="0" fontId="15" fillId="0" borderId="11" xfId="28" applyFont="1" applyBorder="1" applyAlignment="1" applyProtection="1">
      <alignment vertical="center" wrapText="1"/>
    </xf>
    <xf numFmtId="166" fontId="6" fillId="3" borderId="33" xfId="0" applyNumberFormat="1" applyFont="1" applyFill="1" applyBorder="1" applyAlignment="1" applyProtection="1">
      <alignment horizontal="center" vertical="center" wrapText="1"/>
    </xf>
    <xf numFmtId="166" fontId="15" fillId="0" borderId="33" xfId="0" applyNumberFormat="1" applyFont="1" applyBorder="1" applyAlignment="1" applyProtection="1">
      <alignment vertical="center" wrapText="1"/>
    </xf>
    <xf numFmtId="3" fontId="17" fillId="0" borderId="60" xfId="0" applyNumberFormat="1" applyFont="1" applyBorder="1" applyAlignment="1" applyProtection="1">
      <alignment vertical="center" wrapText="1"/>
      <protection locked="0"/>
    </xf>
    <xf numFmtId="166" fontId="17" fillId="0" borderId="33" xfId="0" applyNumberFormat="1" applyFont="1" applyBorder="1" applyAlignment="1" applyProtection="1">
      <alignment vertical="center" wrapText="1"/>
    </xf>
    <xf numFmtId="3" fontId="17" fillId="0" borderId="43" xfId="0" applyNumberFormat="1" applyFont="1" applyBorder="1" applyAlignment="1" applyProtection="1">
      <alignment vertical="center" wrapText="1"/>
      <protection locked="0"/>
    </xf>
    <xf numFmtId="3" fontId="15" fillId="0" borderId="142" xfId="0" applyNumberFormat="1" applyFont="1" applyBorder="1" applyAlignment="1" applyProtection="1">
      <alignment vertical="center" wrapText="1"/>
      <protection locked="0"/>
    </xf>
    <xf numFmtId="166" fontId="6" fillId="3" borderId="2" xfId="0" applyNumberFormat="1" applyFont="1" applyFill="1" applyBorder="1" applyAlignment="1" applyProtection="1">
      <alignment horizontal="center" vertical="center" wrapText="1"/>
    </xf>
    <xf numFmtId="166" fontId="6" fillId="3" borderId="33" xfId="0" applyNumberFormat="1" applyFont="1" applyFill="1" applyBorder="1" applyAlignment="1" applyProtection="1">
      <alignment vertical="center" wrapText="1"/>
    </xf>
    <xf numFmtId="166" fontId="6" fillId="3" borderId="2" xfId="0" applyNumberFormat="1" applyFont="1" applyFill="1" applyBorder="1" applyAlignment="1" applyProtection="1">
      <alignment vertical="center" wrapText="1"/>
    </xf>
    <xf numFmtId="4" fontId="15" fillId="0" borderId="13" xfId="0" applyNumberFormat="1" applyFont="1" applyBorder="1" applyAlignment="1" applyProtection="1">
      <alignment vertical="center" wrapText="1"/>
      <protection locked="0"/>
    </xf>
    <xf numFmtId="3" fontId="15" fillId="0" borderId="33" xfId="0" applyNumberFormat="1" applyFont="1" applyBorder="1" applyAlignment="1" applyProtection="1">
      <alignment vertical="center" wrapText="1"/>
    </xf>
    <xf numFmtId="3" fontId="17" fillId="0" borderId="28" xfId="0" applyNumberFormat="1" applyFont="1" applyBorder="1" applyAlignment="1" applyProtection="1">
      <alignment vertical="center" wrapText="1"/>
      <protection locked="0"/>
    </xf>
    <xf numFmtId="3" fontId="17" fillId="0" borderId="33" xfId="0" applyNumberFormat="1" applyFont="1" applyBorder="1" applyAlignment="1" applyProtection="1">
      <alignment vertical="center" wrapText="1"/>
      <protection locked="0"/>
    </xf>
    <xf numFmtId="3" fontId="15" fillId="0" borderId="33" xfId="0" applyNumberFormat="1" applyFont="1" applyBorder="1" applyAlignment="1" applyProtection="1">
      <alignment vertical="center" wrapText="1"/>
      <protection locked="0"/>
    </xf>
    <xf numFmtId="3" fontId="15" fillId="0" borderId="161" xfId="0" applyNumberFormat="1" applyFont="1" applyBorder="1" applyAlignment="1" applyProtection="1">
      <alignment vertical="center" wrapText="1"/>
    </xf>
    <xf numFmtId="3" fontId="15" fillId="0" borderId="40" xfId="0" applyNumberFormat="1" applyFont="1" applyBorder="1" applyAlignment="1" applyProtection="1">
      <alignment vertical="center" wrapText="1"/>
    </xf>
    <xf numFmtId="0" fontId="6" fillId="0" borderId="167" xfId="0" applyFont="1" applyBorder="1" applyAlignment="1" applyProtection="1">
      <alignment horizontal="center" vertical="center"/>
      <protection locked="0"/>
    </xf>
    <xf numFmtId="49" fontId="6" fillId="0" borderId="2" xfId="0" applyNumberFormat="1" applyFont="1" applyBorder="1" applyAlignment="1" applyProtection="1">
      <alignment horizontal="center" vertical="center" wrapText="1"/>
      <protection locked="0"/>
    </xf>
    <xf numFmtId="0" fontId="24" fillId="0" borderId="11" xfId="28" applyFont="1" applyBorder="1"/>
    <xf numFmtId="166" fontId="17" fillId="0" borderId="2" xfId="0" applyNumberFormat="1" applyFont="1" applyBorder="1" applyAlignment="1" applyProtection="1">
      <alignment vertical="center" wrapText="1"/>
    </xf>
    <xf numFmtId="3" fontId="52" fillId="0" borderId="9" xfId="0" applyNumberFormat="1" applyFont="1" applyBorder="1" applyAlignment="1" applyProtection="1">
      <alignment vertical="center" wrapText="1"/>
      <protection locked="0"/>
    </xf>
    <xf numFmtId="0" fontId="93" fillId="19" borderId="19" xfId="0" applyFont="1" applyFill="1" applyBorder="1" applyAlignment="1" applyProtection="1">
      <alignment horizontal="center" wrapText="1"/>
    </xf>
    <xf numFmtId="0" fontId="24" fillId="0" borderId="77" xfId="28" applyFont="1" applyBorder="1"/>
    <xf numFmtId="3" fontId="15" fillId="0" borderId="141" xfId="0" applyNumberFormat="1" applyFont="1" applyBorder="1" applyAlignment="1" applyProtection="1">
      <alignment vertical="center" wrapText="1"/>
      <protection locked="0"/>
    </xf>
    <xf numFmtId="3" fontId="17" fillId="0" borderId="142" xfId="0" applyNumberFormat="1" applyFont="1" applyBorder="1" applyAlignment="1" applyProtection="1">
      <alignment vertical="center" wrapText="1"/>
      <protection locked="0"/>
    </xf>
    <xf numFmtId="166" fontId="45" fillId="0" borderId="2" xfId="0" applyNumberFormat="1" applyFont="1" applyBorder="1" applyAlignment="1" applyProtection="1">
      <alignment vertical="center" wrapText="1"/>
    </xf>
    <xf numFmtId="3" fontId="22" fillId="10" borderId="21" xfId="0" applyNumberFormat="1" applyFont="1" applyFill="1" applyBorder="1" applyAlignment="1" applyProtection="1">
      <alignment vertical="center" wrapText="1"/>
      <protection locked="0"/>
    </xf>
    <xf numFmtId="3" fontId="23" fillId="10" borderId="35" xfId="0" applyNumberFormat="1" applyFont="1" applyFill="1" applyBorder="1" applyAlignment="1" applyProtection="1">
      <alignment vertical="center" wrapText="1"/>
    </xf>
    <xf numFmtId="49" fontId="17" fillId="0" borderId="13" xfId="0" applyNumberFormat="1" applyFont="1" applyBorder="1" applyAlignment="1" applyProtection="1">
      <alignment horizontal="center" vertical="center" wrapText="1"/>
    </xf>
    <xf numFmtId="3" fontId="44" fillId="10" borderId="83" xfId="0" applyNumberFormat="1" applyFont="1" applyFill="1" applyBorder="1" applyAlignment="1" applyProtection="1">
      <alignment vertical="center" wrapText="1"/>
    </xf>
    <xf numFmtId="3" fontId="6" fillId="10" borderId="53" xfId="0" applyNumberFormat="1" applyFont="1" applyFill="1" applyBorder="1" applyAlignment="1" applyProtection="1">
      <alignment vertical="center" wrapText="1"/>
      <protection locked="0"/>
    </xf>
    <xf numFmtId="3" fontId="6" fillId="10" borderId="35" xfId="0" applyNumberFormat="1" applyFont="1" applyFill="1" applyBorder="1" applyAlignment="1" applyProtection="1">
      <alignment vertical="center" wrapText="1"/>
      <protection locked="0"/>
    </xf>
    <xf numFmtId="3" fontId="15" fillId="10" borderId="53" xfId="0" applyNumberFormat="1" applyFont="1" applyFill="1" applyBorder="1" applyAlignment="1" applyProtection="1">
      <alignment vertical="center" wrapText="1"/>
    </xf>
    <xf numFmtId="0" fontId="15" fillId="19" borderId="24" xfId="0" applyFont="1" applyFill="1" applyBorder="1" applyAlignment="1" applyProtection="1">
      <alignment horizontal="center" vertical="center" wrapText="1"/>
    </xf>
    <xf numFmtId="0" fontId="23" fillId="19" borderId="19" xfId="0" applyNumberFormat="1" applyFont="1" applyFill="1" applyBorder="1" applyAlignment="1" applyProtection="1">
      <alignment horizontal="center" vertical="center" wrapText="1"/>
    </xf>
    <xf numFmtId="0" fontId="7" fillId="20" borderId="19" xfId="28" applyFont="1" applyFill="1" applyBorder="1" applyAlignment="1" applyProtection="1">
      <alignment vertical="center" wrapText="1"/>
    </xf>
    <xf numFmtId="3" fontId="17" fillId="19" borderId="31" xfId="0" applyNumberFormat="1" applyFont="1" applyFill="1" applyBorder="1" applyAlignment="1" applyProtection="1">
      <alignment vertical="center" wrapText="1"/>
      <protection locked="0"/>
    </xf>
    <xf numFmtId="3" fontId="6" fillId="19" borderId="31" xfId="0" applyNumberFormat="1" applyFont="1" applyFill="1" applyBorder="1" applyAlignment="1" applyProtection="1">
      <alignment vertical="center" wrapText="1"/>
      <protection locked="0"/>
    </xf>
    <xf numFmtId="0" fontId="6" fillId="3" borderId="141" xfId="0" applyFont="1" applyFill="1" applyBorder="1" applyAlignment="1" applyProtection="1">
      <alignment horizontal="center" vertical="center" wrapText="1"/>
    </xf>
    <xf numFmtId="0" fontId="3" fillId="3" borderId="146" xfId="0" applyFont="1" applyFill="1" applyBorder="1" applyAlignment="1" applyProtection="1">
      <alignment horizontal="center" vertical="center" wrapText="1"/>
    </xf>
    <xf numFmtId="0" fontId="3" fillId="3" borderId="161" xfId="0" applyFont="1" applyFill="1" applyBorder="1" applyAlignment="1" applyProtection="1">
      <alignment horizontal="center" vertical="center" wrapText="1"/>
    </xf>
    <xf numFmtId="0" fontId="6" fillId="0" borderId="41" xfId="28" applyFont="1" applyBorder="1" applyAlignment="1" applyProtection="1">
      <alignment vertical="center" wrapText="1"/>
    </xf>
    <xf numFmtId="3" fontId="44" fillId="0" borderId="77" xfId="0" applyNumberFormat="1" applyFont="1" applyBorder="1" applyAlignment="1" applyProtection="1">
      <alignment vertical="center" wrapText="1"/>
      <protection locked="0"/>
    </xf>
    <xf numFmtId="3" fontId="45" fillId="0" borderId="13" xfId="0" applyNumberFormat="1" applyFont="1" applyBorder="1" applyAlignment="1" applyProtection="1">
      <alignment vertical="center" wrapText="1"/>
      <protection locked="0"/>
    </xf>
    <xf numFmtId="3" fontId="45" fillId="0" borderId="18" xfId="0" applyNumberFormat="1" applyFont="1" applyBorder="1" applyAlignment="1" applyProtection="1">
      <alignment vertical="center" wrapText="1"/>
      <protection locked="0"/>
    </xf>
    <xf numFmtId="3" fontId="15" fillId="0" borderId="15" xfId="0" applyNumberFormat="1" applyFont="1" applyBorder="1" applyAlignment="1" applyProtection="1">
      <alignment vertical="center" wrapText="1"/>
      <protection locked="0"/>
    </xf>
    <xf numFmtId="3" fontId="15" fillId="0" borderId="89" xfId="0" applyNumberFormat="1" applyFont="1" applyBorder="1" applyAlignment="1" applyProtection="1">
      <alignment vertical="center" wrapText="1"/>
      <protection locked="0"/>
    </xf>
    <xf numFmtId="0" fontId="6" fillId="0" borderId="35" xfId="0" applyFont="1" applyFill="1" applyBorder="1" applyAlignment="1" applyProtection="1">
      <alignment horizontal="center" vertical="center" wrapText="1"/>
    </xf>
    <xf numFmtId="0" fontId="15" fillId="0" borderId="17" xfId="28" applyFont="1" applyBorder="1" applyAlignment="1" applyProtection="1">
      <alignment vertical="center" wrapText="1"/>
    </xf>
    <xf numFmtId="0" fontId="0" fillId="0" borderId="69" xfId="0" applyBorder="1"/>
    <xf numFmtId="0" fontId="0" fillId="0" borderId="17" xfId="0" applyBorder="1"/>
    <xf numFmtId="0" fontId="0" fillId="0" borderId="58" xfId="0" applyBorder="1"/>
    <xf numFmtId="0" fontId="0" fillId="0" borderId="68" xfId="0" applyBorder="1"/>
    <xf numFmtId="0" fontId="0" fillId="0" borderId="57" xfId="0" applyBorder="1"/>
    <xf numFmtId="0" fontId="0" fillId="10" borderId="165" xfId="0" applyFill="1" applyBorder="1"/>
    <xf numFmtId="3" fontId="17" fillId="10" borderId="22" xfId="0" applyNumberFormat="1" applyFont="1" applyFill="1" applyBorder="1" applyAlignment="1" applyProtection="1">
      <alignment vertical="center" wrapText="1"/>
      <protection locked="0"/>
    </xf>
    <xf numFmtId="3" fontId="24" fillId="10" borderId="49" xfId="28" applyNumberFormat="1" applyFont="1" applyFill="1" applyBorder="1"/>
    <xf numFmtId="3" fontId="32" fillId="10" borderId="49" xfId="28" applyNumberFormat="1" applyFont="1" applyFill="1" applyBorder="1"/>
    <xf numFmtId="3" fontId="29" fillId="10" borderId="49" xfId="28" applyNumberFormat="1" applyFont="1" applyFill="1" applyBorder="1"/>
    <xf numFmtId="0" fontId="26" fillId="10" borderId="17" xfId="28" applyFont="1" applyFill="1" applyBorder="1" applyAlignment="1">
      <alignment horizontal="left"/>
    </xf>
    <xf numFmtId="3" fontId="24" fillId="10" borderId="49" xfId="28" applyNumberFormat="1" applyFont="1" applyFill="1" applyBorder="1" applyAlignment="1">
      <alignment horizontal="right"/>
    </xf>
    <xf numFmtId="3" fontId="17" fillId="8" borderId="17" xfId="0" applyNumberFormat="1" applyFont="1" applyFill="1" applyBorder="1" applyAlignment="1" applyProtection="1">
      <alignment vertical="center" wrapText="1"/>
      <protection locked="0"/>
    </xf>
    <xf numFmtId="3" fontId="32" fillId="10" borderId="17" xfId="28" applyNumberFormat="1" applyFont="1" applyFill="1" applyBorder="1"/>
    <xf numFmtId="3" fontId="29" fillId="10" borderId="17" xfId="28" applyNumberFormat="1" applyFont="1" applyFill="1" applyBorder="1"/>
    <xf numFmtId="3" fontId="24" fillId="10" borderId="17" xfId="28" applyNumberFormat="1" applyFont="1" applyFill="1" applyBorder="1"/>
    <xf numFmtId="3" fontId="30" fillId="10" borderId="49" xfId="28" applyNumberFormat="1" applyFont="1" applyFill="1" applyBorder="1"/>
    <xf numFmtId="3" fontId="32" fillId="10" borderId="26" xfId="28" applyNumberFormat="1" applyFont="1" applyFill="1" applyBorder="1"/>
    <xf numFmtId="3" fontId="24" fillId="11" borderId="29" xfId="28" applyNumberFormat="1" applyFont="1" applyFill="1" applyBorder="1"/>
    <xf numFmtId="3" fontId="26" fillId="12" borderId="17" xfId="28" applyNumberFormat="1" applyFont="1" applyFill="1" applyBorder="1"/>
    <xf numFmtId="49" fontId="27" fillId="0" borderId="49" xfId="28" applyNumberFormat="1" applyFont="1" applyBorder="1"/>
    <xf numFmtId="0" fontId="17" fillId="0" borderId="29" xfId="28" applyFont="1" applyFill="1" applyBorder="1" applyAlignment="1">
      <alignment horizontal="left" vertical="center" wrapText="1" indent="2"/>
    </xf>
    <xf numFmtId="3" fontId="32" fillId="0" borderId="168" xfId="28" applyNumberFormat="1" applyFont="1" applyFill="1" applyBorder="1"/>
    <xf numFmtId="3" fontId="69" fillId="0" borderId="0" xfId="0" applyNumberFormat="1" applyFont="1" applyAlignment="1">
      <alignment vertical="center" wrapText="1"/>
    </xf>
    <xf numFmtId="0" fontId="11" fillId="0" borderId="29" xfId="28" applyFont="1" applyFill="1" applyBorder="1" applyAlignment="1">
      <alignment wrapText="1"/>
    </xf>
    <xf numFmtId="3" fontId="11" fillId="0" borderId="120" xfId="28" applyNumberFormat="1" applyFont="1" applyFill="1" applyBorder="1"/>
    <xf numFmtId="166" fontId="3" fillId="0" borderId="120" xfId="0" applyNumberFormat="1" applyFont="1" applyFill="1" applyBorder="1" applyAlignment="1" applyProtection="1">
      <alignment vertical="center" wrapText="1"/>
      <protection locked="0"/>
    </xf>
    <xf numFmtId="3" fontId="11" fillId="10" borderId="29" xfId="15" applyNumberFormat="1" applyFont="1" applyFill="1" applyBorder="1"/>
    <xf numFmtId="0" fontId="10" fillId="0" borderId="97" xfId="0" applyFont="1" applyBorder="1"/>
    <xf numFmtId="3" fontId="32" fillId="0" borderId="28" xfId="25" applyNumberFormat="1" applyFont="1" applyFill="1" applyBorder="1" applyAlignment="1">
      <alignment horizontal="right" wrapText="1"/>
    </xf>
    <xf numFmtId="3" fontId="32" fillId="0" borderId="31" xfId="25" applyNumberFormat="1" applyFont="1" applyFill="1" applyBorder="1" applyAlignment="1">
      <alignment horizontal="right" wrapText="1"/>
    </xf>
    <xf numFmtId="3" fontId="52" fillId="10" borderId="17" xfId="0" applyNumberFormat="1" applyFont="1" applyFill="1" applyBorder="1" applyAlignment="1" applyProtection="1">
      <alignment wrapText="1"/>
      <protection locked="0"/>
    </xf>
    <xf numFmtId="0" fontId="11" fillId="0" borderId="61" xfId="28" applyFont="1" applyFill="1" applyBorder="1" applyAlignment="1">
      <alignment horizontal="center" wrapText="1"/>
    </xf>
    <xf numFmtId="3" fontId="11" fillId="10" borderId="61" xfId="15" applyNumberFormat="1" applyFont="1" applyFill="1" applyBorder="1"/>
    <xf numFmtId="3" fontId="48" fillId="0" borderId="0" xfId="0" applyNumberFormat="1" applyFont="1" applyBorder="1" applyAlignment="1">
      <alignment vertical="center" wrapText="1"/>
    </xf>
    <xf numFmtId="0" fontId="48" fillId="0" borderId="0" xfId="28" applyFont="1" applyAlignment="1" applyProtection="1">
      <alignment horizontal="center" vertical="center" wrapText="1"/>
    </xf>
    <xf numFmtId="3" fontId="29" fillId="0" borderId="50" xfId="28" applyNumberFormat="1" applyFont="1" applyFill="1" applyBorder="1"/>
    <xf numFmtId="3" fontId="92" fillId="7" borderId="20" xfId="0" applyNumberFormat="1" applyFont="1" applyFill="1" applyBorder="1" applyAlignment="1">
      <alignment horizontal="right" vertical="center" wrapText="1"/>
    </xf>
    <xf numFmtId="3" fontId="92" fillId="10" borderId="49" xfId="0" applyNumberFormat="1" applyFont="1" applyFill="1" applyBorder="1" applyAlignment="1">
      <alignment horizontal="right" vertical="center" wrapText="1"/>
    </xf>
    <xf numFmtId="3" fontId="48" fillId="0" borderId="0" xfId="28" applyNumberFormat="1" applyFont="1" applyAlignment="1" applyProtection="1">
      <alignment horizontal="center" vertical="center" wrapText="1"/>
    </xf>
    <xf numFmtId="3" fontId="44" fillId="0" borderId="2" xfId="0" applyNumberFormat="1" applyFont="1" applyFill="1" applyBorder="1" applyAlignment="1" applyProtection="1">
      <alignment vertical="center" wrapText="1"/>
    </xf>
    <xf numFmtId="3" fontId="44" fillId="0" borderId="55" xfId="0" applyNumberFormat="1" applyFont="1" applyFill="1" applyBorder="1" applyAlignment="1" applyProtection="1">
      <alignment vertical="center" wrapText="1"/>
      <protection locked="0"/>
    </xf>
    <xf numFmtId="3" fontId="44" fillId="0" borderId="54" xfId="0" applyNumberFormat="1" applyFont="1" applyFill="1" applyBorder="1" applyAlignment="1" applyProtection="1">
      <alignment vertical="center" wrapText="1"/>
      <protection locked="0"/>
    </xf>
    <xf numFmtId="3" fontId="44" fillId="0" borderId="54" xfId="0" applyNumberFormat="1" applyFont="1" applyBorder="1" applyAlignment="1" applyProtection="1">
      <alignment vertical="center" wrapText="1"/>
      <protection locked="0"/>
    </xf>
    <xf numFmtId="0" fontId="205" fillId="0" borderId="0" xfId="27" applyFont="1" applyAlignment="1">
      <alignment horizontal="center" vertical="center"/>
    </xf>
    <xf numFmtId="0" fontId="205" fillId="0" borderId="0" xfId="27" applyFont="1" applyAlignment="1">
      <alignment horizontal="center"/>
    </xf>
    <xf numFmtId="0" fontId="48" fillId="0" borderId="0" xfId="0" applyFont="1" applyBorder="1" applyAlignment="1">
      <alignment horizontal="center" wrapText="1"/>
    </xf>
    <xf numFmtId="3" fontId="90" fillId="0" borderId="17" xfId="25" applyNumberFormat="1" applyFont="1" applyFill="1" applyBorder="1"/>
    <xf numFmtId="3" fontId="70" fillId="9" borderId="0" xfId="0" applyNumberFormat="1" applyFont="1" applyFill="1" applyBorder="1" applyAlignment="1" applyProtection="1">
      <alignment vertical="center" wrapText="1"/>
      <protection locked="0"/>
    </xf>
    <xf numFmtId="3" fontId="70" fillId="0" borderId="31" xfId="0" applyNumberFormat="1" applyFont="1" applyFill="1" applyBorder="1" applyAlignment="1" applyProtection="1">
      <alignment vertical="center" wrapText="1"/>
      <protection locked="0"/>
    </xf>
    <xf numFmtId="14" fontId="24" fillId="0" borderId="136" xfId="28" applyNumberFormat="1" applyFont="1" applyBorder="1" applyAlignment="1">
      <alignment horizontal="center" vertical="center" wrapText="1"/>
    </xf>
    <xf numFmtId="3" fontId="29" fillId="0" borderId="136" xfId="28" applyNumberFormat="1" applyFont="1" applyBorder="1"/>
    <xf numFmtId="0" fontId="3" fillId="0" borderId="0" xfId="0" applyFont="1" applyBorder="1"/>
    <xf numFmtId="3" fontId="3" fillId="0" borderId="0" xfId="0" applyNumberFormat="1" applyFont="1" applyBorder="1"/>
    <xf numFmtId="3" fontId="212" fillId="17" borderId="11" xfId="27" applyNumberFormat="1" applyFill="1" applyBorder="1"/>
    <xf numFmtId="3" fontId="212" fillId="17" borderId="12" xfId="27" applyNumberFormat="1" applyFill="1" applyBorder="1"/>
    <xf numFmtId="3" fontId="207" fillId="18" borderId="144" xfId="27" applyNumberFormat="1" applyFont="1" applyFill="1" applyBorder="1"/>
    <xf numFmtId="3" fontId="109" fillId="17" borderId="17" xfId="27" applyNumberFormat="1" applyFont="1" applyFill="1" applyBorder="1" applyAlignment="1">
      <alignment horizontal="center" vertical="center" wrapText="1"/>
    </xf>
    <xf numFmtId="0" fontId="208" fillId="17" borderId="17" xfId="27" applyFont="1" applyFill="1" applyBorder="1" applyAlignment="1">
      <alignment horizontal="center" vertical="center" wrapText="1"/>
    </xf>
    <xf numFmtId="3" fontId="109" fillId="17" borderId="49" xfId="27" applyNumberFormat="1" applyFont="1" applyFill="1" applyBorder="1" applyAlignment="1">
      <alignment horizontal="center" vertical="center" wrapText="1"/>
    </xf>
    <xf numFmtId="0" fontId="212" fillId="17" borderId="20" xfId="27" applyFill="1" applyBorder="1"/>
    <xf numFmtId="0" fontId="212" fillId="17" borderId="21" xfId="27" applyFill="1" applyBorder="1"/>
    <xf numFmtId="3" fontId="207" fillId="18" borderId="57" xfId="27" applyNumberFormat="1" applyFont="1" applyFill="1" applyBorder="1"/>
    <xf numFmtId="3" fontId="109" fillId="17" borderId="7" xfId="27" applyNumberFormat="1" applyFont="1" applyFill="1" applyBorder="1" applyAlignment="1">
      <alignment horizontal="center" vertical="center" wrapText="1"/>
    </xf>
    <xf numFmtId="3" fontId="207" fillId="18" borderId="70" xfId="27" applyNumberFormat="1" applyFont="1" applyFill="1" applyBorder="1"/>
    <xf numFmtId="3" fontId="109" fillId="17" borderId="11" xfId="27" applyNumberFormat="1" applyFont="1" applyFill="1" applyBorder="1" applyAlignment="1">
      <alignment horizontal="center" vertical="center" wrapText="1"/>
    </xf>
    <xf numFmtId="0" fontId="212" fillId="17" borderId="11" xfId="27" applyFill="1" applyBorder="1"/>
    <xf numFmtId="0" fontId="212" fillId="17" borderId="12" xfId="27" applyFill="1" applyBorder="1"/>
    <xf numFmtId="0" fontId="207" fillId="0" borderId="0" xfId="27" applyFont="1" applyBorder="1" applyAlignment="1">
      <alignment horizontal="center" vertical="center" wrapText="1"/>
    </xf>
    <xf numFmtId="0" fontId="207" fillId="0" borderId="0" xfId="27" applyFont="1" applyBorder="1" applyAlignment="1">
      <alignment horizontal="center" wrapText="1"/>
    </xf>
    <xf numFmtId="0" fontId="19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2" fillId="0" borderId="24" xfId="0" applyFont="1" applyBorder="1" applyAlignment="1" applyProtection="1">
      <alignment horizontal="center" vertical="center" wrapText="1"/>
    </xf>
    <xf numFmtId="0" fontId="216" fillId="0" borderId="19" xfId="0" applyFont="1" applyBorder="1" applyAlignment="1" applyProtection="1">
      <alignment horizontal="center" vertical="center" wrapText="1"/>
    </xf>
    <xf numFmtId="0" fontId="12" fillId="0" borderId="19" xfId="28" applyFont="1" applyBorder="1" applyAlignment="1" applyProtection="1">
      <alignment vertical="center" wrapText="1"/>
    </xf>
    <xf numFmtId="3" fontId="217" fillId="8" borderId="0" xfId="0" applyNumberFormat="1" applyFont="1" applyFill="1" applyAlignment="1">
      <alignment horizontal="center" vertical="center" wrapText="1"/>
    </xf>
    <xf numFmtId="3" fontId="21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3" fontId="217" fillId="0" borderId="0" xfId="0" applyNumberFormat="1" applyFont="1" applyAlignment="1">
      <alignment horizontal="center" vertical="center" wrapText="1"/>
    </xf>
    <xf numFmtId="0" fontId="227" fillId="0" borderId="0" xfId="0" applyFont="1" applyAlignment="1">
      <alignment vertical="center"/>
    </xf>
    <xf numFmtId="0" fontId="228" fillId="8" borderId="128" xfId="0" applyFont="1" applyFill="1" applyBorder="1" applyAlignment="1">
      <alignment vertical="center" wrapText="1"/>
    </xf>
    <xf numFmtId="0" fontId="227" fillId="0" borderId="128" xfId="0" applyFont="1" applyBorder="1" applyAlignment="1">
      <alignment horizontal="center" vertical="center" wrapText="1"/>
    </xf>
    <xf numFmtId="3" fontId="229" fillId="0" borderId="128" xfId="0" applyNumberFormat="1" applyFont="1" applyBorder="1" applyAlignment="1">
      <alignment horizontal="center" vertical="center" wrapText="1"/>
    </xf>
    <xf numFmtId="3" fontId="227" fillId="0" borderId="128" xfId="0" applyNumberFormat="1" applyFont="1" applyBorder="1" applyAlignment="1">
      <alignment horizontal="center" vertical="center" wrapText="1"/>
    </xf>
    <xf numFmtId="0" fontId="230" fillId="0" borderId="128" xfId="0" applyFont="1" applyBorder="1" applyAlignment="1">
      <alignment vertical="center" wrapText="1"/>
    </xf>
    <xf numFmtId="0" fontId="230" fillId="0" borderId="0" xfId="0" applyFont="1" applyAlignment="1">
      <alignment vertical="center" wrapText="1"/>
    </xf>
    <xf numFmtId="0" fontId="228" fillId="8" borderId="128" xfId="0" applyFont="1" applyFill="1" applyBorder="1" applyAlignment="1">
      <alignment horizontal="center" wrapText="1"/>
    </xf>
    <xf numFmtId="0" fontId="231" fillId="0" borderId="0" xfId="0" applyFont="1" applyAlignment="1">
      <alignment vertical="center" wrapText="1"/>
    </xf>
    <xf numFmtId="3" fontId="12" fillId="3" borderId="23" xfId="0" applyNumberFormat="1" applyFont="1" applyFill="1" applyBorder="1" applyAlignment="1" applyProtection="1">
      <alignment vertical="center" wrapText="1"/>
    </xf>
    <xf numFmtId="3" fontId="12" fillId="11" borderId="34" xfId="0" applyNumberFormat="1" applyFont="1" applyFill="1" applyBorder="1" applyAlignment="1" applyProtection="1">
      <alignment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12" fillId="3" borderId="14" xfId="28" applyFont="1" applyFill="1" applyBorder="1" applyAlignment="1" applyProtection="1">
      <alignment vertical="center" wrapText="1"/>
    </xf>
    <xf numFmtId="3" fontId="6" fillId="3" borderId="15" xfId="0" applyNumberFormat="1" applyFont="1" applyFill="1" applyBorder="1" applyAlignment="1" applyProtection="1">
      <alignment vertical="center" wrapText="1"/>
    </xf>
    <xf numFmtId="0" fontId="12" fillId="3" borderId="24" xfId="28" applyFont="1" applyFill="1" applyBorder="1" applyAlignment="1" applyProtection="1">
      <alignment vertical="center" wrapText="1"/>
    </xf>
    <xf numFmtId="3" fontId="12" fillId="3" borderId="2" xfId="0" applyNumberFormat="1" applyFont="1" applyFill="1" applyBorder="1" applyAlignment="1" applyProtection="1">
      <alignment vertical="center" wrapText="1"/>
    </xf>
    <xf numFmtId="3" fontId="12" fillId="11" borderId="23" xfId="0" applyNumberFormat="1" applyFont="1" applyFill="1" applyBorder="1" applyAlignment="1" applyProtection="1">
      <alignment vertical="center" wrapText="1"/>
    </xf>
    <xf numFmtId="0" fontId="0" fillId="0" borderId="34" xfId="0" applyBorder="1" applyAlignment="1" applyProtection="1">
      <alignment vertical="center" wrapText="1"/>
    </xf>
    <xf numFmtId="0" fontId="17" fillId="0" borderId="34" xfId="0" applyFont="1" applyFill="1" applyBorder="1" applyAlignment="1" applyProtection="1">
      <alignment vertical="center" wrapText="1"/>
    </xf>
    <xf numFmtId="0" fontId="3" fillId="3" borderId="34" xfId="0" applyFont="1" applyFill="1" applyBorder="1" applyAlignment="1" applyProtection="1">
      <alignment horizontal="center" vertical="center" wrapText="1"/>
    </xf>
    <xf numFmtId="0" fontId="12" fillId="3" borderId="34" xfId="28" applyFont="1" applyFill="1" applyBorder="1" applyAlignment="1" applyProtection="1">
      <alignment vertical="center" wrapText="1"/>
    </xf>
    <xf numFmtId="3" fontId="6" fillId="3" borderId="34" xfId="0" applyNumberFormat="1" applyFont="1" applyFill="1" applyBorder="1" applyAlignment="1" applyProtection="1">
      <alignment vertical="center" wrapText="1"/>
    </xf>
    <xf numFmtId="0" fontId="88" fillId="8" borderId="34" xfId="0" applyFont="1" applyFill="1" applyBorder="1" applyAlignment="1" applyProtection="1">
      <alignment vertical="center" wrapText="1"/>
    </xf>
    <xf numFmtId="0" fontId="88" fillId="0" borderId="34" xfId="0" applyFont="1" applyBorder="1" applyAlignment="1" applyProtection="1">
      <alignment vertical="center" wrapText="1"/>
    </xf>
    <xf numFmtId="3" fontId="12" fillId="8" borderId="23" xfId="0" applyNumberFormat="1" applyFont="1" applyFill="1" applyBorder="1" applyAlignment="1" applyProtection="1">
      <alignment vertical="center" wrapText="1"/>
    </xf>
    <xf numFmtId="3" fontId="12" fillId="10" borderId="34" xfId="0" applyNumberFormat="1" applyFont="1" applyFill="1" applyBorder="1" applyAlignment="1" applyProtection="1">
      <alignment vertical="center" wrapText="1"/>
    </xf>
    <xf numFmtId="3" fontId="118" fillId="0" borderId="0" xfId="0" applyNumberFormat="1" applyFont="1" applyAlignment="1">
      <alignment vertical="center" wrapText="1"/>
    </xf>
    <xf numFmtId="0" fontId="46" fillId="0" borderId="0" xfId="0" applyFont="1"/>
    <xf numFmtId="0" fontId="108" fillId="0" borderId="25" xfId="27" applyFont="1" applyBorder="1" applyAlignment="1">
      <alignment vertical="center"/>
    </xf>
    <xf numFmtId="3" fontId="108" fillId="17" borderId="5" xfId="27" applyNumberFormat="1" applyFont="1" applyFill="1" applyBorder="1" applyAlignment="1">
      <alignment vertical="center"/>
    </xf>
    <xf numFmtId="0" fontId="108" fillId="0" borderId="0" xfId="27" applyFont="1" applyAlignment="1">
      <alignment vertical="center"/>
    </xf>
    <xf numFmtId="0" fontId="91" fillId="0" borderId="0" xfId="27" applyFont="1" applyAlignment="1">
      <alignment vertical="center"/>
    </xf>
    <xf numFmtId="0" fontId="108" fillId="0" borderId="27" xfId="27" applyFont="1" applyBorder="1" applyAlignment="1">
      <alignment vertical="center"/>
    </xf>
    <xf numFmtId="3" fontId="108" fillId="17" borderId="7" xfId="27" applyNumberFormat="1" applyFont="1" applyFill="1" applyBorder="1" applyAlignment="1">
      <alignment vertical="center"/>
    </xf>
    <xf numFmtId="3" fontId="108" fillId="17" borderId="120" xfId="27" applyNumberFormat="1" applyFont="1" applyFill="1" applyBorder="1" applyAlignment="1">
      <alignment vertical="center"/>
    </xf>
    <xf numFmtId="3" fontId="202" fillId="17" borderId="120" xfId="27" applyNumberFormat="1" applyFont="1" applyFill="1" applyBorder="1" applyAlignment="1">
      <alignment vertical="center"/>
    </xf>
    <xf numFmtId="3" fontId="203" fillId="17" borderId="120" xfId="27" applyNumberFormat="1" applyFont="1" applyFill="1" applyBorder="1" applyAlignment="1">
      <alignment vertical="center"/>
    </xf>
    <xf numFmtId="3" fontId="0" fillId="0" borderId="17" xfId="0" applyNumberFormat="1" applyBorder="1"/>
    <xf numFmtId="3" fontId="52" fillId="17" borderId="17" xfId="0" applyNumberFormat="1" applyFont="1" applyFill="1" applyBorder="1"/>
    <xf numFmtId="0" fontId="50" fillId="0" borderId="23" xfId="0" applyFont="1" applyBorder="1" applyAlignment="1">
      <alignment horizontal="center" vertical="center" wrapText="1"/>
    </xf>
    <xf numFmtId="0" fontId="0" fillId="0" borderId="23" xfId="0" applyBorder="1"/>
    <xf numFmtId="3" fontId="109" fillId="17" borderId="23" xfId="27" applyNumberFormat="1" applyFont="1" applyFill="1" applyBorder="1" applyAlignment="1">
      <alignment horizontal="center" vertical="center" wrapText="1"/>
    </xf>
    <xf numFmtId="0" fontId="16" fillId="0" borderId="0" xfId="0" applyFont="1" applyBorder="1"/>
    <xf numFmtId="0" fontId="0" fillId="0" borderId="1" xfId="0" applyBorder="1"/>
    <xf numFmtId="3" fontId="108" fillId="17" borderId="45" xfId="27" applyNumberFormat="1" applyFont="1" applyFill="1" applyBorder="1" applyAlignment="1">
      <alignment vertical="center"/>
    </xf>
    <xf numFmtId="3" fontId="108" fillId="17" borderId="59" xfId="27" applyNumberFormat="1" applyFont="1" applyFill="1" applyBorder="1" applyAlignment="1">
      <alignment vertical="center"/>
    </xf>
    <xf numFmtId="3" fontId="108" fillId="17" borderId="4" xfId="27" applyNumberFormat="1" applyFont="1" applyFill="1" applyBorder="1" applyAlignment="1">
      <alignment vertical="center"/>
    </xf>
    <xf numFmtId="3" fontId="108" fillId="17" borderId="83" xfId="27" applyNumberFormat="1" applyFont="1" applyFill="1" applyBorder="1" applyAlignment="1">
      <alignment vertical="center"/>
    </xf>
    <xf numFmtId="3" fontId="52" fillId="17" borderId="6" xfId="0" applyNumberFormat="1" applyFont="1" applyFill="1" applyBorder="1"/>
    <xf numFmtId="3" fontId="52" fillId="17" borderId="7" xfId="0" applyNumberFormat="1" applyFont="1" applyFill="1" applyBorder="1"/>
    <xf numFmtId="3" fontId="16" fillId="0" borderId="120" xfId="0" applyNumberFormat="1" applyFont="1" applyFill="1" applyBorder="1"/>
    <xf numFmtId="3" fontId="108" fillId="0" borderId="26" xfId="27" applyNumberFormat="1" applyFont="1" applyFill="1" applyBorder="1" applyAlignment="1">
      <alignment vertical="center"/>
    </xf>
    <xf numFmtId="3" fontId="16" fillId="0" borderId="26" xfId="0" applyNumberFormat="1" applyFont="1" applyFill="1" applyBorder="1"/>
    <xf numFmtId="3" fontId="16" fillId="0" borderId="49" xfId="0" applyNumberFormat="1" applyFont="1" applyFill="1" applyBorder="1"/>
    <xf numFmtId="3" fontId="108" fillId="0" borderId="17" xfId="27" applyNumberFormat="1" applyFont="1" applyFill="1" applyBorder="1" applyAlignment="1">
      <alignment vertical="center"/>
    </xf>
    <xf numFmtId="3" fontId="16" fillId="0" borderId="17" xfId="0" applyNumberFormat="1" applyFont="1" applyFill="1" applyBorder="1"/>
    <xf numFmtId="3" fontId="0" fillId="0" borderId="49" xfId="0" applyNumberFormat="1" applyFill="1" applyBorder="1"/>
    <xf numFmtId="3" fontId="202" fillId="0" borderId="17" xfId="27" applyNumberFormat="1" applyFont="1" applyFill="1" applyBorder="1" applyAlignment="1">
      <alignment vertical="center"/>
    </xf>
    <xf numFmtId="3" fontId="0" fillId="0" borderId="17" xfId="0" applyNumberFormat="1" applyFill="1" applyBorder="1"/>
    <xf numFmtId="3" fontId="203" fillId="0" borderId="17" xfId="27" applyNumberFormat="1" applyFont="1" applyFill="1" applyBorder="1" applyAlignment="1">
      <alignment vertical="center"/>
    </xf>
    <xf numFmtId="0" fontId="208" fillId="0" borderId="25" xfId="27" applyFont="1" applyBorder="1" applyAlignment="1">
      <alignment vertical="center"/>
    </xf>
    <xf numFmtId="0" fontId="208" fillId="0" borderId="23" xfId="27" applyFont="1" applyBorder="1" applyAlignment="1">
      <alignment horizontal="center" vertical="center" wrapText="1"/>
    </xf>
    <xf numFmtId="3" fontId="109" fillId="17" borderId="24" xfId="27" applyNumberFormat="1" applyFont="1" applyFill="1" applyBorder="1" applyAlignment="1">
      <alignment horizontal="center" vertical="center" wrapText="1"/>
    </xf>
    <xf numFmtId="0" fontId="208" fillId="17" borderId="19" xfId="27" applyFont="1" applyFill="1" applyBorder="1" applyAlignment="1">
      <alignment horizontal="center" vertical="center" wrapText="1"/>
    </xf>
    <xf numFmtId="3" fontId="109" fillId="17" borderId="2" xfId="27" applyNumberFormat="1" applyFont="1" applyFill="1" applyBorder="1" applyAlignment="1">
      <alignment horizontal="center" vertical="center" wrapText="1"/>
    </xf>
    <xf numFmtId="3" fontId="210" fillId="0" borderId="17" xfId="27" applyNumberFormat="1" applyFont="1" applyBorder="1" applyAlignment="1">
      <alignment vertical="center"/>
    </xf>
    <xf numFmtId="3" fontId="14" fillId="0" borderId="49" xfId="0" applyNumberFormat="1" applyFont="1" applyFill="1" applyBorder="1"/>
    <xf numFmtId="3" fontId="14" fillId="0" borderId="17" xfId="0" applyNumberFormat="1" applyFont="1" applyFill="1" applyBorder="1"/>
    <xf numFmtId="0" fontId="14" fillId="0" borderId="0" xfId="0" applyFont="1" applyBorder="1"/>
    <xf numFmtId="3" fontId="203" fillId="17" borderId="5" xfId="27" applyNumberFormat="1" applyFont="1" applyFill="1" applyBorder="1" applyAlignment="1">
      <alignment vertical="center"/>
    </xf>
    <xf numFmtId="3" fontId="22" fillId="17" borderId="6" xfId="0" applyNumberFormat="1" applyFont="1" applyFill="1" applyBorder="1"/>
    <xf numFmtId="3" fontId="22" fillId="17" borderId="17" xfId="0" applyNumberFormat="1" applyFont="1" applyFill="1" applyBorder="1"/>
    <xf numFmtId="3" fontId="22" fillId="17" borderId="7" xfId="0" applyNumberFormat="1" applyFont="1" applyFill="1" applyBorder="1"/>
    <xf numFmtId="3" fontId="203" fillId="17" borderId="7" xfId="27" applyNumberFormat="1" applyFont="1" applyFill="1" applyBorder="1" applyAlignment="1">
      <alignment vertical="center"/>
    </xf>
    <xf numFmtId="0" fontId="203" fillId="0" borderId="0" xfId="27" applyFont="1" applyAlignment="1">
      <alignment vertical="center"/>
    </xf>
    <xf numFmtId="0" fontId="220" fillId="0" borderId="0" xfId="27" applyFont="1" applyAlignment="1">
      <alignment vertical="center"/>
    </xf>
    <xf numFmtId="0" fontId="108" fillId="0" borderId="27" xfId="27" applyFont="1" applyFill="1" applyBorder="1" applyAlignment="1">
      <alignment vertical="center"/>
    </xf>
    <xf numFmtId="3" fontId="15" fillId="17" borderId="6" xfId="0" applyNumberFormat="1" applyFont="1" applyFill="1" applyBorder="1"/>
    <xf numFmtId="3" fontId="15" fillId="17" borderId="17" xfId="0" applyNumberFormat="1" applyFont="1" applyFill="1" applyBorder="1"/>
    <xf numFmtId="3" fontId="15" fillId="17" borderId="7" xfId="0" applyNumberFormat="1" applyFont="1" applyFill="1" applyBorder="1"/>
    <xf numFmtId="0" fontId="108" fillId="0" borderId="27" xfId="27" applyFont="1" applyBorder="1" applyAlignment="1">
      <alignment vertical="center" wrapText="1"/>
    </xf>
    <xf numFmtId="3" fontId="91" fillId="0" borderId="17" xfId="27" applyNumberFormat="1" applyFont="1" applyFill="1" applyBorder="1" applyAlignment="1">
      <alignment vertical="center"/>
    </xf>
    <xf numFmtId="3" fontId="91" fillId="17" borderId="7" xfId="27" applyNumberFormat="1" applyFont="1" applyFill="1" applyBorder="1" applyAlignment="1">
      <alignment vertical="center"/>
    </xf>
    <xf numFmtId="0" fontId="91" fillId="19" borderId="0" xfId="27" applyFont="1" applyFill="1" applyBorder="1" applyAlignment="1">
      <alignment vertical="center"/>
    </xf>
    <xf numFmtId="0" fontId="222" fillId="0" borderId="34" xfId="27" applyFont="1" applyBorder="1" applyAlignment="1">
      <alignment vertical="center"/>
    </xf>
    <xf numFmtId="3" fontId="221" fillId="17" borderId="46" xfId="27" applyNumberFormat="1" applyFont="1" applyFill="1" applyBorder="1" applyAlignment="1">
      <alignment vertical="center"/>
    </xf>
    <xf numFmtId="3" fontId="221" fillId="17" borderId="62" xfId="27" applyNumberFormat="1" applyFont="1" applyFill="1" applyBorder="1" applyAlignment="1">
      <alignment vertical="center"/>
    </xf>
    <xf numFmtId="3" fontId="12" fillId="0" borderId="62" xfId="0" applyNumberFormat="1" applyFont="1" applyFill="1" applyBorder="1"/>
    <xf numFmtId="3" fontId="12" fillId="0" borderId="47" xfId="0" applyNumberFormat="1" applyFont="1" applyFill="1" applyBorder="1"/>
    <xf numFmtId="3" fontId="223" fillId="0" borderId="47" xfId="27" applyNumberFormat="1" applyFont="1" applyFill="1" applyBorder="1" applyAlignment="1">
      <alignment vertical="center"/>
    </xf>
    <xf numFmtId="3" fontId="221" fillId="17" borderId="47" xfId="27" applyNumberFormat="1" applyFont="1" applyFill="1" applyBorder="1" applyAlignment="1">
      <alignment vertical="center"/>
    </xf>
    <xf numFmtId="3" fontId="221" fillId="17" borderId="18" xfId="27" applyNumberFormat="1" applyFont="1" applyFill="1" applyBorder="1" applyAlignment="1">
      <alignment vertical="center"/>
    </xf>
    <xf numFmtId="0" fontId="222" fillId="0" borderId="0" xfId="27" applyFont="1" applyAlignment="1">
      <alignment vertical="center"/>
    </xf>
    <xf numFmtId="0" fontId="207" fillId="0" borderId="23" xfId="27" applyFont="1" applyBorder="1" applyAlignment="1">
      <alignment vertical="center"/>
    </xf>
    <xf numFmtId="0" fontId="18" fillId="0" borderId="79" xfId="0" applyFont="1" applyFill="1" applyBorder="1"/>
    <xf numFmtId="3" fontId="3" fillId="0" borderId="79" xfId="0" applyNumberFormat="1" applyFont="1" applyBorder="1"/>
    <xf numFmtId="3" fontId="50" fillId="0" borderId="0" xfId="0" applyNumberFormat="1" applyFont="1" applyBorder="1"/>
    <xf numFmtId="0" fontId="0" fillId="0" borderId="79" xfId="0" applyBorder="1"/>
    <xf numFmtId="0" fontId="49" fillId="0" borderId="0" xfId="0" applyFont="1" applyBorder="1"/>
    <xf numFmtId="0" fontId="18" fillId="0" borderId="1" xfId="0" applyFont="1" applyFill="1" applyBorder="1"/>
    <xf numFmtId="3" fontId="3" fillId="0" borderId="1" xfId="0" applyNumberFormat="1" applyFont="1" applyBorder="1"/>
    <xf numFmtId="0" fontId="3" fillId="0" borderId="1" xfId="0" applyFont="1" applyBorder="1"/>
    <xf numFmtId="0" fontId="14" fillId="0" borderId="0" xfId="0" applyFont="1" applyBorder="1" applyAlignment="1">
      <alignment vertical="center"/>
    </xf>
    <xf numFmtId="3" fontId="14" fillId="0" borderId="49" xfId="0" applyNumberFormat="1" applyFont="1" applyFill="1" applyBorder="1" applyAlignment="1">
      <alignment vertical="center"/>
    </xf>
    <xf numFmtId="3" fontId="14" fillId="0" borderId="17" xfId="0" applyNumberFormat="1" applyFont="1" applyFill="1" applyBorder="1" applyAlignment="1">
      <alignment vertical="center"/>
    </xf>
    <xf numFmtId="3" fontId="10" fillId="10" borderId="49" xfId="15" applyNumberFormat="1" applyFont="1" applyFill="1" applyBorder="1"/>
    <xf numFmtId="3" fontId="108" fillId="17" borderId="17" xfId="27" applyNumberFormat="1" applyFont="1" applyFill="1" applyBorder="1" applyAlignment="1">
      <alignment vertical="center"/>
    </xf>
    <xf numFmtId="3" fontId="94" fillId="17" borderId="120" xfId="27" applyNumberFormat="1" applyFont="1" applyFill="1" applyBorder="1"/>
    <xf numFmtId="0" fontId="232" fillId="0" borderId="0" xfId="27" applyFont="1" applyAlignment="1">
      <alignment vertical="center"/>
    </xf>
    <xf numFmtId="0" fontId="233" fillId="0" borderId="0" xfId="27" applyFont="1" applyAlignment="1">
      <alignment vertical="center"/>
    </xf>
    <xf numFmtId="0" fontId="234" fillId="0" borderId="0" xfId="27" applyFont="1"/>
    <xf numFmtId="3" fontId="213" fillId="0" borderId="0" xfId="27" applyNumberFormat="1" applyFont="1" applyAlignment="1">
      <alignment vertical="center"/>
    </xf>
    <xf numFmtId="3" fontId="235" fillId="0" borderId="0" xfId="27" applyNumberFormat="1" applyFont="1"/>
    <xf numFmtId="3" fontId="235" fillId="0" borderId="0" xfId="27" applyNumberFormat="1" applyFont="1" applyAlignment="1">
      <alignment vertical="center"/>
    </xf>
    <xf numFmtId="0" fontId="236" fillId="0" borderId="0" xfId="27" applyFont="1" applyAlignment="1">
      <alignment vertical="center"/>
    </xf>
    <xf numFmtId="0" fontId="235" fillId="0" borderId="0" xfId="27" applyFont="1" applyAlignment="1">
      <alignment vertical="center"/>
    </xf>
    <xf numFmtId="0" fontId="215" fillId="0" borderId="0" xfId="27" applyFont="1" applyAlignment="1">
      <alignment horizontal="right"/>
    </xf>
    <xf numFmtId="3" fontId="236" fillId="0" borderId="0" xfId="27" applyNumberFormat="1" applyFont="1" applyAlignment="1">
      <alignment horizontal="center" vertical="center" wrapText="1"/>
    </xf>
    <xf numFmtId="3" fontId="237" fillId="0" borderId="0" xfId="27" applyNumberFormat="1" applyFont="1" applyAlignment="1">
      <alignment horizontal="center" vertical="center" wrapText="1"/>
    </xf>
    <xf numFmtId="3" fontId="211" fillId="0" borderId="0" xfId="27" applyNumberFormat="1" applyFont="1" applyAlignment="1">
      <alignment vertical="center"/>
    </xf>
    <xf numFmtId="0" fontId="200" fillId="0" borderId="0" xfId="27" applyFont="1"/>
    <xf numFmtId="3" fontId="15" fillId="17" borderId="49" xfId="0" applyNumberFormat="1" applyFont="1" applyFill="1" applyBorder="1"/>
    <xf numFmtId="3" fontId="224" fillId="0" borderId="0" xfId="27" applyNumberFormat="1" applyFont="1" applyAlignment="1">
      <alignment vertical="center"/>
    </xf>
    <xf numFmtId="3" fontId="14" fillId="8" borderId="17" xfId="0" applyNumberFormat="1" applyFont="1" applyFill="1" applyBorder="1"/>
    <xf numFmtId="0" fontId="108" fillId="0" borderId="27" xfId="27" applyFont="1" applyFill="1" applyBorder="1" applyAlignment="1">
      <alignment vertical="center" wrapText="1"/>
    </xf>
    <xf numFmtId="3" fontId="203" fillId="8" borderId="17" xfId="27" applyNumberFormat="1" applyFont="1" applyFill="1" applyBorder="1" applyAlignment="1">
      <alignment vertical="center"/>
    </xf>
    <xf numFmtId="3" fontId="209" fillId="8" borderId="17" xfId="27" applyNumberFormat="1" applyFont="1" applyFill="1" applyBorder="1" applyAlignment="1">
      <alignment vertical="center"/>
    </xf>
    <xf numFmtId="3" fontId="209" fillId="8" borderId="0" xfId="27" applyNumberFormat="1" applyFont="1" applyFill="1" applyAlignment="1">
      <alignment vertical="center"/>
    </xf>
    <xf numFmtId="3" fontId="224" fillId="8" borderId="0" xfId="27" applyNumberFormat="1" applyFont="1" applyFill="1" applyAlignment="1">
      <alignment vertical="center"/>
    </xf>
    <xf numFmtId="0" fontId="211" fillId="8" borderId="0" xfId="27" applyFont="1" applyFill="1" applyAlignment="1">
      <alignment vertical="center"/>
    </xf>
    <xf numFmtId="0" fontId="233" fillId="8" borderId="0" xfId="27" applyFont="1" applyFill="1" applyAlignment="1">
      <alignment vertical="center"/>
    </xf>
    <xf numFmtId="0" fontId="212" fillId="8" borderId="0" xfId="27" applyFill="1" applyAlignment="1">
      <alignment vertical="center"/>
    </xf>
    <xf numFmtId="3" fontId="16" fillId="8" borderId="49" xfId="0" applyNumberFormat="1" applyFont="1" applyFill="1" applyBorder="1"/>
    <xf numFmtId="3" fontId="207" fillId="8" borderId="0" xfId="27" applyNumberFormat="1" applyFont="1" applyFill="1" applyBorder="1" applyAlignment="1">
      <alignment vertical="center"/>
    </xf>
    <xf numFmtId="3" fontId="94" fillId="17" borderId="136" xfId="27" applyNumberFormat="1" applyFont="1" applyFill="1" applyBorder="1"/>
    <xf numFmtId="3" fontId="208" fillId="17" borderId="136" xfId="27" applyNumberFormat="1" applyFont="1" applyFill="1" applyBorder="1"/>
    <xf numFmtId="3" fontId="208" fillId="17" borderId="29" xfId="27" applyNumberFormat="1" applyFont="1" applyFill="1" applyBorder="1"/>
    <xf numFmtId="3" fontId="209" fillId="17" borderId="22" xfId="27" applyNumberFormat="1" applyFont="1" applyFill="1" applyBorder="1" applyAlignment="1">
      <alignment vertical="center"/>
    </xf>
    <xf numFmtId="3" fontId="0" fillId="0" borderId="120" xfId="0" applyNumberFormat="1" applyFill="1" applyBorder="1"/>
    <xf numFmtId="3" fontId="14" fillId="0" borderId="120" xfId="0" applyNumberFormat="1" applyFont="1" applyFill="1" applyBorder="1"/>
    <xf numFmtId="3" fontId="14" fillId="0" borderId="120" xfId="0" applyNumberFormat="1" applyFont="1" applyFill="1" applyBorder="1" applyAlignment="1">
      <alignment vertical="center"/>
    </xf>
    <xf numFmtId="166" fontId="17" fillId="0" borderId="0" xfId="0" applyNumberFormat="1" applyFont="1" applyAlignment="1">
      <alignment horizontal="right" vertical="center" wrapText="1"/>
    </xf>
    <xf numFmtId="166" fontId="3" fillId="0" borderId="0" xfId="0" applyNumberFormat="1" applyFont="1" applyAlignment="1">
      <alignment horizontal="right" vertical="center" wrapText="1"/>
    </xf>
    <xf numFmtId="0" fontId="48" fillId="0" borderId="0" xfId="0" applyFont="1" applyBorder="1" applyAlignment="1">
      <alignment horizontal="right" wrapText="1"/>
    </xf>
    <xf numFmtId="0" fontId="3" fillId="0" borderId="7" xfId="0" applyFont="1" applyBorder="1" applyAlignment="1">
      <alignment horizontal="center" vertical="center" wrapText="1"/>
    </xf>
    <xf numFmtId="3" fontId="236" fillId="0" borderId="28" xfId="27" applyNumberFormat="1" applyFont="1" applyBorder="1" applyAlignment="1">
      <alignment horizontal="center" vertical="center" wrapText="1"/>
    </xf>
    <xf numFmtId="3" fontId="235" fillId="0" borderId="28" xfId="27" applyNumberFormat="1" applyFont="1" applyBorder="1"/>
    <xf numFmtId="3" fontId="235" fillId="0" borderId="28" xfId="27" applyNumberFormat="1" applyFont="1" applyBorder="1" applyAlignment="1">
      <alignment vertical="center"/>
    </xf>
    <xf numFmtId="0" fontId="211" fillId="0" borderId="28" xfId="27" applyFont="1" applyBorder="1" applyAlignment="1">
      <alignment vertical="center"/>
    </xf>
    <xf numFmtId="3" fontId="212" fillId="8" borderId="0" xfId="27" applyNumberFormat="1" applyFill="1" applyAlignment="1">
      <alignment vertical="center"/>
    </xf>
    <xf numFmtId="3" fontId="223" fillId="17" borderId="0" xfId="27" applyNumberFormat="1" applyFont="1" applyFill="1" applyBorder="1" applyAlignment="1">
      <alignment vertical="center"/>
    </xf>
    <xf numFmtId="166" fontId="6" fillId="0" borderId="141" xfId="0" applyNumberFormat="1" applyFont="1" applyBorder="1" applyAlignment="1">
      <alignment horizontal="center" vertical="center" wrapText="1"/>
    </xf>
    <xf numFmtId="0" fontId="0" fillId="0" borderId="136" xfId="0" applyBorder="1"/>
    <xf numFmtId="3" fontId="0" fillId="0" borderId="26" xfId="0" applyNumberFormat="1" applyBorder="1"/>
    <xf numFmtId="3" fontId="208" fillId="0" borderId="26" xfId="27" applyNumberFormat="1" applyFont="1" applyBorder="1" applyAlignment="1">
      <alignment vertical="center"/>
    </xf>
    <xf numFmtId="3" fontId="208" fillId="8" borderId="26" xfId="27" applyNumberFormat="1" applyFont="1" applyFill="1" applyBorder="1" applyAlignment="1">
      <alignment vertical="center"/>
    </xf>
    <xf numFmtId="3" fontId="109" fillId="0" borderId="24" xfId="27" applyNumberFormat="1" applyFont="1" applyFill="1" applyBorder="1" applyAlignment="1">
      <alignment horizontal="center" vertical="center" wrapText="1"/>
    </xf>
    <xf numFmtId="0" fontId="208" fillId="0" borderId="19" xfId="27" applyFont="1" applyFill="1" applyBorder="1" applyAlignment="1">
      <alignment horizontal="center" vertical="center" wrapText="1"/>
    </xf>
    <xf numFmtId="3" fontId="109" fillId="0" borderId="2" xfId="27" applyNumberFormat="1" applyFont="1" applyFill="1" applyBorder="1" applyAlignment="1">
      <alignment horizontal="center" vertical="center" wrapText="1"/>
    </xf>
    <xf numFmtId="3" fontId="209" fillId="17" borderId="0" xfId="27" applyNumberFormat="1" applyFont="1" applyFill="1" applyBorder="1" applyAlignment="1">
      <alignment vertical="center"/>
    </xf>
    <xf numFmtId="3" fontId="209" fillId="17" borderId="31" xfId="27" applyNumberFormat="1" applyFont="1" applyFill="1" applyBorder="1" applyAlignment="1">
      <alignment vertical="center"/>
    </xf>
    <xf numFmtId="3" fontId="207" fillId="17" borderId="18" xfId="27" applyNumberFormat="1" applyFont="1" applyFill="1" applyBorder="1"/>
    <xf numFmtId="3" fontId="109" fillId="17" borderId="82" xfId="27" applyNumberFormat="1" applyFont="1" applyFill="1" applyBorder="1" applyAlignment="1">
      <alignment vertical="center"/>
    </xf>
    <xf numFmtId="3" fontId="209" fillId="17" borderId="82" xfId="27" applyNumberFormat="1" applyFont="1" applyFill="1" applyBorder="1" applyAlignment="1">
      <alignment vertical="center"/>
    </xf>
    <xf numFmtId="3" fontId="109" fillId="17" borderId="41" xfId="27" applyNumberFormat="1" applyFont="1" applyFill="1" applyBorder="1" applyAlignment="1">
      <alignment vertical="center"/>
    </xf>
    <xf numFmtId="0" fontId="205" fillId="0" borderId="88" xfId="27" applyFont="1" applyBorder="1" applyAlignment="1">
      <alignment vertical="center"/>
    </xf>
    <xf numFmtId="0" fontId="209" fillId="0" borderId="6" xfId="27" applyFont="1" applyBorder="1" applyAlignment="1">
      <alignment wrapText="1"/>
    </xf>
    <xf numFmtId="0" fontId="24" fillId="0" borderId="57" xfId="28" applyFont="1" applyBorder="1" applyAlignment="1">
      <alignment horizontal="center"/>
    </xf>
    <xf numFmtId="49" fontId="6" fillId="10" borderId="21" xfId="0" applyNumberFormat="1" applyFont="1" applyFill="1" applyBorder="1" applyAlignment="1" applyProtection="1">
      <alignment horizontal="center" vertical="center" wrapText="1"/>
      <protection locked="0"/>
    </xf>
    <xf numFmtId="3" fontId="32" fillId="8" borderId="17" xfId="28" applyNumberFormat="1" applyFont="1" applyFill="1" applyBorder="1"/>
    <xf numFmtId="3" fontId="30" fillId="10" borderId="17" xfId="28" applyNumberFormat="1" applyFont="1" applyFill="1" applyBorder="1"/>
    <xf numFmtId="3" fontId="30" fillId="0" borderId="17" xfId="28" applyNumberFormat="1" applyFont="1" applyFill="1" applyBorder="1"/>
    <xf numFmtId="49" fontId="6" fillId="0" borderId="23" xfId="0" applyNumberFormat="1" applyFont="1" applyBorder="1" applyAlignment="1" applyProtection="1">
      <alignment horizontal="right" vertical="center"/>
      <protection locked="0"/>
    </xf>
    <xf numFmtId="3" fontId="15" fillId="10" borderId="39" xfId="0" applyNumberFormat="1" applyFont="1" applyFill="1" applyBorder="1" applyAlignment="1" applyProtection="1">
      <alignment vertical="center" wrapText="1"/>
    </xf>
    <xf numFmtId="3" fontId="17" fillId="0" borderId="29" xfId="0" applyNumberFormat="1" applyFont="1" applyBorder="1" applyAlignment="1" applyProtection="1">
      <alignment vertical="center" wrapText="1"/>
      <protection locked="0"/>
    </xf>
    <xf numFmtId="3" fontId="17" fillId="0" borderId="19" xfId="0" applyNumberFormat="1" applyFont="1" applyBorder="1" applyAlignment="1" applyProtection="1">
      <alignment vertical="center" wrapText="1"/>
      <protection locked="0"/>
    </xf>
    <xf numFmtId="3" fontId="17" fillId="10" borderId="19" xfId="0" applyNumberFormat="1" applyFont="1" applyFill="1" applyBorder="1" applyAlignment="1" applyProtection="1">
      <alignment vertical="center" wrapText="1"/>
      <protection locked="0"/>
    </xf>
    <xf numFmtId="3" fontId="17" fillId="0" borderId="22" xfId="0" applyNumberFormat="1" applyFont="1" applyBorder="1" applyAlignment="1" applyProtection="1">
      <alignment vertical="center" wrapText="1"/>
      <protection locked="0"/>
    </xf>
    <xf numFmtId="3" fontId="17" fillId="10" borderId="41" xfId="0" applyNumberFormat="1" applyFont="1" applyFill="1" applyBorder="1" applyAlignment="1" applyProtection="1">
      <alignment vertical="center" wrapText="1"/>
      <protection locked="0"/>
    </xf>
    <xf numFmtId="3" fontId="17" fillId="10" borderId="47" xfId="0" applyNumberFormat="1" applyFont="1" applyFill="1" applyBorder="1" applyAlignment="1" applyProtection="1">
      <alignment vertical="center" wrapText="1"/>
      <protection locked="0"/>
    </xf>
    <xf numFmtId="3" fontId="15" fillId="10" borderId="19" xfId="0" applyNumberFormat="1" applyFont="1" applyFill="1" applyBorder="1" applyAlignment="1" applyProtection="1">
      <alignment vertical="center" wrapText="1"/>
      <protection locked="0"/>
    </xf>
    <xf numFmtId="3" fontId="44" fillId="0" borderId="19" xfId="0" applyNumberFormat="1" applyFont="1" applyBorder="1" applyAlignment="1" applyProtection="1">
      <alignment vertical="center" wrapText="1"/>
      <protection locked="0"/>
    </xf>
    <xf numFmtId="3" fontId="15" fillId="0" borderId="39" xfId="0" applyNumberFormat="1" applyFont="1" applyBorder="1" applyAlignment="1" applyProtection="1">
      <alignment vertical="center" wrapText="1"/>
    </xf>
    <xf numFmtId="3" fontId="52" fillId="0" borderId="17" xfId="0" applyNumberFormat="1" applyFont="1" applyBorder="1" applyAlignment="1" applyProtection="1">
      <alignment vertical="center" wrapText="1"/>
      <protection locked="0"/>
    </xf>
    <xf numFmtId="3" fontId="22" fillId="0" borderId="47" xfId="0" applyNumberFormat="1" applyFont="1" applyBorder="1" applyAlignment="1" applyProtection="1">
      <alignment vertical="center" wrapText="1"/>
      <protection locked="0"/>
    </xf>
    <xf numFmtId="3" fontId="22" fillId="10" borderId="47" xfId="0" applyNumberFormat="1" applyFont="1" applyFill="1" applyBorder="1" applyAlignment="1" applyProtection="1">
      <alignment vertical="center" wrapText="1"/>
      <protection locked="0"/>
    </xf>
    <xf numFmtId="3" fontId="6" fillId="3" borderId="19" xfId="0" applyNumberFormat="1" applyFont="1" applyFill="1" applyBorder="1" applyAlignment="1" applyProtection="1">
      <alignment vertical="center" wrapText="1"/>
    </xf>
    <xf numFmtId="3" fontId="6" fillId="11" borderId="19" xfId="0" applyNumberFormat="1" applyFont="1" applyFill="1" applyBorder="1" applyAlignment="1" applyProtection="1">
      <alignment vertical="center" wrapText="1"/>
    </xf>
    <xf numFmtId="166" fontId="15" fillId="0" borderId="51" xfId="0" applyNumberFormat="1" applyFont="1" applyFill="1" applyBorder="1" applyAlignment="1" applyProtection="1">
      <alignment vertical="center" wrapText="1"/>
    </xf>
    <xf numFmtId="166" fontId="15" fillId="0" borderId="19" xfId="0" applyNumberFormat="1" applyFont="1" applyFill="1" applyBorder="1" applyAlignment="1" applyProtection="1">
      <alignment vertical="center" wrapText="1"/>
    </xf>
    <xf numFmtId="166" fontId="15" fillId="0" borderId="22" xfId="0" applyNumberFormat="1" applyFont="1" applyFill="1" applyBorder="1" applyAlignment="1" applyProtection="1">
      <alignment vertical="center" wrapText="1"/>
    </xf>
    <xf numFmtId="166" fontId="15" fillId="0" borderId="31" xfId="0" applyNumberFormat="1" applyFont="1" applyBorder="1" applyAlignment="1" applyProtection="1">
      <alignment vertical="center" wrapText="1"/>
    </xf>
    <xf numFmtId="166" fontId="6" fillId="3" borderId="19" xfId="0" applyNumberFormat="1" applyFont="1" applyFill="1" applyBorder="1" applyAlignment="1" applyProtection="1">
      <alignment horizontal="center" vertical="center" wrapText="1"/>
    </xf>
    <xf numFmtId="166" fontId="6" fillId="11" borderId="19" xfId="0" applyNumberFormat="1" applyFont="1" applyFill="1" applyBorder="1" applyAlignment="1" applyProtection="1">
      <alignment horizontal="center" vertical="center" wrapText="1"/>
    </xf>
    <xf numFmtId="166" fontId="15" fillId="10" borderId="19" xfId="0" applyNumberFormat="1" applyFont="1" applyFill="1" applyBorder="1" applyAlignment="1" applyProtection="1">
      <alignment vertical="center" wrapText="1"/>
    </xf>
    <xf numFmtId="166" fontId="45" fillId="0" borderId="19" xfId="0" applyNumberFormat="1" applyFont="1" applyBorder="1" applyAlignment="1" applyProtection="1">
      <alignment vertical="center" wrapText="1"/>
    </xf>
    <xf numFmtId="166" fontId="45" fillId="10" borderId="19" xfId="0" applyNumberFormat="1" applyFont="1" applyFill="1" applyBorder="1" applyAlignment="1" applyProtection="1">
      <alignment vertical="center" wrapText="1"/>
    </xf>
    <xf numFmtId="3" fontId="45" fillId="0" borderId="19" xfId="0" applyNumberFormat="1" applyFont="1" applyBorder="1" applyAlignment="1" applyProtection="1">
      <alignment vertical="center" wrapText="1"/>
    </xf>
    <xf numFmtId="166" fontId="6" fillId="3" borderId="19" xfId="0" applyNumberFormat="1" applyFont="1" applyFill="1" applyBorder="1" applyAlignment="1" applyProtection="1">
      <alignment vertical="center" wrapText="1"/>
    </xf>
    <xf numFmtId="166" fontId="6" fillId="11" borderId="19" xfId="0" applyNumberFormat="1" applyFont="1" applyFill="1" applyBorder="1" applyAlignment="1" applyProtection="1">
      <alignment vertical="center" wrapText="1"/>
    </xf>
    <xf numFmtId="4" fontId="15" fillId="0" borderId="19" xfId="0" applyNumberFormat="1" applyFont="1" applyBorder="1" applyAlignment="1" applyProtection="1">
      <alignment vertical="center" wrapText="1"/>
      <protection locked="0"/>
    </xf>
    <xf numFmtId="4" fontId="15" fillId="10" borderId="19" xfId="0" applyNumberFormat="1" applyFont="1" applyFill="1" applyBorder="1" applyAlignment="1" applyProtection="1">
      <alignment vertical="center" wrapText="1"/>
      <protection locked="0"/>
    </xf>
    <xf numFmtId="4" fontId="15" fillId="0" borderId="19" xfId="0" applyNumberFormat="1" applyFont="1" applyFill="1" applyBorder="1" applyAlignment="1" applyProtection="1">
      <alignment vertical="center" wrapText="1"/>
      <protection locked="0"/>
    </xf>
    <xf numFmtId="166" fontId="6" fillId="0" borderId="41" xfId="0" applyNumberFormat="1" applyFont="1" applyBorder="1" applyAlignment="1">
      <alignment horizontal="center" vertical="center" wrapText="1"/>
    </xf>
    <xf numFmtId="3" fontId="32" fillId="0" borderId="166" xfId="0" applyNumberFormat="1" applyFont="1" applyBorder="1"/>
    <xf numFmtId="3" fontId="32" fillId="0" borderId="26" xfId="0" applyNumberFormat="1" applyFont="1" applyBorder="1"/>
    <xf numFmtId="3" fontId="32" fillId="0" borderId="4" xfId="25" applyNumberFormat="1" applyFont="1" applyFill="1" applyBorder="1" applyAlignment="1">
      <alignment horizontal="right" wrapText="1"/>
    </xf>
    <xf numFmtId="3" fontId="32" fillId="0" borderId="138" xfId="25" applyNumberFormat="1" applyFont="1" applyFill="1" applyBorder="1" applyAlignment="1">
      <alignment wrapText="1"/>
    </xf>
    <xf numFmtId="3" fontId="24" fillId="0" borderId="23" xfId="25" applyNumberFormat="1" applyFont="1" applyFill="1" applyBorder="1" applyAlignment="1">
      <alignment horizontal="center" vertical="center" wrapText="1"/>
    </xf>
    <xf numFmtId="0" fontId="34" fillId="0" borderId="143" xfId="25" applyFont="1" applyFill="1" applyBorder="1"/>
    <xf numFmtId="0" fontId="110" fillId="0" borderId="92" xfId="25" applyFont="1" applyBorder="1"/>
    <xf numFmtId="0" fontId="110" fillId="0" borderId="92" xfId="25" applyFont="1" applyBorder="1" applyAlignment="1"/>
    <xf numFmtId="3" fontId="32" fillId="0" borderId="16" xfId="0" applyNumberFormat="1" applyFont="1" applyBorder="1"/>
    <xf numFmtId="0" fontId="15" fillId="0" borderId="53" xfId="0" applyFont="1" applyBorder="1" applyAlignment="1">
      <alignment horizontal="right" vertical="center"/>
    </xf>
    <xf numFmtId="0" fontId="6" fillId="0" borderId="24" xfId="0" applyFont="1" applyFill="1" applyBorder="1" applyAlignment="1" applyProtection="1">
      <alignment horizontal="center" vertical="center" wrapText="1"/>
    </xf>
    <xf numFmtId="0" fontId="6" fillId="0" borderId="19" xfId="0" applyFont="1" applyFill="1" applyBorder="1" applyAlignment="1" applyProtection="1">
      <alignment horizontal="left" vertical="center" wrapText="1"/>
    </xf>
    <xf numFmtId="3" fontId="24" fillId="0" borderId="99" xfId="25" applyNumberFormat="1" applyFont="1" applyFill="1" applyBorder="1" applyAlignment="1">
      <alignment horizontal="right" wrapText="1"/>
    </xf>
    <xf numFmtId="3" fontId="24" fillId="0" borderId="103" xfId="25" applyNumberFormat="1" applyFont="1" applyFill="1" applyBorder="1" applyAlignment="1">
      <alignment horizontal="right" wrapText="1"/>
    </xf>
    <xf numFmtId="3" fontId="24" fillId="0" borderId="117" xfId="25" applyNumberFormat="1" applyFont="1" applyFill="1" applyBorder="1" applyAlignment="1">
      <alignment horizontal="right" wrapText="1"/>
    </xf>
    <xf numFmtId="3" fontId="24" fillId="0" borderId="103" xfId="25" applyNumberFormat="1" applyFont="1" applyFill="1" applyBorder="1" applyAlignment="1">
      <alignment horizontal="right"/>
    </xf>
    <xf numFmtId="3" fontId="24" fillId="0" borderId="117" xfId="25" applyNumberFormat="1" applyFont="1" applyFill="1" applyBorder="1" applyAlignment="1">
      <alignment horizontal="right"/>
    </xf>
    <xf numFmtId="3" fontId="24" fillId="0" borderId="98" xfId="25" applyNumberFormat="1" applyFont="1" applyFill="1" applyBorder="1" applyAlignment="1">
      <alignment horizontal="right" wrapText="1"/>
    </xf>
    <xf numFmtId="3" fontId="24" fillId="0" borderId="97" xfId="25" applyNumberFormat="1" applyFont="1" applyFill="1" applyBorder="1" applyAlignment="1">
      <alignment horizontal="right" wrapText="1"/>
    </xf>
    <xf numFmtId="3" fontId="24" fillId="0" borderId="136" xfId="28" applyNumberFormat="1" applyFont="1" applyBorder="1"/>
    <xf numFmtId="3" fontId="32" fillId="10" borderId="29" xfId="28" applyNumberFormat="1" applyFont="1" applyFill="1" applyBorder="1" applyAlignment="1">
      <alignment horizontal="right" vertical="center" wrapText="1"/>
    </xf>
    <xf numFmtId="3" fontId="24" fillId="0" borderId="22" xfId="28" applyNumberFormat="1" applyFont="1" applyBorder="1"/>
    <xf numFmtId="49" fontId="6" fillId="10" borderId="79" xfId="0" applyNumberFormat="1" applyFont="1" applyFill="1" applyBorder="1" applyAlignment="1" applyProtection="1">
      <alignment horizontal="center" vertical="center" wrapText="1"/>
      <protection locked="0"/>
    </xf>
    <xf numFmtId="3" fontId="25" fillId="10" borderId="62" xfId="15" applyNumberFormat="1" applyFont="1" applyFill="1" applyBorder="1"/>
    <xf numFmtId="0" fontId="11" fillId="0" borderId="22" xfId="28" applyFont="1" applyBorder="1" applyAlignment="1">
      <alignment wrapText="1"/>
    </xf>
    <xf numFmtId="0" fontId="11" fillId="0" borderId="26" xfId="28" applyFont="1" applyBorder="1" applyAlignment="1">
      <alignment horizontal="left" wrapText="1"/>
    </xf>
    <xf numFmtId="3" fontId="11" fillId="0" borderId="120" xfId="28" applyNumberFormat="1" applyFont="1" applyBorder="1"/>
    <xf numFmtId="0" fontId="11" fillId="0" borderId="83" xfId="28" applyFont="1" applyBorder="1" applyAlignment="1">
      <alignment horizontal="right" wrapText="1"/>
    </xf>
    <xf numFmtId="0" fontId="11" fillId="0" borderId="47" xfId="28" applyFont="1" applyBorder="1" applyAlignment="1">
      <alignment horizontal="left" wrapText="1"/>
    </xf>
    <xf numFmtId="3" fontId="11" fillId="0" borderId="62" xfId="28" applyNumberFormat="1" applyFont="1" applyBorder="1"/>
    <xf numFmtId="0" fontId="11" fillId="0" borderId="137" xfId="28" applyFont="1" applyBorder="1" applyAlignment="1">
      <alignment horizontal="right" wrapText="1"/>
    </xf>
    <xf numFmtId="49" fontId="34" fillId="0" borderId="49" xfId="28" applyNumberFormat="1" applyFont="1" applyFill="1" applyBorder="1" applyAlignment="1">
      <alignment horizontal="left" vertical="center"/>
    </xf>
    <xf numFmtId="3" fontId="29" fillId="0" borderId="7" xfId="28" applyNumberFormat="1" applyFont="1" applyBorder="1" applyAlignment="1">
      <alignment horizontal="right" vertical="center" wrapText="1"/>
    </xf>
    <xf numFmtId="3" fontId="29" fillId="8" borderId="20" xfId="28" applyNumberFormat="1" applyFont="1" applyFill="1" applyBorder="1" applyAlignment="1">
      <alignment horizontal="right" vertical="center" wrapText="1"/>
    </xf>
    <xf numFmtId="3" fontId="24" fillId="10" borderId="62" xfId="28" applyNumberFormat="1" applyFont="1" applyFill="1" applyBorder="1" applyAlignment="1">
      <alignment horizontal="right" vertical="center" wrapText="1"/>
    </xf>
    <xf numFmtId="3" fontId="24" fillId="0" borderId="115" xfId="25" applyNumberFormat="1" applyFont="1" applyFill="1" applyBorder="1" applyAlignment="1">
      <alignment horizontal="center" vertical="center" wrapText="1"/>
    </xf>
    <xf numFmtId="0" fontId="196" fillId="0" borderId="128" xfId="25" applyBorder="1"/>
    <xf numFmtId="3" fontId="32" fillId="0" borderId="113" xfId="25" applyNumberFormat="1" applyFont="1" applyFill="1" applyBorder="1" applyAlignment="1">
      <alignment wrapText="1"/>
    </xf>
    <xf numFmtId="3" fontId="32" fillId="0" borderId="48" xfId="25" applyNumberFormat="1" applyFont="1" applyFill="1" applyBorder="1" applyAlignment="1"/>
    <xf numFmtId="0" fontId="32" fillId="0" borderId="113" xfId="0" applyFont="1" applyBorder="1"/>
    <xf numFmtId="3" fontId="24" fillId="0" borderId="19" xfId="28" applyNumberFormat="1" applyFont="1" applyFill="1" applyBorder="1" applyAlignment="1" applyProtection="1">
      <alignment horizontal="center" vertical="center" wrapText="1"/>
    </xf>
    <xf numFmtId="49" fontId="6" fillId="10" borderId="19" xfId="0" applyNumberFormat="1" applyFont="1" applyFill="1" applyBorder="1" applyAlignment="1" applyProtection="1">
      <alignment horizontal="center" vertical="center" wrapText="1"/>
    </xf>
    <xf numFmtId="3" fontId="24" fillId="0" borderId="2" xfId="28" applyNumberFormat="1" applyFont="1" applyBorder="1" applyAlignment="1" applyProtection="1">
      <alignment horizontal="center" vertical="center" wrapText="1"/>
    </xf>
    <xf numFmtId="0" fontId="24" fillId="0" borderId="26" xfId="28" applyFont="1" applyFill="1" applyBorder="1" applyAlignment="1">
      <alignment horizontal="left" vertical="center" wrapText="1"/>
    </xf>
    <xf numFmtId="3" fontId="24" fillId="0" borderId="26" xfId="28" applyNumberFormat="1" applyFont="1" applyFill="1" applyBorder="1" applyAlignment="1">
      <alignment horizontal="right" vertical="center" wrapText="1"/>
    </xf>
    <xf numFmtId="0" fontId="10" fillId="0" borderId="19" xfId="28" applyFont="1" applyFill="1" applyBorder="1" applyAlignment="1" applyProtection="1">
      <alignment horizontal="center" vertical="center" wrapText="1"/>
    </xf>
    <xf numFmtId="49" fontId="6" fillId="10" borderId="169" xfId="0" applyNumberFormat="1" applyFont="1" applyFill="1" applyBorder="1" applyAlignment="1" applyProtection="1">
      <alignment horizontal="center" vertical="center" wrapText="1"/>
    </xf>
    <xf numFmtId="3" fontId="32" fillId="10" borderId="22" xfId="28" applyNumberFormat="1" applyFont="1" applyFill="1" applyBorder="1" applyAlignment="1">
      <alignment horizontal="right" vertical="center" wrapText="1"/>
    </xf>
    <xf numFmtId="169" fontId="24" fillId="10" borderId="49" xfId="28" applyNumberFormat="1" applyFont="1" applyFill="1" applyBorder="1" applyAlignment="1">
      <alignment horizontal="center"/>
    </xf>
    <xf numFmtId="169" fontId="24" fillId="10" borderId="17" xfId="28" applyNumberFormat="1" applyFont="1" applyFill="1" applyBorder="1" applyAlignment="1">
      <alignment horizontal="center"/>
    </xf>
    <xf numFmtId="3" fontId="0" fillId="10" borderId="17" xfId="0" applyNumberFormat="1" applyFill="1" applyBorder="1"/>
    <xf numFmtId="3" fontId="24" fillId="10" borderId="51" xfId="28" applyNumberFormat="1" applyFont="1" applyFill="1" applyBorder="1"/>
    <xf numFmtId="0" fontId="106" fillId="0" borderId="10" xfId="25" applyFont="1" applyBorder="1"/>
    <xf numFmtId="3" fontId="106" fillId="0" borderId="11" xfId="25" applyNumberFormat="1" applyFont="1" applyBorder="1"/>
    <xf numFmtId="3" fontId="106" fillId="0" borderId="10" xfId="25" applyNumberFormat="1" applyFont="1" applyBorder="1"/>
    <xf numFmtId="3" fontId="6" fillId="11" borderId="17" xfId="0" applyNumberFormat="1" applyFont="1" applyFill="1" applyBorder="1" applyAlignment="1" applyProtection="1">
      <alignment vertical="center" wrapText="1"/>
    </xf>
    <xf numFmtId="0" fontId="6" fillId="0" borderId="33" xfId="0" applyFont="1" applyBorder="1" applyAlignment="1" applyProtection="1">
      <alignment horizontal="center" vertical="center"/>
      <protection locked="0"/>
    </xf>
    <xf numFmtId="0" fontId="6" fillId="10" borderId="34" xfId="0" applyFont="1" applyFill="1" applyBorder="1" applyAlignment="1" applyProtection="1">
      <alignment horizontal="center" vertical="center" wrapText="1"/>
    </xf>
    <xf numFmtId="0" fontId="15" fillId="0" borderId="34" xfId="28" applyFont="1" applyFill="1" applyBorder="1" applyAlignment="1" applyProtection="1">
      <alignment horizontal="center" vertical="center" wrapText="1"/>
    </xf>
    <xf numFmtId="3" fontId="19" fillId="0" borderId="21" xfId="0" applyNumberFormat="1" applyFont="1" applyFill="1" applyBorder="1" applyAlignment="1" applyProtection="1">
      <alignment horizontal="center" vertical="center" wrapText="1"/>
    </xf>
    <xf numFmtId="3" fontId="17" fillId="0" borderId="16" xfId="0" applyNumberFormat="1" applyFont="1" applyFill="1" applyBorder="1" applyAlignment="1" applyProtection="1">
      <alignment vertical="center" wrapText="1"/>
      <protection locked="0"/>
    </xf>
    <xf numFmtId="3" fontId="15" fillId="0" borderId="2" xfId="0" applyNumberFormat="1" applyFont="1" applyFill="1" applyBorder="1" applyAlignment="1" applyProtection="1">
      <alignment vertical="center" wrapText="1"/>
      <protection locked="0"/>
    </xf>
    <xf numFmtId="3" fontId="15" fillId="0" borderId="15" xfId="0" applyNumberFormat="1" applyFont="1" applyFill="1" applyBorder="1" applyAlignment="1" applyProtection="1">
      <alignment vertical="center" wrapText="1"/>
    </xf>
    <xf numFmtId="3" fontId="44" fillId="0" borderId="12" xfId="0" applyNumberFormat="1" applyFont="1" applyFill="1" applyBorder="1" applyAlignment="1" applyProtection="1">
      <alignment vertical="center" wrapText="1"/>
    </xf>
    <xf numFmtId="0" fontId="88" fillId="8" borderId="33" xfId="0" applyFont="1" applyFill="1" applyBorder="1" applyAlignment="1" applyProtection="1">
      <alignment horizontal="left" vertical="center" wrapText="1"/>
    </xf>
    <xf numFmtId="3" fontId="12" fillId="8" borderId="35" xfId="0" applyNumberFormat="1" applyFont="1" applyFill="1" applyBorder="1" applyAlignment="1" applyProtection="1">
      <alignment vertical="center" wrapText="1"/>
    </xf>
    <xf numFmtId="3" fontId="3" fillId="0" borderId="49" xfId="0" applyNumberFormat="1" applyFont="1" applyBorder="1"/>
    <xf numFmtId="0" fontId="3" fillId="0" borderId="49" xfId="0" applyFont="1" applyBorder="1"/>
    <xf numFmtId="3" fontId="3" fillId="0" borderId="61" xfId="0" applyNumberFormat="1" applyFont="1" applyBorder="1"/>
    <xf numFmtId="3" fontId="198" fillId="7" borderId="51" xfId="0" applyNumberFormat="1" applyFont="1" applyFill="1" applyBorder="1"/>
    <xf numFmtId="0" fontId="46" fillId="0" borderId="46" xfId="0" applyFont="1" applyBorder="1" applyAlignment="1" applyProtection="1">
      <alignment horizontal="left" vertical="center"/>
      <protection locked="0"/>
    </xf>
    <xf numFmtId="3" fontId="3" fillId="0" borderId="47" xfId="0" applyNumberFormat="1" applyFont="1" applyBorder="1"/>
    <xf numFmtId="3" fontId="3" fillId="0" borderId="18" xfId="0" applyNumberFormat="1" applyFont="1" applyBorder="1"/>
    <xf numFmtId="0" fontId="109" fillId="17" borderId="89" xfId="27" applyFont="1" applyFill="1" applyBorder="1" applyAlignment="1">
      <alignment horizontal="center" vertical="center" wrapText="1"/>
    </xf>
    <xf numFmtId="3" fontId="109" fillId="17" borderId="34" xfId="27" applyNumberFormat="1" applyFont="1" applyFill="1" applyBorder="1" applyAlignment="1">
      <alignment horizontal="center" vertical="center" wrapText="1"/>
    </xf>
    <xf numFmtId="0" fontId="50" fillId="0" borderId="35" xfId="0" applyFont="1" applyBorder="1" applyAlignment="1">
      <alignment horizontal="center" vertical="center" wrapText="1"/>
    </xf>
    <xf numFmtId="3" fontId="109" fillId="0" borderId="34" xfId="27" applyNumberFormat="1" applyFont="1" applyFill="1" applyBorder="1" applyAlignment="1">
      <alignment horizontal="center" vertical="center" wrapText="1"/>
    </xf>
    <xf numFmtId="3" fontId="203" fillId="0" borderId="26" xfId="27" applyNumberFormat="1" applyFont="1" applyBorder="1" applyAlignment="1">
      <alignment vertical="center"/>
    </xf>
    <xf numFmtId="0" fontId="0" fillId="0" borderId="22" xfId="0" applyBorder="1"/>
    <xf numFmtId="3" fontId="109" fillId="17" borderId="26" xfId="27" applyNumberFormat="1" applyFont="1" applyFill="1" applyBorder="1" applyAlignment="1">
      <alignment vertical="center"/>
    </xf>
    <xf numFmtId="0" fontId="208" fillId="17" borderId="39" xfId="27" applyFont="1" applyFill="1" applyBorder="1" applyAlignment="1">
      <alignment horizontal="center" vertical="center" wrapText="1"/>
    </xf>
    <xf numFmtId="3" fontId="109" fillId="17" borderId="39" xfId="27" applyNumberFormat="1" applyFont="1" applyFill="1" applyBorder="1" applyAlignment="1">
      <alignment horizontal="center" vertical="center" wrapText="1"/>
    </xf>
    <xf numFmtId="3" fontId="108" fillId="17" borderId="80" xfId="27" applyNumberFormat="1" applyFont="1" applyFill="1" applyBorder="1" applyAlignment="1">
      <alignment vertical="center"/>
    </xf>
    <xf numFmtId="3" fontId="108" fillId="17" borderId="82" xfId="27" applyNumberFormat="1" applyFont="1" applyFill="1" applyBorder="1" applyAlignment="1">
      <alignment vertical="center"/>
    </xf>
    <xf numFmtId="3" fontId="221" fillId="17" borderId="81" xfId="27" applyNumberFormat="1" applyFont="1" applyFill="1" applyBorder="1" applyAlignment="1">
      <alignment vertical="center"/>
    </xf>
    <xf numFmtId="3" fontId="52" fillId="17" borderId="49" xfId="0" applyNumberFormat="1" applyFont="1" applyFill="1" applyBorder="1"/>
    <xf numFmtId="3" fontId="22" fillId="17" borderId="49" xfId="0" applyNumberFormat="1" applyFont="1" applyFill="1" applyBorder="1"/>
    <xf numFmtId="3" fontId="108" fillId="17" borderId="49" xfId="27" applyNumberFormat="1" applyFont="1" applyFill="1" applyBorder="1" applyAlignment="1">
      <alignment vertical="center"/>
    </xf>
    <xf numFmtId="3" fontId="108" fillId="17" borderId="41" xfId="27" applyNumberFormat="1" applyFont="1" applyFill="1" applyBorder="1" applyAlignment="1">
      <alignment vertical="center"/>
    </xf>
    <xf numFmtId="3" fontId="108" fillId="17" borderId="16" xfId="27" applyNumberFormat="1" applyFont="1" applyFill="1" applyBorder="1" applyAlignment="1">
      <alignment vertical="center"/>
    </xf>
    <xf numFmtId="3" fontId="52" fillId="17" borderId="11" xfId="0" applyNumberFormat="1" applyFont="1" applyFill="1" applyBorder="1"/>
    <xf numFmtId="3" fontId="108" fillId="17" borderId="11" xfId="27" applyNumberFormat="1" applyFont="1" applyFill="1" applyBorder="1" applyAlignment="1">
      <alignment vertical="center"/>
    </xf>
    <xf numFmtId="3" fontId="22" fillId="17" borderId="11" xfId="0" applyNumberFormat="1" applyFont="1" applyFill="1" applyBorder="1"/>
    <xf numFmtId="3" fontId="52" fillId="17" borderId="60" xfId="0" applyNumberFormat="1" applyFont="1" applyFill="1" applyBorder="1"/>
    <xf numFmtId="3" fontId="15" fillId="17" borderId="11" xfId="0" applyNumberFormat="1" applyFont="1" applyFill="1" applyBorder="1"/>
    <xf numFmtId="3" fontId="108" fillId="17" borderId="166" xfId="27" applyNumberFormat="1" applyFont="1" applyFill="1" applyBorder="1" applyAlignment="1">
      <alignment vertical="center"/>
    </xf>
    <xf numFmtId="3" fontId="108" fillId="0" borderId="49" xfId="27" applyNumberFormat="1" applyFont="1" applyFill="1" applyBorder="1" applyAlignment="1">
      <alignment vertical="center"/>
    </xf>
    <xf numFmtId="3" fontId="14" fillId="8" borderId="49" xfId="0" applyNumberFormat="1" applyFont="1" applyFill="1" applyBorder="1"/>
    <xf numFmtId="3" fontId="16" fillId="0" borderId="5" xfId="0" applyNumberFormat="1" applyFont="1" applyFill="1" applyBorder="1"/>
    <xf numFmtId="3" fontId="16" fillId="0" borderId="7" xfId="0" applyNumberFormat="1" applyFont="1" applyFill="1" applyBorder="1"/>
    <xf numFmtId="3" fontId="0" fillId="0" borderId="7" xfId="0" applyNumberFormat="1" applyFill="1" applyBorder="1"/>
    <xf numFmtId="3" fontId="14" fillId="0" borderId="7" xfId="0" applyNumberFormat="1" applyFont="1" applyFill="1" applyBorder="1"/>
    <xf numFmtId="3" fontId="108" fillId="0" borderId="7" xfId="27" applyNumberFormat="1" applyFont="1" applyFill="1" applyBorder="1" applyAlignment="1">
      <alignment vertical="center"/>
    </xf>
    <xf numFmtId="3" fontId="16" fillId="0" borderId="20" xfId="0" applyNumberFormat="1" applyFont="1" applyFill="1" applyBorder="1"/>
    <xf numFmtId="3" fontId="14" fillId="0" borderId="7" xfId="0" applyNumberFormat="1" applyFont="1" applyFill="1" applyBorder="1" applyAlignment="1">
      <alignment vertical="center"/>
    </xf>
    <xf numFmtId="3" fontId="12" fillId="0" borderId="18" xfId="0" applyNumberFormat="1" applyFont="1" applyFill="1" applyBorder="1"/>
    <xf numFmtId="3" fontId="16" fillId="8" borderId="120" xfId="0" applyNumberFormat="1" applyFont="1" applyFill="1" applyBorder="1"/>
    <xf numFmtId="3" fontId="0" fillId="8" borderId="49" xfId="0" applyNumberFormat="1" applyFill="1" applyBorder="1"/>
    <xf numFmtId="3" fontId="16" fillId="0" borderId="16" xfId="0" applyNumberFormat="1" applyFont="1" applyFill="1" applyBorder="1"/>
    <xf numFmtId="3" fontId="109" fillId="17" borderId="90" xfId="27" applyNumberFormat="1" applyFont="1" applyFill="1" applyBorder="1" applyAlignment="1">
      <alignment horizontal="center" vertical="center" wrapText="1"/>
    </xf>
    <xf numFmtId="3" fontId="108" fillId="17" borderId="20" xfId="27" applyNumberFormat="1" applyFont="1" applyFill="1" applyBorder="1" applyAlignment="1">
      <alignment vertical="center"/>
    </xf>
    <xf numFmtId="3" fontId="202" fillId="17" borderId="20" xfId="27" applyNumberFormat="1" applyFont="1" applyFill="1" applyBorder="1" applyAlignment="1">
      <alignment vertical="center"/>
    </xf>
    <xf numFmtId="3" fontId="203" fillId="17" borderId="20" xfId="27" applyNumberFormat="1" applyFont="1" applyFill="1" applyBorder="1" applyAlignment="1">
      <alignment vertical="center"/>
    </xf>
    <xf numFmtId="3" fontId="91" fillId="17" borderId="20" xfId="27" applyNumberFormat="1" applyFont="1" applyFill="1" applyBorder="1" applyAlignment="1">
      <alignment vertical="center"/>
    </xf>
    <xf numFmtId="3" fontId="223" fillId="17" borderId="61" xfId="27" applyNumberFormat="1" applyFont="1" applyFill="1" applyBorder="1" applyAlignment="1">
      <alignment vertical="center"/>
    </xf>
    <xf numFmtId="0" fontId="16" fillId="0" borderId="22" xfId="0" applyFont="1" applyBorder="1"/>
    <xf numFmtId="0" fontId="14" fillId="0" borderId="22" xfId="0" applyFont="1" applyBorder="1"/>
    <xf numFmtId="0" fontId="14" fillId="0" borderId="22" xfId="0" applyFont="1" applyBorder="1" applyAlignment="1">
      <alignment vertical="center"/>
    </xf>
    <xf numFmtId="0" fontId="208" fillId="17" borderId="82" xfId="27" applyFont="1" applyFill="1" applyBorder="1" applyAlignment="1">
      <alignment horizontal="center" vertical="center" wrapText="1"/>
    </xf>
    <xf numFmtId="3" fontId="0" fillId="0" borderId="5" xfId="0" applyNumberFormat="1" applyFill="1" applyBorder="1"/>
    <xf numFmtId="3" fontId="14" fillId="0" borderId="5" xfId="0" applyNumberFormat="1" applyFont="1" applyFill="1" applyBorder="1"/>
    <xf numFmtId="3" fontId="14" fillId="0" borderId="5" xfId="0" applyNumberFormat="1" applyFont="1" applyFill="1" applyBorder="1" applyAlignment="1">
      <alignment vertical="center"/>
    </xf>
    <xf numFmtId="0" fontId="203" fillId="0" borderId="27" xfId="27" applyFont="1" applyFill="1" applyBorder="1" applyAlignment="1">
      <alignment vertical="center"/>
    </xf>
    <xf numFmtId="0" fontId="203" fillId="0" borderId="27" xfId="27" applyFont="1" applyFill="1" applyBorder="1" applyAlignment="1">
      <alignment horizontal="left" vertical="center" indent="2"/>
    </xf>
    <xf numFmtId="0" fontId="215" fillId="0" borderId="0" xfId="27" applyFont="1" applyAlignment="1">
      <alignment vertical="center"/>
    </xf>
    <xf numFmtId="3" fontId="212" fillId="0" borderId="0" xfId="27" applyNumberFormat="1"/>
    <xf numFmtId="0" fontId="208" fillId="0" borderId="27" xfId="27" applyFont="1" applyFill="1" applyBorder="1" applyAlignment="1">
      <alignment vertical="center"/>
    </xf>
    <xf numFmtId="0" fontId="207" fillId="0" borderId="0" xfId="27" applyFont="1" applyAlignment="1">
      <alignment horizontal="left" vertical="center" wrapText="1"/>
    </xf>
    <xf numFmtId="3" fontId="15" fillId="10" borderId="23" xfId="0" applyNumberFormat="1" applyFont="1" applyFill="1" applyBorder="1" applyAlignment="1" applyProtection="1">
      <alignment horizontal="right" vertical="center" wrapText="1"/>
      <protection locked="0"/>
    </xf>
    <xf numFmtId="0" fontId="241" fillId="0" borderId="0" xfId="27" applyFont="1"/>
    <xf numFmtId="3" fontId="241" fillId="0" borderId="0" xfId="27" applyNumberFormat="1" applyFont="1"/>
    <xf numFmtId="0" fontId="242" fillId="0" borderId="0" xfId="27" applyFont="1"/>
    <xf numFmtId="0" fontId="15" fillId="0" borderId="35" xfId="0" applyFont="1" applyFill="1" applyBorder="1" applyAlignment="1" applyProtection="1">
      <alignment horizontal="center"/>
    </xf>
    <xf numFmtId="14" fontId="15" fillId="0" borderId="2" xfId="28" applyNumberFormat="1" applyFont="1" applyFill="1" applyBorder="1" applyAlignment="1" applyProtection="1">
      <alignment horizontal="center" vertical="center" wrapText="1"/>
    </xf>
    <xf numFmtId="3" fontId="17" fillId="0" borderId="49" xfId="0" applyNumberFormat="1" applyFont="1" applyFill="1" applyBorder="1" applyAlignment="1" applyProtection="1">
      <alignment vertical="center" wrapText="1"/>
      <protection locked="0"/>
    </xf>
    <xf numFmtId="3" fontId="17" fillId="0" borderId="5" xfId="0" applyNumberFormat="1" applyFont="1" applyFill="1" applyBorder="1" applyAlignment="1" applyProtection="1">
      <alignment vertical="center" wrapText="1"/>
      <protection locked="0"/>
    </xf>
    <xf numFmtId="3" fontId="22" fillId="0" borderId="18" xfId="0" applyNumberFormat="1" applyFont="1" applyFill="1" applyBorder="1" applyAlignment="1" applyProtection="1">
      <alignment vertical="center" wrapText="1"/>
      <protection locked="0"/>
    </xf>
    <xf numFmtId="3" fontId="22" fillId="0" borderId="7" xfId="0" applyNumberFormat="1" applyFont="1" applyFill="1" applyBorder="1" applyAlignment="1" applyProtection="1">
      <alignment vertical="center" wrapText="1"/>
      <protection locked="0"/>
    </xf>
    <xf numFmtId="3" fontId="22" fillId="0" borderId="9" xfId="0" applyNumberFormat="1" applyFont="1" applyFill="1" applyBorder="1" applyAlignment="1" applyProtection="1">
      <alignment vertical="center" wrapText="1"/>
      <protection locked="0"/>
    </xf>
    <xf numFmtId="3" fontId="15" fillId="0" borderId="31" xfId="0" applyNumberFormat="1" applyFont="1" applyFill="1" applyBorder="1" applyAlignment="1" applyProtection="1">
      <alignment vertical="center" wrapText="1"/>
    </xf>
    <xf numFmtId="0" fontId="0" fillId="0" borderId="0" xfId="0" applyFill="1"/>
    <xf numFmtId="3" fontId="209" fillId="8" borderId="26" xfId="27" applyNumberFormat="1" applyFont="1" applyFill="1" applyBorder="1" applyAlignment="1">
      <alignment vertical="center"/>
    </xf>
    <xf numFmtId="3" fontId="243" fillId="0" borderId="0" xfId="27" applyNumberFormat="1" applyFont="1" applyAlignment="1">
      <alignment horizontal="center" vertical="center" wrapText="1"/>
    </xf>
    <xf numFmtId="0" fontId="245" fillId="0" borderId="0" xfId="27" applyFont="1" applyAlignment="1">
      <alignment vertical="center"/>
    </xf>
    <xf numFmtId="0" fontId="244" fillId="0" borderId="0" xfId="27" applyFont="1" applyAlignment="1">
      <alignment vertical="center"/>
    </xf>
    <xf numFmtId="3" fontId="246" fillId="0" borderId="28" xfId="27" applyNumberFormat="1" applyFont="1" applyBorder="1" applyAlignment="1">
      <alignment vertical="center"/>
    </xf>
    <xf numFmtId="0" fontId="200" fillId="0" borderId="0" xfId="27" applyFont="1" applyBorder="1"/>
    <xf numFmtId="3" fontId="237" fillId="0" borderId="0" xfId="27" applyNumberFormat="1" applyFont="1" applyBorder="1" applyAlignment="1">
      <alignment horizontal="center" vertical="center" wrapText="1"/>
    </xf>
    <xf numFmtId="3" fontId="243" fillId="0" borderId="0" xfId="27" applyNumberFormat="1" applyFont="1" applyBorder="1" applyAlignment="1">
      <alignment horizontal="center" vertical="center" wrapText="1"/>
    </xf>
    <xf numFmtId="3" fontId="209" fillId="0" borderId="28" xfId="27" applyNumberFormat="1" applyFont="1" applyBorder="1" applyAlignment="1">
      <alignment vertical="center"/>
    </xf>
    <xf numFmtId="0" fontId="211" fillId="0" borderId="0" xfId="27" applyFont="1" applyBorder="1" applyAlignment="1">
      <alignment vertical="center"/>
    </xf>
    <xf numFmtId="3" fontId="3" fillId="0" borderId="17" xfId="0" applyNumberFormat="1" applyFont="1" applyFill="1" applyBorder="1" applyAlignment="1" applyProtection="1">
      <alignment vertical="center" wrapText="1"/>
      <protection locked="0"/>
    </xf>
    <xf numFmtId="3" fontId="3" fillId="11" borderId="17" xfId="0" applyNumberFormat="1" applyFont="1" applyFill="1" applyBorder="1" applyAlignment="1" applyProtection="1">
      <alignment vertical="center" wrapText="1"/>
    </xf>
    <xf numFmtId="166" fontId="3" fillId="0" borderId="17" xfId="0" applyNumberFormat="1" applyFont="1" applyFill="1" applyBorder="1" applyAlignment="1" applyProtection="1">
      <alignment wrapText="1"/>
      <protection locked="0"/>
    </xf>
    <xf numFmtId="3" fontId="11" fillId="10" borderId="49" xfId="15" applyNumberFormat="1" applyFont="1" applyFill="1" applyBorder="1" applyAlignment="1"/>
    <xf numFmtId="166" fontId="3" fillId="0" borderId="29" xfId="0" applyNumberFormat="1" applyFont="1" applyBorder="1" applyAlignment="1" applyProtection="1">
      <alignment wrapText="1"/>
      <protection locked="0"/>
    </xf>
    <xf numFmtId="3" fontId="24" fillId="3" borderId="49" xfId="28" applyNumberFormat="1" applyFont="1" applyFill="1" applyBorder="1" applyAlignment="1">
      <alignment horizontal="right"/>
    </xf>
    <xf numFmtId="3" fontId="24" fillId="11" borderId="17" xfId="28" applyNumberFormat="1" applyFont="1" applyFill="1" applyBorder="1" applyAlignment="1">
      <alignment horizontal="right"/>
    </xf>
    <xf numFmtId="3" fontId="45" fillId="10" borderId="55" xfId="0" applyNumberFormat="1" applyFont="1" applyFill="1" applyBorder="1" applyAlignment="1" applyProtection="1">
      <alignment vertical="center" wrapText="1"/>
      <protection locked="0"/>
    </xf>
    <xf numFmtId="3" fontId="24" fillId="0" borderId="170" xfId="25" applyNumberFormat="1" applyFont="1" applyFill="1" applyBorder="1" applyAlignment="1">
      <alignment horizontal="center" vertical="center" wrapText="1"/>
    </xf>
    <xf numFmtId="3" fontId="6" fillId="10" borderId="23" xfId="0" applyNumberFormat="1" applyFont="1" applyFill="1" applyBorder="1" applyAlignment="1" applyProtection="1">
      <alignment vertical="center" wrapText="1"/>
    </xf>
    <xf numFmtId="3" fontId="44" fillId="0" borderId="7" xfId="0" applyNumberFormat="1" applyFont="1" applyBorder="1" applyAlignment="1" applyProtection="1">
      <alignment vertical="center" wrapText="1"/>
    </xf>
    <xf numFmtId="0" fontId="15" fillId="7" borderId="160" xfId="0" applyFont="1" applyFill="1" applyBorder="1" applyAlignment="1" applyProtection="1">
      <alignment horizontal="center" vertical="center" wrapText="1"/>
    </xf>
    <xf numFmtId="3" fontId="109" fillId="17" borderId="51" xfId="27" applyNumberFormat="1" applyFont="1" applyFill="1" applyBorder="1" applyAlignment="1">
      <alignment horizontal="center" vertical="center" wrapText="1"/>
    </xf>
    <xf numFmtId="3" fontId="109" fillId="17" borderId="120" xfId="27" applyNumberFormat="1" applyFont="1" applyFill="1" applyBorder="1" applyAlignment="1">
      <alignment vertical="center"/>
    </xf>
    <xf numFmtId="3" fontId="209" fillId="17" borderId="120" xfId="27" applyNumberFormat="1" applyFont="1" applyFill="1" applyBorder="1" applyAlignment="1">
      <alignment vertical="center"/>
    </xf>
    <xf numFmtId="3" fontId="209" fillId="17" borderId="136" xfId="27" applyNumberFormat="1" applyFont="1" applyFill="1" applyBorder="1" applyAlignment="1">
      <alignment vertical="center"/>
    </xf>
    <xf numFmtId="3" fontId="207" fillId="17" borderId="62" xfId="27" applyNumberFormat="1" applyFont="1" applyFill="1" applyBorder="1"/>
    <xf numFmtId="3" fontId="109" fillId="17" borderId="40" xfId="27" applyNumberFormat="1" applyFont="1" applyFill="1" applyBorder="1" applyAlignment="1">
      <alignment horizontal="center" vertical="center" wrapText="1"/>
    </xf>
    <xf numFmtId="166" fontId="15" fillId="0" borderId="41" xfId="0" applyNumberFormat="1" applyFont="1" applyBorder="1" applyAlignment="1" applyProtection="1">
      <alignment horizontal="right" vertical="center" wrapText="1"/>
      <protection locked="0"/>
    </xf>
    <xf numFmtId="166" fontId="15" fillId="0" borderId="16" xfId="0" applyNumberFormat="1" applyFont="1" applyBorder="1" applyAlignment="1" applyProtection="1">
      <alignment horizontal="right" vertical="center" wrapText="1"/>
      <protection locked="0"/>
    </xf>
    <xf numFmtId="166" fontId="17" fillId="10" borderId="49" xfId="0" applyNumberFormat="1" applyFont="1" applyFill="1" applyBorder="1" applyAlignment="1" applyProtection="1">
      <alignment vertical="center" wrapText="1"/>
      <protection locked="0"/>
    </xf>
    <xf numFmtId="166" fontId="15" fillId="0" borderId="55" xfId="0" applyNumberFormat="1" applyFont="1" applyBorder="1" applyAlignment="1" applyProtection="1">
      <alignment horizontal="right" vertical="center" wrapText="1"/>
      <protection locked="0"/>
    </xf>
    <xf numFmtId="166" fontId="15" fillId="10" borderId="55" xfId="0" applyNumberFormat="1" applyFont="1" applyFill="1" applyBorder="1" applyAlignment="1" applyProtection="1">
      <alignment vertical="center" wrapText="1"/>
    </xf>
    <xf numFmtId="3" fontId="17" fillId="0" borderId="27" xfId="0" applyNumberFormat="1" applyFont="1" applyBorder="1" applyAlignment="1" applyProtection="1">
      <alignment horizontal="right" vertical="center" wrapText="1"/>
      <protection locked="0"/>
    </xf>
    <xf numFmtId="3" fontId="17" fillId="0" borderId="88" xfId="0" applyNumberFormat="1" applyFont="1" applyBorder="1" applyAlignment="1" applyProtection="1">
      <alignment horizontal="right" vertical="center" wrapText="1"/>
      <protection locked="0"/>
    </xf>
    <xf numFmtId="166" fontId="17" fillId="10" borderId="88" xfId="0" applyNumberFormat="1" applyFont="1" applyFill="1" applyBorder="1" applyAlignment="1" applyProtection="1">
      <alignment vertical="center" wrapText="1"/>
      <protection locked="0"/>
    </xf>
    <xf numFmtId="166" fontId="17" fillId="0" borderId="55" xfId="0" applyNumberFormat="1" applyFont="1" applyBorder="1" applyAlignment="1" applyProtection="1">
      <alignment vertical="center" wrapText="1"/>
      <protection locked="0"/>
    </xf>
    <xf numFmtId="166" fontId="17" fillId="0" borderId="88" xfId="0" applyNumberFormat="1" applyFont="1" applyBorder="1" applyAlignment="1" applyProtection="1">
      <alignment vertical="center" wrapText="1"/>
      <protection locked="0"/>
    </xf>
    <xf numFmtId="166" fontId="17" fillId="0" borderId="82" xfId="0" applyNumberFormat="1" applyFont="1" applyBorder="1" applyAlignment="1" applyProtection="1">
      <alignment vertical="center" wrapText="1"/>
      <protection locked="0"/>
    </xf>
    <xf numFmtId="166" fontId="17" fillId="0" borderId="44" xfId="0" applyNumberFormat="1" applyFont="1" applyBorder="1" applyAlignment="1" applyProtection="1">
      <alignment vertical="center" wrapText="1"/>
      <protection locked="0"/>
    </xf>
    <xf numFmtId="166" fontId="15" fillId="0" borderId="0" xfId="0" applyNumberFormat="1" applyFont="1" applyBorder="1" applyAlignment="1" applyProtection="1">
      <alignment horizontal="right" vertical="center" wrapText="1"/>
      <protection locked="0"/>
    </xf>
    <xf numFmtId="166" fontId="44" fillId="0" borderId="48" xfId="0" applyNumberFormat="1" applyFont="1" applyBorder="1" applyAlignment="1" applyProtection="1">
      <alignment horizontal="right" vertical="center" wrapText="1"/>
      <protection locked="0"/>
    </xf>
    <xf numFmtId="166" fontId="17" fillId="0" borderId="48" xfId="0" applyNumberFormat="1" applyFont="1" applyBorder="1" applyAlignment="1" applyProtection="1">
      <alignment horizontal="right" vertical="center" wrapText="1"/>
      <protection locked="0"/>
    </xf>
    <xf numFmtId="166" fontId="17" fillId="0" borderId="0" xfId="0" applyNumberFormat="1" applyFont="1" applyBorder="1" applyAlignment="1" applyProtection="1">
      <alignment horizontal="right" vertical="center" wrapText="1"/>
      <protection locked="0"/>
    </xf>
    <xf numFmtId="166" fontId="6" fillId="0" borderId="13" xfId="0" applyNumberFormat="1" applyFont="1" applyBorder="1" applyAlignment="1" applyProtection="1">
      <alignment horizontal="right" vertical="center" wrapText="1"/>
    </xf>
    <xf numFmtId="166" fontId="17" fillId="0" borderId="120" xfId="0" applyNumberFormat="1" applyFont="1" applyBorder="1" applyAlignment="1" applyProtection="1">
      <alignment horizontal="left" vertical="center" wrapText="1" indent="1"/>
      <protection locked="0"/>
    </xf>
    <xf numFmtId="166" fontId="17" fillId="0" borderId="49" xfId="0" applyNumberFormat="1" applyFont="1" applyBorder="1" applyAlignment="1" applyProtection="1">
      <alignment horizontal="left" vertical="center" wrapText="1" indent="1"/>
      <protection locked="0"/>
    </xf>
    <xf numFmtId="0" fontId="17" fillId="0" borderId="49" xfId="28" applyFont="1" applyBorder="1" applyAlignment="1" applyProtection="1">
      <alignment horizontal="left" vertical="center" wrapText="1" indent="1"/>
    </xf>
    <xf numFmtId="166" fontId="15" fillId="0" borderId="51" xfId="0" applyNumberFormat="1" applyFont="1" applyBorder="1" applyAlignment="1" applyProtection="1">
      <alignment horizontal="left" vertical="center" wrapText="1" indent="1"/>
    </xf>
    <xf numFmtId="166" fontId="17" fillId="0" borderId="136" xfId="0" applyNumberFormat="1" applyFont="1" applyBorder="1" applyAlignment="1" applyProtection="1">
      <alignment horizontal="left" vertical="center" wrapText="1" indent="1"/>
      <protection locked="0"/>
    </xf>
    <xf numFmtId="166" fontId="15" fillId="0" borderId="51" xfId="0" applyNumberFormat="1" applyFont="1" applyBorder="1" applyAlignment="1" applyProtection="1">
      <alignment horizontal="left" vertical="center" wrapText="1" indent="1"/>
      <protection locked="0"/>
    </xf>
    <xf numFmtId="3" fontId="49" fillId="0" borderId="0" xfId="0" applyNumberFormat="1" applyFont="1" applyAlignment="1">
      <alignment vertical="center" wrapText="1"/>
    </xf>
    <xf numFmtId="3" fontId="3" fillId="9" borderId="0" xfId="0" applyNumberFormat="1" applyFont="1" applyFill="1" applyAlignment="1">
      <alignment vertical="center" wrapText="1"/>
    </xf>
    <xf numFmtId="3" fontId="11" fillId="11" borderId="26" xfId="28" applyNumberFormat="1" applyFont="1" applyFill="1" applyBorder="1" applyAlignment="1"/>
    <xf numFmtId="0" fontId="0" fillId="0" borderId="49" xfId="0" applyBorder="1"/>
    <xf numFmtId="3" fontId="50" fillId="10" borderId="19" xfId="0" applyNumberFormat="1" applyFont="1" applyFill="1" applyBorder="1" applyAlignment="1" applyProtection="1">
      <alignment vertical="center" wrapText="1"/>
      <protection locked="0"/>
    </xf>
    <xf numFmtId="3" fontId="45" fillId="10" borderId="19" xfId="0" applyNumberFormat="1" applyFont="1" applyFill="1" applyBorder="1" applyAlignment="1" applyProtection="1">
      <alignment vertical="center" wrapText="1"/>
      <protection locked="0"/>
    </xf>
    <xf numFmtId="4" fontId="15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9" fontId="15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4" fontId="15" fillId="0" borderId="35" xfId="28" applyNumberFormat="1" applyFont="1" applyBorder="1" applyAlignment="1" applyProtection="1">
      <alignment horizontal="center" vertical="center" wrapText="1"/>
    </xf>
    <xf numFmtId="0" fontId="0" fillId="0" borderId="0" xfId="0" applyAlignment="1"/>
    <xf numFmtId="167" fontId="15" fillId="0" borderId="34" xfId="0" applyNumberFormat="1" applyFont="1" applyFill="1" applyBorder="1" applyAlignment="1" applyProtection="1">
      <alignment horizontal="center"/>
    </xf>
    <xf numFmtId="0" fontId="0" fillId="0" borderId="0" xfId="0"/>
    <xf numFmtId="49" fontId="6" fillId="10" borderId="23" xfId="0" applyNumberFormat="1" applyFont="1" applyFill="1" applyBorder="1" applyAlignment="1" applyProtection="1">
      <alignment horizontal="center" vertical="center" wrapText="1"/>
      <protection locked="0"/>
    </xf>
    <xf numFmtId="49" fontId="6" fillId="22" borderId="54" xfId="0" applyNumberFormat="1" applyFont="1" applyFill="1" applyBorder="1" applyAlignment="1" applyProtection="1">
      <alignment horizontal="center" vertical="center" wrapText="1"/>
      <protection locked="0"/>
    </xf>
    <xf numFmtId="3" fontId="24" fillId="22" borderId="17" xfId="28" applyNumberFormat="1" applyFont="1" applyFill="1" applyBorder="1" applyAlignment="1">
      <alignment horizontal="center" vertical="center" wrapText="1"/>
    </xf>
    <xf numFmtId="3" fontId="7" fillId="23" borderId="17" xfId="0" applyNumberFormat="1" applyFont="1" applyFill="1" applyBorder="1" applyAlignment="1" applyProtection="1">
      <alignment vertical="center" wrapText="1"/>
    </xf>
    <xf numFmtId="3" fontId="11" fillId="22" borderId="17" xfId="28" applyNumberFormat="1" applyFont="1" applyFill="1" applyBorder="1" applyAlignment="1"/>
    <xf numFmtId="3" fontId="12" fillId="23" borderId="17" xfId="0" applyNumberFormat="1" applyFont="1" applyFill="1" applyBorder="1" applyAlignment="1" applyProtection="1">
      <alignment vertical="center" wrapText="1"/>
    </xf>
    <xf numFmtId="3" fontId="11" fillId="23" borderId="17" xfId="28" applyNumberFormat="1" applyFont="1" applyFill="1" applyBorder="1" applyAlignment="1"/>
    <xf numFmtId="3" fontId="26" fillId="23" borderId="47" xfId="28" applyNumberFormat="1" applyFont="1" applyFill="1" applyBorder="1" applyAlignment="1">
      <alignment vertical="center"/>
    </xf>
    <xf numFmtId="3" fontId="24" fillId="22" borderId="49" xfId="28" applyNumberFormat="1" applyFont="1" applyFill="1" applyBorder="1"/>
    <xf numFmtId="3" fontId="32" fillId="22" borderId="26" xfId="28" applyNumberFormat="1" applyFont="1" applyFill="1" applyBorder="1" applyAlignment="1">
      <alignment horizontal="right" vertical="center" wrapText="1"/>
    </xf>
    <xf numFmtId="3" fontId="32" fillId="22" borderId="17" xfId="28" applyNumberFormat="1" applyFont="1" applyFill="1" applyBorder="1" applyAlignment="1">
      <alignment horizontal="right" vertical="center" wrapText="1"/>
    </xf>
    <xf numFmtId="3" fontId="32" fillId="22" borderId="29" xfId="28" applyNumberFormat="1" applyFont="1" applyFill="1" applyBorder="1" applyAlignment="1">
      <alignment horizontal="right" vertical="center" wrapText="1"/>
    </xf>
    <xf numFmtId="3" fontId="29" fillId="22" borderId="49" xfId="28" applyNumberFormat="1" applyFont="1" applyFill="1" applyBorder="1"/>
    <xf numFmtId="3" fontId="24" fillId="23" borderId="49" xfId="28" applyNumberFormat="1" applyFont="1" applyFill="1" applyBorder="1"/>
    <xf numFmtId="3" fontId="24" fillId="22" borderId="17" xfId="28" applyNumberFormat="1" applyFont="1" applyFill="1" applyBorder="1"/>
    <xf numFmtId="3" fontId="24" fillId="23" borderId="17" xfId="28" applyNumberFormat="1" applyFont="1" applyFill="1" applyBorder="1"/>
    <xf numFmtId="3" fontId="24" fillId="23" borderId="49" xfId="28" applyNumberFormat="1" applyFont="1" applyFill="1" applyBorder="1" applyAlignment="1">
      <alignment horizontal="right"/>
    </xf>
    <xf numFmtId="3" fontId="24" fillId="23" borderId="49" xfId="28" applyNumberFormat="1" applyFont="1" applyFill="1" applyBorder="1" applyAlignment="1">
      <alignment horizontal="center"/>
    </xf>
    <xf numFmtId="0" fontId="6" fillId="22" borderId="15" xfId="0" applyFont="1" applyFill="1" applyBorder="1" applyAlignment="1" applyProtection="1">
      <alignment horizontal="center" vertical="center" wrapText="1"/>
    </xf>
    <xf numFmtId="0" fontId="6" fillId="22" borderId="2" xfId="0" applyFont="1" applyFill="1" applyBorder="1" applyAlignment="1" applyProtection="1">
      <alignment horizontal="center" vertical="center" wrapText="1"/>
    </xf>
    <xf numFmtId="0" fontId="6" fillId="23" borderId="19" xfId="0" applyFont="1" applyFill="1" applyBorder="1" applyAlignment="1" applyProtection="1">
      <alignment horizontal="center" vertical="center" wrapText="1"/>
    </xf>
    <xf numFmtId="3" fontId="15" fillId="22" borderId="2" xfId="0" applyNumberFormat="1" applyFont="1" applyFill="1" applyBorder="1" applyAlignment="1" applyProtection="1">
      <alignment vertical="center" wrapText="1"/>
    </xf>
    <xf numFmtId="3" fontId="17" fillId="22" borderId="16" xfId="0" applyNumberFormat="1" applyFont="1" applyFill="1" applyBorder="1" applyAlignment="1" applyProtection="1">
      <alignment vertical="center" wrapText="1"/>
      <protection locked="0"/>
    </xf>
    <xf numFmtId="3" fontId="17" fillId="22" borderId="7" xfId="0" applyNumberFormat="1" applyFont="1" applyFill="1" applyBorder="1" applyAlignment="1" applyProtection="1">
      <alignment vertical="center" wrapText="1"/>
      <protection locked="0"/>
    </xf>
    <xf numFmtId="3" fontId="17" fillId="22" borderId="31" xfId="0" applyNumberFormat="1" applyFont="1" applyFill="1" applyBorder="1" applyAlignment="1" applyProtection="1">
      <alignment vertical="center" wrapText="1"/>
      <protection locked="0"/>
    </xf>
    <xf numFmtId="3" fontId="17" fillId="22" borderId="9" xfId="0" applyNumberFormat="1" applyFont="1" applyFill="1" applyBorder="1" applyAlignment="1" applyProtection="1">
      <alignment vertical="center" wrapText="1"/>
      <protection locked="0"/>
    </xf>
    <xf numFmtId="3" fontId="15" fillId="22" borderId="31" xfId="0" applyNumberFormat="1" applyFont="1" applyFill="1" applyBorder="1" applyAlignment="1" applyProtection="1">
      <alignment vertical="center" wrapText="1"/>
    </xf>
    <xf numFmtId="3" fontId="15" fillId="22" borderId="2" xfId="0" applyNumberFormat="1" applyFont="1" applyFill="1" applyBorder="1" applyAlignment="1" applyProtection="1">
      <alignment vertical="center" wrapText="1"/>
      <protection locked="0"/>
    </xf>
    <xf numFmtId="3" fontId="15" fillId="22" borderId="35" xfId="0" applyNumberFormat="1" applyFont="1" applyFill="1" applyBorder="1" applyAlignment="1" applyProtection="1">
      <alignment vertical="center" wrapText="1"/>
      <protection locked="0"/>
    </xf>
    <xf numFmtId="3" fontId="15" fillId="22" borderId="35" xfId="0" applyNumberFormat="1" applyFont="1" applyFill="1" applyBorder="1" applyAlignment="1" applyProtection="1">
      <alignment vertical="center" wrapText="1"/>
    </xf>
    <xf numFmtId="3" fontId="17" fillId="22" borderId="54" xfId="0" applyNumberFormat="1" applyFont="1" applyFill="1" applyBorder="1" applyAlignment="1" applyProtection="1">
      <alignment vertical="center" wrapText="1"/>
      <protection locked="0"/>
    </xf>
    <xf numFmtId="3" fontId="17" fillId="22" borderId="18" xfId="0" applyNumberFormat="1" applyFont="1" applyFill="1" applyBorder="1" applyAlignment="1" applyProtection="1">
      <alignment vertical="center" wrapText="1"/>
      <protection locked="0"/>
    </xf>
    <xf numFmtId="3" fontId="6" fillId="23" borderId="2" xfId="0" applyNumberFormat="1" applyFont="1" applyFill="1" applyBorder="1" applyAlignment="1" applyProtection="1">
      <alignment vertical="center" wrapText="1"/>
    </xf>
    <xf numFmtId="3" fontId="15" fillId="22" borderId="0" xfId="0" applyNumberFormat="1" applyFont="1" applyFill="1" applyBorder="1" applyAlignment="1" applyProtection="1">
      <alignment vertical="center" wrapText="1"/>
    </xf>
    <xf numFmtId="3" fontId="17" fillId="22" borderId="5" xfId="0" applyNumberFormat="1" applyFont="1" applyFill="1" applyBorder="1" applyAlignment="1" applyProtection="1">
      <alignment vertical="center" wrapText="1"/>
      <protection locked="0"/>
    </xf>
    <xf numFmtId="4" fontId="15" fillId="22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15" fillId="22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17" fillId="22" borderId="2" xfId="0" applyNumberFormat="1" applyFont="1" applyFill="1" applyBorder="1" applyAlignment="1" applyProtection="1">
      <alignment vertical="center" wrapText="1"/>
      <protection locked="0"/>
    </xf>
    <xf numFmtId="3" fontId="17" fillId="22" borderId="91" xfId="0" applyNumberFormat="1" applyFont="1" applyFill="1" applyBorder="1" applyAlignment="1" applyProtection="1">
      <alignment vertical="center" wrapText="1"/>
      <protection locked="0"/>
    </xf>
    <xf numFmtId="3" fontId="17" fillId="22" borderId="23" xfId="0" applyNumberFormat="1" applyFont="1" applyFill="1" applyBorder="1" applyAlignment="1" applyProtection="1">
      <alignment vertical="center" wrapText="1"/>
      <protection locked="0"/>
    </xf>
    <xf numFmtId="3" fontId="17" fillId="22" borderId="27" xfId="0" applyNumberFormat="1" applyFont="1" applyFill="1" applyBorder="1" applyAlignment="1" applyProtection="1">
      <alignment vertical="center" wrapText="1"/>
      <protection locked="0"/>
    </xf>
    <xf numFmtId="3" fontId="15" fillId="22" borderId="40" xfId="0" applyNumberFormat="1" applyFont="1" applyFill="1" applyBorder="1" applyAlignment="1" applyProtection="1">
      <alignment vertical="center" wrapText="1"/>
    </xf>
    <xf numFmtId="3" fontId="15" fillId="22" borderId="40" xfId="0" applyNumberFormat="1" applyFont="1" applyFill="1" applyBorder="1" applyAlignment="1" applyProtection="1">
      <alignment vertical="center" wrapText="1"/>
      <protection locked="0"/>
    </xf>
    <xf numFmtId="3" fontId="6" fillId="23" borderId="40" xfId="0" applyNumberFormat="1" applyFont="1" applyFill="1" applyBorder="1" applyAlignment="1" applyProtection="1">
      <alignment vertical="center" wrapText="1"/>
    </xf>
    <xf numFmtId="3" fontId="6" fillId="22" borderId="34" xfId="0" applyNumberFormat="1" applyFont="1" applyFill="1" applyBorder="1" applyAlignment="1" applyProtection="1">
      <alignment vertical="center" wrapText="1"/>
    </xf>
    <xf numFmtId="3" fontId="15" fillId="22" borderId="88" xfId="0" applyNumberFormat="1" applyFont="1" applyFill="1" applyBorder="1" applyAlignment="1" applyProtection="1">
      <alignment vertical="center" wrapText="1"/>
    </xf>
    <xf numFmtId="3" fontId="44" fillId="22" borderId="2" xfId="0" applyNumberFormat="1" applyFont="1" applyFill="1" applyBorder="1" applyAlignment="1" applyProtection="1">
      <alignment vertical="center" wrapText="1"/>
      <protection locked="0"/>
    </xf>
    <xf numFmtId="3" fontId="15" fillId="22" borderId="41" xfId="0" applyNumberFormat="1" applyFont="1" applyFill="1" applyBorder="1" applyAlignment="1" applyProtection="1">
      <alignment vertical="center" wrapText="1"/>
      <protection locked="0"/>
    </xf>
    <xf numFmtId="3" fontId="15" fillId="22" borderId="17" xfId="0" applyNumberFormat="1" applyFont="1" applyFill="1" applyBorder="1" applyAlignment="1" applyProtection="1">
      <alignment vertical="center" wrapText="1"/>
      <protection locked="0"/>
    </xf>
    <xf numFmtId="3" fontId="15" fillId="22" borderId="47" xfId="0" applyNumberFormat="1" applyFont="1" applyFill="1" applyBorder="1" applyAlignment="1" applyProtection="1">
      <alignment vertical="center" wrapText="1"/>
      <protection locked="0"/>
    </xf>
    <xf numFmtId="3" fontId="44" fillId="22" borderId="7" xfId="0" applyNumberFormat="1" applyFont="1" applyFill="1" applyBorder="1" applyAlignment="1" applyProtection="1">
      <alignment vertical="center" wrapText="1"/>
      <protection locked="0"/>
    </xf>
    <xf numFmtId="3" fontId="17" fillId="22" borderId="83" xfId="0" applyNumberFormat="1" applyFont="1" applyFill="1" applyBorder="1" applyAlignment="1" applyProtection="1">
      <alignment vertical="center" wrapText="1"/>
      <protection locked="0"/>
    </xf>
    <xf numFmtId="3" fontId="44" fillId="22" borderId="27" xfId="0" applyNumberFormat="1" applyFont="1" applyFill="1" applyBorder="1" applyAlignment="1" applyProtection="1">
      <alignment vertical="center" wrapText="1"/>
      <protection locked="0"/>
    </xf>
    <xf numFmtId="3" fontId="6" fillId="22" borderId="2" xfId="0" applyNumberFormat="1" applyFont="1" applyFill="1" applyBorder="1" applyAlignment="1" applyProtection="1">
      <alignment vertical="center" wrapText="1"/>
    </xf>
    <xf numFmtId="3" fontId="44" fillId="22" borderId="23" xfId="0" applyNumberFormat="1" applyFont="1" applyFill="1" applyBorder="1" applyAlignment="1" applyProtection="1">
      <alignment vertical="center" wrapText="1"/>
      <protection locked="0"/>
    </xf>
    <xf numFmtId="3" fontId="44" fillId="22" borderId="5" xfId="0" applyNumberFormat="1" applyFont="1" applyFill="1" applyBorder="1" applyAlignment="1" applyProtection="1">
      <alignment vertical="center" wrapText="1"/>
      <protection locked="0"/>
    </xf>
    <xf numFmtId="3" fontId="44" fillId="22" borderId="9" xfId="0" applyNumberFormat="1" applyFont="1" applyFill="1" applyBorder="1" applyAlignment="1" applyProtection="1">
      <alignment vertical="center" wrapText="1"/>
      <protection locked="0"/>
    </xf>
    <xf numFmtId="3" fontId="6" fillId="23" borderId="88" xfId="0" applyNumberFormat="1" applyFont="1" applyFill="1" applyBorder="1" applyAlignment="1" applyProtection="1">
      <alignment vertical="center" wrapText="1"/>
    </xf>
    <xf numFmtId="0" fontId="6" fillId="22" borderId="78" xfId="0" applyFont="1" applyFill="1" applyBorder="1" applyAlignment="1" applyProtection="1">
      <alignment horizontal="center" vertical="center" wrapText="1"/>
    </xf>
    <xf numFmtId="0" fontId="6" fillId="22" borderId="23" xfId="0" applyFont="1" applyFill="1" applyBorder="1" applyAlignment="1" applyProtection="1">
      <alignment horizontal="center" vertical="center" wrapText="1"/>
    </xf>
    <xf numFmtId="3" fontId="6" fillId="23" borderId="23" xfId="0" applyNumberFormat="1" applyFont="1" applyFill="1" applyBorder="1" applyAlignment="1" applyProtection="1">
      <alignment vertical="center" wrapText="1"/>
    </xf>
    <xf numFmtId="166" fontId="15" fillId="22" borderId="23" xfId="0" applyNumberFormat="1" applyFont="1" applyFill="1" applyBorder="1" applyAlignment="1" applyProtection="1">
      <alignment vertical="center" wrapText="1"/>
    </xf>
    <xf numFmtId="3" fontId="17" fillId="22" borderId="55" xfId="0" applyNumberFormat="1" applyFont="1" applyFill="1" applyBorder="1" applyAlignment="1" applyProtection="1">
      <alignment vertical="center" wrapText="1"/>
      <protection locked="0"/>
    </xf>
    <xf numFmtId="3" fontId="17" fillId="22" borderId="30" xfId="0" applyNumberFormat="1" applyFont="1" applyFill="1" applyBorder="1" applyAlignment="1" applyProtection="1">
      <alignment vertical="center" wrapText="1"/>
      <protection locked="0"/>
    </xf>
    <xf numFmtId="3" fontId="15" fillId="22" borderId="23" xfId="0" applyNumberFormat="1" applyFont="1" applyFill="1" applyBorder="1" applyAlignment="1" applyProtection="1">
      <alignment vertical="center" wrapText="1"/>
    </xf>
    <xf numFmtId="3" fontId="15" fillId="22" borderId="23" xfId="0" applyNumberFormat="1" applyFont="1" applyFill="1" applyBorder="1" applyAlignment="1" applyProtection="1">
      <alignment vertical="center" wrapText="1"/>
      <protection locked="0"/>
    </xf>
    <xf numFmtId="3" fontId="15" fillId="22" borderId="55" xfId="0" applyNumberFormat="1" applyFont="1" applyFill="1" applyBorder="1" applyAlignment="1" applyProtection="1">
      <alignment vertical="center" wrapText="1"/>
      <protection locked="0"/>
    </xf>
    <xf numFmtId="3" fontId="15" fillId="22" borderId="27" xfId="0" applyNumberFormat="1" applyFont="1" applyFill="1" applyBorder="1" applyAlignment="1" applyProtection="1">
      <alignment vertical="center" wrapText="1"/>
      <protection locked="0"/>
    </xf>
    <xf numFmtId="3" fontId="15" fillId="22" borderId="88" xfId="0" applyNumberFormat="1" applyFont="1" applyFill="1" applyBorder="1" applyAlignment="1" applyProtection="1">
      <alignment vertical="center" wrapText="1"/>
      <protection locked="0"/>
    </xf>
    <xf numFmtId="3" fontId="17" fillId="22" borderId="78" xfId="0" applyNumberFormat="1" applyFont="1" applyFill="1" applyBorder="1" applyAlignment="1" applyProtection="1">
      <alignment vertical="center" wrapText="1"/>
      <protection locked="0"/>
    </xf>
    <xf numFmtId="3" fontId="17" fillId="22" borderId="25" xfId="0" applyNumberFormat="1" applyFont="1" applyFill="1" applyBorder="1" applyAlignment="1" applyProtection="1">
      <alignment vertical="center" wrapText="1"/>
      <protection locked="0"/>
    </xf>
    <xf numFmtId="4" fontId="15" fillId="22" borderId="23" xfId="0" applyNumberFormat="1" applyFont="1" applyFill="1" applyBorder="1" applyAlignment="1" applyProtection="1">
      <alignment horizontal="right" vertical="center" wrapText="1" indent="1"/>
      <protection locked="0"/>
    </xf>
    <xf numFmtId="3" fontId="15" fillId="22" borderId="23" xfId="0" applyNumberFormat="1" applyFont="1" applyFill="1" applyBorder="1" applyAlignment="1" applyProtection="1">
      <alignment horizontal="right" vertical="center" wrapText="1" indent="1"/>
      <protection locked="0"/>
    </xf>
    <xf numFmtId="3" fontId="17" fillId="22" borderId="88" xfId="0" applyNumberFormat="1" applyFont="1" applyFill="1" applyBorder="1" applyAlignment="1" applyProtection="1">
      <alignment vertical="center" wrapText="1"/>
      <protection locked="0"/>
    </xf>
    <xf numFmtId="3" fontId="15" fillId="22" borderId="30" xfId="0" applyNumberFormat="1" applyFont="1" applyFill="1" applyBorder="1" applyAlignment="1" applyProtection="1">
      <alignment vertical="center" wrapText="1"/>
    </xf>
    <xf numFmtId="3" fontId="15" fillId="22" borderId="90" xfId="0" applyNumberFormat="1" applyFont="1" applyFill="1" applyBorder="1" applyAlignment="1" applyProtection="1">
      <alignment vertical="center" wrapText="1"/>
    </xf>
    <xf numFmtId="3" fontId="15" fillId="22" borderId="90" xfId="0" applyNumberFormat="1" applyFont="1" applyFill="1" applyBorder="1" applyAlignment="1" applyProtection="1">
      <alignment vertical="center" wrapText="1"/>
      <protection locked="0"/>
    </xf>
    <xf numFmtId="3" fontId="15" fillId="22" borderId="25" xfId="0" applyNumberFormat="1" applyFont="1" applyFill="1" applyBorder="1" applyAlignment="1" applyProtection="1">
      <alignment vertical="center" wrapText="1"/>
      <protection locked="0"/>
    </xf>
    <xf numFmtId="3" fontId="15" fillId="22" borderId="91" xfId="0" applyNumberFormat="1" applyFont="1" applyFill="1" applyBorder="1" applyAlignment="1" applyProtection="1">
      <alignment vertical="center" wrapText="1"/>
      <protection locked="0"/>
    </xf>
    <xf numFmtId="3" fontId="52" fillId="22" borderId="27" xfId="0" applyNumberFormat="1" applyFont="1" applyFill="1" applyBorder="1" applyAlignment="1" applyProtection="1">
      <alignment vertical="center" wrapText="1"/>
      <protection locked="0"/>
    </xf>
    <xf numFmtId="3" fontId="6" fillId="23" borderId="35" xfId="0" applyNumberFormat="1" applyFont="1" applyFill="1" applyBorder="1" applyAlignment="1" applyProtection="1">
      <alignment vertical="center" wrapText="1"/>
    </xf>
    <xf numFmtId="3" fontId="17" fillId="23" borderId="7" xfId="0" applyNumberFormat="1" applyFont="1" applyFill="1" applyBorder="1" applyAlignment="1" applyProtection="1">
      <alignment vertical="center" wrapText="1"/>
      <protection locked="0"/>
    </xf>
    <xf numFmtId="3" fontId="15" fillId="22" borderId="54" xfId="0" applyNumberFormat="1" applyFont="1" applyFill="1" applyBorder="1" applyAlignment="1" applyProtection="1">
      <alignment vertical="center" wrapText="1"/>
    </xf>
    <xf numFmtId="3" fontId="45" fillId="22" borderId="23" xfId="0" applyNumberFormat="1" applyFont="1" applyFill="1" applyBorder="1" applyAlignment="1" applyProtection="1">
      <alignment vertical="center" wrapText="1"/>
      <protection locked="0"/>
    </xf>
    <xf numFmtId="3" fontId="15" fillId="22" borderId="15" xfId="0" applyNumberFormat="1" applyFont="1" applyFill="1" applyBorder="1" applyAlignment="1" applyProtection="1">
      <alignment vertical="center" wrapText="1"/>
    </xf>
    <xf numFmtId="3" fontId="46" fillId="23" borderId="40" xfId="0" applyNumberFormat="1" applyFont="1" applyFill="1" applyBorder="1" applyAlignment="1" applyProtection="1">
      <alignment vertical="center" wrapText="1"/>
    </xf>
    <xf numFmtId="3" fontId="46" fillId="23" borderId="90" xfId="0" applyNumberFormat="1" applyFont="1" applyFill="1" applyBorder="1" applyAlignment="1" applyProtection="1">
      <alignment vertical="center" wrapText="1"/>
    </xf>
    <xf numFmtId="3" fontId="45" fillId="22" borderId="2" xfId="0" applyNumberFormat="1" applyFont="1" applyFill="1" applyBorder="1" applyAlignment="1" applyProtection="1">
      <alignment vertical="center" wrapText="1"/>
      <protection locked="0"/>
    </xf>
    <xf numFmtId="3" fontId="44" fillId="22" borderId="18" xfId="0" applyNumberFormat="1" applyFont="1" applyFill="1" applyBorder="1" applyAlignment="1" applyProtection="1">
      <alignment vertical="center" wrapText="1"/>
    </xf>
    <xf numFmtId="3" fontId="17" fillId="22" borderId="40" xfId="0" applyNumberFormat="1" applyFont="1" applyFill="1" applyBorder="1" applyAlignment="1" applyProtection="1">
      <alignment vertical="center" wrapText="1"/>
      <protection locked="0"/>
    </xf>
    <xf numFmtId="3" fontId="45" fillId="22" borderId="2" xfId="0" applyNumberFormat="1" applyFont="1" applyFill="1" applyBorder="1" applyAlignment="1" applyProtection="1">
      <alignment vertical="center" wrapText="1"/>
    </xf>
    <xf numFmtId="3" fontId="46" fillId="23" borderId="2" xfId="0" applyNumberFormat="1" applyFont="1" applyFill="1" applyBorder="1" applyAlignment="1" applyProtection="1">
      <alignment vertical="center" wrapText="1"/>
    </xf>
    <xf numFmtId="3" fontId="50" fillId="23" borderId="2" xfId="0" applyNumberFormat="1" applyFont="1" applyFill="1" applyBorder="1" applyAlignment="1" applyProtection="1">
      <alignment vertical="center" wrapText="1"/>
    </xf>
    <xf numFmtId="49" fontId="6" fillId="0" borderId="186" xfId="0" applyNumberFormat="1" applyFont="1" applyBorder="1" applyAlignment="1" applyProtection="1">
      <alignment horizontal="center" vertical="center" wrapText="1"/>
      <protection locked="0"/>
    </xf>
    <xf numFmtId="0" fontId="0" fillId="0" borderId="187" xfId="0" applyBorder="1" applyAlignment="1">
      <alignment horizontal="center" vertical="center" wrapText="1"/>
    </xf>
    <xf numFmtId="0" fontId="38" fillId="0" borderId="135" xfId="28" applyFont="1" applyFill="1" applyBorder="1"/>
    <xf numFmtId="3" fontId="32" fillId="0" borderId="61" xfId="28" applyNumberFormat="1" applyFont="1" applyFill="1" applyBorder="1"/>
    <xf numFmtId="3" fontId="24" fillId="0" borderId="46" xfId="28" applyNumberFormat="1" applyFont="1" applyBorder="1" applyAlignment="1">
      <alignment horizontal="center" vertical="center" wrapText="1"/>
    </xf>
    <xf numFmtId="3" fontId="17" fillId="22" borderId="15" xfId="0" applyNumberFormat="1" applyFont="1" applyFill="1" applyBorder="1" applyAlignment="1" applyProtection="1">
      <alignment vertical="center" wrapText="1"/>
      <protection locked="0"/>
    </xf>
    <xf numFmtId="3" fontId="44" fillId="22" borderId="2" xfId="0" applyNumberFormat="1" applyFont="1" applyFill="1" applyBorder="1" applyAlignment="1" applyProtection="1">
      <alignment vertical="center" wrapText="1"/>
    </xf>
    <xf numFmtId="3" fontId="44" fillId="22" borderId="15" xfId="0" applyNumberFormat="1" applyFont="1" applyFill="1" applyBorder="1" applyAlignment="1" applyProtection="1">
      <alignment vertical="center" wrapText="1"/>
    </xf>
    <xf numFmtId="3" fontId="44" fillId="22" borderId="27" xfId="0" applyNumberFormat="1" applyFont="1" applyFill="1" applyBorder="1" applyAlignment="1" applyProtection="1">
      <alignment vertical="center" wrapText="1"/>
    </xf>
    <xf numFmtId="3" fontId="44" fillId="22" borderId="40" xfId="0" applyNumberFormat="1" applyFont="1" applyFill="1" applyBorder="1" applyAlignment="1" applyProtection="1">
      <alignment vertical="center" wrapText="1"/>
    </xf>
    <xf numFmtId="3" fontId="44" fillId="22" borderId="31" xfId="0" applyNumberFormat="1" applyFont="1" applyFill="1" applyBorder="1" applyAlignment="1" applyProtection="1">
      <alignment vertical="center" wrapText="1"/>
    </xf>
    <xf numFmtId="3" fontId="45" fillId="22" borderId="40" xfId="0" applyNumberFormat="1" applyFont="1" applyFill="1" applyBorder="1" applyAlignment="1" applyProtection="1">
      <alignment vertical="center" wrapText="1"/>
    </xf>
    <xf numFmtId="0" fontId="15" fillId="22" borderId="78" xfId="0" applyFont="1" applyFill="1" applyBorder="1" applyAlignment="1" applyProtection="1">
      <alignment horizontal="center" vertical="center" wrapText="1"/>
    </xf>
    <xf numFmtId="0" fontId="15" fillId="22" borderId="23" xfId="0" applyFont="1" applyFill="1" applyBorder="1" applyAlignment="1" applyProtection="1">
      <alignment horizontal="center" vertical="center" wrapText="1"/>
    </xf>
    <xf numFmtId="166" fontId="6" fillId="23" borderId="91" xfId="0" applyNumberFormat="1" applyFont="1" applyFill="1" applyBorder="1" applyAlignment="1" applyProtection="1">
      <alignment horizontal="center" vertical="center" wrapText="1"/>
    </xf>
    <xf numFmtId="3" fontId="22" fillId="22" borderId="27" xfId="0" applyNumberFormat="1" applyFont="1" applyFill="1" applyBorder="1" applyAlignment="1" applyProtection="1">
      <alignment vertical="center" wrapText="1"/>
      <protection locked="0"/>
    </xf>
    <xf numFmtId="3" fontId="22" fillId="22" borderId="88" xfId="0" applyNumberFormat="1" applyFont="1" applyFill="1" applyBorder="1" applyAlignment="1" applyProtection="1">
      <alignment vertical="center" wrapText="1"/>
      <protection locked="0"/>
    </xf>
    <xf numFmtId="166" fontId="6" fillId="23" borderId="23" xfId="0" applyNumberFormat="1" applyFont="1" applyFill="1" applyBorder="1" applyAlignment="1" applyProtection="1">
      <alignment horizontal="center" vertical="center" wrapText="1"/>
    </xf>
    <xf numFmtId="166" fontId="17" fillId="22" borderId="23" xfId="0" applyNumberFormat="1" applyFont="1" applyFill="1" applyBorder="1" applyAlignment="1" applyProtection="1">
      <alignment vertical="center" wrapText="1"/>
    </xf>
    <xf numFmtId="4" fontId="15" fillId="22" borderId="2" xfId="0" applyNumberFormat="1" applyFont="1" applyFill="1" applyBorder="1" applyAlignment="1" applyProtection="1">
      <alignment vertical="center" wrapText="1"/>
      <protection locked="0"/>
    </xf>
    <xf numFmtId="3" fontId="24" fillId="0" borderId="48" xfId="28" applyNumberFormat="1" applyFont="1" applyFill="1" applyBorder="1"/>
    <xf numFmtId="0" fontId="0" fillId="0" borderId="135" xfId="0" applyBorder="1"/>
    <xf numFmtId="3" fontId="24" fillId="3" borderId="11" xfId="28" applyNumberFormat="1" applyFont="1" applyFill="1" applyBorder="1" applyAlignment="1">
      <alignment horizontal="center"/>
    </xf>
    <xf numFmtId="0" fontId="0" fillId="22" borderId="17" xfId="0" applyFill="1" applyBorder="1"/>
    <xf numFmtId="3" fontId="32" fillId="22" borderId="49" xfId="28" applyNumberFormat="1" applyFont="1" applyFill="1" applyBorder="1"/>
    <xf numFmtId="3" fontId="32" fillId="22" borderId="17" xfId="28" applyNumberFormat="1" applyFont="1" applyFill="1" applyBorder="1"/>
    <xf numFmtId="3" fontId="29" fillId="22" borderId="17" xfId="28" applyNumberFormat="1" applyFont="1" applyFill="1" applyBorder="1"/>
    <xf numFmtId="3" fontId="49" fillId="0" borderId="17" xfId="0" applyNumberFormat="1" applyFont="1" applyBorder="1"/>
    <xf numFmtId="3" fontId="45" fillId="22" borderId="0" xfId="0" applyNumberFormat="1" applyFont="1" applyFill="1" applyAlignment="1">
      <alignment horizontal="center" vertical="center" wrapText="1"/>
    </xf>
    <xf numFmtId="3" fontId="0" fillId="0" borderId="69" xfId="0" applyNumberFormat="1" applyBorder="1"/>
    <xf numFmtId="3" fontId="0" fillId="0" borderId="69" xfId="0" applyNumberFormat="1" applyFill="1" applyBorder="1"/>
    <xf numFmtId="3" fontId="0" fillId="0" borderId="0" xfId="0" applyNumberFormat="1" applyBorder="1"/>
    <xf numFmtId="3" fontId="0" fillId="22" borderId="26" xfId="0" applyNumberFormat="1" applyFill="1" applyBorder="1"/>
    <xf numFmtId="3" fontId="0" fillId="22" borderId="17" xfId="0" applyNumberFormat="1" applyFill="1" applyBorder="1"/>
    <xf numFmtId="3" fontId="24" fillId="0" borderId="49" xfId="28" applyNumberFormat="1" applyFont="1" applyFill="1" applyBorder="1" applyAlignment="1">
      <alignment horizontal="center"/>
    </xf>
    <xf numFmtId="0" fontId="0" fillId="22" borderId="58" xfId="0" applyFill="1" applyBorder="1"/>
    <xf numFmtId="3" fontId="32" fillId="22" borderId="26" xfId="28" applyNumberFormat="1" applyFont="1" applyFill="1" applyBorder="1"/>
    <xf numFmtId="3" fontId="26" fillId="24" borderId="17" xfId="28" applyNumberFormat="1" applyFont="1" applyFill="1" applyBorder="1"/>
    <xf numFmtId="3" fontId="19" fillId="22" borderId="21" xfId="0" applyNumberFormat="1" applyFont="1" applyFill="1" applyBorder="1" applyAlignment="1" applyProtection="1">
      <alignment horizontal="center" vertical="center" wrapText="1"/>
    </xf>
    <xf numFmtId="3" fontId="12" fillId="22" borderId="2" xfId="0" applyNumberFormat="1" applyFont="1" applyFill="1" applyBorder="1" applyAlignment="1" applyProtection="1">
      <alignment vertical="center" wrapText="1"/>
    </xf>
    <xf numFmtId="166" fontId="15" fillId="22" borderId="0" xfId="0" applyNumberFormat="1" applyFont="1" applyFill="1" applyBorder="1" applyAlignment="1" applyProtection="1">
      <alignment vertical="center" wrapText="1"/>
    </xf>
    <xf numFmtId="166" fontId="15" fillId="22" borderId="35" xfId="0" applyNumberFormat="1" applyFont="1" applyFill="1" applyBorder="1" applyAlignment="1" applyProtection="1">
      <alignment horizontal="center" vertical="center" wrapText="1"/>
    </xf>
    <xf numFmtId="3" fontId="6" fillId="23" borderId="0" xfId="0" applyNumberFormat="1" applyFont="1" applyFill="1" applyBorder="1" applyAlignment="1" applyProtection="1">
      <alignment vertical="center" wrapText="1"/>
    </xf>
    <xf numFmtId="3" fontId="7" fillId="22" borderId="0" xfId="0" applyNumberFormat="1" applyFont="1" applyFill="1" applyAlignment="1" applyProtection="1">
      <alignment vertical="center" wrapText="1"/>
    </xf>
    <xf numFmtId="169" fontId="15" fillId="22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19" fillId="22" borderId="91" xfId="0" applyNumberFormat="1" applyFont="1" applyFill="1" applyBorder="1" applyAlignment="1" applyProtection="1">
      <alignment horizontal="center" vertical="center" wrapText="1"/>
    </xf>
    <xf numFmtId="3" fontId="12" fillId="22" borderId="23" xfId="0" applyNumberFormat="1" applyFont="1" applyFill="1" applyBorder="1" applyAlignment="1" applyProtection="1">
      <alignment vertical="center" wrapText="1"/>
    </xf>
    <xf numFmtId="3" fontId="44" fillId="22" borderId="25" xfId="0" applyNumberFormat="1" applyFont="1" applyFill="1" applyBorder="1" applyAlignment="1" applyProtection="1">
      <alignment vertical="center" wrapText="1"/>
    </xf>
    <xf numFmtId="3" fontId="44" fillId="22" borderId="88" xfId="0" applyNumberFormat="1" applyFont="1" applyFill="1" applyBorder="1" applyAlignment="1" applyProtection="1">
      <alignment vertical="center" wrapText="1"/>
    </xf>
    <xf numFmtId="3" fontId="6" fillId="22" borderId="30" xfId="0" applyNumberFormat="1" applyFont="1" applyFill="1" applyBorder="1" applyAlignment="1" applyProtection="1">
      <alignment vertical="center" wrapText="1"/>
      <protection locked="0"/>
    </xf>
    <xf numFmtId="3" fontId="6" fillId="22" borderId="23" xfId="0" applyNumberFormat="1" applyFont="1" applyFill="1" applyBorder="1" applyAlignment="1" applyProtection="1">
      <alignment vertical="center" wrapText="1"/>
      <protection locked="0"/>
    </xf>
    <xf numFmtId="3" fontId="22" fillId="22" borderId="91" xfId="0" applyNumberFormat="1" applyFont="1" applyFill="1" applyBorder="1" applyAlignment="1" applyProtection="1">
      <alignment vertical="center" wrapText="1"/>
      <protection locked="0"/>
    </xf>
    <xf numFmtId="3" fontId="23" fillId="22" borderId="23" xfId="0" applyNumberFormat="1" applyFont="1" applyFill="1" applyBorder="1" applyAlignment="1" applyProtection="1">
      <alignment vertical="center" wrapText="1"/>
    </xf>
    <xf numFmtId="3" fontId="12" fillId="22" borderId="34" xfId="0" applyNumberFormat="1" applyFont="1" applyFill="1" applyBorder="1" applyAlignment="1" applyProtection="1">
      <alignment vertical="center" wrapText="1"/>
    </xf>
    <xf numFmtId="0" fontId="6" fillId="0" borderId="13" xfId="0" applyFont="1" applyFill="1" applyBorder="1" applyAlignment="1" applyProtection="1">
      <alignment horizontal="center" vertical="center" wrapText="1"/>
    </xf>
    <xf numFmtId="3" fontId="19" fillId="0" borderId="44" xfId="0" applyNumberFormat="1" applyFont="1" applyFill="1" applyBorder="1" applyAlignment="1" applyProtection="1">
      <alignment horizontal="center" vertical="center" wrapText="1"/>
    </xf>
    <xf numFmtId="3" fontId="12" fillId="0" borderId="13" xfId="0" applyNumberFormat="1" applyFont="1" applyFill="1" applyBorder="1" applyAlignment="1" applyProtection="1">
      <alignment vertical="center" wrapText="1"/>
    </xf>
    <xf numFmtId="3" fontId="15" fillId="0" borderId="13" xfId="0" applyNumberFormat="1" applyFont="1" applyFill="1" applyBorder="1" applyAlignment="1" applyProtection="1">
      <alignment vertical="center" wrapText="1"/>
    </xf>
    <xf numFmtId="3" fontId="17" fillId="0" borderId="11" xfId="0" applyNumberFormat="1" applyFont="1" applyFill="1" applyBorder="1" applyAlignment="1" applyProtection="1">
      <alignment vertical="center" wrapText="1"/>
      <protection locked="0"/>
    </xf>
    <xf numFmtId="3" fontId="17" fillId="0" borderId="63" xfId="0" applyNumberFormat="1" applyFont="1" applyFill="1" applyBorder="1" applyAlignment="1" applyProtection="1">
      <alignment vertical="center" wrapText="1"/>
      <protection locked="0"/>
    </xf>
    <xf numFmtId="3" fontId="17" fillId="0" borderId="12" xfId="0" applyNumberFormat="1" applyFont="1" applyFill="1" applyBorder="1" applyAlignment="1" applyProtection="1">
      <alignment vertical="center" wrapText="1"/>
      <protection locked="0"/>
    </xf>
    <xf numFmtId="3" fontId="15" fillId="0" borderId="13" xfId="0" applyNumberFormat="1" applyFont="1" applyFill="1" applyBorder="1" applyAlignment="1" applyProtection="1">
      <alignment vertical="center" wrapText="1"/>
      <protection locked="0"/>
    </xf>
    <xf numFmtId="3" fontId="15" fillId="0" borderId="89" xfId="0" applyNumberFormat="1" applyFont="1" applyFill="1" applyBorder="1" applyAlignment="1" applyProtection="1">
      <alignment vertical="center" wrapText="1"/>
    </xf>
    <xf numFmtId="3" fontId="17" fillId="0" borderId="10" xfId="0" applyNumberFormat="1" applyFont="1" applyFill="1" applyBorder="1" applyAlignment="1" applyProtection="1">
      <alignment vertical="center" wrapText="1"/>
      <protection locked="0"/>
    </xf>
    <xf numFmtId="3" fontId="22" fillId="0" borderId="77" xfId="0" applyNumberFormat="1" applyFont="1" applyFill="1" applyBorder="1" applyAlignment="1" applyProtection="1">
      <alignment vertical="center" wrapText="1"/>
      <protection locked="0"/>
    </xf>
    <xf numFmtId="3" fontId="22" fillId="0" borderId="11" xfId="0" applyNumberFormat="1" applyFont="1" applyFill="1" applyBorder="1" applyAlignment="1" applyProtection="1">
      <alignment vertical="center" wrapText="1"/>
      <protection locked="0"/>
    </xf>
    <xf numFmtId="3" fontId="22" fillId="0" borderId="12" xfId="0" applyNumberFormat="1" applyFont="1" applyFill="1" applyBorder="1" applyAlignment="1" applyProtection="1">
      <alignment vertical="center" wrapText="1"/>
      <protection locked="0"/>
    </xf>
    <xf numFmtId="3" fontId="15" fillId="0" borderId="63" xfId="0" applyNumberFormat="1" applyFont="1" applyFill="1" applyBorder="1" applyAlignment="1" applyProtection="1">
      <alignment vertical="center" wrapText="1"/>
    </xf>
    <xf numFmtId="3" fontId="6" fillId="3" borderId="141" xfId="0" applyNumberFormat="1" applyFont="1" applyFill="1" applyBorder="1" applyAlignment="1" applyProtection="1">
      <alignment vertical="center" wrapText="1"/>
    </xf>
    <xf numFmtId="3" fontId="12" fillId="3" borderId="33" xfId="0" applyNumberFormat="1" applyFont="1" applyFill="1" applyBorder="1" applyAlignment="1" applyProtection="1">
      <alignment vertical="center" wrapText="1"/>
    </xf>
    <xf numFmtId="3" fontId="12" fillId="0" borderId="35" xfId="0" applyNumberFormat="1" applyFont="1" applyFill="1" applyBorder="1" applyAlignment="1" applyProtection="1">
      <alignment vertical="center" wrapText="1"/>
    </xf>
    <xf numFmtId="3" fontId="17" fillId="0" borderId="53" xfId="0" applyNumberFormat="1" applyFont="1" applyFill="1" applyBorder="1" applyAlignment="1" applyProtection="1">
      <alignment vertical="center" wrapText="1"/>
      <protection locked="0"/>
    </xf>
    <xf numFmtId="3" fontId="17" fillId="0" borderId="134" xfId="0" applyNumberFormat="1" applyFont="1" applyFill="1" applyBorder="1" applyAlignment="1" applyProtection="1">
      <alignment vertical="center" wrapText="1"/>
      <protection locked="0"/>
    </xf>
    <xf numFmtId="3" fontId="17" fillId="0" borderId="21" xfId="0" applyNumberFormat="1" applyFont="1" applyFill="1" applyBorder="1" applyAlignment="1" applyProtection="1">
      <alignment vertical="center" wrapText="1"/>
      <protection locked="0"/>
    </xf>
    <xf numFmtId="3" fontId="15" fillId="0" borderId="35" xfId="0" applyNumberFormat="1" applyFont="1" applyFill="1" applyBorder="1" applyAlignment="1" applyProtection="1">
      <alignment vertical="center" wrapText="1"/>
      <protection locked="0"/>
    </xf>
    <xf numFmtId="3" fontId="15" fillId="0" borderId="54" xfId="0" applyNumberFormat="1" applyFont="1" applyFill="1" applyBorder="1" applyAlignment="1" applyProtection="1">
      <alignment vertical="center" wrapText="1"/>
    </xf>
    <xf numFmtId="3" fontId="17" fillId="0" borderId="83" xfId="0" applyNumberFormat="1" applyFont="1" applyFill="1" applyBorder="1" applyAlignment="1" applyProtection="1">
      <alignment vertical="center" wrapText="1"/>
      <protection locked="0"/>
    </xf>
    <xf numFmtId="3" fontId="22" fillId="0" borderId="137" xfId="0" applyNumberFormat="1" applyFont="1" applyFill="1" applyBorder="1" applyAlignment="1" applyProtection="1">
      <alignment vertical="center" wrapText="1"/>
      <protection locked="0"/>
    </xf>
    <xf numFmtId="3" fontId="22" fillId="0" borderId="20" xfId="0" applyNumberFormat="1" applyFont="1" applyFill="1" applyBorder="1" applyAlignment="1" applyProtection="1">
      <alignment vertical="center" wrapText="1"/>
      <protection locked="0"/>
    </xf>
    <xf numFmtId="3" fontId="22" fillId="0" borderId="21" xfId="0" applyNumberFormat="1" applyFont="1" applyFill="1" applyBorder="1" applyAlignment="1" applyProtection="1">
      <alignment vertical="center" wrapText="1"/>
      <protection locked="0"/>
    </xf>
    <xf numFmtId="3" fontId="6" fillId="3" borderId="54" xfId="0" applyNumberFormat="1" applyFont="1" applyFill="1" applyBorder="1" applyAlignment="1" applyProtection="1">
      <alignment vertical="center" wrapText="1"/>
    </xf>
    <xf numFmtId="3" fontId="12" fillId="3" borderId="35" xfId="0" applyNumberFormat="1" applyFont="1" applyFill="1" applyBorder="1" applyAlignment="1" applyProtection="1">
      <alignment vertical="center" wrapText="1"/>
    </xf>
    <xf numFmtId="0" fontId="6" fillId="22" borderId="19" xfId="0" applyFont="1" applyFill="1" applyBorder="1" applyAlignment="1" applyProtection="1">
      <alignment horizontal="center" vertical="center" wrapText="1"/>
    </xf>
    <xf numFmtId="3" fontId="19" fillId="22" borderId="22" xfId="0" applyNumberFormat="1" applyFont="1" applyFill="1" applyBorder="1" applyAlignment="1" applyProtection="1">
      <alignment horizontal="center" vertical="center" wrapText="1"/>
    </xf>
    <xf numFmtId="3" fontId="0" fillId="22" borderId="23" xfId="0" applyNumberFormat="1" applyFill="1" applyBorder="1"/>
    <xf numFmtId="3" fontId="0" fillId="22" borderId="29" xfId="0" applyNumberFormat="1" applyFill="1" applyBorder="1"/>
    <xf numFmtId="3" fontId="0" fillId="25" borderId="26" xfId="0" applyNumberFormat="1" applyFill="1" applyBorder="1"/>
    <xf numFmtId="3" fontId="0" fillId="25" borderId="2" xfId="0" applyNumberFormat="1" applyFill="1" applyBorder="1"/>
    <xf numFmtId="0" fontId="15" fillId="25" borderId="0" xfId="0" applyFont="1" applyFill="1" applyBorder="1" applyAlignment="1" applyProtection="1">
      <alignment horizontal="center"/>
    </xf>
    <xf numFmtId="0" fontId="15" fillId="0" borderId="33" xfId="28" applyFont="1" applyFill="1" applyBorder="1" applyAlignment="1" applyProtection="1">
      <alignment horizontal="center" vertical="center" wrapText="1"/>
    </xf>
    <xf numFmtId="3" fontId="44" fillId="0" borderId="11" xfId="0" applyNumberFormat="1" applyFont="1" applyFill="1" applyBorder="1" applyAlignment="1" applyProtection="1">
      <alignment vertical="center" wrapText="1"/>
    </xf>
    <xf numFmtId="3" fontId="6" fillId="0" borderId="13" xfId="0" applyNumberFormat="1" applyFont="1" applyFill="1" applyBorder="1" applyAlignment="1" applyProtection="1">
      <alignment vertical="center" wrapText="1"/>
      <protection locked="0"/>
    </xf>
    <xf numFmtId="3" fontId="15" fillId="0" borderId="63" xfId="0" applyNumberFormat="1" applyFont="1" applyBorder="1" applyAlignment="1" applyProtection="1">
      <alignment vertical="center" wrapText="1"/>
    </xf>
    <xf numFmtId="3" fontId="6" fillId="6" borderId="144" xfId="0" applyNumberFormat="1" applyFont="1" applyFill="1" applyBorder="1" applyAlignment="1" applyProtection="1">
      <alignment vertical="center" wrapText="1"/>
    </xf>
    <xf numFmtId="166" fontId="15" fillId="8" borderId="34" xfId="0" applyNumberFormat="1" applyFont="1" applyFill="1" applyBorder="1" applyAlignment="1" applyProtection="1">
      <alignment horizontal="center" vertical="center" wrapText="1"/>
    </xf>
    <xf numFmtId="0" fontId="15" fillId="0" borderId="35" xfId="28" applyFont="1" applyFill="1" applyBorder="1" applyAlignment="1" applyProtection="1">
      <alignment horizontal="center" vertical="center" wrapText="1"/>
    </xf>
    <xf numFmtId="3" fontId="44" fillId="0" borderId="61" xfId="0" applyNumberFormat="1" applyFont="1" applyFill="1" applyBorder="1" applyAlignment="1" applyProtection="1">
      <alignment vertical="center" wrapText="1"/>
    </xf>
    <xf numFmtId="3" fontId="44" fillId="0" borderId="49" xfId="0" applyNumberFormat="1" applyFont="1" applyFill="1" applyBorder="1" applyAlignment="1" applyProtection="1">
      <alignment vertical="center" wrapText="1"/>
    </xf>
    <xf numFmtId="3" fontId="44" fillId="0" borderId="44" xfId="0" applyNumberFormat="1" applyFont="1" applyFill="1" applyBorder="1" applyAlignment="1" applyProtection="1">
      <alignment vertical="center" wrapText="1"/>
    </xf>
    <xf numFmtId="3" fontId="6" fillId="0" borderId="35" xfId="0" applyNumberFormat="1" applyFont="1" applyFill="1" applyBorder="1" applyAlignment="1" applyProtection="1">
      <alignment vertical="center" wrapText="1"/>
      <protection locked="0"/>
    </xf>
    <xf numFmtId="3" fontId="17" fillId="0" borderId="35" xfId="0" applyNumberFormat="1" applyFont="1" applyFill="1" applyBorder="1" applyAlignment="1" applyProtection="1">
      <alignment vertical="center" wrapText="1"/>
      <protection locked="0"/>
    </xf>
    <xf numFmtId="3" fontId="15" fillId="22" borderId="23" xfId="28" applyNumberFormat="1" applyFont="1" applyFill="1" applyBorder="1" applyAlignment="1" applyProtection="1">
      <alignment horizontal="center" vertical="center" wrapText="1"/>
    </xf>
    <xf numFmtId="3" fontId="6" fillId="22" borderId="23" xfId="0" applyNumberFormat="1" applyFont="1" applyFill="1" applyBorder="1" applyAlignment="1" applyProtection="1">
      <alignment horizontal="center" vertical="center" wrapText="1"/>
    </xf>
    <xf numFmtId="3" fontId="19" fillId="22" borderId="23" xfId="0" applyNumberFormat="1" applyFont="1" applyFill="1" applyBorder="1" applyAlignment="1" applyProtection="1">
      <alignment horizontal="center" vertical="center" wrapText="1"/>
    </xf>
    <xf numFmtId="3" fontId="198" fillId="22" borderId="23" xfId="0" applyNumberFormat="1" applyFont="1" applyFill="1" applyBorder="1" applyAlignment="1">
      <alignment vertical="center"/>
    </xf>
    <xf numFmtId="4" fontId="15" fillId="22" borderId="2" xfId="0" applyNumberFormat="1" applyFont="1" applyFill="1" applyBorder="1" applyAlignment="1" applyProtection="1">
      <alignment vertical="center" wrapText="1"/>
    </xf>
    <xf numFmtId="3" fontId="45" fillId="22" borderId="17" xfId="0" applyNumberFormat="1" applyFont="1" applyFill="1" applyBorder="1"/>
    <xf numFmtId="4" fontId="6" fillId="11" borderId="2" xfId="0" applyNumberFormat="1" applyFont="1" applyFill="1" applyBorder="1" applyAlignment="1" applyProtection="1">
      <alignment vertical="center" wrapText="1"/>
    </xf>
    <xf numFmtId="3" fontId="15" fillId="11" borderId="2" xfId="0" applyNumberFormat="1" applyFont="1" applyFill="1" applyBorder="1" applyAlignment="1" applyProtection="1">
      <alignment vertical="center" wrapText="1"/>
    </xf>
    <xf numFmtId="4" fontId="15" fillId="11" borderId="2" xfId="0" applyNumberFormat="1" applyFont="1" applyFill="1" applyBorder="1" applyAlignment="1" applyProtection="1">
      <alignment vertical="center" wrapText="1"/>
    </xf>
    <xf numFmtId="4" fontId="15" fillId="11" borderId="2" xfId="0" applyNumberFormat="1" applyFont="1" applyFill="1" applyBorder="1" applyAlignment="1" applyProtection="1">
      <alignment horizontal="center" vertical="center" wrapText="1"/>
    </xf>
    <xf numFmtId="3" fontId="44" fillId="22" borderId="90" xfId="0" applyNumberFormat="1" applyFont="1" applyFill="1" applyBorder="1" applyAlignment="1" applyProtection="1">
      <alignment vertical="center" wrapText="1"/>
    </xf>
    <xf numFmtId="3" fontId="44" fillId="23" borderId="40" xfId="0" applyNumberFormat="1" applyFont="1" applyFill="1" applyBorder="1" applyAlignment="1" applyProtection="1">
      <alignment vertical="center" wrapText="1"/>
    </xf>
    <xf numFmtId="3" fontId="29" fillId="22" borderId="17" xfId="28" applyNumberFormat="1" applyFont="1" applyFill="1" applyBorder="1" applyAlignment="1">
      <alignment horizontal="right" wrapText="1"/>
    </xf>
    <xf numFmtId="3" fontId="32" fillId="22" borderId="17" xfId="28" applyNumberFormat="1" applyFont="1" applyFill="1" applyBorder="1" applyAlignment="1">
      <alignment horizontal="right" wrapText="1"/>
    </xf>
    <xf numFmtId="3" fontId="25" fillId="10" borderId="61" xfId="15" applyNumberFormat="1" applyFont="1" applyFill="1" applyBorder="1"/>
    <xf numFmtId="3" fontId="26" fillId="10" borderId="49" xfId="15" applyNumberFormat="1" applyFont="1" applyFill="1" applyBorder="1"/>
    <xf numFmtId="0" fontId="50" fillId="26" borderId="23" xfId="0" applyFont="1" applyFill="1" applyBorder="1" applyAlignment="1">
      <alignment horizontal="center" vertical="center" wrapText="1"/>
    </xf>
    <xf numFmtId="3" fontId="109" fillId="26" borderId="2" xfId="27" applyNumberFormat="1" applyFont="1" applyFill="1" applyBorder="1" applyAlignment="1">
      <alignment horizontal="center" vertical="center" wrapText="1"/>
    </xf>
    <xf numFmtId="3" fontId="16" fillId="26" borderId="26" xfId="0" applyNumberFormat="1" applyFont="1" applyFill="1" applyBorder="1"/>
    <xf numFmtId="3" fontId="108" fillId="26" borderId="26" xfId="27" applyNumberFormat="1" applyFont="1" applyFill="1" applyBorder="1" applyAlignment="1">
      <alignment vertical="center"/>
    </xf>
    <xf numFmtId="3" fontId="16" fillId="26" borderId="5" xfId="0" applyNumberFormat="1" applyFont="1" applyFill="1" applyBorder="1"/>
    <xf numFmtId="3" fontId="16" fillId="26" borderId="17" xfId="0" applyNumberFormat="1" applyFont="1" applyFill="1" applyBorder="1"/>
    <xf numFmtId="3" fontId="108" fillId="26" borderId="17" xfId="27" applyNumberFormat="1" applyFont="1" applyFill="1" applyBorder="1" applyAlignment="1">
      <alignment vertical="center"/>
    </xf>
    <xf numFmtId="3" fontId="16" fillId="26" borderId="7" xfId="0" applyNumberFormat="1" applyFont="1" applyFill="1" applyBorder="1"/>
    <xf numFmtId="3" fontId="0" fillId="26" borderId="17" xfId="0" applyNumberFormat="1" applyFill="1" applyBorder="1"/>
    <xf numFmtId="3" fontId="202" fillId="26" borderId="17" xfId="27" applyNumberFormat="1" applyFont="1" applyFill="1" applyBorder="1" applyAlignment="1">
      <alignment vertical="center"/>
    </xf>
    <xf numFmtId="3" fontId="0" fillId="26" borderId="7" xfId="0" applyNumberFormat="1" applyFill="1" applyBorder="1"/>
    <xf numFmtId="3" fontId="14" fillId="26" borderId="17" xfId="0" applyNumberFormat="1" applyFont="1" applyFill="1" applyBorder="1"/>
    <xf numFmtId="3" fontId="203" fillId="26" borderId="17" xfId="27" applyNumberFormat="1" applyFont="1" applyFill="1" applyBorder="1" applyAlignment="1">
      <alignment vertical="center"/>
    </xf>
    <xf numFmtId="3" fontId="14" fillId="26" borderId="7" xfId="0" applyNumberFormat="1" applyFont="1" applyFill="1" applyBorder="1"/>
    <xf numFmtId="3" fontId="108" fillId="26" borderId="7" xfId="27" applyNumberFormat="1" applyFont="1" applyFill="1" applyBorder="1" applyAlignment="1">
      <alignment vertical="center"/>
    </xf>
    <xf numFmtId="3" fontId="16" fillId="26" borderId="49" xfId="0" applyNumberFormat="1" applyFont="1" applyFill="1" applyBorder="1"/>
    <xf numFmtId="3" fontId="14" fillId="26" borderId="17" xfId="0" applyNumberFormat="1" applyFont="1" applyFill="1" applyBorder="1" applyAlignment="1">
      <alignment vertical="center"/>
    </xf>
    <xf numFmtId="3" fontId="14" fillId="26" borderId="7" xfId="0" applyNumberFormat="1" applyFont="1" applyFill="1" applyBorder="1" applyAlignment="1">
      <alignment vertical="center"/>
    </xf>
    <xf numFmtId="3" fontId="91" fillId="26" borderId="17" xfId="27" applyNumberFormat="1" applyFont="1" applyFill="1" applyBorder="1" applyAlignment="1">
      <alignment vertical="center"/>
    </xf>
    <xf numFmtId="3" fontId="12" fillId="26" borderId="47" xfId="0" applyNumberFormat="1" applyFont="1" applyFill="1" applyBorder="1"/>
    <xf numFmtId="3" fontId="207" fillId="26" borderId="0" xfId="27" applyNumberFormat="1" applyFont="1" applyFill="1" applyBorder="1" applyAlignment="1">
      <alignment vertical="center"/>
    </xf>
    <xf numFmtId="0" fontId="212" fillId="26" borderId="0" xfId="27" applyFill="1" applyAlignment="1">
      <alignment vertical="center"/>
    </xf>
    <xf numFmtId="0" fontId="0" fillId="0" borderId="0" xfId="0"/>
    <xf numFmtId="0" fontId="109" fillId="27" borderId="30" xfId="27" applyFont="1" applyFill="1" applyBorder="1" applyAlignment="1">
      <alignment vertical="center"/>
    </xf>
    <xf numFmtId="0" fontId="109" fillId="0" borderId="27" xfId="27" applyFont="1" applyFill="1" applyBorder="1" applyAlignment="1">
      <alignment vertical="center"/>
    </xf>
    <xf numFmtId="0" fontId="39" fillId="0" borderId="12" xfId="28" applyFont="1" applyBorder="1"/>
    <xf numFmtId="0" fontId="39" fillId="0" borderId="44" xfId="28" applyFont="1" applyBorder="1"/>
    <xf numFmtId="0" fontId="29" fillId="0" borderId="29" xfId="28" applyFont="1" applyBorder="1" applyAlignment="1">
      <alignment horizontal="left" indent="2"/>
    </xf>
    <xf numFmtId="0" fontId="0" fillId="26" borderId="48" xfId="0" applyFill="1" applyBorder="1"/>
    <xf numFmtId="3" fontId="16" fillId="0" borderId="17" xfId="0" applyNumberFormat="1" applyFont="1" applyBorder="1"/>
    <xf numFmtId="0" fontId="27" fillId="26" borderId="48" xfId="28" applyFont="1" applyFill="1" applyBorder="1"/>
    <xf numFmtId="3" fontId="26" fillId="22" borderId="49" xfId="28" applyNumberFormat="1" applyFont="1" applyFill="1" applyBorder="1"/>
    <xf numFmtId="3" fontId="15" fillId="26" borderId="2" xfId="0" applyNumberFormat="1" applyFont="1" applyFill="1" applyBorder="1" applyAlignment="1" applyProtection="1">
      <alignment vertical="center" wrapText="1"/>
      <protection locked="0"/>
    </xf>
    <xf numFmtId="0" fontId="111" fillId="0" borderId="0" xfId="0" applyFont="1" applyAlignment="1">
      <alignment vertical="center"/>
    </xf>
    <xf numFmtId="0" fontId="111" fillId="0" borderId="0" xfId="0" applyFont="1" applyAlignment="1">
      <alignment horizontal="center" vertical="center" wrapText="1"/>
    </xf>
    <xf numFmtId="0" fontId="116" fillId="0" borderId="0" xfId="0" applyFont="1" applyAlignment="1">
      <alignment vertical="center"/>
    </xf>
    <xf numFmtId="3" fontId="247" fillId="0" borderId="0" xfId="0" applyNumberFormat="1" applyFont="1" applyAlignment="1">
      <alignment vertical="center" wrapText="1"/>
    </xf>
    <xf numFmtId="3" fontId="0" fillId="22" borderId="17" xfId="0" applyNumberFormat="1" applyFill="1" applyBorder="1" applyAlignment="1">
      <alignment vertical="center"/>
    </xf>
    <xf numFmtId="3" fontId="249" fillId="0" borderId="0" xfId="27" applyNumberFormat="1" applyFont="1" applyAlignment="1">
      <alignment horizontal="center" vertical="center" wrapText="1"/>
    </xf>
    <xf numFmtId="3" fontId="250" fillId="0" borderId="0" xfId="27" applyNumberFormat="1" applyFont="1"/>
    <xf numFmtId="3" fontId="250" fillId="0" borderId="0" xfId="27" applyNumberFormat="1" applyFont="1" applyAlignment="1">
      <alignment vertical="center"/>
    </xf>
    <xf numFmtId="0" fontId="251" fillId="0" borderId="0" xfId="27" applyFont="1" applyAlignment="1">
      <alignment vertical="center"/>
    </xf>
    <xf numFmtId="0" fontId="250" fillId="0" borderId="0" xfId="27" applyFont="1" applyAlignment="1">
      <alignment vertical="center"/>
    </xf>
    <xf numFmtId="0" fontId="248" fillId="0" borderId="0" xfId="27" applyFont="1" applyAlignment="1">
      <alignment horizontal="left"/>
    </xf>
    <xf numFmtId="3" fontId="109" fillId="0" borderId="17" xfId="27" applyNumberFormat="1" applyFont="1" applyBorder="1" applyAlignment="1">
      <alignment vertical="center"/>
    </xf>
    <xf numFmtId="3" fontId="50" fillId="22" borderId="23" xfId="0" applyNumberFormat="1" applyFont="1" applyFill="1" applyBorder="1"/>
    <xf numFmtId="3" fontId="0" fillId="0" borderId="0" xfId="0" applyNumberFormat="1" applyFill="1" applyAlignment="1">
      <alignment vertical="center" wrapText="1"/>
    </xf>
    <xf numFmtId="171" fontId="17" fillId="0" borderId="0" xfId="0" applyNumberFormat="1" applyFont="1" applyAlignment="1">
      <alignment vertical="center" wrapText="1"/>
    </xf>
    <xf numFmtId="4" fontId="32" fillId="0" borderId="49" xfId="28" applyNumberFormat="1" applyFont="1" applyBorder="1"/>
    <xf numFmtId="166" fontId="15" fillId="0" borderId="0" xfId="3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right"/>
    </xf>
    <xf numFmtId="0" fontId="6" fillId="0" borderId="17" xfId="31" applyFont="1" applyFill="1" applyBorder="1" applyAlignment="1">
      <alignment horizontal="center" vertical="center" wrapText="1"/>
    </xf>
    <xf numFmtId="0" fontId="0" fillId="0" borderId="46" xfId="31" applyFont="1" applyFill="1" applyBorder="1" applyAlignment="1">
      <alignment horizontal="center" vertical="center"/>
    </xf>
    <xf numFmtId="0" fontId="0" fillId="0" borderId="47" xfId="31" applyFont="1" applyFill="1" applyBorder="1" applyAlignment="1">
      <alignment horizontal="center" vertical="center"/>
    </xf>
    <xf numFmtId="0" fontId="0" fillId="0" borderId="18" xfId="31" applyFont="1" applyFill="1" applyBorder="1" applyAlignment="1">
      <alignment horizontal="center" vertical="center"/>
    </xf>
    <xf numFmtId="0" fontId="15" fillId="0" borderId="4" xfId="31" applyFont="1" applyFill="1" applyBorder="1" applyAlignment="1">
      <alignment horizontal="center" vertical="center"/>
    </xf>
    <xf numFmtId="0" fontId="3" fillId="0" borderId="26" xfId="31" applyFont="1" applyFill="1" applyBorder="1" applyAlignment="1" applyProtection="1">
      <alignment wrapText="1"/>
      <protection locked="0"/>
    </xf>
    <xf numFmtId="0" fontId="15" fillId="0" borderId="6" xfId="31" applyFont="1" applyFill="1" applyBorder="1" applyAlignment="1">
      <alignment horizontal="center" vertical="center"/>
    </xf>
    <xf numFmtId="0" fontId="3" fillId="0" borderId="17" xfId="31" applyFont="1" applyFill="1" applyBorder="1" applyAlignment="1" applyProtection="1">
      <alignment wrapText="1"/>
      <protection locked="0"/>
    </xf>
    <xf numFmtId="0" fontId="15" fillId="0" borderId="8" xfId="31" applyFont="1" applyFill="1" applyBorder="1" applyAlignment="1">
      <alignment horizontal="center" vertical="center"/>
    </xf>
    <xf numFmtId="0" fontId="3" fillId="0" borderId="29" xfId="31" applyFont="1" applyFill="1" applyBorder="1" applyAlignment="1" applyProtection="1">
      <alignment wrapText="1"/>
      <protection locked="0"/>
    </xf>
    <xf numFmtId="0" fontId="0" fillId="0" borderId="23" xfId="31" applyFont="1" applyFill="1" applyBorder="1" applyAlignment="1">
      <alignment horizontal="center" vertical="center"/>
    </xf>
    <xf numFmtId="0" fontId="6" fillId="0" borderId="23" xfId="31" applyFont="1" applyFill="1" applyBorder="1"/>
    <xf numFmtId="0" fontId="6" fillId="0" borderId="45" xfId="31" applyFont="1" applyFill="1" applyBorder="1" applyAlignment="1" applyProtection="1">
      <alignment horizontal="center" vertical="center" wrapText="1"/>
    </xf>
    <xf numFmtId="0" fontId="6" fillId="0" borderId="41" xfId="31" applyFont="1" applyFill="1" applyBorder="1" applyAlignment="1" applyProtection="1">
      <alignment horizontal="center" vertical="center" wrapText="1"/>
    </xf>
    <xf numFmtId="0" fontId="6" fillId="0" borderId="16" xfId="31" applyFont="1" applyFill="1" applyBorder="1" applyAlignment="1" applyProtection="1">
      <alignment horizontal="center" vertical="center" wrapText="1"/>
    </xf>
    <xf numFmtId="0" fontId="3" fillId="0" borderId="6" xfId="31" applyFont="1" applyFill="1" applyBorder="1" applyAlignment="1" applyProtection="1">
      <alignment horizontal="center" vertical="center"/>
    </xf>
    <xf numFmtId="0" fontId="3" fillId="0" borderId="17" xfId="31" applyFont="1" applyFill="1" applyBorder="1" applyAlignment="1" applyProtection="1">
      <alignment horizontal="center" vertical="center"/>
    </xf>
    <xf numFmtId="0" fontId="3" fillId="0" borderId="7" xfId="31" applyFont="1" applyFill="1" applyBorder="1" applyAlignment="1" applyProtection="1">
      <alignment horizontal="center" vertical="center"/>
    </xf>
    <xf numFmtId="0" fontId="9" fillId="0" borderId="6" xfId="31" applyFont="1" applyFill="1" applyBorder="1" applyAlignment="1" applyProtection="1">
      <alignment horizontal="center" vertical="center"/>
    </xf>
    <xf numFmtId="0" fontId="3" fillId="0" borderId="17" xfId="31" applyFont="1" applyFill="1" applyBorder="1" applyProtection="1"/>
    <xf numFmtId="173" fontId="3" fillId="0" borderId="17" xfId="6" applyNumberFormat="1" applyFont="1" applyFill="1" applyBorder="1" applyAlignment="1" applyProtection="1">
      <protection locked="0"/>
    </xf>
    <xf numFmtId="173" fontId="3" fillId="0" borderId="7" xfId="6" applyNumberFormat="1" applyFont="1" applyFill="1" applyBorder="1" applyAlignment="1" applyProtection="1">
      <protection locked="0"/>
    </xf>
    <xf numFmtId="0" fontId="3" fillId="0" borderId="17" xfId="31" applyFont="1" applyFill="1" applyBorder="1" applyAlignment="1" applyProtection="1">
      <alignment wrapText="1"/>
    </xf>
    <xf numFmtId="173" fontId="6" fillId="0" borderId="47" xfId="6" applyNumberFormat="1" applyFont="1" applyFill="1" applyBorder="1" applyAlignment="1" applyProtection="1"/>
    <xf numFmtId="173" fontId="6" fillId="0" borderId="18" xfId="6" applyNumberFormat="1" applyFont="1" applyFill="1" applyBorder="1" applyAlignment="1" applyProtection="1"/>
    <xf numFmtId="0" fontId="17" fillId="0" borderId="0" xfId="31" applyFont="1" applyFill="1"/>
    <xf numFmtId="0" fontId="6" fillId="28" borderId="45" xfId="31" applyFont="1" applyFill="1" applyBorder="1" applyAlignment="1" applyProtection="1">
      <alignment horizontal="center" vertical="center" wrapText="1"/>
    </xf>
    <xf numFmtId="0" fontId="6" fillId="28" borderId="41" xfId="31" applyFont="1" applyFill="1" applyBorder="1" applyAlignment="1" applyProtection="1">
      <alignment horizontal="center" vertical="center" wrapText="1"/>
    </xf>
    <xf numFmtId="0" fontId="6" fillId="28" borderId="16" xfId="31" applyFont="1" applyFill="1" applyBorder="1" applyAlignment="1" applyProtection="1">
      <alignment horizontal="center" vertical="center" wrapText="1"/>
    </xf>
    <xf numFmtId="0" fontId="3" fillId="28" borderId="6" xfId="31" applyFont="1" applyFill="1" applyBorder="1" applyAlignment="1" applyProtection="1">
      <alignment horizontal="center" vertical="center"/>
    </xf>
    <xf numFmtId="0" fontId="3" fillId="28" borderId="17" xfId="31" applyFont="1" applyFill="1" applyBorder="1" applyAlignment="1" applyProtection="1">
      <alignment horizontal="center" vertical="center"/>
    </xf>
    <xf numFmtId="0" fontId="3" fillId="28" borderId="7" xfId="31" applyFont="1" applyFill="1" applyBorder="1" applyAlignment="1" applyProtection="1">
      <alignment horizontal="center" vertical="center"/>
    </xf>
    <xf numFmtId="0" fontId="3" fillId="28" borderId="17" xfId="31" applyFont="1" applyFill="1" applyBorder="1" applyProtection="1">
      <protection locked="0"/>
    </xf>
    <xf numFmtId="172" fontId="3" fillId="28" borderId="7" xfId="1" applyNumberFormat="1" applyFont="1" applyFill="1" applyBorder="1" applyAlignment="1" applyProtection="1">
      <protection locked="0"/>
    </xf>
    <xf numFmtId="0" fontId="3" fillId="0" borderId="46" xfId="31" applyFont="1" applyFill="1" applyBorder="1" applyAlignment="1" applyProtection="1">
      <alignment horizontal="center" vertical="center"/>
    </xf>
    <xf numFmtId="0" fontId="6" fillId="0" borderId="47" xfId="31" applyFont="1" applyFill="1" applyBorder="1" applyAlignment="1" applyProtection="1">
      <alignment horizontal="left" vertical="center" wrapText="1"/>
    </xf>
    <xf numFmtId="172" fontId="3" fillId="0" borderId="18" xfId="1" applyNumberFormat="1" applyFont="1" applyFill="1" applyBorder="1" applyAlignment="1" applyProtection="1"/>
    <xf numFmtId="0" fontId="0" fillId="0" borderId="0" xfId="0"/>
    <xf numFmtId="0" fontId="16" fillId="0" borderId="45" xfId="0" applyFont="1" applyBorder="1" applyAlignment="1" applyProtection="1">
      <alignment horizontal="center" vertical="center" wrapText="1"/>
    </xf>
    <xf numFmtId="0" fontId="6" fillId="0" borderId="41" xfId="0" applyFont="1" applyBorder="1" applyAlignment="1" applyProtection="1">
      <alignment horizontal="center" vertical="center"/>
    </xf>
    <xf numFmtId="0" fontId="6" fillId="0" borderId="16" xfId="0" applyFont="1" applyBorder="1" applyAlignment="1" applyProtection="1">
      <alignment horizontal="center" wrapText="1"/>
    </xf>
    <xf numFmtId="0" fontId="17" fillId="0" borderId="6" xfId="0" applyFont="1" applyBorder="1" applyAlignment="1" applyProtection="1">
      <alignment horizontal="right" vertical="center" indent="1"/>
    </xf>
    <xf numFmtId="0" fontId="3" fillId="0" borderId="17" xfId="0" applyFont="1" applyBorder="1" applyAlignment="1" applyProtection="1">
      <alignment horizontal="left" vertical="center" indent="1"/>
      <protection locked="0"/>
    </xf>
    <xf numFmtId="3" fontId="24" fillId="0" borderId="7" xfId="28" applyNumberFormat="1" applyFont="1" applyBorder="1"/>
    <xf numFmtId="3" fontId="32" fillId="26" borderId="17" xfId="28" applyNumberFormat="1" applyFont="1" applyFill="1" applyBorder="1"/>
    <xf numFmtId="0" fontId="0" fillId="0" borderId="46" xfId="0" applyBorder="1"/>
    <xf numFmtId="0" fontId="48" fillId="26" borderId="47" xfId="0" applyFont="1" applyFill="1" applyBorder="1"/>
    <xf numFmtId="0" fontId="0" fillId="26" borderId="47" xfId="0" applyFill="1" applyBorder="1"/>
    <xf numFmtId="3" fontId="48" fillId="26" borderId="18" xfId="0" applyNumberFormat="1" applyFont="1" applyFill="1" applyBorder="1"/>
    <xf numFmtId="0" fontId="0" fillId="0" borderId="0" xfId="0"/>
    <xf numFmtId="166" fontId="47" fillId="0" borderId="0" xfId="32" applyNumberFormat="1" applyFill="1" applyAlignment="1">
      <alignment horizontal="center" vertical="center" wrapText="1"/>
    </xf>
    <xf numFmtId="166" fontId="47" fillId="0" borderId="0" xfId="32" applyNumberFormat="1" applyFill="1" applyAlignment="1">
      <alignment vertical="center" wrapText="1"/>
    </xf>
    <xf numFmtId="166" fontId="13" fillId="0" borderId="0" xfId="32" applyNumberFormat="1" applyFont="1" applyFill="1" applyAlignment="1">
      <alignment horizontal="right"/>
    </xf>
    <xf numFmtId="166" fontId="7" fillId="0" borderId="0" xfId="32" applyNumberFormat="1" applyFont="1" applyFill="1" applyAlignment="1">
      <alignment vertical="center"/>
    </xf>
    <xf numFmtId="166" fontId="7" fillId="0" borderId="77" xfId="32" applyNumberFormat="1" applyFont="1" applyFill="1" applyBorder="1" applyAlignment="1">
      <alignment horizontal="center" vertical="center"/>
    </xf>
    <xf numFmtId="166" fontId="7" fillId="0" borderId="18" xfId="32" applyNumberFormat="1" applyFont="1" applyFill="1" applyBorder="1" applyAlignment="1">
      <alignment horizontal="center" vertical="center" wrapText="1"/>
    </xf>
    <xf numFmtId="166" fontId="7" fillId="0" borderId="0" xfId="32" applyNumberFormat="1" applyFont="1" applyFill="1" applyAlignment="1">
      <alignment horizontal="center" vertical="center"/>
    </xf>
    <xf numFmtId="166" fontId="12" fillId="0" borderId="23" xfId="32" applyNumberFormat="1" applyFont="1" applyFill="1" applyBorder="1" applyAlignment="1">
      <alignment horizontal="center" vertical="center" wrapText="1"/>
    </xf>
    <xf numFmtId="166" fontId="12" fillId="0" borderId="0" xfId="32" applyNumberFormat="1" applyFont="1" applyFill="1" applyAlignment="1">
      <alignment horizontal="center" vertical="center" wrapText="1"/>
    </xf>
    <xf numFmtId="166" fontId="6" fillId="0" borderId="23" xfId="32" applyNumberFormat="1" applyFont="1" applyFill="1" applyBorder="1" applyAlignment="1">
      <alignment horizontal="center" vertical="center" wrapText="1"/>
    </xf>
    <xf numFmtId="166" fontId="6" fillId="0" borderId="23" xfId="32" applyNumberFormat="1" applyFont="1" applyFill="1" applyBorder="1" applyAlignment="1">
      <alignment horizontal="left" vertical="center" wrapText="1" indent="1"/>
    </xf>
    <xf numFmtId="166" fontId="3" fillId="0" borderId="23" xfId="32" applyNumberFormat="1" applyFont="1" applyFill="1" applyBorder="1" applyAlignment="1" applyProtection="1">
      <alignment horizontal="left" vertical="center" wrapText="1" indent="2"/>
    </xf>
    <xf numFmtId="166" fontId="3" fillId="0" borderId="23" xfId="32" applyNumberFormat="1" applyFont="1" applyFill="1" applyBorder="1" applyAlignment="1" applyProtection="1">
      <alignment vertical="center" wrapText="1"/>
    </xf>
    <xf numFmtId="166" fontId="3" fillId="0" borderId="23" xfId="32" applyNumberFormat="1" applyFont="1" applyFill="1" applyBorder="1" applyAlignment="1">
      <alignment vertical="center" wrapText="1"/>
    </xf>
    <xf numFmtId="166" fontId="3" fillId="0" borderId="0" xfId="32" applyNumberFormat="1" applyFont="1" applyFill="1" applyAlignment="1">
      <alignment vertical="center" wrapText="1"/>
    </xf>
    <xf numFmtId="166" fontId="3" fillId="0" borderId="23" xfId="32" applyNumberFormat="1" applyFont="1" applyFill="1" applyBorder="1" applyAlignment="1" applyProtection="1">
      <alignment horizontal="left" vertical="center" wrapText="1" indent="1"/>
      <protection locked="0"/>
    </xf>
    <xf numFmtId="174" fontId="3" fillId="0" borderId="23" xfId="32" applyNumberFormat="1" applyFont="1" applyFill="1" applyBorder="1" applyAlignment="1" applyProtection="1">
      <alignment horizontal="left" vertical="center" wrapText="1" indent="2"/>
      <protection locked="0"/>
    </xf>
    <xf numFmtId="166" fontId="3" fillId="0" borderId="23" xfId="32" applyNumberFormat="1" applyFont="1" applyFill="1" applyBorder="1" applyAlignment="1" applyProtection="1">
      <alignment vertical="center" wrapText="1"/>
      <protection locked="0"/>
    </xf>
    <xf numFmtId="166" fontId="6" fillId="0" borderId="23" xfId="32" applyNumberFormat="1" applyFont="1" applyFill="1" applyBorder="1" applyAlignment="1" applyProtection="1">
      <alignment horizontal="left" vertical="center" wrapText="1" indent="1"/>
      <protection locked="0"/>
    </xf>
    <xf numFmtId="166" fontId="11" fillId="0" borderId="23" xfId="32" applyNumberFormat="1" applyFont="1" applyFill="1" applyBorder="1" applyAlignment="1" applyProtection="1">
      <alignment horizontal="left" vertical="center" wrapText="1" indent="2"/>
    </xf>
    <xf numFmtId="166" fontId="11" fillId="0" borderId="23" xfId="32" applyNumberFormat="1" applyFont="1" applyFill="1" applyBorder="1" applyAlignment="1" applyProtection="1">
      <alignment vertical="center" wrapText="1"/>
    </xf>
    <xf numFmtId="166" fontId="11" fillId="0" borderId="23" xfId="32" applyNumberFormat="1" applyFont="1" applyFill="1" applyBorder="1" applyAlignment="1">
      <alignment vertical="center" wrapText="1"/>
    </xf>
    <xf numFmtId="166" fontId="3" fillId="0" borderId="23" xfId="32" applyNumberFormat="1" applyFont="1" applyFill="1" applyBorder="1" applyAlignment="1">
      <alignment horizontal="left" vertical="center" wrapText="1" indent="1"/>
    </xf>
    <xf numFmtId="174" fontId="11" fillId="0" borderId="23" xfId="32" applyNumberFormat="1" applyFont="1" applyFill="1" applyBorder="1" applyAlignment="1" applyProtection="1">
      <alignment horizontal="left" vertical="center" wrapText="1" indent="2"/>
      <protection locked="0"/>
    </xf>
    <xf numFmtId="166" fontId="11" fillId="0" borderId="23" xfId="32" applyNumberFormat="1" applyFont="1" applyFill="1" applyBorder="1" applyAlignment="1" applyProtection="1">
      <alignment vertical="center" wrapText="1"/>
      <protection locked="0"/>
    </xf>
    <xf numFmtId="3" fontId="11" fillId="0" borderId="23" xfId="16" applyNumberFormat="1" applyFont="1" applyBorder="1" applyAlignment="1">
      <alignment vertical="center"/>
    </xf>
    <xf numFmtId="166" fontId="3" fillId="0" borderId="0" xfId="32" applyNumberFormat="1" applyFont="1" applyFill="1" applyAlignment="1" applyProtection="1">
      <alignment vertical="center" wrapText="1"/>
      <protection locked="0"/>
    </xf>
    <xf numFmtId="166" fontId="3" fillId="29" borderId="23" xfId="32" applyNumberFormat="1" applyFont="1" applyFill="1" applyBorder="1" applyAlignment="1" applyProtection="1">
      <alignment horizontal="left" vertical="center" wrapText="1" indent="2"/>
    </xf>
    <xf numFmtId="166" fontId="48" fillId="0" borderId="0" xfId="32" applyNumberFormat="1" applyFont="1" applyFill="1" applyAlignment="1">
      <alignment vertical="center" wrapText="1"/>
    </xf>
    <xf numFmtId="166" fontId="21" fillId="0" borderId="45" xfId="0" applyNumberFormat="1" applyFont="1" applyFill="1" applyBorder="1" applyAlignment="1">
      <alignment vertical="center" wrapText="1"/>
    </xf>
    <xf numFmtId="166" fontId="21" fillId="0" borderId="41" xfId="0" applyNumberFormat="1" applyFont="1" applyFill="1" applyBorder="1" applyAlignment="1">
      <alignment vertical="center" wrapText="1"/>
    </xf>
    <xf numFmtId="166" fontId="6" fillId="0" borderId="16" xfId="0" applyNumberFormat="1" applyFont="1" applyFill="1" applyBorder="1" applyAlignment="1">
      <alignment horizontal="right" vertical="center"/>
    </xf>
    <xf numFmtId="0" fontId="6" fillId="0" borderId="6" xfId="0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 applyProtection="1">
      <alignment horizontal="center" vertical="center" wrapText="1"/>
    </xf>
    <xf numFmtId="0" fontId="6" fillId="0" borderId="7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8" fillId="0" borderId="17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32" fillId="0" borderId="6" xfId="0" applyFont="1" applyFill="1" applyBorder="1" applyAlignment="1" applyProtection="1">
      <alignment horizontal="left" vertical="center" wrapText="1" indent="1"/>
    </xf>
    <xf numFmtId="166" fontId="17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6" fontId="17" fillId="0" borderId="7" xfId="0" applyNumberFormat="1" applyFont="1" applyFill="1" applyBorder="1" applyAlignment="1" applyProtection="1">
      <alignment horizontal="right" vertical="center" wrapText="1" indent="1"/>
      <protection locked="0"/>
    </xf>
    <xf numFmtId="0" fontId="32" fillId="0" borderId="6" xfId="0" applyFont="1" applyFill="1" applyBorder="1" applyAlignment="1" applyProtection="1">
      <alignment horizontal="left" vertical="center" wrapText="1" indent="8"/>
    </xf>
    <xf numFmtId="0" fontId="9" fillId="0" borderId="6" xfId="0" applyFont="1" applyFill="1" applyBorder="1" applyAlignment="1" applyProtection="1">
      <alignment vertical="center" wrapText="1"/>
      <protection locked="0"/>
    </xf>
    <xf numFmtId="166" fontId="9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6" fontId="9" fillId="0" borderId="7" xfId="0" applyNumberFormat="1" applyFont="1" applyFill="1" applyBorder="1" applyAlignment="1" applyProtection="1">
      <alignment horizontal="right" vertical="center" wrapText="1" indent="1"/>
      <protection locked="0"/>
    </xf>
    <xf numFmtId="0" fontId="7" fillId="0" borderId="46" xfId="0" applyFont="1" applyFill="1" applyBorder="1" applyAlignment="1" applyProtection="1">
      <alignment vertical="center" wrapText="1"/>
    </xf>
    <xf numFmtId="166" fontId="7" fillId="0" borderId="47" xfId="0" applyNumberFormat="1" applyFont="1" applyFill="1" applyBorder="1" applyAlignment="1" applyProtection="1">
      <alignment vertical="center" wrapText="1"/>
    </xf>
    <xf numFmtId="166" fontId="7" fillId="0" borderId="18" xfId="0" applyNumberFormat="1" applyFont="1" applyFill="1" applyBorder="1" applyAlignment="1" applyProtection="1">
      <alignment vertical="center" wrapText="1"/>
    </xf>
    <xf numFmtId="166" fontId="22" fillId="0" borderId="0" xfId="28" applyNumberFormat="1" applyFont="1" applyAlignment="1">
      <alignment horizontal="center" vertical="center" wrapText="1"/>
    </xf>
    <xf numFmtId="166" fontId="22" fillId="0" borderId="0" xfId="28" applyNumberFormat="1" applyFont="1" applyAlignment="1">
      <alignment vertical="center" wrapText="1"/>
    </xf>
    <xf numFmtId="166" fontId="7" fillId="0" borderId="77" xfId="28" applyNumberFormat="1" applyFont="1" applyBorder="1" applyAlignment="1">
      <alignment horizontal="center" vertical="center"/>
    </xf>
    <xf numFmtId="166" fontId="7" fillId="0" borderId="18" xfId="28" applyNumberFormat="1" applyFont="1" applyBorder="1" applyAlignment="1">
      <alignment horizontal="center" vertical="center" wrapText="1"/>
    </xf>
    <xf numFmtId="166" fontId="12" fillId="0" borderId="33" xfId="28" applyNumberFormat="1" applyFont="1" applyBorder="1" applyAlignment="1">
      <alignment horizontal="center" vertical="center" wrapText="1"/>
    </xf>
    <xf numFmtId="166" fontId="12" fillId="0" borderId="23" xfId="28" applyNumberFormat="1" applyFont="1" applyBorder="1" applyAlignment="1">
      <alignment horizontal="center" vertical="center" wrapText="1"/>
    </xf>
    <xf numFmtId="166" fontId="12" fillId="0" borderId="13" xfId="28" applyNumberFormat="1" applyFont="1" applyBorder="1" applyAlignment="1">
      <alignment horizontal="center" vertical="center" wrapText="1"/>
    </xf>
    <xf numFmtId="166" fontId="12" fillId="0" borderId="2" xfId="28" applyNumberFormat="1" applyFont="1" applyBorder="1" applyAlignment="1">
      <alignment horizontal="center" vertical="center" wrapText="1"/>
    </xf>
    <xf numFmtId="166" fontId="6" fillId="0" borderId="24" xfId="28" applyNumberFormat="1" applyFont="1" applyBorder="1" applyAlignment="1">
      <alignment horizontal="center" vertical="center" wrapText="1"/>
    </xf>
    <xf numFmtId="166" fontId="6" fillId="0" borderId="23" xfId="28" applyNumberFormat="1" applyFont="1" applyBorder="1" applyAlignment="1">
      <alignment horizontal="left" vertical="center" wrapText="1" indent="1"/>
    </xf>
    <xf numFmtId="166" fontId="3" fillId="0" borderId="23" xfId="28" applyNumberFormat="1" applyFont="1" applyBorder="1" applyAlignment="1">
      <alignment horizontal="left" vertical="center" wrapText="1" indent="1"/>
    </xf>
    <xf numFmtId="166" fontId="3" fillId="0" borderId="51" xfId="28" applyNumberFormat="1" applyFont="1" applyBorder="1" applyAlignment="1">
      <alignment horizontal="left" vertical="center" wrapText="1" indent="1"/>
    </xf>
    <xf numFmtId="166" fontId="6" fillId="0" borderId="24" xfId="28" applyNumberFormat="1" applyFont="1" applyBorder="1" applyAlignment="1">
      <alignment vertical="center" wrapText="1"/>
    </xf>
    <xf numFmtId="166" fontId="6" fillId="0" borderId="19" xfId="28" applyNumberFormat="1" applyFont="1" applyBorder="1" applyAlignment="1">
      <alignment vertical="center" wrapText="1"/>
    </xf>
    <xf numFmtId="166" fontId="6" fillId="0" borderId="2" xfId="28" applyNumberFormat="1" applyFont="1" applyBorder="1" applyAlignment="1">
      <alignment vertical="center" wrapText="1"/>
    </xf>
    <xf numFmtId="166" fontId="6" fillId="0" borderId="6" xfId="28" applyNumberFormat="1" applyFont="1" applyBorder="1" applyAlignment="1">
      <alignment horizontal="center" vertical="center" wrapText="1"/>
    </xf>
    <xf numFmtId="166" fontId="3" fillId="0" borderId="27" xfId="28" applyNumberFormat="1" applyFont="1" applyBorder="1" applyAlignment="1" applyProtection="1">
      <alignment horizontal="left" vertical="center" wrapText="1" indent="1"/>
      <protection locked="0"/>
    </xf>
    <xf numFmtId="174" fontId="3" fillId="0" borderId="27" xfId="28" applyNumberFormat="1" applyFont="1" applyBorder="1" applyAlignment="1" applyProtection="1">
      <alignment horizontal="left" vertical="center" wrapText="1" indent="1"/>
      <protection locked="0"/>
    </xf>
    <xf numFmtId="174" fontId="3" fillId="0" borderId="17" xfId="28" applyNumberFormat="1" applyFont="1" applyBorder="1" applyAlignment="1" applyProtection="1">
      <alignment horizontal="left" vertical="center" wrapText="1" indent="1"/>
      <protection locked="0"/>
    </xf>
    <xf numFmtId="166" fontId="3" fillId="0" borderId="6" xfId="28" applyNumberFormat="1" applyFont="1" applyBorder="1" applyAlignment="1" applyProtection="1">
      <alignment vertical="center" wrapText="1"/>
      <protection locked="0"/>
    </xf>
    <xf numFmtId="166" fontId="3" fillId="0" borderId="17" xfId="28" applyNumberFormat="1" applyFont="1" applyBorder="1" applyAlignment="1" applyProtection="1">
      <alignment vertical="center" wrapText="1"/>
      <protection locked="0"/>
    </xf>
    <xf numFmtId="166" fontId="3" fillId="0" borderId="7" xfId="28" applyNumberFormat="1" applyFont="1" applyBorder="1" applyAlignment="1" applyProtection="1">
      <alignment vertical="center" wrapText="1"/>
      <protection locked="0"/>
    </xf>
    <xf numFmtId="3" fontId="6" fillId="0" borderId="24" xfId="28" applyNumberFormat="1" applyFont="1" applyBorder="1" applyAlignment="1">
      <alignment vertical="center" wrapText="1"/>
    </xf>
    <xf numFmtId="3" fontId="3" fillId="0" borderId="17" xfId="28" applyNumberFormat="1" applyFont="1" applyBorder="1" applyAlignment="1" applyProtection="1">
      <alignment vertical="center" wrapText="1"/>
      <protection locked="0"/>
    </xf>
    <xf numFmtId="166" fontId="6" fillId="0" borderId="3" xfId="28" applyNumberFormat="1" applyFont="1" applyBorder="1" applyAlignment="1">
      <alignment horizontal="center" vertical="center" wrapText="1"/>
    </xf>
    <xf numFmtId="166" fontId="7" fillId="0" borderId="24" xfId="28" applyNumberFormat="1" applyFont="1" applyBorder="1" applyAlignment="1">
      <alignment horizontal="center" vertical="center" wrapText="1"/>
    </xf>
    <xf numFmtId="166" fontId="7" fillId="0" borderId="23" xfId="28" applyNumberFormat="1" applyFont="1" applyBorder="1" applyAlignment="1">
      <alignment horizontal="left" vertical="center" wrapText="1" indent="1"/>
    </xf>
    <xf numFmtId="166" fontId="18" fillId="30" borderId="23" xfId="28" applyNumberFormat="1" applyFont="1" applyFill="1" applyBorder="1" applyAlignment="1">
      <alignment horizontal="left" vertical="center" wrapText="1" indent="1"/>
    </xf>
    <xf numFmtId="166" fontId="18" fillId="30" borderId="51" xfId="28" applyNumberFormat="1" applyFont="1" applyFill="1" applyBorder="1" applyAlignment="1">
      <alignment horizontal="left" vertical="center" wrapText="1" indent="1"/>
    </xf>
    <xf numFmtId="166" fontId="7" fillId="0" borderId="24" xfId="28" applyNumberFormat="1" applyFont="1" applyBorder="1" applyAlignment="1">
      <alignment vertical="center" wrapText="1"/>
    </xf>
    <xf numFmtId="3" fontId="7" fillId="0" borderId="19" xfId="28" applyNumberFormat="1" applyFont="1" applyBorder="1" applyAlignment="1">
      <alignment vertical="center" wrapText="1"/>
    </xf>
    <xf numFmtId="3" fontId="7" fillId="0" borderId="2" xfId="28" applyNumberFormat="1" applyFont="1" applyBorder="1" applyAlignment="1">
      <alignment vertical="center" wrapText="1"/>
    </xf>
    <xf numFmtId="166" fontId="6" fillId="0" borderId="0" xfId="28" applyNumberFormat="1" applyFont="1" applyAlignment="1">
      <alignment horizontal="right" vertical="center"/>
    </xf>
    <xf numFmtId="3" fontId="6" fillId="0" borderId="23" xfId="28" applyNumberFormat="1" applyFont="1" applyBorder="1" applyAlignment="1">
      <alignment vertical="center" wrapText="1"/>
    </xf>
    <xf numFmtId="3" fontId="3" fillId="0" borderId="7" xfId="28" applyNumberFormat="1" applyFont="1" applyBorder="1" applyAlignment="1" applyProtection="1">
      <alignment vertical="center" wrapText="1"/>
      <protection locked="0"/>
    </xf>
    <xf numFmtId="0" fontId="106" fillId="0" borderId="0" xfId="28" applyFont="1"/>
    <xf numFmtId="0" fontId="252" fillId="0" borderId="0" xfId="28" applyFont="1" applyAlignment="1">
      <alignment horizontal="right"/>
    </xf>
    <xf numFmtId="0" fontId="254" fillId="0" borderId="47" xfId="28" applyFont="1" applyBorder="1" applyAlignment="1">
      <alignment horizontal="center" vertical="center" wrapText="1"/>
    </xf>
    <xf numFmtId="0" fontId="255" fillId="0" borderId="45" xfId="28" applyFont="1" applyBorder="1" applyAlignment="1">
      <alignment horizontal="center" wrapText="1"/>
    </xf>
    <xf numFmtId="0" fontId="255" fillId="0" borderId="41" xfId="28" applyFont="1" applyBorder="1" applyAlignment="1">
      <alignment horizontal="center" wrapText="1"/>
    </xf>
    <xf numFmtId="0" fontId="255" fillId="0" borderId="78" xfId="28" applyFont="1" applyBorder="1" applyAlignment="1">
      <alignment horizontal="center" wrapText="1"/>
    </xf>
    <xf numFmtId="0" fontId="255" fillId="0" borderId="6" xfId="28" applyFont="1" applyBorder="1" applyAlignment="1">
      <alignment horizontal="left" vertical="center" wrapText="1"/>
    </xf>
    <xf numFmtId="49" fontId="255" fillId="0" borderId="17" xfId="28" applyNumberFormat="1" applyFont="1" applyBorder="1" applyAlignment="1">
      <alignment horizontal="center" wrapText="1"/>
    </xf>
    <xf numFmtId="172" fontId="256" fillId="0" borderId="17" xfId="28" applyNumberFormat="1" applyFont="1" applyBorder="1" applyAlignment="1" applyProtection="1">
      <alignment horizontal="right" vertical="center" wrapText="1"/>
      <protection locked="0"/>
    </xf>
    <xf numFmtId="172" fontId="256" fillId="0" borderId="27" xfId="28" applyNumberFormat="1" applyFont="1" applyBorder="1" applyAlignment="1" applyProtection="1">
      <alignment horizontal="right" vertical="center" wrapText="1"/>
    </xf>
    <xf numFmtId="173" fontId="256" fillId="0" borderId="17" xfId="28" applyNumberFormat="1" applyFont="1" applyBorder="1" applyAlignment="1" applyProtection="1">
      <alignment horizontal="right" vertical="center" wrapText="1"/>
      <protection locked="0"/>
    </xf>
    <xf numFmtId="0" fontId="255" fillId="0" borderId="8" xfId="28" applyFont="1" applyBorder="1" applyAlignment="1">
      <alignment horizontal="left" vertical="center" wrapText="1"/>
    </xf>
    <xf numFmtId="49" fontId="255" fillId="0" borderId="29" xfId="28" applyNumberFormat="1" applyFont="1" applyBorder="1" applyAlignment="1">
      <alignment horizontal="center" wrapText="1"/>
    </xf>
    <xf numFmtId="172" fontId="256" fillId="0" borderId="29" xfId="28" applyNumberFormat="1" applyFont="1" applyBorder="1" applyAlignment="1" applyProtection="1">
      <alignment horizontal="right" vertical="center" wrapText="1"/>
      <protection locked="0"/>
    </xf>
    <xf numFmtId="172" fontId="256" fillId="0" borderId="91" xfId="28" applyNumberFormat="1" applyFont="1" applyBorder="1" applyAlignment="1" applyProtection="1">
      <alignment horizontal="right" vertical="center" wrapText="1"/>
    </xf>
    <xf numFmtId="0" fontId="254" fillId="0" borderId="24" xfId="28" applyFont="1" applyBorder="1" applyAlignment="1">
      <alignment horizontal="left" vertical="center" wrapText="1"/>
    </xf>
    <xf numFmtId="49" fontId="254" fillId="0" borderId="19" xfId="28" applyNumberFormat="1" applyFont="1" applyBorder="1" applyAlignment="1">
      <alignment horizontal="center" wrapText="1"/>
    </xf>
    <xf numFmtId="172" fontId="68" fillId="0" borderId="19" xfId="28" applyNumberFormat="1" applyFont="1" applyBorder="1" applyAlignment="1" applyProtection="1">
      <alignment horizontal="right" vertical="center" wrapText="1"/>
    </xf>
    <xf numFmtId="0" fontId="254" fillId="0" borderId="3" xfId="28" applyFont="1" applyBorder="1" applyAlignment="1">
      <alignment horizontal="left" vertical="center" wrapText="1"/>
    </xf>
    <xf numFmtId="49" fontId="254" fillId="0" borderId="22" xfId="28" applyNumberFormat="1" applyFont="1" applyBorder="1" applyAlignment="1">
      <alignment horizontal="center" wrapText="1"/>
    </xf>
    <xf numFmtId="172" fontId="68" fillId="0" borderId="22" xfId="28" applyNumberFormat="1" applyFont="1" applyBorder="1" applyAlignment="1" applyProtection="1">
      <alignment horizontal="right" vertical="center" wrapText="1"/>
    </xf>
    <xf numFmtId="0" fontId="254" fillId="0" borderId="19" xfId="28" applyFont="1" applyBorder="1" applyAlignment="1">
      <alignment horizontal="center" wrapText="1"/>
    </xf>
    <xf numFmtId="172" fontId="256" fillId="0" borderId="23" xfId="28" applyNumberFormat="1" applyFont="1" applyBorder="1" applyAlignment="1" applyProtection="1">
      <alignment horizontal="right" vertical="center" wrapText="1"/>
    </xf>
    <xf numFmtId="0" fontId="255" fillId="0" borderId="4" xfId="28" applyFont="1" applyBorder="1" applyAlignment="1">
      <alignment horizontal="left" vertical="center" wrapText="1"/>
    </xf>
    <xf numFmtId="0" fontId="255" fillId="0" borderId="26" xfId="28" applyFont="1" applyBorder="1" applyAlignment="1">
      <alignment horizontal="center" wrapText="1"/>
    </xf>
    <xf numFmtId="172" fontId="256" fillId="0" borderId="26" xfId="28" applyNumberFormat="1" applyFont="1" applyBorder="1" applyAlignment="1" applyProtection="1">
      <alignment horizontal="right" vertical="center" wrapText="1"/>
      <protection locked="0"/>
    </xf>
    <xf numFmtId="172" fontId="256" fillId="0" borderId="25" xfId="28" applyNumberFormat="1" applyFont="1" applyBorder="1" applyAlignment="1" applyProtection="1">
      <alignment horizontal="right" vertical="center" wrapText="1"/>
    </xf>
    <xf numFmtId="0" fontId="255" fillId="0" borderId="17" xfId="28" applyFont="1" applyBorder="1" applyAlignment="1">
      <alignment horizontal="center" wrapText="1"/>
    </xf>
    <xf numFmtId="0" fontId="255" fillId="0" borderId="29" xfId="28" applyFont="1" applyBorder="1" applyAlignment="1">
      <alignment horizontal="center" wrapText="1"/>
    </xf>
    <xf numFmtId="172" fontId="256" fillId="8" borderId="26" xfId="28" applyNumberFormat="1" applyFont="1" applyFill="1" applyBorder="1" applyAlignment="1" applyProtection="1">
      <alignment horizontal="right" vertical="center" wrapText="1"/>
      <protection locked="0"/>
    </xf>
    <xf numFmtId="172" fontId="68" fillId="0" borderId="2" xfId="28" applyNumberFormat="1" applyFont="1" applyBorder="1" applyAlignment="1" applyProtection="1">
      <alignment horizontal="right" vertical="center" wrapText="1"/>
    </xf>
    <xf numFmtId="172" fontId="68" fillId="0" borderId="31" xfId="28" applyNumberFormat="1" applyFont="1" applyBorder="1" applyAlignment="1" applyProtection="1">
      <alignment horizontal="right" vertical="center" wrapText="1"/>
    </xf>
    <xf numFmtId="0" fontId="37" fillId="0" borderId="0" xfId="0" applyFont="1"/>
    <xf numFmtId="12" fontId="37" fillId="0" borderId="45" xfId="0" applyNumberFormat="1" applyFont="1" applyBorder="1" applyAlignment="1">
      <alignment horizontal="center" vertical="center"/>
    </xf>
    <xf numFmtId="12" fontId="37" fillId="0" borderId="41" xfId="0" applyNumberFormat="1" applyFont="1" applyBorder="1" applyAlignment="1">
      <alignment horizontal="center" vertical="center" wrapText="1"/>
    </xf>
    <xf numFmtId="12" fontId="37" fillId="0" borderId="16" xfId="0" applyNumberFormat="1" applyFont="1" applyBorder="1" applyAlignment="1">
      <alignment horizontal="center" vertical="center" wrapText="1"/>
    </xf>
    <xf numFmtId="12" fontId="37" fillId="0" borderId="6" xfId="0" applyNumberFormat="1" applyFont="1" applyBorder="1"/>
    <xf numFmtId="3" fontId="37" fillId="0" borderId="17" xfId="0" applyNumberFormat="1" applyFont="1" applyBorder="1"/>
    <xf numFmtId="12" fontId="66" fillId="0" borderId="46" xfId="0" applyNumberFormat="1" applyFont="1" applyBorder="1"/>
    <xf numFmtId="3" fontId="66" fillId="0" borderId="47" xfId="0" applyNumberFormat="1" applyFont="1" applyBorder="1"/>
    <xf numFmtId="3" fontId="37" fillId="0" borderId="0" xfId="0" applyNumberFormat="1" applyFont="1"/>
    <xf numFmtId="175" fontId="257" fillId="0" borderId="0" xfId="0" applyNumberFormat="1" applyFont="1" applyAlignment="1">
      <alignment horizontal="right"/>
    </xf>
    <xf numFmtId="0" fontId="257" fillId="0" borderId="45" xfId="0" applyFont="1" applyBorder="1"/>
    <xf numFmtId="0" fontId="257" fillId="0" borderId="41" xfId="0" applyFont="1" applyBorder="1"/>
    <xf numFmtId="175" fontId="257" fillId="0" borderId="16" xfId="0" applyNumberFormat="1" applyFont="1" applyBorder="1"/>
    <xf numFmtId="0" fontId="3" fillId="0" borderId="6" xfId="0" applyFont="1" applyBorder="1" applyAlignment="1">
      <alignment horizontal="left" indent="3"/>
    </xf>
    <xf numFmtId="175" fontId="3" fillId="0" borderId="17" xfId="0" applyNumberFormat="1" applyFont="1" applyBorder="1"/>
    <xf numFmtId="175" fontId="3" fillId="0" borderId="7" xfId="0" applyNumberFormat="1" applyFont="1" applyBorder="1"/>
    <xf numFmtId="0" fontId="37" fillId="0" borderId="6" xfId="0" applyFont="1" applyBorder="1"/>
    <xf numFmtId="0" fontId="258" fillId="0" borderId="17" xfId="0" applyFont="1" applyBorder="1"/>
    <xf numFmtId="175" fontId="258" fillId="0" borderId="7" xfId="0" applyNumberFormat="1" applyFont="1" applyBorder="1"/>
    <xf numFmtId="175" fontId="37" fillId="0" borderId="0" xfId="0" applyNumberFormat="1" applyFont="1"/>
    <xf numFmtId="0" fontId="258" fillId="0" borderId="8" xfId="0" applyFont="1" applyBorder="1"/>
    <xf numFmtId="0" fontId="258" fillId="0" borderId="29" xfId="0" applyFont="1" applyBorder="1"/>
    <xf numFmtId="175" fontId="258" fillId="0" borderId="9" xfId="0" applyNumberFormat="1" applyFont="1" applyBorder="1"/>
    <xf numFmtId="175" fontId="33" fillId="0" borderId="0" xfId="0" applyNumberFormat="1" applyFont="1"/>
    <xf numFmtId="0" fontId="2" fillId="0" borderId="0" xfId="0" applyFont="1"/>
    <xf numFmtId="0" fontId="263" fillId="31" borderId="45" xfId="33" applyFont="1" applyFill="1" applyBorder="1" applyAlignment="1">
      <alignment horizontal="center" vertical="center" wrapText="1"/>
    </xf>
    <xf numFmtId="0" fontId="262" fillId="31" borderId="41" xfId="33" applyFont="1" applyFill="1" applyBorder="1" applyAlignment="1">
      <alignment horizontal="center" vertical="center" wrapText="1"/>
    </xf>
    <xf numFmtId="3" fontId="262" fillId="31" borderId="41" xfId="33" applyNumberFormat="1" applyFont="1" applyFill="1" applyBorder="1" applyAlignment="1">
      <alignment horizontal="center" vertical="center" wrapText="1"/>
    </xf>
    <xf numFmtId="4" fontId="262" fillId="31" borderId="16" xfId="33" applyNumberFormat="1" applyFont="1" applyFill="1" applyBorder="1" applyAlignment="1">
      <alignment horizontal="center" vertical="center" wrapText="1"/>
    </xf>
    <xf numFmtId="0" fontId="262" fillId="32" borderId="6" xfId="33" applyFont="1" applyFill="1" applyBorder="1" applyAlignment="1">
      <alignment horizontal="center"/>
    </xf>
    <xf numFmtId="0" fontId="262" fillId="32" borderId="17" xfId="33" applyFont="1" applyFill="1" applyBorder="1"/>
    <xf numFmtId="3" fontId="262" fillId="32" borderId="17" xfId="33" applyNumberFormat="1" applyFont="1" applyFill="1" applyBorder="1"/>
    <xf numFmtId="4" fontId="262" fillId="33" borderId="7" xfId="33" applyNumberFormat="1" applyFont="1" applyFill="1" applyBorder="1" applyAlignment="1">
      <alignment horizontal="center"/>
    </xf>
    <xf numFmtId="0" fontId="58" fillId="0" borderId="0" xfId="0" applyFont="1"/>
    <xf numFmtId="0" fontId="16" fillId="0" borderId="0" xfId="0" applyFont="1"/>
    <xf numFmtId="0" fontId="7" fillId="0" borderId="0" xfId="0" applyFont="1"/>
    <xf numFmtId="0" fontId="262" fillId="33" borderId="6" xfId="33" applyFont="1" applyFill="1" applyBorder="1" applyAlignment="1">
      <alignment horizontal="center" vertical="top"/>
    </xf>
    <xf numFmtId="0" fontId="262" fillId="33" borderId="17" xfId="33" applyFont="1" applyFill="1" applyBorder="1" applyAlignment="1">
      <alignment wrapText="1"/>
    </xf>
    <xf numFmtId="3" fontId="262" fillId="33" borderId="17" xfId="33" applyNumberFormat="1" applyFont="1" applyFill="1" applyBorder="1"/>
    <xf numFmtId="0" fontId="262" fillId="32" borderId="17" xfId="33" applyFont="1" applyFill="1" applyBorder="1" applyAlignment="1">
      <alignment wrapText="1"/>
    </xf>
    <xf numFmtId="0" fontId="262" fillId="32" borderId="6" xfId="33" applyFont="1" applyFill="1" applyBorder="1" applyAlignment="1">
      <alignment horizontal="center" vertical="top"/>
    </xf>
    <xf numFmtId="0" fontId="262" fillId="32" borderId="17" xfId="33" applyFont="1" applyFill="1" applyBorder="1" applyAlignment="1">
      <alignment vertical="top" wrapText="1"/>
    </xf>
    <xf numFmtId="3" fontId="262" fillId="32" borderId="17" xfId="33" applyNumberFormat="1" applyFont="1" applyFill="1" applyBorder="1" applyAlignment="1">
      <alignment vertical="top"/>
    </xf>
    <xf numFmtId="4" fontId="262" fillId="33" borderId="7" xfId="33" applyNumberFormat="1" applyFont="1" applyFill="1" applyBorder="1" applyAlignment="1">
      <alignment horizontal="center" vertical="top"/>
    </xf>
    <xf numFmtId="0" fontId="262" fillId="32" borderId="6" xfId="33" applyFont="1" applyFill="1" applyBorder="1" applyAlignment="1">
      <alignment horizontal="center" vertical="center"/>
    </xf>
    <xf numFmtId="0" fontId="262" fillId="32" borderId="17" xfId="33" applyFont="1" applyFill="1" applyBorder="1" applyAlignment="1">
      <alignment vertical="center" wrapText="1"/>
    </xf>
    <xf numFmtId="3" fontId="262" fillId="32" borderId="17" xfId="33" applyNumberFormat="1" applyFont="1" applyFill="1" applyBorder="1" applyAlignment="1">
      <alignment vertical="center"/>
    </xf>
    <xf numFmtId="4" fontId="262" fillId="33" borderId="7" xfId="33" applyNumberFormat="1" applyFont="1" applyFill="1" applyBorder="1" applyAlignment="1">
      <alignment horizontal="center" vertical="center"/>
    </xf>
    <xf numFmtId="0" fontId="262" fillId="32" borderId="17" xfId="33" applyFont="1" applyFill="1" applyBorder="1" applyAlignment="1">
      <alignment vertical="top"/>
    </xf>
    <xf numFmtId="0" fontId="263" fillId="31" borderId="46" xfId="33" applyFont="1" applyFill="1" applyBorder="1" applyAlignment="1">
      <alignment horizontal="center" vertical="center" wrapText="1"/>
    </xf>
    <xf numFmtId="0" fontId="262" fillId="31" borderId="47" xfId="33" applyFont="1" applyFill="1" applyBorder="1" applyAlignment="1">
      <alignment horizontal="left" vertical="center" wrapText="1"/>
    </xf>
    <xf numFmtId="3" fontId="262" fillId="31" borderId="47" xfId="33" applyNumberFormat="1" applyFont="1" applyFill="1" applyBorder="1" applyAlignment="1">
      <alignment horizontal="center" vertical="center" wrapText="1"/>
    </xf>
    <xf numFmtId="0" fontId="262" fillId="33" borderId="6" xfId="33" applyFont="1" applyFill="1" applyBorder="1" applyAlignment="1">
      <alignment horizontal="center"/>
    </xf>
    <xf numFmtId="0" fontId="262" fillId="33" borderId="17" xfId="33" applyFont="1" applyFill="1" applyBorder="1" applyAlignment="1">
      <alignment vertical="center"/>
    </xf>
    <xf numFmtId="3" fontId="262" fillId="33" borderId="17" xfId="33" applyNumberFormat="1" applyFont="1" applyFill="1" applyBorder="1" applyAlignment="1">
      <alignment vertical="center"/>
    </xf>
    <xf numFmtId="0" fontId="262" fillId="32" borderId="17" xfId="33" applyFont="1" applyFill="1" applyBorder="1" applyAlignment="1">
      <alignment horizontal="left" vertical="center"/>
    </xf>
    <xf numFmtId="0" fontId="262" fillId="32" borderId="6" xfId="18" applyFont="1" applyFill="1" applyBorder="1" applyAlignment="1">
      <alignment vertical="center"/>
    </xf>
    <xf numFmtId="0" fontId="262" fillId="32" borderId="17" xfId="34" applyFont="1" applyFill="1" applyBorder="1" applyAlignment="1">
      <alignment horizontal="center" vertical="center"/>
    </xf>
    <xf numFmtId="3" fontId="262" fillId="32" borderId="17" xfId="18" applyNumberFormat="1" applyFont="1" applyFill="1" applyBorder="1" applyAlignment="1">
      <alignment vertical="center"/>
    </xf>
    <xf numFmtId="3" fontId="262" fillId="32" borderId="7" xfId="18" applyNumberFormat="1" applyFont="1" applyFill="1" applyBorder="1" applyAlignment="1">
      <alignment vertical="center"/>
    </xf>
    <xf numFmtId="0" fontId="261" fillId="0" borderId="6" xfId="18" applyFont="1" applyBorder="1" applyAlignment="1">
      <alignment vertical="center"/>
    </xf>
    <xf numFmtId="3" fontId="261" fillId="0" borderId="7" xfId="18" applyNumberFormat="1" applyFont="1" applyBorder="1" applyAlignment="1">
      <alignment vertical="center"/>
    </xf>
    <xf numFmtId="3" fontId="261" fillId="0" borderId="17" xfId="18" applyNumberFormat="1" applyFont="1" applyBorder="1" applyAlignment="1">
      <alignment vertical="center"/>
    </xf>
    <xf numFmtId="0" fontId="261" fillId="32" borderId="6" xfId="18" applyFont="1" applyFill="1" applyBorder="1" applyAlignment="1">
      <alignment vertical="center"/>
    </xf>
    <xf numFmtId="0" fontId="261" fillId="32" borderId="17" xfId="34" applyFont="1" applyFill="1" applyBorder="1" applyAlignment="1">
      <alignment horizontal="center" vertical="center"/>
    </xf>
    <xf numFmtId="3" fontId="261" fillId="32" borderId="17" xfId="18" applyNumberFormat="1" applyFont="1" applyFill="1" applyBorder="1" applyAlignment="1">
      <alignment vertical="center"/>
    </xf>
    <xf numFmtId="3" fontId="261" fillId="32" borderId="7" xfId="18" applyNumberFormat="1" applyFont="1" applyFill="1" applyBorder="1" applyAlignment="1">
      <alignment vertical="center"/>
    </xf>
    <xf numFmtId="0" fontId="262" fillId="32" borderId="6" xfId="18" applyFont="1" applyFill="1" applyBorder="1" applyAlignment="1">
      <alignment vertical="center" wrapText="1"/>
    </xf>
    <xf numFmtId="0" fontId="262" fillId="31" borderId="46" xfId="33" applyFont="1" applyFill="1" applyBorder="1" applyAlignment="1">
      <alignment horizontal="left" vertical="center" wrapText="1"/>
    </xf>
    <xf numFmtId="0" fontId="262" fillId="31" borderId="47" xfId="33" applyFont="1" applyFill="1" applyBorder="1" applyAlignment="1">
      <alignment horizontal="center" vertical="center" wrapText="1"/>
    </xf>
    <xf numFmtId="3" fontId="262" fillId="31" borderId="18" xfId="33" applyNumberFormat="1" applyFont="1" applyFill="1" applyBorder="1" applyAlignment="1">
      <alignment horizontal="center" vertical="center" wrapText="1"/>
    </xf>
    <xf numFmtId="0" fontId="261" fillId="0" borderId="0" xfId="18" applyFont="1" applyAlignment="1">
      <alignment vertical="center"/>
    </xf>
    <xf numFmtId="3" fontId="261" fillId="0" borderId="0" xfId="18" applyNumberFormat="1" applyFont="1" applyAlignment="1">
      <alignment vertical="center"/>
    </xf>
    <xf numFmtId="0" fontId="262" fillId="0" borderId="6" xfId="18" applyFont="1" applyBorder="1" applyAlignment="1">
      <alignment vertical="center"/>
    </xf>
    <xf numFmtId="3" fontId="262" fillId="0" borderId="17" xfId="18" applyNumberFormat="1" applyFont="1" applyBorder="1" applyAlignment="1">
      <alignment vertical="center"/>
    </xf>
    <xf numFmtId="3" fontId="262" fillId="0" borderId="7" xfId="18" applyNumberFormat="1" applyFont="1" applyBorder="1" applyAlignment="1">
      <alignment vertical="center"/>
    </xf>
    <xf numFmtId="0" fontId="262" fillId="0" borderId="17" xfId="18" applyFont="1" applyBorder="1" applyAlignment="1">
      <alignment horizontal="center" vertical="center"/>
    </xf>
    <xf numFmtId="11" fontId="261" fillId="0" borderId="6" xfId="18" applyNumberFormat="1" applyFont="1" applyBorder="1" applyAlignment="1">
      <alignment vertical="center"/>
    </xf>
    <xf numFmtId="0" fontId="263" fillId="31" borderId="46" xfId="33" applyFont="1" applyFill="1" applyBorder="1" applyAlignment="1">
      <alignment horizontal="left" vertical="center" wrapText="1"/>
    </xf>
    <xf numFmtId="0" fontId="261" fillId="0" borderId="17" xfId="18" applyFont="1" applyBorder="1" applyAlignment="1">
      <alignment horizontal="center" vertical="center"/>
    </xf>
    <xf numFmtId="3" fontId="262" fillId="31" borderId="47" xfId="33" applyNumberFormat="1" applyFont="1" applyFill="1" applyBorder="1" applyAlignment="1">
      <alignment horizontal="right" vertical="center" wrapText="1"/>
    </xf>
    <xf numFmtId="3" fontId="262" fillId="31" borderId="18" xfId="33" applyNumberFormat="1" applyFont="1" applyFill="1" applyBorder="1" applyAlignment="1">
      <alignment horizontal="right" vertical="center" wrapText="1"/>
    </xf>
    <xf numFmtId="0" fontId="261" fillId="0" borderId="0" xfId="33" applyFont="1" applyAlignment="1">
      <alignment horizontal="center"/>
    </xf>
    <xf numFmtId="0" fontId="262" fillId="0" borderId="0" xfId="33" applyFont="1" applyAlignment="1">
      <alignment vertical="center"/>
    </xf>
    <xf numFmtId="3" fontId="262" fillId="0" borderId="0" xfId="33" applyNumberFormat="1" applyFont="1" applyAlignment="1">
      <alignment vertical="center"/>
    </xf>
    <xf numFmtId="4" fontId="261" fillId="0" borderId="0" xfId="33" applyNumberFormat="1" applyFont="1" applyAlignment="1">
      <alignment horizontal="right"/>
    </xf>
    <xf numFmtId="0" fontId="261" fillId="0" borderId="0" xfId="33" applyFont="1" applyAlignment="1">
      <alignment horizontal="center" vertical="center"/>
    </xf>
    <xf numFmtId="3" fontId="261" fillId="0" borderId="0" xfId="33" applyNumberFormat="1" applyFont="1" applyAlignment="1">
      <alignment horizontal="center" vertical="center"/>
    </xf>
    <xf numFmtId="4" fontId="261" fillId="0" borderId="0" xfId="33" applyNumberFormat="1" applyFont="1" applyAlignment="1">
      <alignment horizontal="center"/>
    </xf>
    <xf numFmtId="3" fontId="261" fillId="0" borderId="17" xfId="33" applyNumberFormat="1" applyFont="1" applyBorder="1"/>
    <xf numFmtId="4" fontId="261" fillId="0" borderId="7" xfId="33" applyNumberFormat="1" applyFont="1" applyBorder="1" applyAlignment="1">
      <alignment horizontal="center"/>
    </xf>
    <xf numFmtId="0" fontId="261" fillId="0" borderId="6" xfId="33" applyFont="1" applyBorder="1" applyAlignment="1">
      <alignment horizontal="center"/>
    </xf>
    <xf numFmtId="0" fontId="261" fillId="0" borderId="17" xfId="33" applyFont="1" applyBorder="1" applyAlignment="1">
      <alignment horizontal="left" indent="1"/>
    </xf>
    <xf numFmtId="0" fontId="261" fillId="0" borderId="17" xfId="33" applyFont="1" applyBorder="1" applyAlignment="1">
      <alignment horizontal="left" wrapText="1" indent="1"/>
    </xf>
    <xf numFmtId="0" fontId="262" fillId="0" borderId="6" xfId="33" applyFont="1" applyBorder="1" applyAlignment="1">
      <alignment horizontal="center"/>
    </xf>
    <xf numFmtId="0" fontId="262" fillId="0" borderId="17" xfId="33" applyFont="1" applyBorder="1"/>
    <xf numFmtId="3" fontId="262" fillId="0" borderId="17" xfId="33" applyNumberFormat="1" applyFont="1" applyBorder="1"/>
    <xf numFmtId="0" fontId="262" fillId="0" borderId="17" xfId="33" applyFont="1" applyBorder="1" applyAlignment="1">
      <alignment wrapText="1"/>
    </xf>
    <xf numFmtId="4" fontId="262" fillId="0" borderId="7" xfId="33" applyNumberFormat="1" applyFont="1" applyBorder="1" applyAlignment="1">
      <alignment horizontal="center"/>
    </xf>
    <xf numFmtId="0" fontId="261" fillId="0" borderId="17" xfId="33" applyFont="1" applyBorder="1"/>
    <xf numFmtId="0" fontId="261" fillId="0" borderId="17" xfId="33" applyFont="1" applyBorder="1" applyAlignment="1">
      <alignment wrapText="1"/>
    </xf>
    <xf numFmtId="0" fontId="261" fillId="0" borderId="6" xfId="33" applyFont="1" applyBorder="1" applyAlignment="1">
      <alignment horizontal="center" vertical="top"/>
    </xf>
    <xf numFmtId="0" fontId="262" fillId="0" borderId="6" xfId="33" applyFont="1" applyBorder="1" applyAlignment="1">
      <alignment horizontal="center" vertical="top"/>
    </xf>
    <xf numFmtId="0" fontId="262" fillId="0" borderId="17" xfId="33" applyFont="1" applyBorder="1" applyAlignment="1">
      <alignment vertical="top"/>
    </xf>
    <xf numFmtId="3" fontId="262" fillId="0" borderId="17" xfId="33" applyNumberFormat="1" applyFont="1" applyBorder="1" applyAlignment="1">
      <alignment vertical="top"/>
    </xf>
    <xf numFmtId="4" fontId="262" fillId="0" borderId="7" xfId="33" applyNumberFormat="1" applyFont="1" applyBorder="1" applyAlignment="1">
      <alignment horizontal="center" vertical="top"/>
    </xf>
    <xf numFmtId="4" fontId="261" fillId="0" borderId="7" xfId="33" applyNumberFormat="1" applyFont="1" applyBorder="1" applyAlignment="1">
      <alignment horizontal="center" vertical="top"/>
    </xf>
    <xf numFmtId="0" fontId="262" fillId="0" borderId="17" xfId="33" applyFont="1" applyBorder="1" applyAlignment="1">
      <alignment vertical="center"/>
    </xf>
    <xf numFmtId="4" fontId="262" fillId="0" borderId="7" xfId="33" applyNumberFormat="1" applyFont="1" applyBorder="1" applyAlignment="1">
      <alignment horizontal="center" vertical="center"/>
    </xf>
    <xf numFmtId="0" fontId="262" fillId="0" borderId="0" xfId="33" applyFont="1" applyAlignment="1">
      <alignment horizontal="center" vertical="center"/>
    </xf>
    <xf numFmtId="4" fontId="262" fillId="0" borderId="0" xfId="33" applyNumberFormat="1" applyFont="1" applyAlignment="1">
      <alignment horizontal="center" vertical="center"/>
    </xf>
    <xf numFmtId="0" fontId="261" fillId="0" borderId="17" xfId="33" applyFont="1" applyBorder="1" applyAlignment="1">
      <alignment vertical="center" wrapText="1"/>
    </xf>
    <xf numFmtId="3" fontId="261" fillId="0" borderId="17" xfId="33" applyNumberFormat="1" applyFont="1" applyBorder="1" applyAlignment="1">
      <alignment vertical="center"/>
    </xf>
    <xf numFmtId="4" fontId="261" fillId="0" borderId="7" xfId="33" applyNumberFormat="1" applyFont="1" applyBorder="1" applyAlignment="1">
      <alignment horizontal="center" vertical="center"/>
    </xf>
    <xf numFmtId="0" fontId="261" fillId="0" borderId="17" xfId="33" applyFont="1" applyBorder="1" applyAlignment="1">
      <alignment horizontal="left" wrapText="1"/>
    </xf>
    <xf numFmtId="0" fontId="262" fillId="0" borderId="17" xfId="33" applyFont="1" applyBorder="1" applyAlignment="1">
      <alignment horizontal="left" vertical="center"/>
    </xf>
    <xf numFmtId="3" fontId="262" fillId="0" borderId="17" xfId="33" applyNumberFormat="1" applyFont="1" applyBorder="1" applyAlignment="1">
      <alignment vertical="center"/>
    </xf>
    <xf numFmtId="0" fontId="261" fillId="0" borderId="17" xfId="34" applyFont="1" applyBorder="1" applyAlignment="1">
      <alignment horizontal="center" vertical="center"/>
    </xf>
    <xf numFmtId="0" fontId="261" fillId="0" borderId="0" xfId="34" applyFont="1" applyAlignment="1">
      <alignment vertical="center"/>
    </xf>
    <xf numFmtId="0" fontId="261" fillId="0" borderId="0" xfId="33" applyFont="1"/>
    <xf numFmtId="0" fontId="262" fillId="0" borderId="17" xfId="34" applyFont="1" applyBorder="1" applyAlignment="1">
      <alignment horizontal="center" vertical="center"/>
    </xf>
    <xf numFmtId="4" fontId="262" fillId="31" borderId="18" xfId="33" applyNumberFormat="1" applyFont="1" applyFill="1" applyBorder="1" applyAlignment="1">
      <alignment horizontal="right" vertical="center" wrapText="1"/>
    </xf>
    <xf numFmtId="0" fontId="3" fillId="0" borderId="17" xfId="31" applyFont="1" applyFill="1" applyBorder="1" applyAlignment="1" applyProtection="1">
      <alignment horizontal="left" wrapText="1" indent="3"/>
      <protection locked="0"/>
    </xf>
    <xf numFmtId="173" fontId="3" fillId="0" borderId="26" xfId="6" applyNumberFormat="1" applyFont="1" applyFill="1" applyBorder="1" applyAlignment="1" applyProtection="1">
      <protection locked="0"/>
    </xf>
    <xf numFmtId="173" fontId="3" fillId="0" borderId="5" xfId="6" applyNumberFormat="1" applyFont="1" applyFill="1" applyBorder="1" applyAlignment="1" applyProtection="1"/>
    <xf numFmtId="173" fontId="3" fillId="0" borderId="7" xfId="6" applyNumberFormat="1" applyFont="1" applyFill="1" applyBorder="1" applyAlignment="1" applyProtection="1"/>
    <xf numFmtId="173" fontId="3" fillId="0" borderId="29" xfId="6" applyNumberFormat="1" applyFont="1" applyFill="1" applyBorder="1" applyAlignment="1" applyProtection="1">
      <protection locked="0"/>
    </xf>
    <xf numFmtId="173" fontId="3" fillId="0" borderId="9" xfId="6" applyNumberFormat="1" applyFont="1" applyFill="1" applyBorder="1" applyAlignment="1" applyProtection="1"/>
    <xf numFmtId="173" fontId="3" fillId="0" borderId="23" xfId="31" applyNumberFormat="1" applyFont="1" applyFill="1" applyBorder="1"/>
    <xf numFmtId="3" fontId="30" fillId="0" borderId="7" xfId="28" applyNumberFormat="1" applyFont="1" applyFill="1" applyBorder="1"/>
    <xf numFmtId="3" fontId="32" fillId="0" borderId="7" xfId="28" applyNumberFormat="1" applyFont="1" applyFill="1" applyBorder="1"/>
    <xf numFmtId="0" fontId="87" fillId="0" borderId="17" xfId="28" applyFont="1" applyFill="1" applyBorder="1" applyAlignment="1">
      <alignment vertical="center" wrapText="1"/>
    </xf>
    <xf numFmtId="0" fontId="17" fillId="0" borderId="17" xfId="28" applyFont="1" applyBorder="1" applyAlignment="1">
      <alignment horizontal="justify" vertical="center" wrapText="1"/>
    </xf>
    <xf numFmtId="0" fontId="87" fillId="0" borderId="17" xfId="28" applyFont="1" applyFill="1" applyBorder="1" applyAlignment="1">
      <alignment horizontal="justify" vertical="center" wrapText="1"/>
    </xf>
    <xf numFmtId="166" fontId="18" fillId="0" borderId="0" xfId="0" applyNumberFormat="1" applyFont="1" applyAlignment="1">
      <alignment horizontal="center" vertical="center" wrapText="1"/>
    </xf>
    <xf numFmtId="166" fontId="53" fillId="0" borderId="0" xfId="0" applyNumberFormat="1" applyFont="1" applyAlignment="1">
      <alignment horizontal="center" vertical="center" wrapText="1"/>
    </xf>
    <xf numFmtId="166" fontId="53" fillId="0" borderId="0" xfId="0" applyNumberFormat="1" applyFont="1" applyAlignment="1">
      <alignment vertical="center" wrapText="1"/>
    </xf>
    <xf numFmtId="3" fontId="53" fillId="0" borderId="0" xfId="0" applyNumberFormat="1" applyFont="1" applyAlignment="1">
      <alignment vertical="center" wrapText="1"/>
    </xf>
    <xf numFmtId="166" fontId="53" fillId="10" borderId="0" xfId="0" applyNumberFormat="1" applyFont="1" applyFill="1" applyAlignment="1">
      <alignment vertical="center" wrapText="1"/>
    </xf>
    <xf numFmtId="166" fontId="53" fillId="0" borderId="0" xfId="0" applyNumberFormat="1" applyFont="1" applyAlignment="1" applyProtection="1">
      <alignment vertical="center" wrapText="1"/>
    </xf>
    <xf numFmtId="3" fontId="198" fillId="0" borderId="0" xfId="0" applyNumberFormat="1" applyFont="1" applyAlignment="1">
      <alignment vertical="center" wrapText="1"/>
    </xf>
    <xf numFmtId="0" fontId="50" fillId="0" borderId="35" xfId="0" applyFont="1" applyBorder="1" applyAlignment="1">
      <alignment horizontal="center" vertical="center" wrapText="1"/>
    </xf>
    <xf numFmtId="0" fontId="43" fillId="0" borderId="0" xfId="22"/>
    <xf numFmtId="0" fontId="12" fillId="0" borderId="45" xfId="22" applyFont="1" applyFill="1" applyBorder="1" applyAlignment="1">
      <alignment vertical="center"/>
    </xf>
    <xf numFmtId="0" fontId="43" fillId="0" borderId="6" xfId="22" applyFill="1" applyBorder="1"/>
    <xf numFmtId="0" fontId="43" fillId="0" borderId="17" xfId="22" applyFill="1" applyBorder="1"/>
    <xf numFmtId="0" fontId="109" fillId="0" borderId="0" xfId="22" applyFont="1"/>
    <xf numFmtId="0" fontId="6" fillId="0" borderId="6" xfId="22" applyFont="1" applyFill="1" applyBorder="1" applyAlignment="1">
      <alignment vertical="center"/>
    </xf>
    <xf numFmtId="0" fontId="6" fillId="0" borderId="17" xfId="22" applyFont="1" applyFill="1" applyBorder="1" applyAlignment="1">
      <alignment horizontal="center" vertical="center"/>
    </xf>
    <xf numFmtId="0" fontId="6" fillId="0" borderId="7" xfId="22" applyFont="1" applyFill="1" applyBorder="1" applyAlignment="1">
      <alignment horizontal="center" vertical="center"/>
    </xf>
    <xf numFmtId="49" fontId="3" fillId="0" borderId="6" xfId="22" applyNumberFormat="1" applyFont="1" applyFill="1" applyBorder="1" applyAlignment="1">
      <alignment vertical="center"/>
    </xf>
    <xf numFmtId="3" fontId="170" fillId="0" borderId="17" xfId="22" applyNumberFormat="1" applyFont="1" applyFill="1" applyBorder="1" applyAlignment="1" applyProtection="1">
      <alignment vertical="center"/>
      <protection locked="0"/>
    </xf>
    <xf numFmtId="3" fontId="3" fillId="0" borderId="17" xfId="22" applyNumberFormat="1" applyFont="1" applyFill="1" applyBorder="1" applyAlignment="1" applyProtection="1">
      <alignment vertical="center"/>
      <protection locked="0"/>
    </xf>
    <xf numFmtId="3" fontId="3" fillId="0" borderId="7" xfId="22" applyNumberFormat="1" applyFont="1" applyFill="1" applyBorder="1" applyAlignment="1" applyProtection="1">
      <alignment vertical="center"/>
      <protection locked="0"/>
    </xf>
    <xf numFmtId="49" fontId="21" fillId="0" borderId="6" xfId="22" applyNumberFormat="1" applyFont="1" applyFill="1" applyBorder="1" applyAlignment="1">
      <alignment horizontal="left" vertical="center" indent="1"/>
    </xf>
    <xf numFmtId="3" fontId="3" fillId="0" borderId="17" xfId="28" applyNumberFormat="1" applyFont="1" applyBorder="1" applyAlignment="1" applyProtection="1">
      <alignment vertical="center"/>
      <protection locked="0"/>
    </xf>
    <xf numFmtId="49" fontId="9" fillId="0" borderId="6" xfId="22" applyNumberFormat="1" applyFont="1" applyFill="1" applyBorder="1" applyAlignment="1" applyProtection="1">
      <alignment vertical="center"/>
      <protection locked="0"/>
    </xf>
    <xf numFmtId="49" fontId="7" fillId="0" borderId="6" xfId="22" applyNumberFormat="1" applyFont="1" applyFill="1" applyBorder="1" applyAlignment="1">
      <alignment vertical="center"/>
    </xf>
    <xf numFmtId="3" fontId="6" fillId="0" borderId="17" xfId="22" applyNumberFormat="1" applyFont="1" applyFill="1" applyBorder="1" applyAlignment="1">
      <alignment vertical="center"/>
    </xf>
    <xf numFmtId="3" fontId="6" fillId="0" borderId="7" xfId="22" applyNumberFormat="1" applyFont="1" applyFill="1" applyBorder="1" applyAlignment="1">
      <alignment vertical="center"/>
    </xf>
    <xf numFmtId="0" fontId="43" fillId="0" borderId="6" xfId="22" applyFill="1" applyBorder="1" applyAlignment="1">
      <alignment vertical="center"/>
    </xf>
    <xf numFmtId="0" fontId="43" fillId="0" borderId="17" xfId="22" applyFont="1" applyFill="1" applyBorder="1" applyAlignment="1">
      <alignment vertical="center"/>
    </xf>
    <xf numFmtId="0" fontId="43" fillId="0" borderId="7" xfId="22" applyFill="1" applyBorder="1" applyAlignment="1">
      <alignment vertical="center"/>
    </xf>
    <xf numFmtId="49" fontId="7" fillId="0" borderId="46" xfId="22" applyNumberFormat="1" applyFont="1" applyFill="1" applyBorder="1" applyAlignment="1">
      <alignment vertical="center"/>
    </xf>
    <xf numFmtId="3" fontId="6" fillId="0" borderId="47" xfId="22" applyNumberFormat="1" applyFont="1" applyFill="1" applyBorder="1" applyAlignment="1">
      <alignment vertical="center"/>
    </xf>
    <xf numFmtId="3" fontId="6" fillId="0" borderId="18" xfId="22" applyNumberFormat="1" applyFont="1" applyFill="1" applyBorder="1" applyAlignment="1">
      <alignment vertical="center"/>
    </xf>
    <xf numFmtId="49" fontId="3" fillId="0" borderId="79" xfId="22" applyNumberFormat="1" applyFont="1" applyFill="1" applyBorder="1" applyAlignment="1">
      <alignment vertical="center"/>
    </xf>
    <xf numFmtId="3" fontId="3" fillId="0" borderId="79" xfId="22" applyNumberFormat="1" applyFont="1" applyFill="1" applyBorder="1" applyAlignment="1" applyProtection="1">
      <alignment vertical="center"/>
      <protection locked="0"/>
    </xf>
    <xf numFmtId="49" fontId="3" fillId="0" borderId="0" xfId="22" applyNumberFormat="1" applyFont="1" applyFill="1" applyBorder="1" applyAlignment="1">
      <alignment vertical="center"/>
    </xf>
    <xf numFmtId="3" fontId="3" fillId="0" borderId="0" xfId="22" applyNumberFormat="1" applyFont="1" applyFill="1" applyBorder="1" applyAlignment="1" applyProtection="1">
      <alignment vertical="center"/>
      <protection locked="0"/>
    </xf>
    <xf numFmtId="0" fontId="43" fillId="0" borderId="0" xfId="22" applyBorder="1"/>
    <xf numFmtId="0" fontId="43" fillId="0" borderId="7" xfId="22" applyFont="1" applyFill="1" applyBorder="1" applyAlignment="1">
      <alignment vertical="center"/>
    </xf>
    <xf numFmtId="3" fontId="43" fillId="0" borderId="0" xfId="22" applyNumberFormat="1"/>
    <xf numFmtId="49" fontId="9" fillId="0" borderId="79" xfId="22" applyNumberFormat="1" applyFont="1" applyFill="1" applyBorder="1" applyAlignment="1" applyProtection="1">
      <alignment vertical="center"/>
      <protection locked="0"/>
    </xf>
    <xf numFmtId="49" fontId="9" fillId="0" borderId="0" xfId="22" applyNumberFormat="1" applyFont="1" applyFill="1" applyBorder="1" applyAlignment="1" applyProtection="1">
      <alignment vertical="center"/>
      <protection locked="0"/>
    </xf>
    <xf numFmtId="49" fontId="7" fillId="0" borderId="0" xfId="22" applyNumberFormat="1" applyFont="1" applyFill="1" applyBorder="1" applyAlignment="1">
      <alignment vertical="center"/>
    </xf>
    <xf numFmtId="3" fontId="166" fillId="0" borderId="0" xfId="22" applyNumberFormat="1" applyFont="1" applyFill="1" applyBorder="1" applyAlignment="1">
      <alignment vertical="center"/>
    </xf>
    <xf numFmtId="0" fontId="43" fillId="0" borderId="0" xfId="22" applyFill="1" applyBorder="1"/>
    <xf numFmtId="0" fontId="6" fillId="0" borderId="0" xfId="22" applyFont="1" applyFill="1" applyBorder="1" applyAlignment="1">
      <alignment vertical="center"/>
    </xf>
    <xf numFmtId="3" fontId="6" fillId="0" borderId="0" xfId="22" applyNumberFormat="1" applyFont="1" applyFill="1" applyBorder="1" applyAlignment="1">
      <alignment vertical="center"/>
    </xf>
    <xf numFmtId="0" fontId="43" fillId="0" borderId="0" xfId="22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12" fillId="0" borderId="0" xfId="22" applyFont="1" applyFill="1" applyBorder="1" applyAlignment="1">
      <alignment vertical="center"/>
    </xf>
    <xf numFmtId="49" fontId="21" fillId="0" borderId="0" xfId="22" applyNumberFormat="1" applyFont="1" applyFill="1" applyBorder="1" applyAlignment="1">
      <alignment horizontal="left" vertical="center" indent="1"/>
    </xf>
    <xf numFmtId="0" fontId="6" fillId="0" borderId="82" xfId="22" applyFont="1" applyFill="1" applyBorder="1" applyAlignment="1">
      <alignment vertical="center"/>
    </xf>
    <xf numFmtId="0" fontId="43" fillId="0" borderId="120" xfId="22" applyFill="1" applyBorder="1"/>
    <xf numFmtId="0" fontId="43" fillId="0" borderId="26" xfId="22" applyFill="1" applyBorder="1"/>
    <xf numFmtId="0" fontId="43" fillId="0" borderId="10" xfId="22" applyFill="1" applyBorder="1"/>
    <xf numFmtId="0" fontId="43" fillId="0" borderId="82" xfId="22" applyFill="1" applyBorder="1"/>
    <xf numFmtId="0" fontId="43" fillId="0" borderId="7" xfId="22" applyFill="1" applyBorder="1"/>
    <xf numFmtId="0" fontId="3" fillId="0" borderId="41" xfId="28" applyFont="1" applyBorder="1" applyProtection="1">
      <protection locked="0"/>
    </xf>
    <xf numFmtId="172" fontId="3" fillId="0" borderId="16" xfId="1" applyNumberFormat="1" applyFont="1" applyBorder="1" applyAlignment="1" applyProtection="1">
      <protection locked="0"/>
    </xf>
    <xf numFmtId="0" fontId="50" fillId="0" borderId="34" xfId="0" applyFont="1" applyBorder="1" applyAlignment="1">
      <alignment horizontal="center" vertical="center" wrapText="1"/>
    </xf>
    <xf numFmtId="0" fontId="205" fillId="0" borderId="0" xfId="27" applyFont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/>
    </xf>
    <xf numFmtId="0" fontId="0" fillId="0" borderId="0" xfId="0"/>
    <xf numFmtId="12" fontId="37" fillId="0" borderId="6" xfId="0" applyNumberFormat="1" applyFont="1" applyBorder="1" applyAlignment="1">
      <alignment wrapText="1"/>
    </xf>
    <xf numFmtId="3" fontId="108" fillId="17" borderId="76" xfId="27" applyNumberFormat="1" applyFont="1" applyFill="1" applyBorder="1" applyAlignment="1">
      <alignment vertical="center"/>
    </xf>
    <xf numFmtId="3" fontId="108" fillId="17" borderId="10" xfId="27" applyNumberFormat="1" applyFont="1" applyFill="1" applyBorder="1" applyAlignment="1">
      <alignment vertical="center"/>
    </xf>
    <xf numFmtId="3" fontId="221" fillId="17" borderId="77" xfId="27" applyNumberFormat="1" applyFont="1" applyFill="1" applyBorder="1" applyAlignment="1">
      <alignment vertical="center"/>
    </xf>
    <xf numFmtId="3" fontId="108" fillId="17" borderId="25" xfId="27" applyNumberFormat="1" applyFont="1" applyFill="1" applyBorder="1" applyAlignment="1">
      <alignment vertical="center"/>
    </xf>
    <xf numFmtId="3" fontId="16" fillId="0" borderId="11" xfId="0" applyNumberFormat="1" applyFont="1" applyFill="1" applyBorder="1"/>
    <xf numFmtId="3" fontId="16" fillId="0" borderId="48" xfId="0" applyNumberFormat="1" applyFont="1" applyFill="1" applyBorder="1"/>
    <xf numFmtId="3" fontId="14" fillId="0" borderId="11" xfId="0" applyNumberFormat="1" applyFont="1" applyFill="1" applyBorder="1"/>
    <xf numFmtId="3" fontId="14" fillId="0" borderId="11" xfId="0" applyNumberFormat="1" applyFont="1" applyFill="1" applyBorder="1" applyAlignment="1">
      <alignment vertical="center"/>
    </xf>
    <xf numFmtId="3" fontId="12" fillId="0" borderId="77" xfId="0" applyNumberFormat="1" applyFont="1" applyFill="1" applyBorder="1"/>
    <xf numFmtId="3" fontId="16" fillId="26" borderId="16" xfId="0" applyNumberFormat="1" applyFont="1" applyFill="1" applyBorder="1"/>
    <xf numFmtId="3" fontId="12" fillId="26" borderId="18" xfId="0" applyNumberFormat="1" applyFont="1" applyFill="1" applyBorder="1"/>
    <xf numFmtId="3" fontId="16" fillId="0" borderId="82" xfId="0" applyNumberFormat="1" applyFont="1" applyFill="1" applyBorder="1"/>
    <xf numFmtId="3" fontId="16" fillId="0" borderId="83" xfId="0" applyNumberFormat="1" applyFont="1" applyFill="1" applyBorder="1"/>
    <xf numFmtId="3" fontId="0" fillId="0" borderId="83" xfId="0" applyNumberFormat="1" applyFill="1" applyBorder="1"/>
    <xf numFmtId="3" fontId="14" fillId="0" borderId="83" xfId="0" applyNumberFormat="1" applyFont="1" applyFill="1" applyBorder="1"/>
    <xf numFmtId="3" fontId="14" fillId="0" borderId="83" xfId="0" applyNumberFormat="1" applyFont="1" applyFill="1" applyBorder="1" applyAlignment="1">
      <alignment vertical="center"/>
    </xf>
    <xf numFmtId="3" fontId="0" fillId="0" borderId="10" xfId="0" applyNumberFormat="1" applyFill="1" applyBorder="1"/>
    <xf numFmtId="3" fontId="0" fillId="0" borderId="11" xfId="0" applyNumberFormat="1" applyFill="1" applyBorder="1"/>
    <xf numFmtId="3" fontId="16" fillId="0" borderId="10" xfId="0" applyNumberFormat="1" applyFont="1" applyFill="1" applyBorder="1"/>
    <xf numFmtId="3" fontId="14" fillId="0" borderId="10" xfId="0" applyNumberFormat="1" applyFont="1" applyFill="1" applyBorder="1"/>
    <xf numFmtId="3" fontId="14" fillId="0" borderId="10" xfId="0" applyNumberFormat="1" applyFont="1" applyFill="1" applyBorder="1" applyAlignment="1">
      <alignment vertical="center"/>
    </xf>
    <xf numFmtId="3" fontId="0" fillId="0" borderId="20" xfId="0" applyNumberFormat="1" applyFill="1" applyBorder="1"/>
    <xf numFmtId="3" fontId="14" fillId="0" borderId="20" xfId="0" applyNumberFormat="1" applyFont="1" applyFill="1" applyBorder="1"/>
    <xf numFmtId="3" fontId="16" fillId="0" borderId="41" xfId="0" applyNumberFormat="1" applyFont="1" applyFill="1" applyBorder="1"/>
    <xf numFmtId="3" fontId="0" fillId="0" borderId="26" xfId="0" applyNumberFormat="1" applyFill="1" applyBorder="1"/>
    <xf numFmtId="3" fontId="14" fillId="0" borderId="26" xfId="0" applyNumberFormat="1" applyFont="1" applyFill="1" applyBorder="1"/>
    <xf numFmtId="3" fontId="14" fillId="0" borderId="26" xfId="0" applyNumberFormat="1" applyFont="1" applyFill="1" applyBorder="1" applyAlignment="1">
      <alignment vertical="center"/>
    </xf>
    <xf numFmtId="3" fontId="109" fillId="0" borderId="13" xfId="27" applyNumberFormat="1" applyFont="1" applyFill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3" fontId="202" fillId="17" borderId="11" xfId="27" applyNumberFormat="1" applyFont="1" applyFill="1" applyBorder="1" applyAlignment="1">
      <alignment vertical="center"/>
    </xf>
    <xf numFmtId="3" fontId="203" fillId="17" borderId="11" xfId="27" applyNumberFormat="1" applyFont="1" applyFill="1" applyBorder="1" applyAlignment="1">
      <alignment vertical="center"/>
    </xf>
    <xf numFmtId="3" fontId="91" fillId="17" borderId="11" xfId="27" applyNumberFormat="1" applyFont="1" applyFill="1" applyBorder="1" applyAlignment="1">
      <alignment vertical="center"/>
    </xf>
    <xf numFmtId="3" fontId="223" fillId="17" borderId="12" xfId="27" applyNumberFormat="1" applyFont="1" applyFill="1" applyBorder="1" applyAlignment="1">
      <alignment vertical="center"/>
    </xf>
    <xf numFmtId="3" fontId="223" fillId="17" borderId="18" xfId="27" applyNumberFormat="1" applyFont="1" applyFill="1" applyBorder="1" applyAlignment="1">
      <alignment vertical="center"/>
    </xf>
    <xf numFmtId="3" fontId="250" fillId="0" borderId="0" xfId="27" applyNumberFormat="1" applyFont="1" applyBorder="1" applyAlignment="1">
      <alignment vertical="center"/>
    </xf>
    <xf numFmtId="0" fontId="251" fillId="0" borderId="0" xfId="27" applyFont="1" applyBorder="1" applyAlignment="1">
      <alignment vertical="center"/>
    </xf>
    <xf numFmtId="3" fontId="208" fillId="0" borderId="120" xfId="27" applyNumberFormat="1" applyFont="1" applyBorder="1" applyAlignment="1">
      <alignment vertical="center"/>
    </xf>
    <xf numFmtId="3" fontId="210" fillId="0" borderId="49" xfId="27" applyNumberFormat="1" applyFont="1" applyBorder="1" applyAlignment="1">
      <alignment vertical="center"/>
    </xf>
    <xf numFmtId="3" fontId="0" fillId="0" borderId="49" xfId="0" applyNumberFormat="1" applyBorder="1"/>
    <xf numFmtId="3" fontId="207" fillId="0" borderId="62" xfId="27" applyNumberFormat="1" applyFont="1" applyBorder="1" applyAlignment="1">
      <alignment vertical="center"/>
    </xf>
    <xf numFmtId="3" fontId="0" fillId="0" borderId="16" xfId="0" applyNumberFormat="1" applyBorder="1"/>
    <xf numFmtId="3" fontId="0" fillId="0" borderId="7" xfId="0" applyNumberFormat="1" applyBorder="1"/>
    <xf numFmtId="3" fontId="207" fillId="0" borderId="18" xfId="27" applyNumberFormat="1" applyFont="1" applyBorder="1" applyAlignment="1">
      <alignment vertical="center"/>
    </xf>
    <xf numFmtId="3" fontId="208" fillId="17" borderId="83" xfId="27" applyNumberFormat="1" applyFont="1" applyFill="1" applyBorder="1"/>
    <xf numFmtId="3" fontId="210" fillId="17" borderId="83" xfId="27" applyNumberFormat="1" applyFont="1" applyFill="1" applyBorder="1"/>
    <xf numFmtId="3" fontId="208" fillId="17" borderId="20" xfId="27" applyNumberFormat="1" applyFont="1" applyFill="1" applyBorder="1"/>
    <xf numFmtId="3" fontId="208" fillId="17" borderId="53" xfId="27" applyNumberFormat="1" applyFont="1" applyFill="1" applyBorder="1"/>
    <xf numFmtId="3" fontId="109" fillId="0" borderId="51" xfId="27" applyNumberFormat="1" applyFont="1" applyFill="1" applyBorder="1" applyAlignment="1">
      <alignment horizontal="center" vertical="center" wrapText="1"/>
    </xf>
    <xf numFmtId="3" fontId="0" fillId="0" borderId="120" xfId="0" applyNumberFormat="1" applyBorder="1"/>
    <xf numFmtId="3" fontId="208" fillId="17" borderId="7" xfId="27" applyNumberFormat="1" applyFont="1" applyFill="1" applyBorder="1"/>
    <xf numFmtId="3" fontId="203" fillId="0" borderId="49" xfId="27" applyNumberFormat="1" applyFont="1" applyBorder="1" applyAlignment="1">
      <alignment vertical="center"/>
    </xf>
    <xf numFmtId="3" fontId="209" fillId="0" borderId="49" xfId="27" applyNumberFormat="1" applyFont="1" applyBorder="1" applyAlignment="1">
      <alignment vertical="center"/>
    </xf>
    <xf numFmtId="3" fontId="208" fillId="0" borderId="5" xfId="27" applyNumberFormat="1" applyFont="1" applyBorder="1" applyAlignment="1">
      <alignment vertical="center"/>
    </xf>
    <xf numFmtId="3" fontId="203" fillId="0" borderId="7" xfId="27" applyNumberFormat="1" applyFont="1" applyBorder="1" applyAlignment="1">
      <alignment vertical="center"/>
    </xf>
    <xf numFmtId="3" fontId="210" fillId="0" borderId="7" xfId="27" applyNumberFormat="1" applyFont="1" applyBorder="1" applyAlignment="1">
      <alignment vertical="center"/>
    </xf>
    <xf numFmtId="3" fontId="209" fillId="0" borderId="7" xfId="27" applyNumberFormat="1" applyFont="1" applyBorder="1" applyAlignment="1">
      <alignment vertical="center"/>
    </xf>
    <xf numFmtId="3" fontId="109" fillId="0" borderId="7" xfId="27" applyNumberFormat="1" applyFont="1" applyBorder="1" applyAlignment="1">
      <alignment vertical="center"/>
    </xf>
    <xf numFmtId="3" fontId="209" fillId="27" borderId="7" xfId="27" applyNumberFormat="1" applyFont="1" applyFill="1" applyBorder="1" applyAlignment="1">
      <alignment vertical="center"/>
    </xf>
    <xf numFmtId="3" fontId="17" fillId="0" borderId="17" xfId="0" applyNumberFormat="1" applyFont="1" applyBorder="1"/>
    <xf numFmtId="3" fontId="17" fillId="8" borderId="17" xfId="0" applyNumberFormat="1" applyFont="1" applyFill="1" applyBorder="1"/>
    <xf numFmtId="3" fontId="106" fillId="0" borderId="49" xfId="27" applyNumberFormat="1" applyFont="1" applyBorder="1" applyAlignment="1">
      <alignment vertical="center"/>
    </xf>
    <xf numFmtId="3" fontId="106" fillId="0" borderId="17" xfId="27" applyNumberFormat="1" applyFont="1" applyBorder="1" applyAlignment="1">
      <alignment vertical="center"/>
    </xf>
    <xf numFmtId="3" fontId="106" fillId="8" borderId="17" xfId="27" applyNumberFormat="1" applyFont="1" applyFill="1" applyBorder="1" applyAlignment="1">
      <alignment vertical="center"/>
    </xf>
    <xf numFmtId="3" fontId="17" fillId="0" borderId="49" xfId="0" applyNumberFormat="1" applyFont="1" applyBorder="1"/>
    <xf numFmtId="3" fontId="17" fillId="0" borderId="26" xfId="0" applyNumberFormat="1" applyFont="1" applyBorder="1"/>
    <xf numFmtId="3" fontId="50" fillId="0" borderId="26" xfId="0" applyNumberFormat="1" applyFont="1" applyBorder="1"/>
    <xf numFmtId="3" fontId="208" fillId="17" borderId="120" xfId="27" applyNumberFormat="1" applyFont="1" applyFill="1" applyBorder="1" applyAlignment="1">
      <alignment vertical="center"/>
    </xf>
    <xf numFmtId="3" fontId="50" fillId="0" borderId="5" xfId="0" applyNumberFormat="1" applyFont="1" applyBorder="1"/>
    <xf numFmtId="3" fontId="203" fillId="0" borderId="5" xfId="27" applyNumberFormat="1" applyFont="1" applyBorder="1" applyAlignment="1">
      <alignment vertical="center"/>
    </xf>
    <xf numFmtId="3" fontId="17" fillId="0" borderId="7" xfId="0" applyNumberFormat="1" applyFont="1" applyBorder="1"/>
    <xf numFmtId="3" fontId="17" fillId="0" borderId="5" xfId="0" applyNumberFormat="1" applyFont="1" applyBorder="1"/>
    <xf numFmtId="3" fontId="0" fillId="0" borderId="5" xfId="0" applyNumberFormat="1" applyBorder="1"/>
    <xf numFmtId="3" fontId="50" fillId="0" borderId="120" xfId="0" applyNumberFormat="1" applyFont="1" applyBorder="1"/>
    <xf numFmtId="3" fontId="109" fillId="17" borderId="1" xfId="27" applyNumberFormat="1" applyFont="1" applyFill="1" applyBorder="1" applyAlignment="1">
      <alignment horizontal="center" vertical="center" wrapText="1"/>
    </xf>
    <xf numFmtId="3" fontId="96" fillId="0" borderId="0" xfId="27" applyNumberFormat="1" applyFont="1"/>
    <xf numFmtId="3" fontId="109" fillId="17" borderId="84" xfId="27" applyNumberFormat="1" applyFont="1" applyFill="1" applyBorder="1" applyAlignment="1">
      <alignment horizontal="center" vertical="center" wrapText="1"/>
    </xf>
    <xf numFmtId="3" fontId="109" fillId="17" borderId="59" xfId="27" applyNumberFormat="1" applyFont="1" applyFill="1" applyBorder="1" applyAlignment="1">
      <alignment vertical="center"/>
    </xf>
    <xf numFmtId="3" fontId="109" fillId="17" borderId="35" xfId="27" applyNumberFormat="1" applyFont="1" applyFill="1" applyBorder="1" applyAlignment="1">
      <alignment horizontal="center" vertical="center" wrapText="1"/>
    </xf>
    <xf numFmtId="3" fontId="208" fillId="17" borderId="5" xfId="27" applyNumberFormat="1" applyFont="1" applyFill="1" applyBorder="1" applyAlignment="1">
      <alignment vertical="center"/>
    </xf>
    <xf numFmtId="3" fontId="109" fillId="17" borderId="83" xfId="27" applyNumberFormat="1" applyFont="1" applyFill="1" applyBorder="1" applyAlignment="1">
      <alignment vertical="center"/>
    </xf>
    <xf numFmtId="3" fontId="209" fillId="17" borderId="83" xfId="27" applyNumberFormat="1" applyFont="1" applyFill="1" applyBorder="1" applyAlignment="1">
      <alignment vertical="center"/>
    </xf>
    <xf numFmtId="3" fontId="209" fillId="17" borderId="53" xfId="27" applyNumberFormat="1" applyFont="1" applyFill="1" applyBorder="1" applyAlignment="1">
      <alignment vertical="center"/>
    </xf>
    <xf numFmtId="3" fontId="207" fillId="17" borderId="137" xfId="27" applyNumberFormat="1" applyFont="1" applyFill="1" applyBorder="1"/>
    <xf numFmtId="3" fontId="109" fillId="17" borderId="19" xfId="27" applyNumberFormat="1" applyFont="1" applyFill="1" applyBorder="1" applyAlignment="1">
      <alignment horizontal="center" vertical="center" wrapText="1"/>
    </xf>
    <xf numFmtId="3" fontId="208" fillId="26" borderId="26" xfId="27" applyNumberFormat="1" applyFont="1" applyFill="1" applyBorder="1" applyAlignment="1">
      <alignment vertical="center"/>
    </xf>
    <xf numFmtId="3" fontId="208" fillId="26" borderId="5" xfId="27" applyNumberFormat="1" applyFont="1" applyFill="1" applyBorder="1" applyAlignment="1">
      <alignment vertical="center"/>
    </xf>
    <xf numFmtId="3" fontId="203" fillId="26" borderId="7" xfId="27" applyNumberFormat="1" applyFont="1" applyFill="1" applyBorder="1" applyAlignment="1">
      <alignment vertical="center"/>
    </xf>
    <xf numFmtId="3" fontId="17" fillId="26" borderId="17" xfId="0" applyNumberFormat="1" applyFont="1" applyFill="1" applyBorder="1"/>
    <xf numFmtId="3" fontId="17" fillId="26" borderId="7" xfId="0" applyNumberFormat="1" applyFont="1" applyFill="1" applyBorder="1"/>
    <xf numFmtId="3" fontId="106" fillId="26" borderId="17" xfId="27" applyNumberFormat="1" applyFont="1" applyFill="1" applyBorder="1" applyAlignment="1">
      <alignment vertical="center"/>
    </xf>
    <xf numFmtId="3" fontId="106" fillId="26" borderId="7" xfId="27" applyNumberFormat="1" applyFont="1" applyFill="1" applyBorder="1" applyAlignment="1">
      <alignment vertical="center"/>
    </xf>
    <xf numFmtId="3" fontId="209" fillId="17" borderId="7" xfId="27" applyNumberFormat="1" applyFont="1" applyFill="1" applyBorder="1" applyAlignment="1">
      <alignment vertical="center"/>
    </xf>
    <xf numFmtId="0" fontId="212" fillId="17" borderId="17" xfId="27" applyFill="1" applyBorder="1"/>
    <xf numFmtId="0" fontId="212" fillId="17" borderId="29" xfId="27" applyFill="1" applyBorder="1"/>
    <xf numFmtId="3" fontId="3" fillId="0" borderId="11" xfId="0" applyNumberFormat="1" applyFont="1" applyBorder="1"/>
    <xf numFmtId="0" fontId="3" fillId="0" borderId="11" xfId="0" applyFont="1" applyBorder="1"/>
    <xf numFmtId="3" fontId="3" fillId="0" borderId="12" xfId="0" applyNumberFormat="1" applyFont="1" applyBorder="1"/>
    <xf numFmtId="3" fontId="198" fillId="7" borderId="13" xfId="0" applyNumberFormat="1" applyFont="1" applyFill="1" applyBorder="1"/>
    <xf numFmtId="3" fontId="264" fillId="0" borderId="0" xfId="27" applyNumberFormat="1" applyFont="1" applyAlignment="1">
      <alignment horizontal="center" vertical="center" wrapText="1"/>
    </xf>
    <xf numFmtId="3" fontId="265" fillId="0" borderId="0" xfId="27" applyNumberFormat="1" applyFont="1"/>
    <xf numFmtId="3" fontId="265" fillId="0" borderId="0" xfId="27" applyNumberFormat="1" applyFont="1" applyAlignment="1">
      <alignment vertical="center"/>
    </xf>
    <xf numFmtId="3" fontId="209" fillId="0" borderId="0" xfId="27" applyNumberFormat="1" applyFont="1" applyBorder="1" applyAlignment="1">
      <alignment vertical="center"/>
    </xf>
    <xf numFmtId="3" fontId="235" fillId="0" borderId="0" xfId="27" applyNumberFormat="1" applyFont="1" applyBorder="1"/>
    <xf numFmtId="3" fontId="250" fillId="0" borderId="0" xfId="27" applyNumberFormat="1" applyFont="1" applyBorder="1"/>
    <xf numFmtId="3" fontId="265" fillId="0" borderId="53" xfId="27" applyNumberFormat="1" applyFont="1" applyBorder="1"/>
    <xf numFmtId="3" fontId="235" fillId="0" borderId="0" xfId="27" applyNumberFormat="1" applyFont="1" applyBorder="1" applyAlignment="1">
      <alignment vertical="center"/>
    </xf>
    <xf numFmtId="3" fontId="265" fillId="0" borderId="53" xfId="27" applyNumberFormat="1" applyFont="1" applyBorder="1" applyAlignment="1">
      <alignment vertical="center"/>
    </xf>
    <xf numFmtId="0" fontId="266" fillId="0" borderId="53" xfId="27" applyFont="1" applyBorder="1" applyAlignment="1">
      <alignment vertical="center"/>
    </xf>
    <xf numFmtId="3" fontId="246" fillId="0" borderId="0" xfId="27" applyNumberFormat="1" applyFont="1" applyBorder="1" applyAlignment="1">
      <alignment vertical="center"/>
    </xf>
    <xf numFmtId="0" fontId="94" fillId="0" borderId="0" xfId="27" applyFont="1" applyBorder="1" applyAlignment="1">
      <alignment vertical="center"/>
    </xf>
    <xf numFmtId="0" fontId="212" fillId="0" borderId="0" xfId="27" applyBorder="1"/>
    <xf numFmtId="0" fontId="244" fillId="0" borderId="0" xfId="27" applyFont="1" applyBorder="1" applyAlignment="1">
      <alignment vertical="center"/>
    </xf>
    <xf numFmtId="0" fontId="250" fillId="0" borderId="0" xfId="27" applyFont="1" applyBorder="1" applyAlignment="1">
      <alignment vertical="center"/>
    </xf>
    <xf numFmtId="0" fontId="265" fillId="0" borderId="53" xfId="27" applyFont="1" applyBorder="1" applyAlignment="1">
      <alignment vertical="center"/>
    </xf>
    <xf numFmtId="0" fontId="0" fillId="0" borderId="28" xfId="0" applyBorder="1"/>
    <xf numFmtId="0" fontId="267" fillId="0" borderId="53" xfId="27" applyFont="1" applyBorder="1" applyAlignment="1">
      <alignment vertical="center"/>
    </xf>
    <xf numFmtId="0" fontId="211" fillId="0" borderId="53" xfId="27" applyFont="1" applyBorder="1" applyAlignment="1">
      <alignment vertical="center"/>
    </xf>
    <xf numFmtId="3" fontId="11" fillId="0" borderId="29" xfId="28" applyNumberFormat="1" applyFont="1" applyFill="1" applyBorder="1" applyAlignment="1">
      <alignment horizontal="right" vertical="center"/>
    </xf>
    <xf numFmtId="3" fontId="10" fillId="0" borderId="29" xfId="28" applyNumberFormat="1" applyFont="1" applyFill="1" applyBorder="1" applyAlignment="1">
      <alignment horizontal="right" vertical="center"/>
    </xf>
    <xf numFmtId="0" fontId="0" fillId="0" borderId="0" xfId="0" applyAlignment="1"/>
    <xf numFmtId="0" fontId="109" fillId="0" borderId="29" xfId="27" applyFont="1" applyBorder="1" applyAlignment="1">
      <alignment horizontal="center" vertical="center" wrapText="1"/>
    </xf>
    <xf numFmtId="0" fontId="109" fillId="0" borderId="26" xfId="27" applyFont="1" applyBorder="1" applyAlignment="1">
      <alignment horizontal="center" vertical="center" wrapText="1"/>
    </xf>
    <xf numFmtId="0" fontId="109" fillId="17" borderId="14" xfId="27" applyFont="1" applyFill="1" applyBorder="1" applyAlignment="1">
      <alignment horizontal="center" vertical="center" wrapText="1"/>
    </xf>
    <xf numFmtId="0" fontId="109" fillId="17" borderId="22" xfId="27" applyFont="1" applyFill="1" applyBorder="1" applyAlignment="1">
      <alignment horizontal="center" vertical="center" wrapText="1"/>
    </xf>
    <xf numFmtId="0" fontId="109" fillId="17" borderId="26" xfId="27" applyFont="1" applyFill="1" applyBorder="1" applyAlignment="1">
      <alignment horizontal="center" vertical="center" wrapText="1"/>
    </xf>
    <xf numFmtId="0" fontId="208" fillId="17" borderId="120" xfId="27" applyFont="1" applyFill="1" applyBorder="1" applyAlignment="1">
      <alignment horizontal="center" vertical="center" wrapText="1"/>
    </xf>
    <xf numFmtId="0" fontId="0" fillId="0" borderId="0" xfId="0"/>
    <xf numFmtId="12" fontId="37" fillId="0" borderId="6" xfId="0" applyNumberFormat="1" applyFont="1" applyFill="1" applyBorder="1"/>
    <xf numFmtId="3" fontId="37" fillId="0" borderId="17" xfId="0" applyNumberFormat="1" applyFont="1" applyFill="1" applyBorder="1"/>
    <xf numFmtId="0" fontId="37" fillId="0" borderId="0" xfId="0" applyFont="1" applyFill="1"/>
    <xf numFmtId="3" fontId="15" fillId="0" borderId="49" xfId="0" applyNumberFormat="1" applyFont="1" applyFill="1" applyBorder="1"/>
    <xf numFmtId="3" fontId="15" fillId="0" borderId="17" xfId="0" applyNumberFormat="1" applyFont="1" applyFill="1" applyBorder="1"/>
    <xf numFmtId="3" fontId="15" fillId="0" borderId="7" xfId="0" applyNumberFormat="1" applyFont="1" applyFill="1" applyBorder="1"/>
    <xf numFmtId="3" fontId="106" fillId="34" borderId="17" xfId="27" applyNumberFormat="1" applyFont="1" applyFill="1" applyBorder="1" applyAlignment="1">
      <alignment vertical="center"/>
    </xf>
    <xf numFmtId="3" fontId="106" fillId="34" borderId="7" xfId="27" applyNumberFormat="1" applyFont="1" applyFill="1" applyBorder="1" applyAlignment="1">
      <alignment vertical="center"/>
    </xf>
    <xf numFmtId="0" fontId="0" fillId="0" borderId="0" xfId="0"/>
    <xf numFmtId="0" fontId="198" fillId="0" borderId="24" xfId="0" applyFont="1" applyBorder="1" applyAlignment="1">
      <alignment horizontal="center" vertical="center"/>
    </xf>
    <xf numFmtId="0" fontId="198" fillId="0" borderId="19" xfId="0" applyFont="1" applyBorder="1" applyAlignment="1">
      <alignment horizontal="center" vertical="center"/>
    </xf>
    <xf numFmtId="0" fontId="198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26" xfId="0" applyFont="1" applyBorder="1"/>
    <xf numFmtId="3" fontId="3" fillId="0" borderId="5" xfId="0" applyNumberFormat="1" applyFont="1" applyBorder="1"/>
    <xf numFmtId="0" fontId="3" fillId="0" borderId="6" xfId="0" applyFont="1" applyBorder="1" applyAlignment="1">
      <alignment horizontal="center"/>
    </xf>
    <xf numFmtId="0" fontId="50" fillId="0" borderId="17" xfId="0" applyFont="1" applyBorder="1"/>
    <xf numFmtId="3" fontId="50" fillId="0" borderId="7" xfId="0" applyNumberFormat="1" applyFont="1" applyBorder="1"/>
    <xf numFmtId="0" fontId="3" fillId="0" borderId="46" xfId="0" applyFont="1" applyBorder="1" applyAlignment="1">
      <alignment horizontal="center"/>
    </xf>
    <xf numFmtId="0" fontId="50" fillId="0" borderId="47" xfId="0" applyFont="1" applyBorder="1"/>
    <xf numFmtId="3" fontId="50" fillId="0" borderId="18" xfId="0" applyNumberFormat="1" applyFont="1" applyBorder="1"/>
    <xf numFmtId="0" fontId="3" fillId="0" borderId="0" xfId="0" applyFont="1"/>
    <xf numFmtId="3" fontId="64" fillId="0" borderId="0" xfId="16" applyNumberFormat="1" applyFont="1" applyBorder="1"/>
    <xf numFmtId="3" fontId="269" fillId="0" borderId="0" xfId="16" applyNumberFormat="1" applyFont="1" applyBorder="1"/>
    <xf numFmtId="0" fontId="66" fillId="0" borderId="190" xfId="16" applyFont="1" applyBorder="1" applyAlignment="1">
      <alignment horizontal="center" vertical="center"/>
    </xf>
    <xf numFmtId="3" fontId="66" fillId="0" borderId="191" xfId="16" applyNumberFormat="1" applyFont="1" applyBorder="1" applyAlignment="1">
      <alignment horizontal="center" vertical="center"/>
    </xf>
    <xf numFmtId="0" fontId="33" fillId="0" borderId="192" xfId="36" applyFont="1" applyFill="1" applyBorder="1" applyAlignment="1">
      <alignment horizontal="center" vertical="center"/>
    </xf>
    <xf numFmtId="0" fontId="33" fillId="0" borderId="193" xfId="36" applyFont="1" applyBorder="1" applyAlignment="1">
      <alignment horizontal="center" vertical="center"/>
    </xf>
    <xf numFmtId="0" fontId="33" fillId="0" borderId="194" xfId="36" applyFont="1" applyFill="1" applyBorder="1" applyAlignment="1">
      <alignment horizontal="center" vertical="center"/>
    </xf>
    <xf numFmtId="0" fontId="33" fillId="0" borderId="195" xfId="36" applyFont="1" applyFill="1" applyBorder="1" applyAlignment="1">
      <alignment wrapText="1"/>
    </xf>
    <xf numFmtId="3" fontId="33" fillId="0" borderId="196" xfId="36" applyNumberFormat="1" applyFont="1" applyFill="1" applyBorder="1"/>
    <xf numFmtId="3" fontId="33" fillId="26" borderId="196" xfId="36" applyNumberFormat="1" applyFont="1" applyFill="1" applyBorder="1"/>
    <xf numFmtId="0" fontId="64" fillId="0" borderId="195" xfId="36" applyFont="1" applyFill="1" applyBorder="1" applyAlignment="1">
      <alignment wrapText="1"/>
    </xf>
    <xf numFmtId="0" fontId="33" fillId="0" borderId="192" xfId="36" applyFont="1" applyBorder="1" applyAlignment="1">
      <alignment horizontal="center" vertical="center"/>
    </xf>
    <xf numFmtId="3" fontId="269" fillId="0" borderId="196" xfId="36" applyNumberFormat="1" applyFont="1" applyFill="1" applyBorder="1"/>
    <xf numFmtId="0" fontId="33" fillId="26" borderId="195" xfId="36" applyFont="1" applyFill="1" applyBorder="1" applyAlignment="1">
      <alignment wrapText="1"/>
    </xf>
    <xf numFmtId="0" fontId="33" fillId="0" borderId="192" xfId="36" applyFont="1" applyBorder="1" applyAlignment="1">
      <alignment horizontal="center" vertical="center"/>
    </xf>
    <xf numFmtId="49" fontId="33" fillId="0" borderId="193" xfId="16" applyNumberFormat="1" applyFont="1" applyBorder="1" applyAlignment="1">
      <alignment horizontal="center"/>
    </xf>
    <xf numFmtId="0" fontId="65" fillId="0" borderId="194" xfId="16" applyFont="1" applyBorder="1" applyAlignment="1">
      <alignment horizontal="center" vertical="center"/>
    </xf>
    <xf numFmtId="0" fontId="33" fillId="0" borderId="195" xfId="16" applyFont="1" applyBorder="1" applyAlignment="1">
      <alignment horizontal="left" wrapText="1" indent="2"/>
    </xf>
    <xf numFmtId="49" fontId="33" fillId="0" borderId="193" xfId="16" applyNumberFormat="1" applyFont="1" applyFill="1" applyBorder="1" applyAlignment="1">
      <alignment horizontal="center"/>
    </xf>
    <xf numFmtId="0" fontId="65" fillId="0" borderId="194" xfId="16" applyFont="1" applyFill="1" applyBorder="1" applyAlignment="1">
      <alignment horizontal="center" vertical="center"/>
    </xf>
    <xf numFmtId="0" fontId="33" fillId="0" borderId="195" xfId="16" applyFont="1" applyFill="1" applyBorder="1" applyAlignment="1">
      <alignment horizontal="left" wrapText="1" indent="2"/>
    </xf>
    <xf numFmtId="0" fontId="2" fillId="0" borderId="0" xfId="36" applyFont="1"/>
    <xf numFmtId="3" fontId="269" fillId="7" borderId="204" xfId="36" applyNumberFormat="1" applyFont="1" applyFill="1" applyBorder="1"/>
    <xf numFmtId="0" fontId="270" fillId="0" borderId="0" xfId="35" applyFont="1" applyBorder="1" applyAlignment="1">
      <alignment horizontal="center" vertical="center" wrapText="1"/>
    </xf>
    <xf numFmtId="0" fontId="2" fillId="0" borderId="0" xfId="16" applyFont="1"/>
    <xf numFmtId="3" fontId="2" fillId="0" borderId="0" xfId="16" applyNumberFormat="1" applyFont="1"/>
    <xf numFmtId="0" fontId="37" fillId="0" borderId="195" xfId="36" applyFont="1" applyFill="1" applyBorder="1" applyAlignment="1">
      <alignment wrapText="1"/>
    </xf>
    <xf numFmtId="3" fontId="37" fillId="0" borderId="196" xfId="36" applyNumberFormat="1" applyFont="1" applyFill="1" applyBorder="1"/>
    <xf numFmtId="0" fontId="33" fillId="0" borderId="0" xfId="36" applyFont="1" applyBorder="1" applyAlignment="1">
      <alignment horizontal="center" vertical="center"/>
    </xf>
    <xf numFmtId="0" fontId="33" fillId="0" borderId="0" xfId="36" applyFont="1" applyFill="1" applyBorder="1" applyAlignment="1">
      <alignment horizontal="center" vertical="center"/>
    </xf>
    <xf numFmtId="0" fontId="33" fillId="0" borderId="0" xfId="36" applyFont="1" applyFill="1" applyBorder="1" applyAlignment="1">
      <alignment wrapText="1"/>
    </xf>
    <xf numFmtId="3" fontId="269" fillId="0" borderId="0" xfId="36" applyNumberFormat="1" applyFont="1" applyFill="1" applyBorder="1"/>
    <xf numFmtId="3" fontId="64" fillId="35" borderId="57" xfId="36" applyNumberFormat="1" applyFont="1" applyFill="1" applyBorder="1"/>
    <xf numFmtId="0" fontId="43" fillId="0" borderId="0" xfId="36"/>
    <xf numFmtId="3" fontId="67" fillId="0" borderId="0" xfId="16" applyNumberFormat="1" applyFont="1" applyBorder="1"/>
    <xf numFmtId="3" fontId="25" fillId="0" borderId="0" xfId="16" applyNumberFormat="1" applyFont="1" applyBorder="1"/>
    <xf numFmtId="0" fontId="10" fillId="0" borderId="190" xfId="16" applyFont="1" applyBorder="1" applyAlignment="1">
      <alignment horizontal="center" vertical="center"/>
    </xf>
    <xf numFmtId="3" fontId="10" fillId="0" borderId="191" xfId="16" applyNumberFormat="1" applyFont="1" applyBorder="1" applyAlignment="1">
      <alignment horizontal="center" vertical="center"/>
    </xf>
    <xf numFmtId="0" fontId="33" fillId="26" borderId="192" xfId="36" applyFont="1" applyFill="1" applyBorder="1" applyAlignment="1">
      <alignment horizontal="center" vertical="center"/>
    </xf>
    <xf numFmtId="0" fontId="33" fillId="26" borderId="194" xfId="36" applyFont="1" applyFill="1" applyBorder="1" applyAlignment="1">
      <alignment horizontal="center" vertical="center"/>
    </xf>
    <xf numFmtId="0" fontId="271" fillId="0" borderId="195" xfId="36" applyFont="1" applyBorder="1" applyAlignment="1">
      <alignment horizontal="left" wrapText="1" indent="4"/>
    </xf>
    <xf numFmtId="3" fontId="271" fillId="0" borderId="196" xfId="36" applyNumberFormat="1" applyFont="1" applyFill="1" applyBorder="1"/>
    <xf numFmtId="0" fontId="33" fillId="0" borderId="195" xfId="36" applyFont="1" applyBorder="1" applyAlignment="1">
      <alignment wrapText="1"/>
    </xf>
    <xf numFmtId="3" fontId="33" fillId="0" borderId="196" xfId="36" applyNumberFormat="1" applyFont="1" applyBorder="1"/>
    <xf numFmtId="0" fontId="271" fillId="0" borderId="195" xfId="36" applyFont="1" applyBorder="1" applyAlignment="1">
      <alignment horizontal="left" wrapText="1" indent="2"/>
    </xf>
    <xf numFmtId="0" fontId="33" fillId="0" borderId="195" xfId="36" applyFont="1" applyBorder="1" applyAlignment="1">
      <alignment horizontal="left" wrapText="1" indent="4"/>
    </xf>
    <xf numFmtId="3" fontId="37" fillId="26" borderId="196" xfId="36" applyNumberFormat="1" applyFont="1" applyFill="1" applyBorder="1"/>
    <xf numFmtId="0" fontId="33" fillId="0" borderId="193" xfId="36" applyFont="1" applyFill="1" applyBorder="1" applyAlignment="1">
      <alignment horizontal="center" vertical="center"/>
    </xf>
    <xf numFmtId="0" fontId="64" fillId="0" borderId="193" xfId="36" applyFont="1" applyFill="1" applyBorder="1" applyAlignment="1">
      <alignment wrapText="1"/>
    </xf>
    <xf numFmtId="3" fontId="269" fillId="0" borderId="200" xfId="36" applyNumberFormat="1" applyFont="1" applyFill="1" applyBorder="1"/>
    <xf numFmtId="0" fontId="33" fillId="26" borderId="193" xfId="36" applyFont="1" applyFill="1" applyBorder="1" applyAlignment="1">
      <alignment horizontal="center" vertical="center"/>
    </xf>
    <xf numFmtId="0" fontId="0" fillId="26" borderId="0" xfId="0" applyFill="1"/>
    <xf numFmtId="0" fontId="33" fillId="0" borderId="206" xfId="36" applyFont="1" applyBorder="1" applyAlignment="1">
      <alignment horizontal="center" vertical="center"/>
    </xf>
    <xf numFmtId="0" fontId="64" fillId="0" borderId="207" xfId="36" applyFont="1" applyFill="1" applyBorder="1" applyAlignment="1">
      <alignment wrapText="1"/>
    </xf>
    <xf numFmtId="3" fontId="269" fillId="0" borderId="208" xfId="36" applyNumberFormat="1" applyFont="1" applyFill="1" applyBorder="1"/>
    <xf numFmtId="3" fontId="272" fillId="7" borderId="204" xfId="36" applyNumberFormat="1" applyFont="1" applyFill="1" applyBorder="1"/>
    <xf numFmtId="0" fontId="2" fillId="0" borderId="209" xfId="36" applyFont="1" applyBorder="1"/>
    <xf numFmtId="0" fontId="66" fillId="0" borderId="192" xfId="36" applyFont="1" applyBorder="1" applyAlignment="1">
      <alignment horizontal="center" vertical="center"/>
    </xf>
    <xf numFmtId="0" fontId="66" fillId="0" borderId="193" xfId="36" applyFont="1" applyBorder="1" applyAlignment="1">
      <alignment horizontal="center" vertical="center"/>
    </xf>
    <xf numFmtId="0" fontId="268" fillId="0" borderId="192" xfId="36" applyFont="1" applyBorder="1"/>
    <xf numFmtId="0" fontId="268" fillId="0" borderId="193" xfId="36" applyFont="1" applyBorder="1"/>
    <xf numFmtId="0" fontId="268" fillId="0" borderId="192" xfId="36" applyFont="1" applyFill="1" applyBorder="1"/>
    <xf numFmtId="0" fontId="268" fillId="0" borderId="193" xfId="36" applyFont="1" applyFill="1" applyBorder="1"/>
    <xf numFmtId="0" fontId="268" fillId="26" borderId="192" xfId="36" applyFont="1" applyFill="1" applyBorder="1"/>
    <xf numFmtId="0" fontId="268" fillId="26" borderId="193" xfId="36" applyFont="1" applyFill="1" applyBorder="1"/>
    <xf numFmtId="0" fontId="268" fillId="0" borderId="210" xfId="36" applyFont="1" applyBorder="1"/>
    <xf numFmtId="0" fontId="64" fillId="0" borderId="210" xfId="36" applyFont="1" applyFill="1" applyBorder="1" applyAlignment="1">
      <alignment wrapText="1"/>
    </xf>
    <xf numFmtId="3" fontId="269" fillId="0" borderId="210" xfId="36" applyNumberFormat="1" applyFont="1" applyFill="1" applyBorder="1"/>
    <xf numFmtId="0" fontId="33" fillId="0" borderId="210" xfId="36" applyFont="1" applyBorder="1" applyAlignment="1">
      <alignment horizontal="center" vertical="center"/>
    </xf>
    <xf numFmtId="0" fontId="33" fillId="0" borderId="210" xfId="36" applyFont="1" applyFill="1" applyBorder="1" applyAlignment="1">
      <alignment horizontal="center" vertical="center"/>
    </xf>
    <xf numFmtId="0" fontId="59" fillId="0" borderId="0" xfId="0" applyFont="1"/>
    <xf numFmtId="3" fontId="59" fillId="0" borderId="0" xfId="0" applyNumberFormat="1" applyFont="1"/>
    <xf numFmtId="3" fontId="273" fillId="0" borderId="0" xfId="35" applyNumberFormat="1" applyFont="1" applyBorder="1"/>
    <xf numFmtId="0" fontId="32" fillId="0" borderId="192" xfId="36" applyFont="1" applyFill="1" applyBorder="1" applyAlignment="1">
      <alignment horizontal="center" vertical="center"/>
    </xf>
    <xf numFmtId="0" fontId="32" fillId="0" borderId="193" xfId="36" applyFont="1" applyBorder="1" applyAlignment="1">
      <alignment horizontal="center" vertical="center"/>
    </xf>
    <xf numFmtId="0" fontId="32" fillId="0" borderId="194" xfId="36" applyFont="1" applyFill="1" applyBorder="1" applyAlignment="1">
      <alignment horizontal="center" vertical="center"/>
    </xf>
    <xf numFmtId="0" fontId="32" fillId="0" borderId="195" xfId="36" applyFont="1" applyFill="1" applyBorder="1" applyAlignment="1">
      <alignment wrapText="1"/>
    </xf>
    <xf numFmtId="3" fontId="32" fillId="0" borderId="196" xfId="36" applyNumberFormat="1" applyFont="1" applyFill="1" applyBorder="1"/>
    <xf numFmtId="3" fontId="32" fillId="26" borderId="196" xfId="36" applyNumberFormat="1" applyFont="1" applyFill="1" applyBorder="1"/>
    <xf numFmtId="0" fontId="32" fillId="0" borderId="192" xfId="36" applyFont="1" applyBorder="1" applyAlignment="1">
      <alignment horizontal="center"/>
    </xf>
    <xf numFmtId="0" fontId="32" fillId="0" borderId="193" xfId="36" applyFont="1" applyBorder="1" applyAlignment="1">
      <alignment horizontal="center"/>
    </xf>
    <xf numFmtId="0" fontId="32" fillId="0" borderId="194" xfId="36" applyFont="1" applyFill="1" applyBorder="1" applyAlignment="1">
      <alignment horizontal="center"/>
    </xf>
    <xf numFmtId="0" fontId="67" fillId="0" borderId="195" xfId="36" applyFont="1" applyFill="1" applyBorder="1" applyAlignment="1">
      <alignment wrapText="1"/>
    </xf>
    <xf numFmtId="3" fontId="25" fillId="0" borderId="196" xfId="36" applyNumberFormat="1" applyFont="1" applyFill="1" applyBorder="1" applyAlignment="1"/>
    <xf numFmtId="0" fontId="32" fillId="0" borderId="192" xfId="36" applyFont="1" applyBorder="1" applyAlignment="1">
      <alignment horizontal="center" vertical="center"/>
    </xf>
    <xf numFmtId="3" fontId="25" fillId="0" borderId="196" xfId="36" applyNumberFormat="1" applyFont="1" applyFill="1" applyBorder="1"/>
    <xf numFmtId="0" fontId="32" fillId="26" borderId="195" xfId="36" applyFont="1" applyFill="1" applyBorder="1" applyAlignment="1">
      <alignment wrapText="1"/>
    </xf>
    <xf numFmtId="176" fontId="273" fillId="0" borderId="17" xfId="0" applyNumberFormat="1" applyFont="1" applyBorder="1"/>
    <xf numFmtId="0" fontId="24" fillId="0" borderId="195" xfId="36" applyFont="1" applyFill="1" applyBorder="1" applyAlignment="1">
      <alignment wrapText="1"/>
    </xf>
    <xf numFmtId="3" fontId="24" fillId="0" borderId="196" xfId="36" applyNumberFormat="1" applyFont="1" applyFill="1" applyBorder="1"/>
    <xf numFmtId="0" fontId="10" fillId="0" borderId="198" xfId="16" applyFont="1" applyBorder="1" applyAlignment="1">
      <alignment horizontal="center" vertical="center"/>
    </xf>
    <xf numFmtId="3" fontId="10" fillId="0" borderId="199" xfId="16" applyNumberFormat="1" applyFont="1" applyBorder="1" applyAlignment="1">
      <alignment horizontal="center" vertical="center"/>
    </xf>
    <xf numFmtId="49" fontId="32" fillId="0" borderId="193" xfId="16" applyNumberFormat="1" applyFont="1" applyBorder="1" applyAlignment="1">
      <alignment horizontal="center"/>
    </xf>
    <xf numFmtId="0" fontId="24" fillId="0" borderId="194" xfId="16" applyFont="1" applyBorder="1" applyAlignment="1">
      <alignment horizontal="center" vertical="center"/>
    </xf>
    <xf numFmtId="0" fontId="32" fillId="0" borderId="195" xfId="16" applyFont="1" applyBorder="1" applyAlignment="1">
      <alignment horizontal="left" wrapText="1" indent="2"/>
    </xf>
    <xf numFmtId="49" fontId="32" fillId="0" borderId="193" xfId="16" applyNumberFormat="1" applyFont="1" applyFill="1" applyBorder="1" applyAlignment="1">
      <alignment horizontal="center"/>
    </xf>
    <xf numFmtId="0" fontId="24" fillId="0" borderId="194" xfId="16" applyFont="1" applyFill="1" applyBorder="1" applyAlignment="1">
      <alignment horizontal="center" vertical="center"/>
    </xf>
    <xf numFmtId="0" fontId="32" fillId="0" borderId="195" xfId="16" applyFont="1" applyFill="1" applyBorder="1" applyAlignment="1">
      <alignment horizontal="left" wrapText="1" indent="2"/>
    </xf>
    <xf numFmtId="0" fontId="34" fillId="0" borderId="0" xfId="36" applyFont="1"/>
    <xf numFmtId="3" fontId="25" fillId="7" borderId="204" xfId="36" applyNumberFormat="1" applyFont="1" applyFill="1" applyBorder="1"/>
    <xf numFmtId="0" fontId="208" fillId="17" borderId="90" xfId="27" applyFont="1" applyFill="1" applyBorder="1" applyAlignment="1">
      <alignment horizontal="center" vertical="center" wrapText="1"/>
    </xf>
    <xf numFmtId="3" fontId="109" fillId="17" borderId="161" xfId="27" applyNumberFormat="1" applyFont="1" applyFill="1" applyBorder="1" applyAlignment="1">
      <alignment horizontal="center" vertical="center" wrapText="1"/>
    </xf>
    <xf numFmtId="3" fontId="24" fillId="17" borderId="26" xfId="27" applyNumberFormat="1" applyFont="1" applyFill="1" applyBorder="1" applyAlignment="1">
      <alignment vertical="center"/>
    </xf>
    <xf numFmtId="3" fontId="257" fillId="0" borderId="0" xfId="27" applyNumberFormat="1" applyFont="1" applyAlignment="1">
      <alignment vertical="center"/>
    </xf>
    <xf numFmtId="3" fontId="274" fillId="0" borderId="0" xfId="27" applyNumberFormat="1" applyFont="1" applyAlignment="1">
      <alignment vertical="center"/>
    </xf>
    <xf numFmtId="0" fontId="274" fillId="0" borderId="0" xfId="27" applyFont="1" applyAlignment="1">
      <alignment vertical="center"/>
    </xf>
    <xf numFmtId="0" fontId="100" fillId="0" borderId="0" xfId="27" applyFont="1" applyAlignment="1">
      <alignment vertical="center"/>
    </xf>
    <xf numFmtId="0" fontId="207" fillId="7" borderId="160" xfId="27" applyFont="1" applyFill="1" applyBorder="1"/>
    <xf numFmtId="3" fontId="207" fillId="18" borderId="162" xfId="27" applyNumberFormat="1" applyFont="1" applyFill="1" applyBorder="1"/>
    <xf numFmtId="0" fontId="33" fillId="0" borderId="193" xfId="36" applyFont="1" applyBorder="1" applyAlignment="1">
      <alignment horizontal="center" vertical="center"/>
    </xf>
    <xf numFmtId="3" fontId="3" fillId="0" borderId="17" xfId="0" applyNumberFormat="1" applyFont="1" applyFill="1" applyBorder="1"/>
    <xf numFmtId="167" fontId="15" fillId="0" borderId="34" xfId="0" applyNumberFormat="1" applyFont="1" applyBorder="1" applyAlignment="1" applyProtection="1">
      <alignment horizontal="center"/>
    </xf>
    <xf numFmtId="3" fontId="17" fillId="0" borderId="48" xfId="0" applyNumberFormat="1" applyFont="1" applyBorder="1" applyAlignment="1" applyProtection="1">
      <alignment horizontal="right" vertical="center" wrapText="1"/>
      <protection locked="0"/>
    </xf>
    <xf numFmtId="166" fontId="15" fillId="0" borderId="13" xfId="0" applyNumberFormat="1" applyFont="1" applyBorder="1" applyAlignment="1" applyProtection="1">
      <alignment vertical="center" wrapText="1"/>
    </xf>
    <xf numFmtId="166" fontId="6" fillId="0" borderId="34" xfId="0" applyNumberFormat="1" applyFont="1" applyBorder="1" applyAlignment="1" applyProtection="1">
      <alignment horizontal="right" vertical="center" wrapText="1"/>
    </xf>
    <xf numFmtId="3" fontId="92" fillId="7" borderId="48" xfId="0" applyNumberFormat="1" applyFont="1" applyFill="1" applyBorder="1" applyAlignment="1">
      <alignment horizontal="right" vertical="center" wrapText="1"/>
    </xf>
    <xf numFmtId="3" fontId="104" fillId="0" borderId="48" xfId="0" applyNumberFormat="1" applyFont="1" applyBorder="1" applyAlignment="1">
      <alignment horizontal="right" vertical="center" wrapText="1"/>
    </xf>
    <xf numFmtId="166" fontId="17" fillId="0" borderId="0" xfId="0" applyNumberFormat="1" applyFont="1" applyBorder="1" applyAlignment="1" applyProtection="1">
      <alignment vertical="center" wrapText="1"/>
      <protection locked="0"/>
    </xf>
    <xf numFmtId="166" fontId="17" fillId="0" borderId="82" xfId="0" applyNumberFormat="1" applyFont="1" applyBorder="1" applyAlignment="1" applyProtection="1">
      <alignment horizontal="right" vertical="center" wrapText="1"/>
      <protection locked="0"/>
    </xf>
    <xf numFmtId="166" fontId="17" fillId="0" borderId="44" xfId="0" applyNumberFormat="1" applyFont="1" applyBorder="1" applyAlignment="1" applyProtection="1">
      <alignment horizontal="right" vertical="center" wrapText="1"/>
      <protection locked="0"/>
    </xf>
    <xf numFmtId="166" fontId="6" fillId="0" borderId="34" xfId="0" applyNumberFormat="1" applyFont="1" applyBorder="1" applyAlignment="1">
      <alignment vertical="center" wrapText="1"/>
    </xf>
    <xf numFmtId="166" fontId="6" fillId="0" borderId="1" xfId="0" applyNumberFormat="1" applyFont="1" applyBorder="1" applyAlignment="1" applyProtection="1">
      <alignment horizontal="right" vertical="center" wrapText="1"/>
    </xf>
    <xf numFmtId="166" fontId="17" fillId="0" borderId="10" xfId="0" applyNumberFormat="1" applyFont="1" applyBorder="1" applyAlignment="1" applyProtection="1">
      <alignment vertical="center" wrapText="1"/>
      <protection locked="0"/>
    </xf>
    <xf numFmtId="166" fontId="15" fillId="0" borderId="10" xfId="0" applyNumberFormat="1" applyFont="1" applyBorder="1" applyAlignment="1" applyProtection="1">
      <alignment horizontal="right" vertical="center" wrapText="1"/>
      <protection locked="0"/>
    </xf>
    <xf numFmtId="3" fontId="17" fillId="0" borderId="11" xfId="0" applyNumberFormat="1" applyFont="1" applyBorder="1" applyAlignment="1" applyProtection="1">
      <alignment horizontal="right" vertical="center" wrapText="1"/>
      <protection locked="0"/>
    </xf>
    <xf numFmtId="166" fontId="6" fillId="0" borderId="13" xfId="0" applyNumberFormat="1" applyFont="1" applyBorder="1" applyAlignment="1">
      <alignment vertical="center" wrapText="1"/>
    </xf>
    <xf numFmtId="166" fontId="6" fillId="0" borderId="167" xfId="0" applyNumberFormat="1" applyFont="1" applyBorder="1" applyAlignment="1" applyProtection="1">
      <alignment horizontal="right" vertical="center" wrapText="1"/>
    </xf>
    <xf numFmtId="12" fontId="37" fillId="0" borderId="6" xfId="0" applyNumberFormat="1" applyFont="1" applyBorder="1" applyAlignment="1">
      <alignment horizontal="left" vertical="center" wrapText="1"/>
    </xf>
    <xf numFmtId="0" fontId="257" fillId="7" borderId="165" xfId="0" applyFont="1" applyFill="1" applyBorder="1"/>
    <xf numFmtId="0" fontId="257" fillId="7" borderId="69" xfId="0" applyFont="1" applyFill="1" applyBorder="1"/>
    <xf numFmtId="175" fontId="257" fillId="7" borderId="211" xfId="0" applyNumberFormat="1" applyFont="1" applyFill="1" applyBorder="1"/>
    <xf numFmtId="3" fontId="66" fillId="0" borderId="7" xfId="0" applyNumberFormat="1" applyFont="1" applyBorder="1"/>
    <xf numFmtId="3" fontId="66" fillId="0" borderId="7" xfId="0" applyNumberFormat="1" applyFont="1" applyFill="1" applyBorder="1"/>
    <xf numFmtId="3" fontId="66" fillId="8" borderId="18" xfId="0" applyNumberFormat="1" applyFont="1" applyFill="1" applyBorder="1"/>
    <xf numFmtId="3" fontId="17" fillId="36" borderId="7" xfId="0" applyNumberFormat="1" applyFont="1" applyFill="1" applyBorder="1" applyAlignment="1" applyProtection="1">
      <alignment vertical="center" wrapText="1"/>
      <protection locked="0"/>
    </xf>
    <xf numFmtId="3" fontId="17" fillId="36" borderId="9" xfId="0" applyNumberFormat="1" applyFont="1" applyFill="1" applyBorder="1" applyAlignment="1" applyProtection="1">
      <alignment vertical="center" wrapText="1"/>
      <protection locked="0"/>
    </xf>
    <xf numFmtId="3" fontId="22" fillId="36" borderId="18" xfId="0" applyNumberFormat="1" applyFont="1" applyFill="1" applyBorder="1" applyAlignment="1" applyProtection="1">
      <alignment vertical="center" wrapText="1"/>
      <protection locked="0"/>
    </xf>
    <xf numFmtId="0" fontId="0" fillId="0" borderId="0" xfId="0"/>
    <xf numFmtId="49" fontId="6" fillId="10" borderId="23" xfId="0" applyNumberFormat="1" applyFont="1" applyFill="1" applyBorder="1" applyAlignment="1" applyProtection="1">
      <alignment horizontal="center" vertical="center" wrapText="1"/>
      <protection locked="0"/>
    </xf>
    <xf numFmtId="3" fontId="32" fillId="37" borderId="49" xfId="28" applyNumberFormat="1" applyFont="1" applyFill="1" applyBorder="1" applyAlignment="1">
      <alignment horizontal="right" vertical="center"/>
    </xf>
    <xf numFmtId="3" fontId="32" fillId="26" borderId="49" xfId="28" applyNumberFormat="1" applyFont="1" applyFill="1" applyBorder="1" applyAlignment="1">
      <alignment horizontal="right" vertical="center"/>
    </xf>
    <xf numFmtId="3" fontId="29" fillId="26" borderId="49" xfId="28" applyNumberFormat="1" applyFont="1" applyFill="1" applyBorder="1" applyAlignment="1">
      <alignment horizontal="right" vertical="center"/>
    </xf>
    <xf numFmtId="3" fontId="29" fillId="26" borderId="61" xfId="28" applyNumberFormat="1" applyFont="1" applyFill="1" applyBorder="1" applyAlignment="1">
      <alignment horizontal="right" vertical="center"/>
    </xf>
    <xf numFmtId="3" fontId="32" fillId="26" borderId="29" xfId="28" applyNumberFormat="1" applyFont="1" applyFill="1" applyBorder="1" applyAlignment="1">
      <alignment horizontal="right" vertical="center" wrapText="1"/>
    </xf>
    <xf numFmtId="3" fontId="32" fillId="37" borderId="29" xfId="28" applyNumberFormat="1" applyFont="1" applyFill="1" applyBorder="1" applyAlignment="1">
      <alignment horizontal="right" vertical="center" wrapText="1"/>
    </xf>
    <xf numFmtId="3" fontId="24" fillId="37" borderId="18" xfId="28" applyNumberFormat="1" applyFont="1" applyFill="1" applyBorder="1" applyAlignment="1">
      <alignment horizontal="right" vertical="center" wrapText="1"/>
    </xf>
    <xf numFmtId="3" fontId="32" fillId="26" borderId="17" xfId="28" applyNumberFormat="1" applyFont="1" applyFill="1" applyBorder="1" applyAlignment="1">
      <alignment horizontal="right" vertical="center" wrapText="1"/>
    </xf>
    <xf numFmtId="3" fontId="35" fillId="26" borderId="49" xfId="28" applyNumberFormat="1" applyFont="1" applyFill="1" applyBorder="1" applyAlignment="1">
      <alignment horizontal="right" vertical="center" wrapText="1"/>
    </xf>
    <xf numFmtId="0" fontId="2" fillId="26" borderId="0" xfId="28" applyFont="1" applyFill="1"/>
    <xf numFmtId="3" fontId="15" fillId="26" borderId="7" xfId="28" applyNumberFormat="1" applyFont="1" applyFill="1" applyBorder="1" applyAlignment="1">
      <alignment horizontal="right" vertical="center"/>
    </xf>
    <xf numFmtId="3" fontId="32" fillId="26" borderId="49" xfId="28" applyNumberFormat="1" applyFont="1" applyFill="1" applyBorder="1" applyAlignment="1">
      <alignment horizontal="right" vertical="center" wrapText="1"/>
    </xf>
    <xf numFmtId="3" fontId="29" fillId="26" borderId="49" xfId="28" applyNumberFormat="1" applyFont="1" applyFill="1" applyBorder="1" applyAlignment="1">
      <alignment horizontal="right" vertical="center" wrapText="1"/>
    </xf>
    <xf numFmtId="3" fontId="24" fillId="26" borderId="17" xfId="28" applyNumberFormat="1" applyFont="1" applyFill="1" applyBorder="1" applyAlignment="1">
      <alignment horizontal="right" vertical="center" wrapText="1"/>
    </xf>
    <xf numFmtId="3" fontId="32" fillId="26" borderId="17" xfId="28" applyNumberFormat="1" applyFont="1" applyFill="1" applyBorder="1" applyAlignment="1">
      <alignment horizontal="right" vertical="center"/>
    </xf>
    <xf numFmtId="4" fontId="6" fillId="11" borderId="2" xfId="0" applyNumberFormat="1" applyFont="1" applyFill="1" applyBorder="1" applyAlignment="1" applyProtection="1">
      <alignment horizontal="center" vertical="center" wrapText="1"/>
    </xf>
    <xf numFmtId="3" fontId="45" fillId="22" borderId="90" xfId="0" applyNumberFormat="1" applyFont="1" applyFill="1" applyBorder="1" applyAlignment="1" applyProtection="1">
      <alignment vertical="center" wrapText="1"/>
    </xf>
    <xf numFmtId="3" fontId="17" fillId="37" borderId="7" xfId="0" applyNumberFormat="1" applyFont="1" applyFill="1" applyBorder="1" applyAlignment="1" applyProtection="1">
      <alignment vertical="center" wrapText="1"/>
      <protection locked="0"/>
    </xf>
    <xf numFmtId="3" fontId="70" fillId="37" borderId="7" xfId="0" applyNumberFormat="1" applyFont="1" applyFill="1" applyBorder="1" applyAlignment="1" applyProtection="1">
      <alignment vertical="center" wrapText="1"/>
      <protection locked="0"/>
    </xf>
    <xf numFmtId="3" fontId="44" fillId="22" borderId="55" xfId="0" applyNumberFormat="1" applyFont="1" applyFill="1" applyBorder="1" applyAlignment="1" applyProtection="1">
      <alignment vertical="center" wrapText="1"/>
      <protection locked="0"/>
    </xf>
    <xf numFmtId="3" fontId="45" fillId="22" borderId="55" xfId="0" applyNumberFormat="1" applyFont="1" applyFill="1" applyBorder="1" applyAlignment="1" applyProtection="1">
      <alignment vertical="center" wrapText="1"/>
      <protection locked="0"/>
    </xf>
    <xf numFmtId="49" fontId="32" fillId="26" borderId="48" xfId="28" applyNumberFormat="1" applyFont="1" applyFill="1" applyBorder="1"/>
    <xf numFmtId="0" fontId="85" fillId="26" borderId="17" xfId="28" applyFont="1" applyFill="1" applyBorder="1" applyAlignment="1">
      <alignment vertical="center" wrapText="1"/>
    </xf>
    <xf numFmtId="3" fontId="32" fillId="26" borderId="49" xfId="28" applyNumberFormat="1" applyFont="1" applyFill="1" applyBorder="1"/>
    <xf numFmtId="0" fontId="26" fillId="26" borderId="11" xfId="28" applyFont="1" applyFill="1" applyBorder="1"/>
    <xf numFmtId="49" fontId="29" fillId="26" borderId="48" xfId="28" applyNumberFormat="1" applyFont="1" applyFill="1" applyBorder="1"/>
    <xf numFmtId="0" fontId="29" fillId="26" borderId="17" xfId="28" applyFont="1" applyFill="1" applyBorder="1"/>
    <xf numFmtId="3" fontId="29" fillId="26" borderId="49" xfId="28" applyNumberFormat="1" applyFont="1" applyFill="1" applyBorder="1"/>
    <xf numFmtId="49" fontId="24" fillId="26" borderId="49" xfId="28" applyNumberFormat="1" applyFont="1" applyFill="1" applyBorder="1"/>
    <xf numFmtId="0" fontId="24" fillId="26" borderId="17" xfId="28" applyFont="1" applyFill="1" applyBorder="1"/>
    <xf numFmtId="3" fontId="24" fillId="26" borderId="49" xfId="28" applyNumberFormat="1" applyFont="1" applyFill="1" applyBorder="1"/>
    <xf numFmtId="49" fontId="32" fillId="26" borderId="49" xfId="28" applyNumberFormat="1" applyFont="1" applyFill="1" applyBorder="1"/>
    <xf numFmtId="0" fontId="32" fillId="26" borderId="17" xfId="28" applyFont="1" applyFill="1" applyBorder="1"/>
    <xf numFmtId="3" fontId="17" fillId="26" borderId="17" xfId="0" applyNumberFormat="1" applyFont="1" applyFill="1" applyBorder="1" applyAlignment="1" applyProtection="1">
      <alignment vertical="center" wrapText="1"/>
      <protection locked="0"/>
    </xf>
    <xf numFmtId="0" fontId="0" fillId="26" borderId="0" xfId="0" applyFill="1" applyBorder="1"/>
    <xf numFmtId="0" fontId="108" fillId="26" borderId="27" xfId="27" applyFont="1" applyFill="1" applyBorder="1" applyAlignment="1">
      <alignment vertical="center" wrapText="1"/>
    </xf>
    <xf numFmtId="0" fontId="6" fillId="38" borderId="19" xfId="0" applyFont="1" applyFill="1" applyBorder="1" applyAlignment="1" applyProtection="1">
      <alignment horizontal="center" vertical="center" wrapText="1"/>
    </xf>
    <xf numFmtId="0" fontId="6" fillId="38" borderId="2" xfId="0" applyFont="1" applyFill="1" applyBorder="1" applyAlignment="1" applyProtection="1">
      <alignment horizontal="center" vertical="center" wrapText="1"/>
    </xf>
    <xf numFmtId="0" fontId="6" fillId="38" borderId="51" xfId="0" applyFont="1" applyFill="1" applyBorder="1" applyAlignment="1" applyProtection="1">
      <alignment horizontal="center" vertical="center" wrapText="1"/>
    </xf>
    <xf numFmtId="3" fontId="24" fillId="10" borderId="17" xfId="28" applyNumberFormat="1" applyFont="1" applyFill="1" applyBorder="1" applyAlignment="1">
      <alignment horizontal="right" vertical="center" wrapText="1"/>
    </xf>
    <xf numFmtId="0" fontId="24" fillId="0" borderId="5" xfId="28" applyFont="1" applyFill="1" applyBorder="1" applyAlignment="1">
      <alignment horizontal="center"/>
    </xf>
    <xf numFmtId="0" fontId="24" fillId="0" borderId="120" xfId="28" applyFont="1" applyBorder="1" applyAlignment="1">
      <alignment horizontal="center"/>
    </xf>
    <xf numFmtId="0" fontId="24" fillId="0" borderId="5" xfId="28" applyFont="1" applyBorder="1" applyAlignment="1">
      <alignment horizontal="center"/>
    </xf>
    <xf numFmtId="0" fontId="24" fillId="0" borderId="136" xfId="28" applyFont="1" applyBorder="1" applyAlignment="1">
      <alignment horizontal="center"/>
    </xf>
    <xf numFmtId="3" fontId="24" fillId="26" borderId="120" xfId="28" applyNumberFormat="1" applyFont="1" applyFill="1" applyBorder="1" applyAlignment="1">
      <alignment horizontal="center" vertical="center" wrapText="1"/>
    </xf>
    <xf numFmtId="0" fontId="10" fillId="0" borderId="19" xfId="28" applyFont="1" applyFill="1" applyBorder="1" applyAlignment="1">
      <alignment horizontal="center" vertical="center" wrapText="1"/>
    </xf>
    <xf numFmtId="3" fontId="24" fillId="0" borderId="19" xfId="28" applyNumberFormat="1" applyFont="1" applyFill="1" applyBorder="1" applyAlignment="1">
      <alignment horizontal="center" vertical="center" wrapText="1"/>
    </xf>
    <xf numFmtId="3" fontId="24" fillId="0" borderId="2" xfId="28" applyNumberFormat="1" applyFont="1" applyFill="1" applyBorder="1" applyAlignment="1">
      <alignment horizontal="center" vertical="center" wrapText="1"/>
    </xf>
    <xf numFmtId="3" fontId="24" fillId="0" borderId="2" xfId="28" applyNumberFormat="1" applyFont="1" applyBorder="1" applyAlignment="1">
      <alignment horizontal="center" vertical="center" wrapText="1"/>
    </xf>
    <xf numFmtId="3" fontId="24" fillId="26" borderId="2" xfId="28" applyNumberFormat="1" applyFont="1" applyFill="1" applyBorder="1" applyAlignment="1">
      <alignment horizontal="center" vertical="center" wrapText="1"/>
    </xf>
    <xf numFmtId="3" fontId="24" fillId="26" borderId="7" xfId="28" applyNumberFormat="1" applyFont="1" applyFill="1" applyBorder="1" applyAlignment="1">
      <alignment horizontal="right" vertical="center" wrapText="1"/>
    </xf>
    <xf numFmtId="3" fontId="17" fillId="26" borderId="22" xfId="0" applyNumberFormat="1" applyFont="1" applyFill="1" applyBorder="1" applyAlignment="1" applyProtection="1">
      <alignment vertical="center" wrapText="1"/>
      <protection locked="0"/>
    </xf>
    <xf numFmtId="3" fontId="15" fillId="26" borderId="2" xfId="0" applyNumberFormat="1" applyFont="1" applyFill="1" applyBorder="1" applyAlignment="1" applyProtection="1">
      <alignment vertical="center" wrapText="1"/>
    </xf>
    <xf numFmtId="3" fontId="44" fillId="22" borderId="83" xfId="0" applyNumberFormat="1" applyFont="1" applyFill="1" applyBorder="1" applyAlignment="1" applyProtection="1">
      <alignment vertical="center" wrapText="1"/>
      <protection locked="0"/>
    </xf>
    <xf numFmtId="3" fontId="50" fillId="22" borderId="188" xfId="0" applyNumberFormat="1" applyFont="1" applyFill="1" applyBorder="1"/>
    <xf numFmtId="3" fontId="15" fillId="26" borderId="13" xfId="0" applyNumberFormat="1" applyFont="1" applyFill="1" applyBorder="1" applyAlignment="1" applyProtection="1">
      <alignment vertical="center" wrapText="1"/>
    </xf>
    <xf numFmtId="3" fontId="17" fillId="26" borderId="10" xfId="0" applyNumberFormat="1" applyFont="1" applyFill="1" applyBorder="1" applyAlignment="1" applyProtection="1">
      <alignment vertical="center" wrapText="1"/>
      <protection locked="0"/>
    </xf>
    <xf numFmtId="3" fontId="17" fillId="26" borderId="11" xfId="0" applyNumberFormat="1" applyFont="1" applyFill="1" applyBorder="1" applyAlignment="1" applyProtection="1">
      <alignment vertical="center" wrapText="1"/>
      <protection locked="0"/>
    </xf>
    <xf numFmtId="3" fontId="17" fillId="26" borderId="12" xfId="0" applyNumberFormat="1" applyFont="1" applyFill="1" applyBorder="1" applyAlignment="1" applyProtection="1">
      <alignment vertical="center" wrapText="1"/>
      <protection locked="0"/>
    </xf>
    <xf numFmtId="3" fontId="22" fillId="26" borderId="77" xfId="0" applyNumberFormat="1" applyFont="1" applyFill="1" applyBorder="1" applyAlignment="1" applyProtection="1">
      <alignment vertical="center" wrapText="1"/>
      <protection locked="0"/>
    </xf>
    <xf numFmtId="3" fontId="15" fillId="26" borderId="33" xfId="0" applyNumberFormat="1" applyFont="1" applyFill="1" applyBorder="1" applyAlignment="1" applyProtection="1">
      <alignment vertical="center" wrapText="1"/>
    </xf>
    <xf numFmtId="3" fontId="17" fillId="26" borderId="33" xfId="0" applyNumberFormat="1" applyFont="1" applyFill="1" applyBorder="1" applyAlignment="1" applyProtection="1">
      <alignment vertical="center" wrapText="1"/>
      <protection locked="0"/>
    </xf>
    <xf numFmtId="3" fontId="17" fillId="26" borderId="173" xfId="0" applyNumberFormat="1" applyFont="1" applyFill="1" applyBorder="1" applyAlignment="1" applyProtection="1">
      <alignment vertical="center" wrapText="1"/>
      <protection locked="0"/>
    </xf>
    <xf numFmtId="3" fontId="15" fillId="26" borderId="13" xfId="0" applyNumberFormat="1" applyFont="1" applyFill="1" applyBorder="1" applyAlignment="1" applyProtection="1">
      <alignment vertical="center" wrapText="1"/>
      <protection locked="0"/>
    </xf>
    <xf numFmtId="3" fontId="6" fillId="39" borderId="144" xfId="0" applyNumberFormat="1" applyFont="1" applyFill="1" applyBorder="1" applyAlignment="1" applyProtection="1">
      <alignment vertical="center" wrapText="1"/>
    </xf>
    <xf numFmtId="4" fontId="15" fillId="26" borderId="2" xfId="0" applyNumberFormat="1" applyFont="1" applyFill="1" applyBorder="1" applyAlignment="1" applyProtection="1">
      <alignment horizontal="right" vertical="center" wrapText="1" indent="1"/>
      <protection locked="0"/>
    </xf>
    <xf numFmtId="169" fontId="15" fillId="26" borderId="2" xfId="0" applyNumberFormat="1" applyFont="1" applyFill="1" applyBorder="1" applyAlignment="1" applyProtection="1">
      <alignment horizontal="right" vertical="center" wrapText="1" indent="1"/>
      <protection locked="0"/>
    </xf>
    <xf numFmtId="4" fontId="15" fillId="26" borderId="40" xfId="0" applyNumberFormat="1" applyFont="1" applyFill="1" applyBorder="1" applyAlignment="1" applyProtection="1">
      <alignment horizontal="right" vertical="center" wrapText="1" indent="1"/>
      <protection locked="0"/>
    </xf>
    <xf numFmtId="3" fontId="50" fillId="22" borderId="55" xfId="0" applyNumberFormat="1" applyFont="1" applyFill="1" applyBorder="1"/>
    <xf numFmtId="3" fontId="50" fillId="24" borderId="69" xfId="0" applyNumberFormat="1" applyFont="1" applyFill="1" applyBorder="1" applyAlignment="1">
      <alignment horizontal="right" vertical="center"/>
    </xf>
    <xf numFmtId="3" fontId="49" fillId="22" borderId="23" xfId="0" applyNumberFormat="1" applyFont="1" applyFill="1" applyBorder="1"/>
    <xf numFmtId="3" fontId="44" fillId="0" borderId="30" xfId="0" applyNumberFormat="1" applyFont="1" applyBorder="1" applyAlignment="1" applyProtection="1">
      <alignment vertical="center" wrapText="1"/>
    </xf>
    <xf numFmtId="3" fontId="44" fillId="10" borderId="30" xfId="0" applyNumberFormat="1" applyFont="1" applyFill="1" applyBorder="1" applyAlignment="1" applyProtection="1">
      <alignment vertical="center" wrapText="1"/>
    </xf>
    <xf numFmtId="3" fontId="44" fillId="22" borderId="30" xfId="0" applyNumberFormat="1" applyFont="1" applyFill="1" applyBorder="1" applyAlignment="1" applyProtection="1">
      <alignment vertical="center" wrapText="1"/>
    </xf>
    <xf numFmtId="0" fontId="48" fillId="0" borderId="0" xfId="28" applyFont="1" applyAlignment="1" applyProtection="1">
      <alignment horizontal="center" vertical="center"/>
    </xf>
    <xf numFmtId="0" fontId="48" fillId="0" borderId="0" xfId="28" applyFont="1" applyAlignment="1" applyProtection="1">
      <alignment horizontal="center" vertical="center" wrapText="1"/>
    </xf>
    <xf numFmtId="166" fontId="5" fillId="0" borderId="1" xfId="28" applyNumberFormat="1" applyFont="1" applyBorder="1" applyAlignment="1" applyProtection="1">
      <alignment horizontal="left" vertical="center"/>
    </xf>
    <xf numFmtId="166" fontId="4" fillId="21" borderId="0" xfId="28" applyNumberFormat="1" applyFont="1" applyFill="1" applyBorder="1" applyAlignment="1" applyProtection="1">
      <alignment horizontal="center" vertical="center"/>
    </xf>
    <xf numFmtId="0" fontId="0" fillId="0" borderId="0" xfId="0" applyAlignment="1"/>
    <xf numFmtId="0" fontId="6" fillId="0" borderId="0" xfId="28" applyFont="1" applyAlignment="1" applyProtection="1">
      <alignment horizontal="center" wrapText="1"/>
    </xf>
    <xf numFmtId="0" fontId="0" fillId="0" borderId="0" xfId="0" applyAlignment="1">
      <alignment wrapText="1"/>
    </xf>
    <xf numFmtId="166" fontId="5" fillId="0" borderId="1" xfId="28" applyNumberFormat="1" applyFont="1" applyBorder="1" applyAlignment="1" applyProtection="1">
      <alignment horizontal="left"/>
    </xf>
    <xf numFmtId="166" fontId="5" fillId="0" borderId="1" xfId="28" applyNumberFormat="1" applyFont="1" applyBorder="1" applyAlignment="1" applyProtection="1">
      <alignment horizontal="center"/>
    </xf>
    <xf numFmtId="0" fontId="6" fillId="0" borderId="79" xfId="28" applyFont="1" applyBorder="1" applyAlignment="1" applyProtection="1">
      <alignment horizontal="center" vertical="center" wrapText="1"/>
    </xf>
    <xf numFmtId="166" fontId="15" fillId="0" borderId="23" xfId="0" applyNumberFormat="1" applyFont="1" applyBorder="1" applyAlignment="1">
      <alignment horizontal="center" vertical="center" wrapText="1"/>
    </xf>
    <xf numFmtId="166" fontId="18" fillId="0" borderId="0" xfId="0" applyNumberFormat="1" applyFont="1" applyAlignment="1">
      <alignment horizontal="center" vertical="center" wrapText="1"/>
    </xf>
    <xf numFmtId="166" fontId="7" fillId="0" borderId="0" xfId="0" applyNumberFormat="1" applyFont="1" applyBorder="1" applyAlignment="1">
      <alignment horizontal="center" vertical="center" wrapText="1"/>
    </xf>
    <xf numFmtId="166" fontId="15" fillId="0" borderId="33" xfId="0" applyNumberFormat="1" applyFont="1" applyBorder="1" applyAlignment="1">
      <alignment horizontal="center" vertical="center" wrapText="1"/>
    </xf>
    <xf numFmtId="166" fontId="15" fillId="0" borderId="34" xfId="0" applyNumberFormat="1" applyFont="1" applyBorder="1" applyAlignment="1">
      <alignment horizontal="center" vertical="center" wrapText="1"/>
    </xf>
    <xf numFmtId="166" fontId="15" fillId="0" borderId="35" xfId="0" applyNumberFormat="1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166" fontId="6" fillId="0" borderId="0" xfId="0" applyNumberFormat="1" applyFont="1" applyAlignment="1">
      <alignment horizontal="center" vertical="center" wrapText="1"/>
    </xf>
    <xf numFmtId="166" fontId="15" fillId="0" borderId="33" xfId="0" applyNumberFormat="1" applyFont="1" applyBorder="1" applyAlignment="1">
      <alignment horizontal="center" vertical="center"/>
    </xf>
    <xf numFmtId="166" fontId="15" fillId="0" borderId="34" xfId="0" applyNumberFormat="1" applyFont="1" applyBorder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50" fillId="0" borderId="141" xfId="0" applyFont="1" applyBorder="1" applyAlignment="1">
      <alignment horizontal="center" vertical="center" wrapText="1"/>
    </xf>
    <xf numFmtId="0" fontId="50" fillId="0" borderId="79" xfId="0" applyFont="1" applyBorder="1" applyAlignment="1">
      <alignment horizontal="center" vertical="center" wrapText="1"/>
    </xf>
    <xf numFmtId="0" fontId="50" fillId="0" borderId="54" xfId="0" applyFont="1" applyBorder="1" applyAlignment="1">
      <alignment horizontal="center" vertical="center" wrapText="1"/>
    </xf>
    <xf numFmtId="0" fontId="50" fillId="0" borderId="16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50" fillId="0" borderId="42" xfId="0" applyFont="1" applyBorder="1" applyAlignment="1">
      <alignment horizontal="center" vertical="center" wrapText="1"/>
    </xf>
    <xf numFmtId="0" fontId="50" fillId="26" borderId="33" xfId="0" applyFont="1" applyFill="1" applyBorder="1" applyAlignment="1">
      <alignment horizontal="center" vertical="center" wrapText="1"/>
    </xf>
    <xf numFmtId="0" fontId="50" fillId="26" borderId="34" xfId="0" applyFont="1" applyFill="1" applyBorder="1" applyAlignment="1">
      <alignment horizontal="center" vertical="center" wrapText="1"/>
    </xf>
    <xf numFmtId="0" fontId="50" fillId="26" borderId="35" xfId="0" applyFont="1" applyFill="1" applyBorder="1" applyAlignment="1">
      <alignment horizontal="center" vertical="center" wrapText="1"/>
    </xf>
    <xf numFmtId="0" fontId="50" fillId="26" borderId="33" xfId="0" applyFont="1" applyFill="1" applyBorder="1" applyAlignment="1">
      <alignment horizontal="center" vertical="center"/>
    </xf>
    <xf numFmtId="0" fontId="50" fillId="26" borderId="34" xfId="0" applyFont="1" applyFill="1" applyBorder="1" applyAlignment="1">
      <alignment horizontal="center" vertical="center"/>
    </xf>
    <xf numFmtId="0" fontId="50" fillId="26" borderId="35" xfId="0" applyFont="1" applyFill="1" applyBorder="1" applyAlignment="1">
      <alignment horizontal="center" vertical="center"/>
    </xf>
    <xf numFmtId="0" fontId="50" fillId="0" borderId="33" xfId="0" applyFont="1" applyBorder="1" applyAlignment="1">
      <alignment horizontal="center" vertical="center" wrapText="1"/>
    </xf>
    <xf numFmtId="0" fontId="50" fillId="0" borderId="34" xfId="0" applyFont="1" applyBorder="1" applyAlignment="1">
      <alignment horizontal="center" vertical="center" wrapText="1"/>
    </xf>
    <xf numFmtId="0" fontId="50" fillId="0" borderId="35" xfId="0" applyFont="1" applyBorder="1" applyAlignment="1">
      <alignment horizontal="center" vertical="center" wrapText="1"/>
    </xf>
    <xf numFmtId="0" fontId="50" fillId="0" borderId="16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42" xfId="0" applyFont="1" applyBorder="1" applyAlignment="1">
      <alignment horizontal="center" vertical="center"/>
    </xf>
    <xf numFmtId="0" fontId="205" fillId="0" borderId="0" xfId="27" applyFont="1" applyAlignment="1">
      <alignment horizontal="center" vertical="center"/>
    </xf>
    <xf numFmtId="0" fontId="46" fillId="0" borderId="23" xfId="0" applyFont="1" applyBorder="1"/>
    <xf numFmtId="0" fontId="219" fillId="0" borderId="0" xfId="27" applyFont="1" applyAlignment="1">
      <alignment horizontal="center" vertical="center"/>
    </xf>
    <xf numFmtId="0" fontId="50" fillId="0" borderId="23" xfId="0" applyFont="1" applyBorder="1" applyAlignment="1">
      <alignment horizontal="center" vertical="center"/>
    </xf>
    <xf numFmtId="0" fontId="50" fillId="0" borderId="33" xfId="0" applyFont="1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50" fillId="0" borderId="35" xfId="0" applyFont="1" applyBorder="1" applyAlignment="1">
      <alignment horizontal="center" vertical="center"/>
    </xf>
    <xf numFmtId="0" fontId="205" fillId="0" borderId="0" xfId="27" applyFont="1" applyAlignment="1">
      <alignment horizontal="center"/>
    </xf>
    <xf numFmtId="0" fontId="109" fillId="0" borderId="23" xfId="27" applyFont="1" applyBorder="1" applyAlignment="1">
      <alignment horizontal="center" vertical="center" wrapText="1"/>
    </xf>
    <xf numFmtId="0" fontId="208" fillId="0" borderId="23" xfId="27" applyFont="1" applyBorder="1" applyAlignment="1">
      <alignment horizontal="center" vertical="center" wrapText="1"/>
    </xf>
    <xf numFmtId="0" fontId="208" fillId="0" borderId="33" xfId="27" applyFont="1" applyBorder="1" applyAlignment="1">
      <alignment horizontal="center" vertical="center" wrapText="1"/>
    </xf>
    <xf numFmtId="0" fontId="208" fillId="0" borderId="34" xfId="27" applyFont="1" applyBorder="1" applyAlignment="1">
      <alignment horizontal="center" vertical="center" wrapText="1"/>
    </xf>
    <xf numFmtId="0" fontId="208" fillId="0" borderId="35" xfId="27" applyFont="1" applyBorder="1" applyAlignment="1">
      <alignment horizontal="center" vertical="center" wrapText="1"/>
    </xf>
    <xf numFmtId="0" fontId="208" fillId="0" borderId="141" xfId="27" applyFont="1" applyFill="1" applyBorder="1" applyAlignment="1">
      <alignment horizontal="center" vertical="center" wrapText="1"/>
    </xf>
    <xf numFmtId="0" fontId="208" fillId="0" borderId="79" xfId="27" applyFont="1" applyFill="1" applyBorder="1" applyAlignment="1">
      <alignment horizontal="center" vertical="center" wrapText="1"/>
    </xf>
    <xf numFmtId="0" fontId="208" fillId="0" borderId="54" xfId="27" applyFont="1" applyFill="1" applyBorder="1" applyAlignment="1">
      <alignment horizontal="center" vertical="center" wrapText="1"/>
    </xf>
    <xf numFmtId="0" fontId="208" fillId="0" borderId="161" xfId="27" applyFont="1" applyFill="1" applyBorder="1" applyAlignment="1">
      <alignment horizontal="center" vertical="center" wrapText="1"/>
    </xf>
    <xf numFmtId="0" fontId="208" fillId="0" borderId="1" xfId="27" applyFont="1" applyFill="1" applyBorder="1" applyAlignment="1">
      <alignment horizontal="center" vertical="center" wrapText="1"/>
    </xf>
    <xf numFmtId="0" fontId="208" fillId="0" borderId="42" xfId="27" applyFont="1" applyFill="1" applyBorder="1" applyAlignment="1">
      <alignment horizontal="center" vertical="center" wrapText="1"/>
    </xf>
    <xf numFmtId="3" fontId="207" fillId="0" borderId="28" xfId="27" applyNumberFormat="1" applyFont="1" applyBorder="1" applyAlignment="1">
      <alignment horizontal="center"/>
    </xf>
    <xf numFmtId="3" fontId="207" fillId="0" borderId="0" xfId="27" applyNumberFormat="1" applyFont="1" applyBorder="1" applyAlignment="1">
      <alignment horizontal="center"/>
    </xf>
    <xf numFmtId="3" fontId="207" fillId="0" borderId="0" xfId="27" applyNumberFormat="1" applyFont="1" applyAlignment="1">
      <alignment horizontal="center"/>
    </xf>
    <xf numFmtId="3" fontId="207" fillId="0" borderId="53" xfId="27" applyNumberFormat="1" applyFont="1" applyBorder="1" applyAlignment="1">
      <alignment horizontal="center"/>
    </xf>
    <xf numFmtId="3" fontId="238" fillId="0" borderId="0" xfId="27" applyNumberFormat="1" applyFont="1" applyAlignment="1">
      <alignment horizontal="center"/>
    </xf>
    <xf numFmtId="0" fontId="208" fillId="0" borderId="33" xfId="27" applyFont="1" applyFill="1" applyBorder="1" applyAlignment="1">
      <alignment horizontal="center" vertical="center" wrapText="1"/>
    </xf>
    <xf numFmtId="0" fontId="208" fillId="0" borderId="34" xfId="27" applyFont="1" applyFill="1" applyBorder="1" applyAlignment="1">
      <alignment horizontal="center" vertical="center" wrapText="1"/>
    </xf>
    <xf numFmtId="0" fontId="208" fillId="0" borderId="35" xfId="27" applyFont="1" applyFill="1" applyBorder="1" applyAlignment="1">
      <alignment horizontal="center" vertical="center" wrapText="1"/>
    </xf>
    <xf numFmtId="0" fontId="208" fillId="0" borderId="141" xfId="27" applyFont="1" applyBorder="1" applyAlignment="1">
      <alignment horizontal="center" vertical="center" wrapText="1"/>
    </xf>
    <xf numFmtId="0" fontId="208" fillId="0" borderId="79" xfId="27" applyFont="1" applyBorder="1" applyAlignment="1">
      <alignment horizontal="center" vertical="center" wrapText="1"/>
    </xf>
    <xf numFmtId="0" fontId="208" fillId="0" borderId="54" xfId="27" applyFont="1" applyBorder="1" applyAlignment="1">
      <alignment horizontal="center" vertical="center" wrapText="1"/>
    </xf>
    <xf numFmtId="0" fontId="208" fillId="17" borderId="141" xfId="27" applyFont="1" applyFill="1" applyBorder="1" applyAlignment="1">
      <alignment horizontal="center" vertical="center" wrapText="1"/>
    </xf>
    <xf numFmtId="0" fontId="208" fillId="17" borderId="79" xfId="27" applyFont="1" applyFill="1" applyBorder="1" applyAlignment="1">
      <alignment horizontal="center" vertical="center" wrapText="1"/>
    </xf>
    <xf numFmtId="0" fontId="208" fillId="17" borderId="54" xfId="27" applyFont="1" applyFill="1" applyBorder="1" applyAlignment="1">
      <alignment horizontal="center" vertical="center" wrapText="1"/>
    </xf>
    <xf numFmtId="0" fontId="208" fillId="17" borderId="161" xfId="27" applyFont="1" applyFill="1" applyBorder="1" applyAlignment="1">
      <alignment horizontal="center" vertical="center" wrapText="1"/>
    </xf>
    <xf numFmtId="0" fontId="208" fillId="17" borderId="1" xfId="27" applyFont="1" applyFill="1" applyBorder="1" applyAlignment="1">
      <alignment horizontal="center" vertical="center" wrapText="1"/>
    </xf>
    <xf numFmtId="0" fontId="208" fillId="17" borderId="42" xfId="27" applyFont="1" applyFill="1" applyBorder="1" applyAlignment="1">
      <alignment horizontal="center" vertical="center" wrapText="1"/>
    </xf>
    <xf numFmtId="0" fontId="214" fillId="0" borderId="0" xfId="27" applyFont="1" applyAlignment="1">
      <alignment horizontal="center"/>
    </xf>
    <xf numFmtId="0" fontId="109" fillId="17" borderId="146" xfId="27" applyFont="1" applyFill="1" applyBorder="1" applyAlignment="1">
      <alignment horizontal="center" vertical="center" wrapText="1"/>
    </xf>
    <xf numFmtId="0" fontId="208" fillId="17" borderId="120" xfId="27" applyFont="1" applyFill="1" applyBorder="1" applyAlignment="1">
      <alignment horizontal="center" vertical="center" wrapText="1"/>
    </xf>
    <xf numFmtId="0" fontId="208" fillId="0" borderId="52" xfId="27" applyFont="1" applyBorder="1" applyAlignment="1">
      <alignment horizontal="center" vertical="center" wrapText="1"/>
    </xf>
    <xf numFmtId="0" fontId="208" fillId="0" borderId="3" xfId="27" applyFont="1" applyBorder="1" applyAlignment="1">
      <alignment horizontal="center" vertical="center" wrapText="1"/>
    </xf>
    <xf numFmtId="0" fontId="109" fillId="0" borderId="29" xfId="27" applyFont="1" applyBorder="1" applyAlignment="1">
      <alignment horizontal="center" vertical="center" wrapText="1"/>
    </xf>
    <xf numFmtId="0" fontId="109" fillId="0" borderId="26" xfId="27" applyFont="1" applyBorder="1" applyAlignment="1">
      <alignment horizontal="center" vertical="center" wrapText="1"/>
    </xf>
    <xf numFmtId="0" fontId="109" fillId="17" borderId="14" xfId="27" applyFont="1" applyFill="1" applyBorder="1" applyAlignment="1">
      <alignment horizontal="center" vertical="center" wrapText="1"/>
    </xf>
    <xf numFmtId="0" fontId="109" fillId="17" borderId="22" xfId="27" applyFont="1" applyFill="1" applyBorder="1" applyAlignment="1">
      <alignment horizontal="center" vertical="center" wrapText="1"/>
    </xf>
    <xf numFmtId="0" fontId="109" fillId="17" borderId="26" xfId="27" applyFont="1" applyFill="1" applyBorder="1" applyAlignment="1">
      <alignment horizontal="center" vertical="center" wrapText="1"/>
    </xf>
    <xf numFmtId="0" fontId="208" fillId="17" borderId="89" xfId="27" applyFont="1" applyFill="1" applyBorder="1" applyAlignment="1">
      <alignment horizontal="center" vertical="center" wrapText="1"/>
    </xf>
    <xf numFmtId="0" fontId="208" fillId="17" borderId="11" xfId="27" applyFont="1" applyFill="1" applyBorder="1" applyAlignment="1">
      <alignment horizontal="center" vertical="center" wrapText="1"/>
    </xf>
    <xf numFmtId="0" fontId="208" fillId="17" borderId="48" xfId="27" applyFont="1" applyFill="1" applyBorder="1" applyAlignment="1">
      <alignment horizontal="center" vertical="center" wrapText="1"/>
    </xf>
    <xf numFmtId="0" fontId="208" fillId="17" borderId="20" xfId="27" applyFont="1" applyFill="1" applyBorder="1" applyAlignment="1">
      <alignment horizontal="center" vertical="center" wrapText="1"/>
    </xf>
    <xf numFmtId="0" fontId="208" fillId="17" borderId="49" xfId="27" applyFont="1" applyFill="1" applyBorder="1" applyAlignment="1">
      <alignment horizontal="center" vertical="center" wrapText="1"/>
    </xf>
    <xf numFmtId="0" fontId="109" fillId="0" borderId="76" xfId="27" applyFont="1" applyBorder="1" applyAlignment="1">
      <alignment horizontal="center" vertical="center" wrapText="1"/>
    </xf>
    <xf numFmtId="0" fontId="109" fillId="0" borderId="80" xfId="27" applyFont="1" applyBorder="1" applyAlignment="1">
      <alignment horizontal="center" vertical="center" wrapText="1"/>
    </xf>
    <xf numFmtId="0" fontId="109" fillId="0" borderId="59" xfId="27" applyFont="1" applyBorder="1" applyAlignment="1">
      <alignment horizontal="center" vertical="center" wrapText="1"/>
    </xf>
    <xf numFmtId="3" fontId="109" fillId="17" borderId="14" xfId="27" applyNumberFormat="1" applyFont="1" applyFill="1" applyBorder="1" applyAlignment="1">
      <alignment horizontal="center" vertical="center" wrapText="1"/>
    </xf>
    <xf numFmtId="3" fontId="109" fillId="17" borderId="22" xfId="27" applyNumberFormat="1" applyFont="1" applyFill="1" applyBorder="1" applyAlignment="1">
      <alignment horizontal="center" vertical="center" wrapText="1"/>
    </xf>
    <xf numFmtId="3" fontId="109" fillId="17" borderId="26" xfId="27" applyNumberFormat="1" applyFont="1" applyFill="1" applyBorder="1" applyAlignment="1">
      <alignment horizontal="center" vertical="center" wrapText="1"/>
    </xf>
    <xf numFmtId="0" fontId="208" fillId="0" borderId="76" xfId="27" applyFont="1" applyBorder="1" applyAlignment="1">
      <alignment horizontal="center" vertical="center" wrapText="1"/>
    </xf>
    <xf numFmtId="0" fontId="208" fillId="0" borderId="80" xfId="27" applyFont="1" applyBorder="1" applyAlignment="1">
      <alignment horizontal="center" vertical="center" wrapText="1"/>
    </xf>
    <xf numFmtId="0" fontId="208" fillId="0" borderId="59" xfId="27" applyFont="1" applyBorder="1" applyAlignment="1">
      <alignment horizontal="center" vertical="center" wrapText="1"/>
    </xf>
    <xf numFmtId="0" fontId="48" fillId="0" borderId="89" xfId="0" applyFont="1" applyBorder="1" applyAlignment="1">
      <alignment horizontal="center" vertical="center"/>
    </xf>
    <xf numFmtId="0" fontId="48" fillId="0" borderId="79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52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 wrapText="1"/>
    </xf>
    <xf numFmtId="0" fontId="48" fillId="0" borderId="76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center"/>
    </xf>
    <xf numFmtId="0" fontId="48" fillId="0" borderId="59" xfId="0" applyFont="1" applyBorder="1" applyAlignment="1">
      <alignment horizontal="center" vertical="center"/>
    </xf>
    <xf numFmtId="3" fontId="59" fillId="0" borderId="0" xfId="0" applyNumberFormat="1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59" fillId="0" borderId="0" xfId="0" applyFont="1" applyAlignment="1">
      <alignment horizontal="center" vertical="center" wrapText="1"/>
    </xf>
    <xf numFmtId="0" fontId="195" fillId="0" borderId="0" xfId="0" applyFont="1" applyAlignment="1">
      <alignment horizontal="center" vertical="center" wrapText="1"/>
    </xf>
    <xf numFmtId="49" fontId="6" fillId="0" borderId="78" xfId="0" applyNumberFormat="1" applyFont="1" applyBorder="1" applyAlignment="1" applyProtection="1">
      <alignment horizontal="center" vertical="center" wrapText="1"/>
      <protection locked="0"/>
    </xf>
    <xf numFmtId="0" fontId="0" fillId="0" borderId="90" xfId="0" applyBorder="1" applyAlignment="1">
      <alignment horizontal="center" vertical="center" wrapText="1"/>
    </xf>
    <xf numFmtId="49" fontId="6" fillId="0" borderId="23" xfId="0" applyNumberFormat="1" applyFont="1" applyBorder="1" applyAlignment="1" applyProtection="1">
      <alignment horizontal="center" vertical="center" wrapText="1"/>
      <protection locked="0"/>
    </xf>
    <xf numFmtId="0" fontId="15" fillId="0" borderId="24" xfId="28" applyFont="1" applyBorder="1" applyAlignment="1" applyProtection="1">
      <alignment horizontal="left" vertical="center" wrapText="1"/>
    </xf>
    <xf numFmtId="0" fontId="15" fillId="0" borderId="19" xfId="28" applyFont="1" applyBorder="1" applyAlignment="1" applyProtection="1">
      <alignment horizontal="left" vertical="center" wrapText="1"/>
    </xf>
    <xf numFmtId="14" fontId="8" fillId="0" borderId="54" xfId="28" applyNumberFormat="1" applyFont="1" applyBorder="1" applyAlignment="1" applyProtection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49" fontId="6" fillId="10" borderId="78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90" xfId="0" applyFill="1" applyBorder="1" applyAlignment="1">
      <alignment horizontal="center" vertical="center" wrapText="1"/>
    </xf>
    <xf numFmtId="49" fontId="6" fillId="0" borderId="54" xfId="0" applyNumberFormat="1" applyFont="1" applyBorder="1" applyAlignment="1" applyProtection="1">
      <alignment horizontal="center" vertical="center" wrapText="1"/>
      <protection locked="0"/>
    </xf>
    <xf numFmtId="0" fontId="15" fillId="0" borderId="38" xfId="28" applyFont="1" applyBorder="1" applyAlignment="1" applyProtection="1">
      <alignment horizontal="left" vertical="center" wrapText="1"/>
    </xf>
    <xf numFmtId="0" fontId="15" fillId="0" borderId="39" xfId="28" applyFont="1" applyBorder="1" applyAlignment="1" applyProtection="1">
      <alignment horizontal="left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7" fillId="0" borderId="34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0" fontId="143" fillId="0" borderId="0" xfId="0" applyFont="1" applyAlignment="1">
      <alignment horizontal="center" vertical="center" wrapText="1"/>
    </xf>
    <xf numFmtId="0" fontId="6" fillId="0" borderId="24" xfId="0" applyFont="1" applyBorder="1" applyAlignment="1" applyProtection="1">
      <alignment horizontal="center" vertical="center" wrapText="1"/>
    </xf>
    <xf numFmtId="49" fontId="6" fillId="0" borderId="90" xfId="0" applyNumberFormat="1" applyFont="1" applyBorder="1" applyAlignment="1" applyProtection="1">
      <alignment horizontal="center" vertical="center" wrapText="1"/>
      <protection locked="0"/>
    </xf>
    <xf numFmtId="49" fontId="6" fillId="10" borderId="90" xfId="0" applyNumberFormat="1" applyFont="1" applyFill="1" applyBorder="1" applyAlignment="1" applyProtection="1">
      <alignment horizontal="center" vertical="center" wrapText="1"/>
      <protection locked="0"/>
    </xf>
    <xf numFmtId="166" fontId="6" fillId="0" borderId="141" xfId="0" applyNumberFormat="1" applyFont="1" applyBorder="1" applyAlignment="1">
      <alignment horizontal="center" vertical="center" wrapText="1"/>
    </xf>
    <xf numFmtId="166" fontId="6" fillId="0" borderId="54" xfId="0" applyNumberFormat="1" applyFont="1" applyBorder="1" applyAlignment="1">
      <alignment horizontal="center" vertical="center" wrapText="1"/>
    </xf>
    <xf numFmtId="166" fontId="6" fillId="0" borderId="161" xfId="0" applyNumberFormat="1" applyFont="1" applyBorder="1" applyAlignment="1">
      <alignment horizontal="center" vertical="center" wrapText="1"/>
    </xf>
    <xf numFmtId="166" fontId="6" fillId="0" borderId="42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21" fillId="0" borderId="0" xfId="0" applyFont="1" applyAlignment="1">
      <alignment horizontal="center" vertical="center" wrapText="1"/>
    </xf>
    <xf numFmtId="14" fontId="15" fillId="0" borderId="15" xfId="28" applyNumberFormat="1" applyFont="1" applyBorder="1" applyAlignment="1" applyProtection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6" fontId="6" fillId="0" borderId="23" xfId="0" applyNumberFormat="1" applyFont="1" applyBorder="1" applyAlignment="1">
      <alignment horizontal="center" vertical="center" wrapText="1"/>
    </xf>
    <xf numFmtId="49" fontId="6" fillId="0" borderId="15" xfId="0" applyNumberFormat="1" applyFont="1" applyBorder="1" applyAlignment="1" applyProtection="1">
      <alignment horizontal="center" vertical="center" wrapText="1"/>
      <protection locked="0"/>
    </xf>
    <xf numFmtId="166" fontId="6" fillId="0" borderId="24" xfId="0" applyNumberFormat="1" applyFont="1" applyBorder="1" applyAlignment="1">
      <alignment horizontal="center" vertical="center" wrapText="1"/>
    </xf>
    <xf numFmtId="167" fontId="15" fillId="0" borderId="34" xfId="0" applyNumberFormat="1" applyFont="1" applyFill="1" applyBorder="1" applyAlignment="1" applyProtection="1">
      <alignment horizontal="center"/>
    </xf>
    <xf numFmtId="49" fontId="6" fillId="0" borderId="78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90" xfId="0" applyNumberFormat="1" applyFont="1" applyFill="1" applyBorder="1" applyAlignment="1" applyProtection="1">
      <alignment horizontal="center" vertical="center" wrapText="1"/>
      <protection locked="0"/>
    </xf>
    <xf numFmtId="49" fontId="6" fillId="22" borderId="78" xfId="0" applyNumberFormat="1" applyFont="1" applyFill="1" applyBorder="1" applyAlignment="1" applyProtection="1">
      <alignment horizontal="center" vertical="center" wrapText="1"/>
      <protection locked="0"/>
    </xf>
    <xf numFmtId="0" fontId="0" fillId="22" borderId="90" xfId="0" applyFill="1" applyBorder="1" applyAlignment="1">
      <alignment horizontal="center" vertical="center" wrapText="1"/>
    </xf>
    <xf numFmtId="0" fontId="0" fillId="0" borderId="90" xfId="0" applyFill="1" applyBorder="1" applyAlignment="1">
      <alignment horizontal="center" vertical="center" wrapText="1"/>
    </xf>
    <xf numFmtId="0" fontId="177" fillId="0" borderId="0" xfId="0" applyFont="1" applyAlignment="1">
      <alignment horizontal="center" vertical="center" wrapText="1"/>
    </xf>
    <xf numFmtId="0" fontId="121" fillId="0" borderId="0" xfId="0" applyFont="1" applyAlignment="1">
      <alignment horizontal="center" wrapText="1"/>
    </xf>
    <xf numFmtId="0" fontId="192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14" fontId="15" fillId="0" borderId="15" xfId="28" applyNumberFormat="1" applyFont="1" applyFill="1" applyBorder="1" applyAlignment="1" applyProtection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167" fontId="15" fillId="0" borderId="23" xfId="0" applyNumberFormat="1" applyFont="1" applyFill="1" applyBorder="1" applyAlignment="1" applyProtection="1">
      <alignment horizontal="center"/>
    </xf>
    <xf numFmtId="0" fontId="45" fillId="0" borderId="0" xfId="0" applyFont="1" applyAlignment="1">
      <alignment horizontal="center" vertical="center" wrapText="1"/>
    </xf>
    <xf numFmtId="166" fontId="6" fillId="0" borderId="55" xfId="0" applyNumberFormat="1" applyFont="1" applyBorder="1" applyAlignment="1">
      <alignment horizontal="center" vertical="center" wrapText="1"/>
    </xf>
    <xf numFmtId="166" fontId="6" fillId="0" borderId="38" xfId="0" applyNumberFormat="1" applyFont="1" applyBorder="1" applyAlignment="1">
      <alignment horizontal="center" vertical="center" wrapText="1"/>
    </xf>
    <xf numFmtId="166" fontId="6" fillId="0" borderId="33" xfId="0" applyNumberFormat="1" applyFont="1" applyBorder="1" applyAlignment="1">
      <alignment horizontal="center" vertical="center" wrapText="1"/>
    </xf>
    <xf numFmtId="167" fontId="15" fillId="0" borderId="34" xfId="0" applyNumberFormat="1" applyFont="1" applyBorder="1" applyAlignment="1" applyProtection="1">
      <alignment horizontal="center"/>
    </xf>
    <xf numFmtId="167" fontId="15" fillId="0" borderId="35" xfId="0" applyNumberFormat="1" applyFont="1" applyBorder="1" applyAlignment="1" applyProtection="1">
      <alignment horizontal="center"/>
    </xf>
    <xf numFmtId="14" fontId="44" fillId="0" borderId="54" xfId="28" applyNumberFormat="1" applyFont="1" applyBorder="1" applyAlignment="1" applyProtection="1">
      <alignment horizontal="center" vertical="center" wrapText="1"/>
    </xf>
    <xf numFmtId="0" fontId="47" fillId="0" borderId="42" xfId="0" applyFont="1" applyBorder="1" applyAlignment="1">
      <alignment horizontal="center" vertical="center" wrapText="1"/>
    </xf>
    <xf numFmtId="0" fontId="0" fillId="0" borderId="0" xfId="0"/>
    <xf numFmtId="0" fontId="50" fillId="0" borderId="0" xfId="0" applyFont="1" applyAlignment="1">
      <alignment horizontal="center" vertical="center" wrapText="1"/>
    </xf>
    <xf numFmtId="167" fontId="15" fillId="0" borderId="35" xfId="0" applyNumberFormat="1" applyFont="1" applyFill="1" applyBorder="1" applyAlignment="1" applyProtection="1">
      <alignment horizontal="center"/>
    </xf>
    <xf numFmtId="0" fontId="197" fillId="0" borderId="12" xfId="0" applyFont="1" applyBorder="1" applyAlignment="1">
      <alignment horizontal="left" vertical="center" wrapText="1"/>
    </xf>
    <xf numFmtId="0" fontId="197" fillId="0" borderId="44" xfId="0" applyFont="1" applyBorder="1" applyAlignment="1">
      <alignment horizontal="left" vertical="center" wrapText="1"/>
    </xf>
    <xf numFmtId="0" fontId="0" fillId="0" borderId="136" xfId="0" applyBorder="1"/>
    <xf numFmtId="49" fontId="197" fillId="0" borderId="12" xfId="0" applyNumberFormat="1" applyFont="1" applyBorder="1" applyAlignment="1">
      <alignment horizontal="left" vertical="center" wrapText="1"/>
    </xf>
    <xf numFmtId="49" fontId="197" fillId="0" borderId="44" xfId="0" applyNumberFormat="1" applyFont="1" applyBorder="1" applyAlignment="1">
      <alignment horizontal="left" vertical="center" wrapText="1"/>
    </xf>
    <xf numFmtId="49" fontId="0" fillId="0" borderId="136" xfId="0" applyNumberFormat="1" applyBorder="1"/>
    <xf numFmtId="0" fontId="10" fillId="0" borderId="29" xfId="28" applyFont="1" applyBorder="1" applyAlignment="1">
      <alignment horizontal="center" vertical="center"/>
    </xf>
    <xf numFmtId="0" fontId="197" fillId="0" borderId="159" xfId="0" applyFont="1" applyBorder="1" applyAlignment="1">
      <alignment horizontal="left" vertical="center" wrapText="1"/>
    </xf>
    <xf numFmtId="0" fontId="197" fillId="0" borderId="158" xfId="0" applyFont="1" applyBorder="1" applyAlignment="1">
      <alignment horizontal="left" vertical="center" wrapText="1"/>
    </xf>
    <xf numFmtId="0" fontId="0" fillId="0" borderId="171" xfId="0" applyBorder="1"/>
    <xf numFmtId="0" fontId="48" fillId="0" borderId="68" xfId="0" applyFont="1" applyBorder="1" applyAlignment="1">
      <alignment horizontal="center" vertical="center"/>
    </xf>
    <xf numFmtId="0" fontId="48" fillId="0" borderId="56" xfId="0" applyFont="1" applyBorder="1" applyAlignment="1">
      <alignment horizontal="center" vertical="center"/>
    </xf>
    <xf numFmtId="0" fontId="48" fillId="0" borderId="57" xfId="0" applyFont="1" applyBorder="1" applyAlignment="1">
      <alignment horizontal="center" vertical="center"/>
    </xf>
    <xf numFmtId="0" fontId="197" fillId="0" borderId="11" xfId="0" applyFont="1" applyBorder="1" applyAlignment="1">
      <alignment horizontal="left" vertical="center" wrapText="1"/>
    </xf>
    <xf numFmtId="0" fontId="197" fillId="0" borderId="48" xfId="0" applyFont="1" applyBorder="1" applyAlignment="1">
      <alignment horizontal="left" vertical="center" wrapText="1"/>
    </xf>
    <xf numFmtId="0" fontId="0" fillId="0" borderId="49" xfId="0" applyBorder="1"/>
    <xf numFmtId="3" fontId="25" fillId="0" borderId="0" xfId="28" applyNumberFormat="1" applyFont="1" applyBorder="1" applyAlignment="1">
      <alignment horizontal="right"/>
    </xf>
    <xf numFmtId="0" fontId="197" fillId="0" borderId="11" xfId="0" applyFont="1" applyBorder="1" applyAlignment="1">
      <alignment vertical="center" wrapText="1"/>
    </xf>
    <xf numFmtId="0" fontId="197" fillId="0" borderId="49" xfId="0" applyFont="1" applyBorder="1" applyAlignment="1">
      <alignment vertical="center" wrapText="1"/>
    </xf>
    <xf numFmtId="0" fontId="48" fillId="0" borderId="144" xfId="0" applyFont="1" applyBorder="1" applyAlignment="1">
      <alignment horizontal="center" vertical="center"/>
    </xf>
    <xf numFmtId="0" fontId="197" fillId="0" borderId="172" xfId="0" applyFont="1" applyBorder="1" applyAlignment="1">
      <alignment vertical="center" wrapText="1"/>
    </xf>
    <xf numFmtId="0" fontId="197" fillId="0" borderId="135" xfId="0" applyFont="1" applyBorder="1" applyAlignment="1">
      <alignment vertical="center" wrapText="1"/>
    </xf>
    <xf numFmtId="0" fontId="126" fillId="0" borderId="0" xfId="0" applyFont="1" applyAlignment="1">
      <alignment horizontal="center" vertical="center" wrapText="1"/>
    </xf>
    <xf numFmtId="166" fontId="11" fillId="0" borderId="1" xfId="0" applyNumberFormat="1" applyFont="1" applyBorder="1" applyAlignment="1" applyProtection="1">
      <alignment horizontal="right" vertical="top"/>
      <protection locked="0"/>
    </xf>
    <xf numFmtId="14" fontId="15" fillId="0" borderId="23" xfId="28" applyNumberFormat="1" applyFont="1" applyBorder="1" applyAlignment="1" applyProtection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6" fillId="0" borderId="23" xfId="0" applyFont="1" applyBorder="1" applyAlignment="1" applyProtection="1">
      <alignment horizontal="center" vertical="center" wrapText="1"/>
    </xf>
    <xf numFmtId="49" fontId="6" fillId="10" borderId="23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23" xfId="0" applyFill="1" applyBorder="1" applyAlignment="1">
      <alignment horizontal="center" vertical="center" wrapText="1"/>
    </xf>
    <xf numFmtId="0" fontId="6" fillId="0" borderId="24" xfId="0" applyFont="1" applyBorder="1" applyAlignment="1" applyProtection="1">
      <alignment horizontal="left" vertical="center" wrapText="1"/>
    </xf>
    <xf numFmtId="0" fontId="6" fillId="0" borderId="19" xfId="0" applyFont="1" applyBorder="1" applyAlignment="1" applyProtection="1">
      <alignment horizontal="left" vertical="center" wrapText="1"/>
    </xf>
    <xf numFmtId="0" fontId="6" fillId="0" borderId="23" xfId="0" applyFont="1" applyBorder="1" applyAlignment="1" applyProtection="1">
      <alignment horizontal="right" vertical="center" wrapText="1"/>
    </xf>
    <xf numFmtId="166" fontId="6" fillId="0" borderId="78" xfId="0" applyNumberFormat="1" applyFont="1" applyBorder="1" applyAlignment="1">
      <alignment horizontal="center" vertical="center" wrapText="1"/>
    </xf>
    <xf numFmtId="166" fontId="6" fillId="0" borderId="15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 applyProtection="1">
      <alignment horizontal="center" vertical="center" wrapText="1"/>
      <protection locked="0"/>
    </xf>
    <xf numFmtId="0" fontId="6" fillId="0" borderId="46" xfId="0" applyFont="1" applyBorder="1" applyAlignment="1" applyProtection="1">
      <alignment horizontal="center" vertical="center" wrapText="1"/>
    </xf>
    <xf numFmtId="0" fontId="6" fillId="0" borderId="142" xfId="0" applyFont="1" applyBorder="1" applyAlignment="1" applyProtection="1">
      <alignment horizontal="center" vertical="center" wrapText="1"/>
    </xf>
    <xf numFmtId="49" fontId="6" fillId="10" borderId="54" xfId="0" applyNumberFormat="1" applyFont="1" applyFill="1" applyBorder="1" applyAlignment="1" applyProtection="1">
      <alignment horizontal="center" vertical="center" wrapText="1"/>
      <protection locked="0"/>
    </xf>
    <xf numFmtId="49" fontId="6" fillId="10" borderId="4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3" xfId="0" applyFont="1" applyBorder="1" applyAlignment="1" applyProtection="1">
      <alignment horizontal="center" vertical="center" wrapText="1"/>
    </xf>
    <xf numFmtId="166" fontId="6" fillId="0" borderId="76" xfId="0" applyNumberFormat="1" applyFont="1" applyBorder="1" applyAlignment="1">
      <alignment horizontal="center" vertical="center" wrapText="1"/>
    </xf>
    <xf numFmtId="0" fontId="6" fillId="0" borderId="38" xfId="0" applyFont="1" applyBorder="1" applyAlignment="1" applyProtection="1">
      <alignment horizontal="center" vertical="center" wrapText="1"/>
    </xf>
    <xf numFmtId="166" fontId="6" fillId="0" borderId="13" xfId="0" applyNumberFormat="1" applyFont="1" applyBorder="1" applyAlignment="1">
      <alignment horizontal="center" vertical="center" wrapText="1"/>
    </xf>
    <xf numFmtId="167" fontId="6" fillId="0" borderId="23" xfId="0" applyNumberFormat="1" applyFont="1" applyBorder="1" applyAlignment="1" applyProtection="1">
      <alignment horizontal="center"/>
    </xf>
    <xf numFmtId="0" fontId="15" fillId="0" borderId="24" xfId="0" applyFont="1" applyBorder="1" applyAlignment="1" applyProtection="1">
      <alignment horizontal="center" vertical="center" wrapText="1"/>
    </xf>
    <xf numFmtId="0" fontId="6" fillId="0" borderId="45" xfId="0" applyFont="1" applyBorder="1" applyAlignment="1" applyProtection="1">
      <alignment horizontal="center" vertical="center" wrapText="1"/>
    </xf>
    <xf numFmtId="166" fontId="32" fillId="0" borderId="1" xfId="0" applyNumberFormat="1" applyFont="1" applyBorder="1" applyAlignment="1" applyProtection="1">
      <alignment horizontal="right" vertical="top"/>
      <protection locked="0"/>
    </xf>
    <xf numFmtId="167" fontId="6" fillId="0" borderId="34" xfId="0" applyNumberFormat="1" applyFont="1" applyFill="1" applyBorder="1" applyAlignment="1" applyProtection="1">
      <alignment horizontal="center"/>
    </xf>
    <xf numFmtId="167" fontId="6" fillId="0" borderId="35" xfId="0" applyNumberFormat="1" applyFont="1" applyFill="1" applyBorder="1" applyAlignment="1" applyProtection="1">
      <alignment horizontal="center"/>
    </xf>
    <xf numFmtId="0" fontId="6" fillId="0" borderId="173" xfId="0" applyFont="1" applyBorder="1" applyAlignment="1" applyProtection="1">
      <alignment horizontal="center" vertical="center" wrapText="1"/>
    </xf>
    <xf numFmtId="167" fontId="6" fillId="0" borderId="34" xfId="0" applyNumberFormat="1" applyFont="1" applyBorder="1" applyAlignment="1" applyProtection="1">
      <alignment horizontal="center"/>
    </xf>
    <xf numFmtId="167" fontId="6" fillId="0" borderId="35" xfId="0" applyNumberFormat="1" applyFont="1" applyBorder="1" applyAlignment="1" applyProtection="1">
      <alignment horizontal="center"/>
    </xf>
    <xf numFmtId="49" fontId="6" fillId="0" borderId="35" xfId="0" applyNumberFormat="1" applyFont="1" applyBorder="1" applyAlignment="1" applyProtection="1">
      <alignment horizontal="center" vertical="center" wrapText="1"/>
      <protection locked="0"/>
    </xf>
    <xf numFmtId="166" fontId="3" fillId="0" borderId="1" xfId="0" applyNumberFormat="1" applyFont="1" applyBorder="1" applyAlignment="1">
      <alignment horizontal="right" vertical="center" wrapText="1"/>
    </xf>
    <xf numFmtId="0" fontId="6" fillId="0" borderId="6" xfId="0" applyFont="1" applyBorder="1" applyAlignment="1" applyProtection="1">
      <alignment horizontal="center"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0" fontId="32" fillId="0" borderId="176" xfId="25" applyFont="1" applyFill="1" applyBorder="1" applyAlignment="1">
      <alignment horizontal="left"/>
    </xf>
    <xf numFmtId="0" fontId="32" fillId="0" borderId="113" xfId="25" applyFont="1" applyFill="1" applyBorder="1" applyAlignment="1">
      <alignment horizontal="left"/>
    </xf>
    <xf numFmtId="0" fontId="32" fillId="0" borderId="177" xfId="25" applyFont="1" applyFill="1" applyBorder="1" applyAlignment="1">
      <alignment horizontal="left"/>
    </xf>
    <xf numFmtId="0" fontId="32" fillId="0" borderId="82" xfId="25" applyFont="1" applyFill="1" applyBorder="1" applyAlignment="1">
      <alignment horizontal="left"/>
    </xf>
    <xf numFmtId="0" fontId="32" fillId="0" borderId="174" xfId="25" applyFont="1" applyFill="1" applyBorder="1" applyAlignment="1">
      <alignment horizontal="left"/>
    </xf>
    <xf numFmtId="0" fontId="32" fillId="0" borderId="48" xfId="25" applyFont="1" applyFill="1" applyBorder="1" applyAlignment="1">
      <alignment horizontal="left"/>
    </xf>
    <xf numFmtId="0" fontId="25" fillId="0" borderId="143" xfId="25" applyFont="1" applyFill="1" applyBorder="1" applyAlignment="1">
      <alignment horizontal="center" vertical="center"/>
    </xf>
    <xf numFmtId="0" fontId="25" fillId="0" borderId="92" xfId="25" applyFont="1" applyFill="1" applyBorder="1" applyAlignment="1">
      <alignment horizontal="center" vertical="center"/>
    </xf>
    <xf numFmtId="0" fontId="25" fillId="0" borderId="114" xfId="25" applyFont="1" applyFill="1" applyBorder="1" applyAlignment="1">
      <alignment horizontal="center" vertical="center"/>
    </xf>
    <xf numFmtId="0" fontId="67" fillId="0" borderId="0" xfId="25" applyFont="1" applyFill="1" applyBorder="1" applyAlignment="1">
      <alignment horizontal="center"/>
    </xf>
    <xf numFmtId="0" fontId="40" fillId="0" borderId="71" xfId="25" applyFont="1" applyFill="1" applyBorder="1" applyAlignment="1">
      <alignment horizontal="center" vertical="center"/>
    </xf>
    <xf numFmtId="0" fontId="40" fillId="0" borderId="155" xfId="25" applyFont="1" applyFill="1" applyBorder="1" applyAlignment="1">
      <alignment horizontal="center" vertical="center"/>
    </xf>
    <xf numFmtId="0" fontId="40" fillId="0" borderId="74" xfId="25" applyFont="1" applyFill="1" applyBorder="1" applyAlignment="1">
      <alignment horizontal="center" vertical="center"/>
    </xf>
    <xf numFmtId="0" fontId="40" fillId="0" borderId="156" xfId="25" applyFont="1" applyFill="1" applyBorder="1" applyAlignment="1">
      <alignment horizontal="center" vertical="center"/>
    </xf>
    <xf numFmtId="0" fontId="10" fillId="0" borderId="94" xfId="25" applyFont="1" applyFill="1" applyBorder="1" applyAlignment="1">
      <alignment horizontal="center" vertical="center" wrapText="1"/>
    </xf>
    <xf numFmtId="0" fontId="10" fillId="0" borderId="92" xfId="25" applyFont="1" applyFill="1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0" fillId="0" borderId="114" xfId="0" applyBorder="1" applyAlignment="1">
      <alignment horizontal="center" vertical="center" wrapText="1"/>
    </xf>
    <xf numFmtId="0" fontId="10" fillId="0" borderId="140" xfId="25" applyFont="1" applyFill="1" applyBorder="1" applyAlignment="1">
      <alignment horizontal="center" vertical="center" wrapText="1"/>
    </xf>
    <xf numFmtId="0" fontId="32" fillId="0" borderId="174" xfId="25" applyFont="1" applyFill="1" applyBorder="1" applyAlignment="1">
      <alignment horizontal="left" wrapText="1"/>
    </xf>
    <xf numFmtId="0" fontId="32" fillId="0" borderId="20" xfId="25" applyFont="1" applyFill="1" applyBorder="1" applyAlignment="1">
      <alignment horizontal="left" wrapText="1"/>
    </xf>
    <xf numFmtId="0" fontId="11" fillId="0" borderId="0" xfId="25" applyFont="1" applyFill="1" applyBorder="1" applyAlignment="1">
      <alignment horizontal="left"/>
    </xf>
    <xf numFmtId="0" fontId="11" fillId="0" borderId="0" xfId="25" applyFont="1" applyFill="1" applyBorder="1" applyAlignment="1">
      <alignment horizontal="left" wrapText="1"/>
    </xf>
    <xf numFmtId="0" fontId="10" fillId="0" borderId="175" xfId="25" applyFont="1" applyFill="1" applyBorder="1" applyAlignment="1">
      <alignment horizontal="center" vertical="center"/>
    </xf>
    <xf numFmtId="0" fontId="10" fillId="0" borderId="100" xfId="25" applyFont="1" applyFill="1" applyBorder="1" applyAlignment="1">
      <alignment horizontal="center" vertical="center"/>
    </xf>
    <xf numFmtId="0" fontId="32" fillId="0" borderId="20" xfId="25" applyFont="1" applyFill="1" applyBorder="1" applyAlignment="1">
      <alignment horizontal="left"/>
    </xf>
    <xf numFmtId="0" fontId="10" fillId="0" borderId="175" xfId="25" applyFont="1" applyFill="1" applyBorder="1" applyAlignment="1">
      <alignment horizontal="center" vertical="center" wrapText="1"/>
    </xf>
    <xf numFmtId="0" fontId="10" fillId="0" borderId="103" xfId="25" applyFont="1" applyFill="1" applyBorder="1" applyAlignment="1">
      <alignment horizontal="center" vertical="center" wrapText="1"/>
    </xf>
    <xf numFmtId="0" fontId="32" fillId="0" borderId="152" xfId="25" applyFont="1" applyFill="1" applyBorder="1" applyAlignment="1">
      <alignment horizontal="left"/>
    </xf>
    <xf numFmtId="0" fontId="11" fillId="0" borderId="71" xfId="25" applyFont="1" applyFill="1" applyBorder="1" applyAlignment="1">
      <alignment horizontal="left"/>
    </xf>
    <xf numFmtId="0" fontId="11" fillId="0" borderId="72" xfId="25" applyFont="1" applyFill="1" applyBorder="1" applyAlignment="1">
      <alignment horizontal="left"/>
    </xf>
    <xf numFmtId="0" fontId="10" fillId="0" borderId="0" xfId="25" applyFont="1" applyFill="1" applyAlignment="1">
      <alignment horizontal="center"/>
    </xf>
    <xf numFmtId="0" fontId="32" fillId="0" borderId="83" xfId="25" applyFont="1" applyFill="1" applyBorder="1" applyAlignment="1">
      <alignment horizontal="left"/>
    </xf>
    <xf numFmtId="0" fontId="10" fillId="0" borderId="100" xfId="25" applyFont="1" applyFill="1" applyBorder="1" applyAlignment="1">
      <alignment horizontal="center" vertical="center" wrapText="1"/>
    </xf>
    <xf numFmtId="0" fontId="0" fillId="0" borderId="92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25" fillId="0" borderId="72" xfId="25" applyFont="1" applyFill="1" applyBorder="1" applyAlignment="1">
      <alignment horizontal="center" vertical="center"/>
    </xf>
    <xf numFmtId="0" fontId="25" fillId="0" borderId="73" xfId="25" applyFont="1" applyFill="1" applyBorder="1" applyAlignment="1">
      <alignment horizontal="center" vertical="center"/>
    </xf>
    <xf numFmtId="0" fontId="37" fillId="0" borderId="0" xfId="25" applyFont="1" applyFill="1" applyBorder="1" applyAlignment="1">
      <alignment horizontal="left" wrapText="1"/>
    </xf>
    <xf numFmtId="0" fontId="37" fillId="0" borderId="71" xfId="25" applyFont="1" applyFill="1" applyBorder="1" applyAlignment="1">
      <alignment horizontal="left"/>
    </xf>
    <xf numFmtId="0" fontId="37" fillId="0" borderId="72" xfId="25" applyFont="1" applyFill="1" applyBorder="1" applyAlignment="1">
      <alignment horizontal="left"/>
    </xf>
    <xf numFmtId="0" fontId="37" fillId="0" borderId="0" xfId="25" applyFont="1" applyFill="1" applyBorder="1" applyAlignment="1">
      <alignment horizontal="left"/>
    </xf>
    <xf numFmtId="0" fontId="10" fillId="0" borderId="23" xfId="25" applyFont="1" applyFill="1" applyBorder="1" applyAlignment="1">
      <alignment horizontal="center" vertical="center" wrapText="1"/>
    </xf>
    <xf numFmtId="0" fontId="25" fillId="0" borderId="71" xfId="25" applyFont="1" applyFill="1" applyBorder="1" applyAlignment="1">
      <alignment horizontal="center" vertical="center"/>
    </xf>
    <xf numFmtId="0" fontId="0" fillId="0" borderId="170" xfId="0" applyBorder="1" applyAlignment="1">
      <alignment horizontal="center" vertical="center" wrapText="1"/>
    </xf>
    <xf numFmtId="0" fontId="40" fillId="0" borderId="178" xfId="25" applyFont="1" applyFill="1" applyBorder="1" applyAlignment="1">
      <alignment horizontal="center" vertical="center"/>
    </xf>
    <xf numFmtId="0" fontId="40" fillId="0" borderId="23" xfId="25" applyFont="1" applyFill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/>
    </xf>
    <xf numFmtId="0" fontId="109" fillId="0" borderId="92" xfId="25" applyFont="1" applyBorder="1" applyAlignment="1">
      <alignment horizontal="center" vertical="center" wrapText="1"/>
    </xf>
    <xf numFmtId="0" fontId="10" fillId="0" borderId="92" xfId="0" applyFont="1" applyBorder="1" applyAlignment="1">
      <alignment horizontal="center" vertical="center" wrapText="1"/>
    </xf>
    <xf numFmtId="0" fontId="10" fillId="0" borderId="114" xfId="0" applyFont="1" applyBorder="1" applyAlignment="1">
      <alignment horizontal="center" vertical="center" wrapText="1"/>
    </xf>
    <xf numFmtId="0" fontId="37" fillId="0" borderId="0" xfId="25" applyFont="1" applyFill="1" applyAlignment="1">
      <alignment horizontal="left"/>
    </xf>
    <xf numFmtId="0" fontId="10" fillId="0" borderId="179" xfId="25" applyFont="1" applyFill="1" applyBorder="1" applyAlignment="1">
      <alignment horizontal="center" vertical="center" wrapText="1"/>
    </xf>
    <xf numFmtId="0" fontId="10" fillId="0" borderId="72" xfId="25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6" fillId="0" borderId="52" xfId="0" applyFont="1" applyBorder="1" applyAlignment="1" applyProtection="1">
      <alignment horizontal="center" vertical="center" wrapText="1"/>
    </xf>
    <xf numFmtId="0" fontId="32" fillId="0" borderId="48" xfId="25" applyFont="1" applyFill="1" applyBorder="1" applyAlignment="1">
      <alignment horizontal="left" wrapText="1"/>
    </xf>
    <xf numFmtId="0" fontId="10" fillId="0" borderId="175" xfId="25" applyFont="1" applyFill="1" applyBorder="1" applyAlignment="1">
      <alignment horizontal="left" vertical="center"/>
    </xf>
    <xf numFmtId="0" fontId="10" fillId="0" borderId="103" xfId="25" applyFont="1" applyFill="1" applyBorder="1" applyAlignment="1">
      <alignment horizontal="left" vertical="center"/>
    </xf>
    <xf numFmtId="49" fontId="10" fillId="0" borderId="94" xfId="25" applyNumberFormat="1" applyFont="1" applyFill="1" applyBorder="1" applyAlignment="1">
      <alignment horizontal="center" vertical="center" wrapText="1"/>
    </xf>
    <xf numFmtId="49" fontId="10" fillId="0" borderId="92" xfId="25" applyNumberFormat="1" applyFont="1" applyFill="1" applyBorder="1" applyAlignment="1">
      <alignment horizontal="center" vertical="center" wrapText="1"/>
    </xf>
    <xf numFmtId="0" fontId="34" fillId="0" borderId="92" xfId="0" applyFont="1" applyBorder="1" applyAlignment="1">
      <alignment vertical="center" wrapText="1"/>
    </xf>
    <xf numFmtId="0" fontId="34" fillId="0" borderId="140" xfId="0" applyFont="1" applyBorder="1" applyAlignment="1">
      <alignment vertical="center" wrapText="1"/>
    </xf>
    <xf numFmtId="0" fontId="32" fillId="0" borderId="182" xfId="25" applyFont="1" applyFill="1" applyBorder="1" applyAlignment="1">
      <alignment horizontal="left"/>
    </xf>
    <xf numFmtId="0" fontId="32" fillId="0" borderId="80" xfId="25" applyFont="1" applyFill="1" applyBorder="1" applyAlignment="1">
      <alignment horizontal="left"/>
    </xf>
    <xf numFmtId="0" fontId="32" fillId="0" borderId="180" xfId="25" applyFont="1" applyFill="1" applyBorder="1" applyAlignment="1">
      <alignment horizontal="left"/>
    </xf>
    <xf numFmtId="0" fontId="32" fillId="0" borderId="7" xfId="25" applyFont="1" applyFill="1" applyBorder="1" applyAlignment="1">
      <alignment horizontal="left"/>
    </xf>
    <xf numFmtId="0" fontId="0" fillId="0" borderId="140" xfId="0" applyBorder="1" applyAlignment="1">
      <alignment horizontal="center" vertical="center" wrapText="1"/>
    </xf>
    <xf numFmtId="0" fontId="25" fillId="0" borderId="181" xfId="25" applyFont="1" applyFill="1" applyBorder="1" applyAlignment="1">
      <alignment horizontal="center" vertical="center"/>
    </xf>
    <xf numFmtId="0" fontId="25" fillId="0" borderId="126" xfId="25" applyFont="1" applyFill="1" applyBorder="1" applyAlignment="1">
      <alignment horizontal="center" vertical="center"/>
    </xf>
    <xf numFmtId="0" fontId="25" fillId="0" borderId="127" xfId="25" applyFont="1" applyFill="1" applyBorder="1" applyAlignment="1">
      <alignment horizontal="center" vertical="center"/>
    </xf>
    <xf numFmtId="0" fontId="10" fillId="0" borderId="175" xfId="25" applyFont="1" applyFill="1" applyBorder="1" applyAlignment="1">
      <alignment horizontal="left" vertical="center" wrapText="1"/>
    </xf>
    <xf numFmtId="0" fontId="10" fillId="0" borderId="100" xfId="25" applyFont="1" applyFill="1" applyBorder="1" applyAlignment="1">
      <alignment horizontal="left" vertical="center" wrapText="1"/>
    </xf>
    <xf numFmtId="49" fontId="10" fillId="0" borderId="140" xfId="25" applyNumberFormat="1" applyFont="1" applyFill="1" applyBorder="1" applyAlignment="1">
      <alignment horizontal="center" vertical="center" wrapText="1"/>
    </xf>
    <xf numFmtId="0" fontId="34" fillId="0" borderId="92" xfId="0" applyFont="1" applyBorder="1" applyAlignment="1">
      <alignment horizontal="center" vertical="center" wrapText="1"/>
    </xf>
    <xf numFmtId="0" fontId="34" fillId="0" borderId="114" xfId="0" applyFont="1" applyBorder="1" applyAlignment="1">
      <alignment horizontal="center" vertical="center" wrapText="1"/>
    </xf>
    <xf numFmtId="0" fontId="0" fillId="10" borderId="90" xfId="0" applyFill="1" applyBorder="1" applyAlignment="1" applyProtection="1">
      <alignment horizontal="center" vertical="center" wrapText="1"/>
      <protection locked="0"/>
    </xf>
    <xf numFmtId="3" fontId="17" fillId="0" borderId="0" xfId="0" applyNumberFormat="1" applyFont="1" applyBorder="1" applyAlignment="1" applyProtection="1">
      <alignment horizontal="center" vertical="center" wrapText="1"/>
      <protection locked="0"/>
    </xf>
    <xf numFmtId="167" fontId="72" fillId="0" borderId="34" xfId="0" applyNumberFormat="1" applyFont="1" applyFill="1" applyBorder="1" applyAlignment="1" applyProtection="1">
      <alignment horizontal="center"/>
    </xf>
    <xf numFmtId="0" fontId="71" fillId="0" borderId="24" xfId="0" applyFont="1" applyBorder="1" applyAlignment="1" applyProtection="1">
      <alignment horizontal="center" vertical="center" wrapText="1"/>
    </xf>
    <xf numFmtId="0" fontId="71" fillId="0" borderId="45" xfId="0" applyFont="1" applyBorder="1" applyAlignment="1" applyProtection="1">
      <alignment horizontal="center" vertical="center" wrapText="1"/>
    </xf>
    <xf numFmtId="49" fontId="71" fillId="0" borderId="15" xfId="0" applyNumberFormat="1" applyFont="1" applyBorder="1" applyAlignment="1" applyProtection="1">
      <alignment horizontal="center" vertical="center" wrapText="1"/>
      <protection locked="0"/>
    </xf>
    <xf numFmtId="0" fontId="71" fillId="0" borderId="46" xfId="0" applyFont="1" applyBorder="1" applyAlignment="1" applyProtection="1">
      <alignment horizontal="center" vertical="center" wrapText="1"/>
    </xf>
    <xf numFmtId="49" fontId="71" fillId="10" borderId="78" xfId="0" applyNumberFormat="1" applyFont="1" applyFill="1" applyBorder="1" applyAlignment="1" applyProtection="1">
      <alignment horizontal="center" vertical="center" wrapText="1"/>
      <protection locked="0"/>
    </xf>
    <xf numFmtId="0" fontId="73" fillId="10" borderId="90" xfId="0" applyFont="1" applyFill="1" applyBorder="1" applyAlignment="1">
      <alignment horizontal="center" vertical="center" wrapText="1"/>
    </xf>
    <xf numFmtId="49" fontId="71" fillId="0" borderId="78" xfId="0" applyNumberFormat="1" applyFont="1" applyBorder="1" applyAlignment="1" applyProtection="1">
      <alignment horizontal="center" vertical="center" wrapText="1"/>
      <protection locked="0"/>
    </xf>
    <xf numFmtId="0" fontId="73" fillId="0" borderId="90" xfId="0" applyFont="1" applyBorder="1" applyAlignment="1">
      <alignment horizontal="center" vertical="center" wrapText="1"/>
    </xf>
    <xf numFmtId="166" fontId="70" fillId="0" borderId="1" xfId="0" applyNumberFormat="1" applyFont="1" applyBorder="1" applyAlignment="1">
      <alignment horizontal="right" vertical="center" wrapText="1"/>
    </xf>
    <xf numFmtId="49" fontId="71" fillId="10" borderId="90" xfId="0" applyNumberFormat="1" applyFont="1" applyFill="1" applyBorder="1" applyAlignment="1" applyProtection="1">
      <alignment horizontal="center" vertical="center" wrapText="1"/>
      <protection locked="0"/>
    </xf>
    <xf numFmtId="0" fontId="108" fillId="0" borderId="72" xfId="25" applyFont="1" applyBorder="1" applyAlignment="1">
      <alignment horizontal="center" vertical="center" wrapText="1"/>
    </xf>
    <xf numFmtId="0" fontId="16" fillId="0" borderId="72" xfId="0" applyFont="1" applyBorder="1" applyAlignment="1">
      <alignment horizontal="center" vertical="center" wrapText="1"/>
    </xf>
    <xf numFmtId="0" fontId="16" fillId="0" borderId="73" xfId="0" applyFont="1" applyBorder="1" applyAlignment="1">
      <alignment horizontal="center" vertical="center" wrapText="1"/>
    </xf>
    <xf numFmtId="0" fontId="10" fillId="0" borderId="114" xfId="25" applyFont="1" applyFill="1" applyBorder="1" applyAlignment="1">
      <alignment horizontal="center" vertical="center" wrapText="1"/>
    </xf>
    <xf numFmtId="0" fontId="40" fillId="0" borderId="143" xfId="25" applyFont="1" applyFill="1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32" fillId="0" borderId="174" xfId="25" applyFont="1" applyFill="1" applyBorder="1" applyAlignment="1">
      <alignment horizontal="center"/>
    </xf>
    <xf numFmtId="0" fontId="32" fillId="0" borderId="20" xfId="25" applyFont="1" applyFill="1" applyBorder="1" applyAlignment="1">
      <alignment horizontal="center"/>
    </xf>
    <xf numFmtId="0" fontId="46" fillId="0" borderId="0" xfId="0" applyFont="1"/>
    <xf numFmtId="0" fontId="140" fillId="0" borderId="0" xfId="0" applyFont="1" applyAlignment="1">
      <alignment horizontal="center" vertical="center" wrapText="1"/>
    </xf>
    <xf numFmtId="0" fontId="6" fillId="0" borderId="55" xfId="0" applyFont="1" applyBorder="1" applyAlignment="1" applyProtection="1">
      <alignment horizontal="center" vertical="center" wrapText="1"/>
    </xf>
    <xf numFmtId="0" fontId="6" fillId="0" borderId="88" xfId="0" applyFont="1" applyBorder="1" applyAlignment="1" applyProtection="1">
      <alignment horizontal="center" vertical="center" wrapText="1"/>
    </xf>
    <xf numFmtId="0" fontId="11" fillId="0" borderId="92" xfId="0" applyFont="1" applyBorder="1" applyAlignment="1">
      <alignment vertical="center" wrapText="1"/>
    </xf>
    <xf numFmtId="0" fontId="0" fillId="0" borderId="92" xfId="0" applyBorder="1" applyAlignment="1"/>
    <xf numFmtId="0" fontId="0" fillId="0" borderId="114" xfId="0" applyBorder="1" applyAlignment="1"/>
    <xf numFmtId="0" fontId="32" fillId="0" borderId="92" xfId="25" applyFont="1" applyFill="1" applyBorder="1" applyAlignment="1"/>
    <xf numFmtId="0" fontId="32" fillId="0" borderId="0" xfId="25" applyFont="1" applyFill="1" applyBorder="1" applyAlignment="1">
      <alignment horizontal="left"/>
    </xf>
    <xf numFmtId="14" fontId="15" fillId="0" borderId="78" xfId="28" applyNumberFormat="1" applyFont="1" applyBorder="1" applyAlignment="1" applyProtection="1">
      <alignment horizontal="center" vertical="center" wrapText="1"/>
    </xf>
    <xf numFmtId="167" fontId="15" fillId="0" borderId="33" xfId="0" applyNumberFormat="1" applyFont="1" applyBorder="1" applyAlignment="1" applyProtection="1">
      <alignment horizontal="center"/>
    </xf>
    <xf numFmtId="2" fontId="10" fillId="0" borderId="94" xfId="25" applyNumberFormat="1" applyFont="1" applyFill="1" applyBorder="1" applyAlignment="1">
      <alignment horizontal="center" vertical="center" wrapText="1"/>
    </xf>
    <xf numFmtId="2" fontId="10" fillId="0" borderId="92" xfId="25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left"/>
    </xf>
    <xf numFmtId="0" fontId="24" fillId="0" borderId="175" xfId="25" applyFont="1" applyFill="1" applyBorder="1" applyAlignment="1">
      <alignment horizontal="center" vertical="center" wrapText="1"/>
    </xf>
    <xf numFmtId="0" fontId="24" fillId="0" borderId="100" xfId="25" applyFont="1" applyFill="1" applyBorder="1" applyAlignment="1">
      <alignment horizontal="center" vertical="center" wrapText="1"/>
    </xf>
    <xf numFmtId="0" fontId="24" fillId="0" borderId="175" xfId="25" applyFont="1" applyFill="1" applyBorder="1" applyAlignment="1">
      <alignment horizontal="center" vertical="center"/>
    </xf>
    <xf numFmtId="0" fontId="24" fillId="0" borderId="100" xfId="25" applyFont="1" applyFill="1" applyBorder="1" applyAlignment="1">
      <alignment horizontal="center" vertical="center"/>
    </xf>
    <xf numFmtId="0" fontId="0" fillId="0" borderId="92" xfId="0" applyBorder="1" applyAlignment="1">
      <alignment vertical="center"/>
    </xf>
    <xf numFmtId="0" fontId="0" fillId="0" borderId="114" xfId="0" applyBorder="1" applyAlignment="1">
      <alignment vertical="center"/>
    </xf>
    <xf numFmtId="0" fontId="0" fillId="10" borderId="30" xfId="0" applyFill="1" applyBorder="1" applyAlignment="1">
      <alignment horizontal="center" vertical="center" wrapText="1"/>
    </xf>
    <xf numFmtId="0" fontId="0" fillId="22" borderId="30" xfId="0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10" borderId="30" xfId="0" applyFill="1" applyBorder="1" applyAlignment="1" applyProtection="1">
      <alignment horizontal="center" vertical="center" wrapText="1"/>
      <protection locked="0"/>
    </xf>
    <xf numFmtId="2" fontId="6" fillId="0" borderId="78" xfId="0" applyNumberFormat="1" applyFont="1" applyBorder="1" applyAlignment="1" applyProtection="1">
      <alignment horizontal="center" vertical="center" wrapText="1"/>
      <protection locked="0"/>
    </xf>
    <xf numFmtId="2" fontId="0" fillId="0" borderId="90" xfId="0" applyNumberFormat="1" applyBorder="1" applyAlignment="1">
      <alignment horizontal="center" vertical="center" wrapText="1"/>
    </xf>
    <xf numFmtId="49" fontId="6" fillId="22" borderId="90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90" xfId="28" applyNumberFormat="1" applyFont="1" applyBorder="1" applyAlignment="1" applyProtection="1">
      <alignment horizontal="center" vertical="center" wrapText="1"/>
    </xf>
    <xf numFmtId="3" fontId="34" fillId="0" borderId="0" xfId="28" applyNumberFormat="1" applyFont="1" applyBorder="1" applyAlignment="1">
      <alignment horizontal="center" wrapText="1"/>
    </xf>
    <xf numFmtId="3" fontId="34" fillId="0" borderId="82" xfId="28" applyNumberFormat="1" applyFont="1" applyBorder="1" applyAlignment="1">
      <alignment horizontal="center" wrapText="1"/>
    </xf>
    <xf numFmtId="3" fontId="24" fillId="0" borderId="0" xfId="28" applyNumberFormat="1" applyFont="1" applyBorder="1" applyAlignment="1">
      <alignment horizontal="center" vertical="center" wrapText="1"/>
    </xf>
    <xf numFmtId="3" fontId="24" fillId="0" borderId="82" xfId="28" applyNumberFormat="1" applyFont="1" applyBorder="1" applyAlignment="1">
      <alignment horizontal="center" vertical="center" wrapText="1"/>
    </xf>
    <xf numFmtId="0" fontId="24" fillId="0" borderId="11" xfId="28" applyFont="1" applyBorder="1" applyAlignment="1">
      <alignment horizontal="center"/>
    </xf>
    <xf numFmtId="0" fontId="38" fillId="0" borderId="172" xfId="28" applyFont="1" applyBorder="1" applyAlignment="1">
      <alignment horizontal="left" wrapText="1"/>
    </xf>
    <xf numFmtId="0" fontId="38" fillId="0" borderId="183" xfId="28" applyFont="1" applyBorder="1" applyAlignment="1">
      <alignment horizontal="left" wrapText="1"/>
    </xf>
    <xf numFmtId="0" fontId="38" fillId="0" borderId="135" xfId="28" applyFont="1" applyBorder="1" applyAlignment="1">
      <alignment horizontal="left" wrapText="1"/>
    </xf>
    <xf numFmtId="0" fontId="26" fillId="0" borderId="56" xfId="28" applyFont="1" applyBorder="1" applyAlignment="1">
      <alignment horizontal="left"/>
    </xf>
    <xf numFmtId="166" fontId="6" fillId="0" borderId="45" xfId="0" applyNumberFormat="1" applyFont="1" applyBorder="1" applyAlignment="1" applyProtection="1">
      <alignment horizontal="center" vertical="center"/>
    </xf>
    <xf numFmtId="166" fontId="6" fillId="0" borderId="41" xfId="0" applyNumberFormat="1" applyFont="1" applyBorder="1" applyAlignment="1" applyProtection="1">
      <alignment horizontal="center" vertical="center"/>
    </xf>
    <xf numFmtId="0" fontId="24" fillId="3" borderId="6" xfId="28" applyFont="1" applyFill="1" applyBorder="1" applyAlignment="1">
      <alignment horizontal="center" vertical="center"/>
    </xf>
    <xf numFmtId="0" fontId="24" fillId="3" borderId="17" xfId="28" applyFont="1" applyFill="1" applyBorder="1" applyAlignment="1">
      <alignment horizontal="center" vertical="center"/>
    </xf>
    <xf numFmtId="49" fontId="24" fillId="3" borderId="60" xfId="28" applyNumberFormat="1" applyFont="1" applyFill="1" applyBorder="1" applyAlignment="1">
      <alignment horizontal="center" vertical="center"/>
    </xf>
    <xf numFmtId="49" fontId="24" fillId="3" borderId="48" xfId="28" applyNumberFormat="1" applyFont="1" applyFill="1" applyBorder="1" applyAlignment="1">
      <alignment horizontal="center" vertical="center"/>
    </xf>
    <xf numFmtId="49" fontId="24" fillId="3" borderId="49" xfId="28" applyNumberFormat="1" applyFont="1" applyFill="1" applyBorder="1" applyAlignment="1">
      <alignment horizontal="center" vertical="center"/>
    </xf>
    <xf numFmtId="166" fontId="0" fillId="0" borderId="0" xfId="0" applyNumberFormat="1" applyAlignment="1">
      <alignment horizontal="right" vertical="center" wrapText="1"/>
    </xf>
    <xf numFmtId="166" fontId="0" fillId="0" borderId="63" xfId="0" applyNumberFormat="1" applyBorder="1" applyAlignment="1">
      <alignment horizontal="left" vertical="center" wrapText="1"/>
    </xf>
    <xf numFmtId="166" fontId="0" fillId="0" borderId="63" xfId="0" applyNumberFormat="1" applyBorder="1" applyAlignment="1">
      <alignment horizontal="center" vertical="center" wrapText="1"/>
    </xf>
    <xf numFmtId="166" fontId="6" fillId="0" borderId="173" xfId="0" applyNumberFormat="1" applyFont="1" applyBorder="1" applyAlignment="1" applyProtection="1">
      <alignment horizontal="center" vertical="center"/>
    </xf>
    <xf numFmtId="49" fontId="29" fillId="0" borderId="49" xfId="28" applyNumberFormat="1" applyFont="1" applyFill="1" applyBorder="1" applyAlignment="1">
      <alignment horizontal="left" vertical="center"/>
    </xf>
    <xf numFmtId="0" fontId="10" fillId="0" borderId="24" xfId="28" applyFont="1" applyFill="1" applyBorder="1" applyAlignment="1">
      <alignment horizontal="center" vertical="center"/>
    </xf>
    <xf numFmtId="0" fontId="10" fillId="0" borderId="24" xfId="28" applyFont="1" applyFill="1" applyBorder="1" applyAlignment="1" applyProtection="1">
      <alignment horizontal="center" vertical="center"/>
    </xf>
    <xf numFmtId="0" fontId="10" fillId="0" borderId="184" xfId="28" applyFont="1" applyFill="1" applyBorder="1" applyAlignment="1" applyProtection="1">
      <alignment horizontal="center" vertical="center"/>
    </xf>
    <xf numFmtId="166" fontId="7" fillId="0" borderId="0" xfId="31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right"/>
    </xf>
    <xf numFmtId="0" fontId="6" fillId="0" borderId="45" xfId="31" applyFont="1" applyFill="1" applyBorder="1" applyAlignment="1">
      <alignment horizontal="center" vertical="center" wrapText="1"/>
    </xf>
    <xf numFmtId="0" fontId="6" fillId="0" borderId="6" xfId="31" applyFont="1" applyFill="1" applyBorder="1" applyAlignment="1">
      <alignment horizontal="center" vertical="center" wrapText="1"/>
    </xf>
    <xf numFmtId="0" fontId="6" fillId="0" borderId="41" xfId="31" applyFont="1" applyFill="1" applyBorder="1" applyAlignment="1">
      <alignment horizontal="center" vertical="center" wrapText="1"/>
    </xf>
    <xf numFmtId="0" fontId="6" fillId="0" borderId="17" xfId="31" applyFont="1" applyFill="1" applyBorder="1" applyAlignment="1">
      <alignment horizontal="center" vertical="center" wrapText="1"/>
    </xf>
    <xf numFmtId="0" fontId="6" fillId="0" borderId="16" xfId="31" applyFont="1" applyFill="1" applyBorder="1" applyAlignment="1">
      <alignment horizontal="center" vertical="center" wrapText="1"/>
    </xf>
    <xf numFmtId="0" fontId="6" fillId="0" borderId="7" xfId="31" applyFont="1" applyFill="1" applyBorder="1" applyAlignment="1">
      <alignment horizontal="center" vertical="center" wrapText="1"/>
    </xf>
    <xf numFmtId="0" fontId="6" fillId="0" borderId="46" xfId="31" applyFont="1" applyFill="1" applyBorder="1" applyAlignment="1" applyProtection="1">
      <alignment horizontal="left"/>
    </xf>
    <xf numFmtId="0" fontId="6" fillId="0" borderId="47" xfId="31" applyFont="1" applyFill="1" applyBorder="1" applyAlignment="1" applyProtection="1">
      <alignment horizontal="left"/>
    </xf>
    <xf numFmtId="0" fontId="9" fillId="0" borderId="0" xfId="31" applyFont="1" applyFill="1" applyBorder="1" applyAlignment="1">
      <alignment horizontal="justify" vertical="center" wrapText="1"/>
    </xf>
    <xf numFmtId="166" fontId="6" fillId="0" borderId="23" xfId="32" applyNumberFormat="1" applyFont="1" applyFill="1" applyBorder="1" applyAlignment="1">
      <alignment horizontal="left" vertical="center" wrapText="1" indent="2"/>
    </xf>
    <xf numFmtId="166" fontId="47" fillId="0" borderId="0" xfId="32" applyNumberFormat="1" applyFill="1" applyAlignment="1">
      <alignment horizontal="center" vertical="center" wrapText="1"/>
    </xf>
    <xf numFmtId="166" fontId="7" fillId="0" borderId="78" xfId="32" applyNumberFormat="1" applyFont="1" applyFill="1" applyBorder="1" applyAlignment="1">
      <alignment horizontal="center" vertical="center" wrapText="1"/>
    </xf>
    <xf numFmtId="166" fontId="7" fillId="0" borderId="90" xfId="32" applyNumberFormat="1" applyFont="1" applyFill="1" applyBorder="1" applyAlignment="1">
      <alignment horizontal="center" vertical="center" wrapText="1"/>
    </xf>
    <xf numFmtId="166" fontId="7" fillId="0" borderId="78" xfId="32" applyNumberFormat="1" applyFont="1" applyFill="1" applyBorder="1" applyAlignment="1">
      <alignment horizontal="center" vertical="center"/>
    </xf>
    <xf numFmtId="166" fontId="7" fillId="0" borderId="90" xfId="32" applyNumberFormat="1" applyFont="1" applyFill="1" applyBorder="1" applyAlignment="1">
      <alignment horizontal="center" vertical="center"/>
    </xf>
    <xf numFmtId="166" fontId="7" fillId="0" borderId="80" xfId="32" applyNumberFormat="1" applyFont="1" applyFill="1" applyBorder="1" applyAlignment="1">
      <alignment horizontal="center" vertical="center"/>
    </xf>
    <xf numFmtId="166" fontId="7" fillId="0" borderId="134" xfId="32" applyNumberFormat="1" applyFont="1" applyFill="1" applyBorder="1" applyAlignment="1">
      <alignment horizontal="center" vertical="center"/>
    </xf>
    <xf numFmtId="0" fontId="16" fillId="0" borderId="17" xfId="22" applyFont="1" applyFill="1" applyBorder="1" applyAlignment="1">
      <alignment horizontal="right"/>
    </xf>
    <xf numFmtId="0" fontId="16" fillId="0" borderId="7" xfId="22" applyFont="1" applyFill="1" applyBorder="1" applyAlignment="1">
      <alignment horizontal="right"/>
    </xf>
    <xf numFmtId="0" fontId="6" fillId="0" borderId="76" xfId="22" applyFont="1" applyFill="1" applyBorder="1" applyAlignment="1" applyProtection="1">
      <alignment horizontal="left" vertical="center" wrapText="1"/>
      <protection locked="0"/>
    </xf>
    <xf numFmtId="0" fontId="6" fillId="0" borderId="80" xfId="22" applyFont="1" applyFill="1" applyBorder="1" applyAlignment="1" applyProtection="1">
      <alignment horizontal="left" vertical="center" wrapText="1"/>
      <protection locked="0"/>
    </xf>
    <xf numFmtId="0" fontId="6" fillId="0" borderId="134" xfId="22" applyFont="1" applyFill="1" applyBorder="1" applyAlignment="1" applyProtection="1">
      <alignment horizontal="left" vertical="center" wrapText="1"/>
      <protection locked="0"/>
    </xf>
    <xf numFmtId="0" fontId="6" fillId="0" borderId="41" xfId="22" applyFont="1" applyFill="1" applyBorder="1" applyAlignment="1" applyProtection="1">
      <alignment horizontal="left" wrapText="1"/>
      <protection locked="0"/>
    </xf>
    <xf numFmtId="0" fontId="6" fillId="0" borderId="16" xfId="22" applyFont="1" applyFill="1" applyBorder="1" applyAlignment="1" applyProtection="1">
      <alignment horizontal="left" wrapText="1"/>
      <protection locked="0"/>
    </xf>
    <xf numFmtId="0" fontId="16" fillId="0" borderId="0" xfId="22" applyFont="1" applyFill="1" applyBorder="1" applyAlignment="1">
      <alignment horizontal="right"/>
    </xf>
    <xf numFmtId="3" fontId="3" fillId="0" borderId="0" xfId="22" applyNumberFormat="1" applyFont="1" applyFill="1" applyBorder="1" applyAlignment="1" applyProtection="1">
      <alignment horizontal="right" vertical="center"/>
      <protection locked="0"/>
    </xf>
    <xf numFmtId="3" fontId="6" fillId="0" borderId="0" xfId="22" applyNumberFormat="1" applyFont="1" applyFill="1" applyBorder="1" applyAlignment="1" applyProtection="1">
      <alignment horizontal="right" vertical="center"/>
      <protection locked="0"/>
    </xf>
    <xf numFmtId="0" fontId="6" fillId="0" borderId="0" xfId="22" applyFont="1" applyFill="1" applyBorder="1" applyAlignment="1" applyProtection="1">
      <alignment horizontal="left" wrapText="1"/>
      <protection locked="0"/>
    </xf>
    <xf numFmtId="166" fontId="7" fillId="0" borderId="78" xfId="28" applyNumberFormat="1" applyFont="1" applyBorder="1" applyAlignment="1">
      <alignment horizontal="center" vertical="center" wrapText="1"/>
    </xf>
    <xf numFmtId="166" fontId="7" fillId="0" borderId="78" xfId="28" applyNumberFormat="1" applyFont="1" applyBorder="1" applyAlignment="1">
      <alignment horizontal="center" vertical="center"/>
    </xf>
    <xf numFmtId="166" fontId="7" fillId="0" borderId="173" xfId="28" applyNumberFormat="1" applyFont="1" applyBorder="1" applyAlignment="1">
      <alignment horizontal="center" vertical="center" wrapText="1"/>
    </xf>
    <xf numFmtId="166" fontId="7" fillId="0" borderId="55" xfId="28" applyNumberFormat="1" applyFont="1" applyBorder="1" applyAlignment="1">
      <alignment horizontal="center" vertical="center" wrapText="1"/>
    </xf>
    <xf numFmtId="0" fontId="108" fillId="0" borderId="0" xfId="28" applyFont="1" applyAlignment="1" applyProtection="1">
      <alignment horizontal="center" vertical="center" wrapText="1"/>
      <protection locked="0"/>
    </xf>
    <xf numFmtId="0" fontId="253" fillId="0" borderId="52" xfId="28" applyFont="1" applyBorder="1" applyAlignment="1">
      <alignment horizontal="center" vertical="center" wrapText="1"/>
    </xf>
    <xf numFmtId="0" fontId="253" fillId="0" borderId="14" xfId="28" applyFont="1" applyBorder="1" applyAlignment="1">
      <alignment horizontal="center" vertical="center" wrapText="1"/>
    </xf>
    <xf numFmtId="0" fontId="253" fillId="0" borderId="89" xfId="28" applyFont="1" applyBorder="1" applyAlignment="1">
      <alignment horizontal="center" vertical="center" wrapText="1"/>
    </xf>
    <xf numFmtId="0" fontId="253" fillId="0" borderId="78" xfId="28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273" fillId="0" borderId="0" xfId="35" applyFont="1" applyBorder="1" applyAlignment="1"/>
    <xf numFmtId="0" fontId="106" fillId="0" borderId="0" xfId="35" applyFont="1" applyBorder="1" applyAlignment="1"/>
    <xf numFmtId="0" fontId="67" fillId="0" borderId="0" xfId="16" applyFont="1" applyBorder="1" applyAlignment="1">
      <alignment horizontal="left"/>
    </xf>
    <xf numFmtId="0" fontId="25" fillId="0" borderId="0" xfId="16" applyFont="1" applyBorder="1" applyAlignment="1">
      <alignment horizontal="left"/>
    </xf>
    <xf numFmtId="0" fontId="24" fillId="0" borderId="189" xfId="16" applyFont="1" applyBorder="1" applyAlignment="1">
      <alignment horizontal="center" vertical="center"/>
    </xf>
    <xf numFmtId="0" fontId="24" fillId="0" borderId="190" xfId="16" applyFont="1" applyBorder="1" applyAlignment="1">
      <alignment horizontal="center" vertical="center"/>
    </xf>
    <xf numFmtId="0" fontId="10" fillId="0" borderId="192" xfId="36" applyFont="1" applyBorder="1" applyAlignment="1">
      <alignment horizontal="center" vertical="center"/>
    </xf>
    <xf numFmtId="0" fontId="10" fillId="0" borderId="193" xfId="36" applyFont="1" applyBorder="1" applyAlignment="1">
      <alignment horizontal="center" vertical="center"/>
    </xf>
    <xf numFmtId="0" fontId="10" fillId="0" borderId="194" xfId="36" applyFont="1" applyBorder="1" applyAlignment="1">
      <alignment horizontal="center" vertical="center"/>
    </xf>
    <xf numFmtId="0" fontId="10" fillId="0" borderId="195" xfId="36" applyFont="1" applyBorder="1" applyAlignment="1">
      <alignment horizontal="center" vertical="center" wrapText="1"/>
    </xf>
    <xf numFmtId="0" fontId="10" fillId="0" borderId="196" xfId="36" applyFont="1" applyBorder="1" applyAlignment="1">
      <alignment horizontal="center" vertical="center" wrapText="1"/>
    </xf>
    <xf numFmtId="0" fontId="24" fillId="0" borderId="197" xfId="16" applyFont="1" applyBorder="1" applyAlignment="1">
      <alignment horizontal="center" vertical="center"/>
    </xf>
    <xf numFmtId="0" fontId="24" fillId="0" borderId="198" xfId="16" applyFont="1" applyBorder="1" applyAlignment="1">
      <alignment horizontal="center" vertical="center"/>
    </xf>
    <xf numFmtId="0" fontId="32" fillId="0" borderId="192" xfId="36" applyFont="1" applyBorder="1" applyAlignment="1">
      <alignment horizontal="center" vertical="center"/>
    </xf>
    <xf numFmtId="0" fontId="32" fillId="0" borderId="193" xfId="36" applyFont="1" applyBorder="1" applyAlignment="1">
      <alignment horizontal="center" vertical="center"/>
    </xf>
    <xf numFmtId="0" fontId="32" fillId="0" borderId="200" xfId="36" applyFont="1" applyBorder="1" applyAlignment="1">
      <alignment horizontal="center" vertical="center"/>
    </xf>
    <xf numFmtId="0" fontId="10" fillId="26" borderId="195" xfId="36" applyFont="1" applyFill="1" applyBorder="1" applyAlignment="1">
      <alignment horizontal="center" vertical="center" wrapText="1"/>
    </xf>
    <xf numFmtId="0" fontId="10" fillId="26" borderId="196" xfId="36" applyFont="1" applyFill="1" applyBorder="1" applyAlignment="1">
      <alignment horizontal="center" vertical="center" wrapText="1"/>
    </xf>
    <xf numFmtId="0" fontId="67" fillId="7" borderId="201" xfId="36" applyFont="1" applyFill="1" applyBorder="1" applyAlignment="1">
      <alignment horizontal="left"/>
    </xf>
    <xf numFmtId="0" fontId="67" fillId="7" borderId="202" xfId="36" applyFont="1" applyFill="1" applyBorder="1" applyAlignment="1">
      <alignment horizontal="left"/>
    </xf>
    <xf numFmtId="0" fontId="67" fillId="7" borderId="203" xfId="36" applyFont="1" applyFill="1" applyBorder="1" applyAlignment="1">
      <alignment horizontal="left"/>
    </xf>
    <xf numFmtId="0" fontId="270" fillId="0" borderId="0" xfId="35" applyFont="1" applyBorder="1" applyAlignment="1">
      <alignment horizontal="center" vertical="center" wrapText="1"/>
    </xf>
    <xf numFmtId="0" fontId="64" fillId="0" borderId="0" xfId="16" applyFont="1" applyBorder="1" applyAlignment="1">
      <alignment horizontal="left"/>
    </xf>
    <xf numFmtId="0" fontId="269" fillId="0" borderId="0" xfId="16" applyFont="1" applyBorder="1" applyAlignment="1">
      <alignment horizontal="left"/>
    </xf>
    <xf numFmtId="0" fontId="65" fillId="0" borderId="189" xfId="16" applyFont="1" applyBorder="1" applyAlignment="1">
      <alignment horizontal="center" vertical="center"/>
    </xf>
    <xf numFmtId="0" fontId="65" fillId="0" borderId="190" xfId="16" applyFont="1" applyBorder="1" applyAlignment="1">
      <alignment horizontal="center" vertical="center"/>
    </xf>
    <xf numFmtId="0" fontId="66" fillId="0" borderId="192" xfId="36" applyFont="1" applyBorder="1" applyAlignment="1">
      <alignment horizontal="center" vertical="center"/>
    </xf>
    <xf numFmtId="0" fontId="66" fillId="0" borderId="193" xfId="36" applyFont="1" applyBorder="1" applyAlignment="1">
      <alignment horizontal="center" vertical="center"/>
    </xf>
    <xf numFmtId="0" fontId="66" fillId="0" borderId="194" xfId="36" applyFont="1" applyBorder="1" applyAlignment="1">
      <alignment horizontal="center" vertical="center"/>
    </xf>
    <xf numFmtId="0" fontId="66" fillId="0" borderId="195" xfId="36" applyFont="1" applyBorder="1" applyAlignment="1">
      <alignment horizontal="center" vertical="center" wrapText="1"/>
    </xf>
    <xf numFmtId="0" fontId="66" fillId="0" borderId="196" xfId="36" applyFont="1" applyBorder="1" applyAlignment="1">
      <alignment horizontal="center" vertical="center" wrapText="1"/>
    </xf>
    <xf numFmtId="0" fontId="33" fillId="0" borderId="192" xfId="36" applyFont="1" applyBorder="1" applyAlignment="1">
      <alignment horizontal="center" vertical="center"/>
    </xf>
    <xf numFmtId="0" fontId="33" fillId="0" borderId="193" xfId="36" applyFont="1" applyBorder="1" applyAlignment="1">
      <alignment horizontal="center" vertical="center"/>
    </xf>
    <xf numFmtId="0" fontId="33" fillId="0" borderId="200" xfId="36" applyFont="1" applyBorder="1" applyAlignment="1">
      <alignment horizontal="center" vertical="center"/>
    </xf>
    <xf numFmtId="0" fontId="64" fillId="7" borderId="201" xfId="36" applyFont="1" applyFill="1" applyBorder="1" applyAlignment="1">
      <alignment horizontal="left"/>
    </xf>
    <xf numFmtId="0" fontId="64" fillId="7" borderId="202" xfId="36" applyFont="1" applyFill="1" applyBorder="1" applyAlignment="1">
      <alignment horizontal="left"/>
    </xf>
    <xf numFmtId="0" fontId="64" fillId="7" borderId="203" xfId="36" applyFont="1" applyFill="1" applyBorder="1" applyAlignment="1">
      <alignment horizontal="left"/>
    </xf>
    <xf numFmtId="0" fontId="64" fillId="35" borderId="68" xfId="36" applyFont="1" applyFill="1" applyBorder="1" applyAlignment="1">
      <alignment horizontal="left"/>
    </xf>
    <xf numFmtId="0" fontId="64" fillId="35" borderId="56" xfId="36" applyFont="1" applyFill="1" applyBorder="1" applyAlignment="1">
      <alignment horizontal="left"/>
    </xf>
    <xf numFmtId="0" fontId="66" fillId="0" borderId="205" xfId="36" applyFont="1" applyBorder="1" applyAlignment="1">
      <alignment horizontal="center" vertical="center" wrapText="1"/>
    </xf>
    <xf numFmtId="0" fontId="66" fillId="0" borderId="200" xfId="36" applyFont="1" applyBorder="1" applyAlignment="1">
      <alignment horizontal="center" vertical="center" wrapText="1"/>
    </xf>
    <xf numFmtId="0" fontId="66" fillId="0" borderId="205" xfId="36" applyFont="1" applyBorder="1" applyAlignment="1">
      <alignment horizontal="center" vertical="center"/>
    </xf>
    <xf numFmtId="0" fontId="66" fillId="0" borderId="200" xfId="36" applyFont="1" applyBorder="1" applyAlignment="1">
      <alignment horizontal="center" vertical="center"/>
    </xf>
    <xf numFmtId="0" fontId="272" fillId="7" borderId="201" xfId="36" applyFont="1" applyFill="1" applyBorder="1" applyAlignment="1">
      <alignment horizontal="left"/>
    </xf>
    <xf numFmtId="0" fontId="272" fillId="7" borderId="202" xfId="36" applyFont="1" applyFill="1" applyBorder="1" applyAlignment="1">
      <alignment horizontal="left"/>
    </xf>
    <xf numFmtId="0" fontId="272" fillId="7" borderId="203" xfId="36" applyFont="1" applyFill="1" applyBorder="1" applyAlignment="1">
      <alignment horizontal="left"/>
    </xf>
    <xf numFmtId="0" fontId="272" fillId="7" borderId="201" xfId="36" applyFont="1" applyFill="1" applyBorder="1" applyAlignment="1">
      <alignment horizontal="left" wrapText="1"/>
    </xf>
    <xf numFmtId="0" fontId="272" fillId="7" borderId="202" xfId="36" applyFont="1" applyFill="1" applyBorder="1" applyAlignment="1">
      <alignment horizontal="left" wrapText="1"/>
    </xf>
    <xf numFmtId="0" fontId="272" fillId="7" borderId="203" xfId="36" applyFont="1" applyFill="1" applyBorder="1" applyAlignment="1">
      <alignment horizontal="left" wrapText="1"/>
    </xf>
    <xf numFmtId="0" fontId="262" fillId="31" borderId="6" xfId="33" applyFont="1" applyFill="1" applyBorder="1" applyAlignment="1">
      <alignment horizontal="center" vertical="center" wrapText="1"/>
    </xf>
    <xf numFmtId="0" fontId="262" fillId="31" borderId="17" xfId="33" applyFont="1" applyFill="1" applyBorder="1" applyAlignment="1">
      <alignment horizontal="center" vertical="center" wrapText="1"/>
    </xf>
    <xf numFmtId="0" fontId="262" fillId="31" borderId="7" xfId="33" applyFont="1" applyFill="1" applyBorder="1" applyAlignment="1">
      <alignment horizontal="center" vertical="center" wrapText="1"/>
    </xf>
    <xf numFmtId="0" fontId="259" fillId="0" borderId="0" xfId="33" applyFont="1" applyAlignment="1">
      <alignment horizontal="center" vertical="center" wrapText="1"/>
    </xf>
    <xf numFmtId="0" fontId="260" fillId="0" borderId="0" xfId="33" applyFont="1" applyAlignment="1">
      <alignment horizontal="center" vertical="center"/>
    </xf>
    <xf numFmtId="0" fontId="262" fillId="0" borderId="45" xfId="34" applyFont="1" applyBorder="1" applyAlignment="1">
      <alignment horizontal="center" vertical="center"/>
    </xf>
    <xf numFmtId="0" fontId="262" fillId="0" borderId="6" xfId="34" applyFont="1" applyBorder="1" applyAlignment="1">
      <alignment horizontal="center" vertical="center"/>
    </xf>
    <xf numFmtId="0" fontId="262" fillId="0" borderId="41" xfId="34" applyFont="1" applyBorder="1" applyAlignment="1">
      <alignment horizontal="center" vertical="center" wrapText="1"/>
    </xf>
    <xf numFmtId="0" fontId="262" fillId="0" borderId="17" xfId="34" applyFont="1" applyBorder="1" applyAlignment="1">
      <alignment horizontal="center" vertical="center" wrapText="1"/>
    </xf>
    <xf numFmtId="3" fontId="262" fillId="0" borderId="41" xfId="34" applyNumberFormat="1" applyFont="1" applyBorder="1" applyAlignment="1">
      <alignment horizontal="center" vertical="center"/>
    </xf>
    <xf numFmtId="3" fontId="262" fillId="0" borderId="17" xfId="34" applyNumberFormat="1" applyFont="1" applyBorder="1" applyAlignment="1">
      <alignment horizontal="center" vertical="center"/>
    </xf>
    <xf numFmtId="3" fontId="262" fillId="0" borderId="16" xfId="34" applyNumberFormat="1" applyFont="1" applyBorder="1" applyAlignment="1">
      <alignment horizontal="center" vertical="center" wrapText="1"/>
    </xf>
    <xf numFmtId="3" fontId="262" fillId="0" borderId="7" xfId="34" applyNumberFormat="1" applyFont="1" applyBorder="1" applyAlignment="1">
      <alignment horizontal="center" vertical="center" wrapText="1"/>
    </xf>
    <xf numFmtId="0" fontId="263" fillId="31" borderId="60" xfId="33" applyFont="1" applyFill="1" applyBorder="1" applyAlignment="1">
      <alignment horizontal="center" vertical="center" wrapText="1"/>
    </xf>
    <xf numFmtId="0" fontId="263" fillId="31" borderId="48" xfId="33" applyFont="1" applyFill="1" applyBorder="1" applyAlignment="1">
      <alignment horizontal="center" vertical="center" wrapText="1"/>
    </xf>
    <xf numFmtId="0" fontId="263" fillId="31" borderId="20" xfId="33" applyFont="1" applyFill="1" applyBorder="1" applyAlignment="1">
      <alignment horizontal="center" vertical="center" wrapText="1"/>
    </xf>
    <xf numFmtId="3" fontId="262" fillId="0" borderId="41" xfId="34" applyNumberFormat="1" applyFont="1" applyBorder="1" applyAlignment="1">
      <alignment horizontal="center" vertical="center" wrapText="1"/>
    </xf>
    <xf numFmtId="3" fontId="262" fillId="0" borderId="17" xfId="34" applyNumberFormat="1" applyFont="1" applyBorder="1" applyAlignment="1">
      <alignment horizontal="center" vertical="center" wrapText="1"/>
    </xf>
    <xf numFmtId="0" fontId="262" fillId="31" borderId="60" xfId="33" applyFont="1" applyFill="1" applyBorder="1" applyAlignment="1">
      <alignment horizontal="center" vertical="center" wrapText="1"/>
    </xf>
    <xf numFmtId="0" fontId="262" fillId="31" borderId="48" xfId="33" applyFont="1" applyFill="1" applyBorder="1" applyAlignment="1">
      <alignment horizontal="center" vertical="center" wrapText="1"/>
    </xf>
    <xf numFmtId="0" fontId="262" fillId="31" borderId="20" xfId="33" applyFont="1" applyFill="1" applyBorder="1" applyAlignment="1">
      <alignment horizontal="center" vertical="center" wrapText="1"/>
    </xf>
    <xf numFmtId="0" fontId="32" fillId="0" borderId="0" xfId="25" applyFont="1" applyFill="1" applyBorder="1" applyAlignment="1">
      <alignment horizontal="left" wrapText="1"/>
    </xf>
    <xf numFmtId="0" fontId="10" fillId="0" borderId="74" xfId="25" applyFont="1" applyFill="1" applyBorder="1" applyAlignment="1">
      <alignment horizontal="center" vertical="center" wrapText="1"/>
    </xf>
    <xf numFmtId="0" fontId="10" fillId="0" borderId="156" xfId="25" applyFont="1" applyFill="1" applyBorder="1" applyAlignment="1">
      <alignment horizontal="center" vertical="center" wrapText="1"/>
    </xf>
    <xf numFmtId="0" fontId="34" fillId="0" borderId="92" xfId="0" applyFont="1" applyBorder="1" applyAlignment="1"/>
    <xf numFmtId="0" fontId="34" fillId="0" borderId="114" xfId="0" applyFont="1" applyBorder="1" applyAlignment="1"/>
    <xf numFmtId="0" fontId="40" fillId="0" borderId="140" xfId="25" applyFont="1" applyFill="1" applyBorder="1" applyAlignment="1">
      <alignment horizontal="center" vertical="center"/>
    </xf>
    <xf numFmtId="0" fontId="24" fillId="0" borderId="94" xfId="25" applyFont="1" applyFill="1" applyBorder="1" applyAlignment="1">
      <alignment horizontal="center" vertical="center" wrapText="1"/>
    </xf>
    <xf numFmtId="0" fontId="24" fillId="0" borderId="92" xfId="25" applyFont="1" applyFill="1" applyBorder="1" applyAlignment="1">
      <alignment horizontal="center" vertical="center" wrapText="1"/>
    </xf>
    <xf numFmtId="0" fontId="32" fillId="0" borderId="92" xfId="0" applyFont="1" applyBorder="1" applyAlignment="1">
      <alignment horizontal="center" vertical="center"/>
    </xf>
    <xf numFmtId="0" fontId="32" fillId="0" borderId="140" xfId="0" applyFont="1" applyBorder="1" applyAlignment="1">
      <alignment horizontal="center" vertical="center"/>
    </xf>
    <xf numFmtId="49" fontId="24" fillId="0" borderId="94" xfId="25" applyNumberFormat="1" applyFont="1" applyFill="1" applyBorder="1" applyAlignment="1">
      <alignment horizontal="center" vertical="center" wrapText="1"/>
    </xf>
    <xf numFmtId="49" fontId="24" fillId="0" borderId="92" xfId="25" applyNumberFormat="1" applyFont="1" applyFill="1" applyBorder="1" applyAlignment="1">
      <alignment horizontal="center" vertical="center" wrapText="1"/>
    </xf>
    <xf numFmtId="0" fontId="32" fillId="0" borderId="92" xfId="0" applyFont="1" applyBorder="1" applyAlignment="1">
      <alignment horizontal="center" vertical="center" wrapText="1"/>
    </xf>
    <xf numFmtId="0" fontId="32" fillId="0" borderId="140" xfId="0" applyFont="1" applyBorder="1" applyAlignment="1">
      <alignment horizontal="center" vertical="center" wrapText="1"/>
    </xf>
    <xf numFmtId="49" fontId="24" fillId="0" borderId="129" xfId="25" applyNumberFormat="1" applyFont="1" applyFill="1" applyBorder="1" applyAlignment="1">
      <alignment horizontal="center" vertical="center" wrapText="1"/>
    </xf>
    <xf numFmtId="49" fontId="24" fillId="0" borderId="130" xfId="25" applyNumberFormat="1" applyFont="1" applyFill="1" applyBorder="1" applyAlignment="1">
      <alignment horizontal="center" vertical="center" wrapText="1"/>
    </xf>
    <xf numFmtId="49" fontId="24" fillId="0" borderId="114" xfId="25" applyNumberFormat="1" applyFont="1" applyFill="1" applyBorder="1" applyAlignment="1">
      <alignment horizontal="center" vertical="center" wrapText="1"/>
    </xf>
    <xf numFmtId="0" fontId="36" fillId="0" borderId="176" xfId="25" applyFont="1" applyFill="1" applyBorder="1" applyAlignment="1">
      <alignment horizontal="left"/>
    </xf>
    <xf numFmtId="0" fontId="36" fillId="0" borderId="143" xfId="25" applyFont="1" applyFill="1" applyBorder="1" applyAlignment="1">
      <alignment horizontal="left"/>
    </xf>
    <xf numFmtId="0" fontId="34" fillId="0" borderId="140" xfId="25" applyFont="1" applyFill="1" applyBorder="1" applyAlignment="1">
      <alignment horizontal="left"/>
    </xf>
    <xf numFmtId="0" fontId="32" fillId="0" borderId="185" xfId="25" applyFont="1" applyFill="1" applyBorder="1" applyAlignment="1">
      <alignment horizontal="left"/>
    </xf>
    <xf numFmtId="0" fontId="32" fillId="0" borderId="137" xfId="25" applyFont="1" applyFill="1" applyBorder="1" applyAlignment="1">
      <alignment horizontal="left"/>
    </xf>
    <xf numFmtId="0" fontId="67" fillId="0" borderId="139" xfId="25" applyFont="1" applyFill="1" applyBorder="1" applyAlignment="1">
      <alignment horizontal="center"/>
    </xf>
    <xf numFmtId="0" fontId="67" fillId="0" borderId="128" xfId="25" applyFont="1" applyFill="1" applyBorder="1" applyAlignment="1">
      <alignment horizontal="center"/>
    </xf>
    <xf numFmtId="0" fontId="10" fillId="0" borderId="143" xfId="25" applyFont="1" applyFill="1" applyBorder="1" applyAlignment="1">
      <alignment horizontal="center" vertical="center"/>
    </xf>
    <xf numFmtId="0" fontId="10" fillId="0" borderId="140" xfId="25" applyFont="1" applyFill="1" applyBorder="1" applyAlignment="1">
      <alignment horizontal="center" vertical="center"/>
    </xf>
    <xf numFmtId="0" fontId="10" fillId="0" borderId="140" xfId="0" applyFont="1" applyBorder="1" applyAlignment="1">
      <alignment horizontal="center" vertical="center" wrapText="1"/>
    </xf>
    <xf numFmtId="49" fontId="10" fillId="0" borderId="129" xfId="25" applyNumberFormat="1" applyFont="1" applyFill="1" applyBorder="1" applyAlignment="1">
      <alignment horizontal="center" vertical="center" wrapText="1"/>
    </xf>
    <xf numFmtId="49" fontId="10" fillId="0" borderId="130" xfId="25" applyNumberFormat="1" applyFont="1" applyFill="1" applyBorder="1" applyAlignment="1">
      <alignment horizontal="center" vertical="center" wrapText="1"/>
    </xf>
    <xf numFmtId="49" fontId="10" fillId="0" borderId="114" xfId="25" applyNumberFormat="1" applyFont="1" applyFill="1" applyBorder="1" applyAlignment="1">
      <alignment horizontal="center" vertical="center" wrapText="1"/>
    </xf>
  </cellXfs>
  <cellStyles count="37">
    <cellStyle name="Ezres 2" xfId="1" xr:uid="{00000000-0005-0000-0000-000000000000}"/>
    <cellStyle name="Ezres 2 2" xfId="2" xr:uid="{00000000-0005-0000-0000-000001000000}"/>
    <cellStyle name="Ezres 2 3" xfId="3" xr:uid="{00000000-0005-0000-0000-000002000000}"/>
    <cellStyle name="Ezres 3" xfId="4" xr:uid="{00000000-0005-0000-0000-000003000000}"/>
    <cellStyle name="Ezres 4" xfId="5" xr:uid="{00000000-0005-0000-0000-000004000000}"/>
    <cellStyle name="Ezres 5" xfId="6" xr:uid="{00000000-0005-0000-0000-000005000000}"/>
    <cellStyle name="Hiperhivatkozás" xfId="7" xr:uid="{00000000-0005-0000-0000-000006000000}"/>
    <cellStyle name="Jelölőszín 1 2" xfId="8" xr:uid="{00000000-0005-0000-0000-000007000000}"/>
    <cellStyle name="Jelölőszín 1 3" xfId="9" xr:uid="{00000000-0005-0000-0000-000008000000}"/>
    <cellStyle name="Már látott hiperhivatkozás" xfId="10" xr:uid="{00000000-0005-0000-0000-000009000000}"/>
    <cellStyle name="Normál" xfId="0" builtinId="0"/>
    <cellStyle name="Normál 10" xfId="11" xr:uid="{00000000-0005-0000-0000-00000B000000}"/>
    <cellStyle name="Normál 11" xfId="12" xr:uid="{00000000-0005-0000-0000-00000C000000}"/>
    <cellStyle name="Normál 12" xfId="13" xr:uid="{00000000-0005-0000-0000-00000D000000}"/>
    <cellStyle name="Normál 13" xfId="30" xr:uid="{00000000-0005-0000-0000-00000E000000}"/>
    <cellStyle name="Normál 2" xfId="14" xr:uid="{00000000-0005-0000-0000-00000F000000}"/>
    <cellStyle name="Normál 2 2" xfId="15" xr:uid="{00000000-0005-0000-0000-000010000000}"/>
    <cellStyle name="Normál 2 2 2" xfId="16" xr:uid="{00000000-0005-0000-0000-000011000000}"/>
    <cellStyle name="Normál 2 3" xfId="36" xr:uid="{FEB3FA8D-730F-4111-9829-43F4D84CB9B1}"/>
    <cellStyle name="Normál 2_11 mellék 2011.06.30." xfId="17" xr:uid="{00000000-0005-0000-0000-000012000000}"/>
    <cellStyle name="Normál 3" xfId="18" xr:uid="{00000000-0005-0000-0000-000013000000}"/>
    <cellStyle name="Normál 4" xfId="19" xr:uid="{00000000-0005-0000-0000-000014000000}"/>
    <cellStyle name="Normál 4 2" xfId="20" xr:uid="{00000000-0005-0000-0000-000015000000}"/>
    <cellStyle name="Normál 4 2 2" xfId="35" xr:uid="{BCE8657C-55D1-4F47-9841-2BB6FF9DE0E2}"/>
    <cellStyle name="Normál 5" xfId="21" xr:uid="{00000000-0005-0000-0000-000016000000}"/>
    <cellStyle name="Normál 5 2" xfId="22" xr:uid="{00000000-0005-0000-0000-000017000000}"/>
    <cellStyle name="Normál 6" xfId="23" xr:uid="{00000000-0005-0000-0000-000018000000}"/>
    <cellStyle name="Normál 7" xfId="24" xr:uid="{00000000-0005-0000-0000-000019000000}"/>
    <cellStyle name="Normál 8" xfId="25" xr:uid="{00000000-0005-0000-0000-00001A000000}"/>
    <cellStyle name="Normál 8 2" xfId="29" xr:uid="{00000000-0005-0000-0000-00001B000000}"/>
    <cellStyle name="Normál 9" xfId="26" xr:uid="{00000000-0005-0000-0000-00001C000000}"/>
    <cellStyle name="Normál 9 2" xfId="27" xr:uid="{00000000-0005-0000-0000-00001D000000}"/>
    <cellStyle name="Normál_08_A_rszámadás 6.4. sz. mellékletek vagyonkimutatás 2" xfId="33" xr:uid="{00000000-0005-0000-0000-00001E000000}"/>
    <cellStyle name="Normál_KVIREND 2" xfId="32" xr:uid="{00000000-0005-0000-0000-00001F000000}"/>
    <cellStyle name="Normál_KVRENMUNKA" xfId="31" xr:uid="{00000000-0005-0000-0000-000020000000}"/>
    <cellStyle name="Normál_vagyonkimutatás" xfId="34" xr:uid="{00000000-0005-0000-0000-000021000000}"/>
    <cellStyle name="TableStyleLight1" xfId="28" xr:uid="{00000000-0005-0000-0000-000022000000}"/>
  </cellStyles>
  <dxfs count="15"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  <dxf>
      <font>
        <b val="0"/>
        <condense val="0"/>
        <extend val="0"/>
        <sz val="11"/>
        <color indexed="13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FF8080"/>
      <rgbColor rgb="000066CC"/>
      <rgbColor rgb="00DFDFD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B0F0"/>
      <rgbColor rgb="00CCFFFF"/>
      <rgbColor rgb="00CCFFCC"/>
      <rgbColor rgb="00FFFF99"/>
      <rgbColor rgb="0093CDDD"/>
      <rgbColor rgb="00FF99CC"/>
      <rgbColor rgb="00BFBFC0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enzugy_Kozos\k\2014\Fedezetigazol&#225;sok\2014%20Rendeletm&#243;dos&#237;t&#225;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nzugy_Kozos/k/2014/Fedezetigazol&#225;sok/2014%20Rendeletm&#243;dos&#237;t&#225;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b.sz.mell. Egész év"/>
      <sheetName val="9a.sz.mell.Egész év"/>
      <sheetName val="8.sz.mell. Egész év"/>
      <sheetName val="8.sz.mell.II.név"/>
      <sheetName val="9a.sz.mell.II.név(7.1)"/>
      <sheetName val="9b.sz.mell.II.név (7.2)"/>
      <sheetName val="Adótöbblet bevétel"/>
      <sheetName val="9a.sz.mell.II.név végleges"/>
      <sheetName val="9b.sz.mell.II.név Végleges"/>
      <sheetName val="8.sz.mell.II.név Végleges"/>
      <sheetName val="8.sz.mell.III.-IV név"/>
      <sheetName val="9a.sz.mell.III.-IV.név(7.1)"/>
      <sheetName val="9b.sz.mell.III.-IVnév (7.2) "/>
      <sheetName val="8.sz.mell.III.név Beszámolóba"/>
      <sheetName val="9a.sz.mell.III.név Beszámóba"/>
      <sheetName val="9b.sz.mell.III.név Beszámolóba "/>
      <sheetName val="8.sz.mell.zárszám."/>
      <sheetName val="9a.sz.mell.zárszám."/>
      <sheetName val="9b.sz.mell.zárszám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b.sz.mell. Egész év"/>
      <sheetName val="9a.sz.mell.Egész év"/>
      <sheetName val="8.sz.mell. Egész év"/>
      <sheetName val="8.sz.mell.II.név"/>
      <sheetName val="9a.sz.mell.II.név(7.1)"/>
      <sheetName val="9b.sz.mell.II.név (7.2)"/>
      <sheetName val="Adótöbblet bevétel"/>
      <sheetName val="9a.sz.mell.II.név végleges"/>
      <sheetName val="9b.sz.mell.II.név Végleges"/>
      <sheetName val="8.sz.mell.II.név Végleges"/>
      <sheetName val="8.sz.mell.III.-IV név"/>
      <sheetName val="9a.sz.mell.III.-IV.név(7.1)"/>
      <sheetName val="9b.sz.mell.III.-IVnév (7.2) "/>
      <sheetName val="8.sz.mell.III.név Beszámolóba"/>
      <sheetName val="9a.sz.mell.III.név Beszámóba"/>
      <sheetName val="9b.sz.mell.III.név Beszámolóba "/>
      <sheetName val="8.sz.mell.zárszám."/>
      <sheetName val="9a.sz.mell.zárszám."/>
      <sheetName val="9b.sz.mell.zárszám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49"/>
  <sheetViews>
    <sheetView view="pageBreakPreview" topLeftCell="A130" zoomScaleNormal="100" zoomScaleSheetLayoutView="100" zoomScalePageLayoutView="60" workbookViewId="0">
      <selection activeCell="J87" sqref="J87"/>
    </sheetView>
  </sheetViews>
  <sheetFormatPr defaultColWidth="9.33203125" defaultRowHeight="15.75" x14ac:dyDescent="0.25"/>
  <cols>
    <col min="1" max="1" width="8.83203125" style="1" customWidth="1"/>
    <col min="2" max="2" width="73" style="1" customWidth="1"/>
    <col min="3" max="4" width="20.1640625" style="1" hidden="1" customWidth="1"/>
    <col min="5" max="5" width="18.1640625" style="2" customWidth="1"/>
    <col min="6" max="6" width="18.33203125" style="1660" hidden="1" customWidth="1"/>
    <col min="7" max="7" width="19.1640625" style="3" hidden="1" customWidth="1"/>
    <col min="8" max="8" width="19.1640625" style="1666" hidden="1" customWidth="1"/>
    <col min="9" max="9" width="19.6640625" style="3" customWidth="1"/>
    <col min="10" max="10" width="15.5" style="1666" customWidth="1"/>
    <col min="11" max="11" width="19.6640625" style="3" customWidth="1"/>
    <col min="12" max="12" width="20" style="3" customWidth="1"/>
    <col min="13" max="14" width="9.33203125" style="3"/>
    <col min="15" max="15" width="36.5" style="3" customWidth="1"/>
    <col min="16" max="16" width="24.1640625" style="3" customWidth="1"/>
    <col min="17" max="17" width="24.1640625" style="3" hidden="1" customWidth="1"/>
    <col min="18" max="18" width="20.5" style="3" customWidth="1"/>
    <col min="19" max="19" width="24" style="3" hidden="1" customWidth="1"/>
    <col min="20" max="21" width="25.83203125" style="3" hidden="1" customWidth="1"/>
    <col min="22" max="22" width="22.1640625" style="3" customWidth="1"/>
    <col min="23" max="23" width="19.83203125" style="3" customWidth="1"/>
    <col min="24" max="24" width="16" style="3" customWidth="1"/>
    <col min="25" max="16384" width="9.33203125" style="3"/>
  </cols>
  <sheetData>
    <row r="1" spans="1:23" ht="33.75" customHeight="1" x14ac:dyDescent="0.25">
      <c r="A1" s="4301" t="s">
        <v>0</v>
      </c>
      <c r="B1" s="4301"/>
      <c r="C1" s="4301"/>
      <c r="D1" s="4301"/>
      <c r="E1" s="4301"/>
      <c r="F1" s="4301"/>
      <c r="G1" s="4302"/>
      <c r="H1" s="4302"/>
      <c r="I1" s="4302"/>
      <c r="J1" s="4302"/>
      <c r="K1" s="4302"/>
      <c r="L1" s="4302"/>
    </row>
    <row r="2" spans="1:23" ht="15.95" customHeight="1" thickBot="1" x14ac:dyDescent="0.3">
      <c r="A2" s="4300"/>
      <c r="B2" s="4300"/>
      <c r="C2" s="4"/>
      <c r="D2" s="4"/>
      <c r="E2" s="1667"/>
      <c r="F2" s="1667"/>
      <c r="G2" s="1668"/>
      <c r="H2" s="1669"/>
      <c r="I2" s="1669"/>
      <c r="J2" s="1669"/>
      <c r="K2" s="1343"/>
    </row>
    <row r="3" spans="1:23" ht="38.1" customHeight="1" thickBot="1" x14ac:dyDescent="0.3">
      <c r="A3" s="707" t="s">
        <v>1</v>
      </c>
      <c r="B3" s="710" t="s">
        <v>2</v>
      </c>
      <c r="C3" s="707" t="s">
        <v>1308</v>
      </c>
      <c r="D3" s="915" t="s">
        <v>1309</v>
      </c>
      <c r="E3" s="707" t="s">
        <v>1084</v>
      </c>
      <c r="F3" s="1618" t="s">
        <v>1035</v>
      </c>
      <c r="G3" s="438" t="s">
        <v>234</v>
      </c>
      <c r="H3" s="1618" t="s">
        <v>1031</v>
      </c>
      <c r="I3" s="438" t="s">
        <v>1028</v>
      </c>
      <c r="J3" s="1618" t="s">
        <v>2623</v>
      </c>
      <c r="K3" s="438" t="s">
        <v>234</v>
      </c>
      <c r="L3" s="438" t="s">
        <v>1952</v>
      </c>
      <c r="P3" s="2857" t="s">
        <v>521</v>
      </c>
      <c r="Q3" s="2857"/>
      <c r="R3" s="2857" t="s">
        <v>1079</v>
      </c>
      <c r="S3" s="2857"/>
      <c r="T3" s="2857" t="s">
        <v>1054</v>
      </c>
      <c r="U3" s="2857"/>
      <c r="V3" s="2857" t="s">
        <v>1055</v>
      </c>
      <c r="W3" s="2857" t="s">
        <v>769</v>
      </c>
    </row>
    <row r="4" spans="1:23" s="5" customFormat="1" ht="14.25" customHeight="1" thickBot="1" x14ac:dyDescent="0.3">
      <c r="A4" s="708"/>
      <c r="B4" s="747"/>
      <c r="C4" s="708"/>
      <c r="D4" s="916"/>
      <c r="E4" s="863"/>
      <c r="F4" s="1661"/>
      <c r="G4" s="863"/>
      <c r="H4" s="1661"/>
      <c r="I4" s="863"/>
      <c r="J4" s="1661"/>
      <c r="K4" s="863"/>
      <c r="L4" s="863" t="s">
        <v>935</v>
      </c>
      <c r="P4" s="2857"/>
      <c r="Q4" s="2857"/>
      <c r="R4" s="2857"/>
      <c r="S4" s="2857"/>
      <c r="T4" s="2857"/>
      <c r="U4" s="2857"/>
      <c r="V4" s="2857"/>
      <c r="W4" s="2857"/>
    </row>
    <row r="5" spans="1:23" s="1" customFormat="1" ht="27.75" customHeight="1" thickBot="1" x14ac:dyDescent="0.35">
      <c r="A5" s="722" t="s">
        <v>3</v>
      </c>
      <c r="B5" s="741" t="s">
        <v>4</v>
      </c>
      <c r="C5" s="705">
        <v>1075454491</v>
      </c>
      <c r="D5" s="25">
        <v>1181707575</v>
      </c>
      <c r="E5" s="705">
        <f>SUM('2. sz. mell'!F26)-'4. sz. mell.'!F21-'5. sz. mell. '!F23</f>
        <v>1131816130</v>
      </c>
      <c r="F5" s="1662">
        <f>SUM(G5-E5)</f>
        <v>49947725</v>
      </c>
      <c r="G5" s="705">
        <f>SUM('2. sz. mell'!H26)</f>
        <v>1181763855</v>
      </c>
      <c r="H5" s="1662">
        <f>SUM(I5-G5)</f>
        <v>72744424</v>
      </c>
      <c r="I5" s="705">
        <f>SUM('2. sz. mell'!J26)</f>
        <v>1254508279</v>
      </c>
      <c r="J5" s="1662">
        <f>SUM(K5-I5)</f>
        <v>0</v>
      </c>
      <c r="K5" s="705">
        <f>SUM('2. sz. mell'!L26)</f>
        <v>1254508279</v>
      </c>
      <c r="L5" s="705">
        <f>SUM('2. sz. mell'!M26)</f>
        <v>1254508279</v>
      </c>
      <c r="O5" s="525" t="s">
        <v>806</v>
      </c>
      <c r="P5" s="2861">
        <f>SUM('2. sz. mell'!F115)</f>
        <v>4289988150</v>
      </c>
      <c r="Q5" s="2861">
        <f>SUM('2. sz. mell'!G115)</f>
        <v>0</v>
      </c>
      <c r="R5" s="2861">
        <f>SUM('2. sz. mell'!H115)</f>
        <v>4444663244</v>
      </c>
      <c r="S5" s="2861">
        <f>SUM('2. sz. mell'!I115)</f>
        <v>0</v>
      </c>
      <c r="T5" s="2861">
        <f>SUM('2. sz. mell'!J115)</f>
        <v>5359005527</v>
      </c>
      <c r="U5" s="2861">
        <f>SUM('2. sz. mell'!K115)</f>
        <v>0</v>
      </c>
      <c r="V5" s="2861">
        <f>SUM('2. sz. mell'!L115)</f>
        <v>5359005527</v>
      </c>
      <c r="W5" s="2861">
        <f>SUM('2. sz. mell'!M115)</f>
        <v>5370313862</v>
      </c>
    </row>
    <row r="6" spans="1:23" s="1" customFormat="1" ht="12.75" hidden="1" customHeight="1" x14ac:dyDescent="0.25">
      <c r="A6" s="7"/>
      <c r="B6" s="704"/>
      <c r="C6" s="705"/>
      <c r="D6" s="26"/>
      <c r="E6" s="920"/>
      <c r="F6" s="1662">
        <f t="shared" ref="F6:F69" si="0">SUM(G6-E6)</f>
        <v>0</v>
      </c>
      <c r="G6" s="920"/>
      <c r="H6" s="1662">
        <f t="shared" ref="H6:J69" si="1">SUM(I6-G6)</f>
        <v>0</v>
      </c>
      <c r="I6" s="920"/>
      <c r="J6" s="1662">
        <f t="shared" si="1"/>
        <v>0</v>
      </c>
      <c r="K6" s="920"/>
      <c r="L6" s="920"/>
      <c r="P6" s="2857"/>
      <c r="Q6" s="2857"/>
      <c r="R6" s="2857"/>
      <c r="S6" s="2857"/>
      <c r="T6" s="2857"/>
      <c r="U6" s="2857"/>
      <c r="V6" s="2857"/>
      <c r="W6" s="2857"/>
    </row>
    <row r="7" spans="1:23" s="1" customFormat="1" ht="12.75" hidden="1" customHeight="1" x14ac:dyDescent="0.25">
      <c r="A7" s="8" t="s">
        <v>5</v>
      </c>
      <c r="B7" s="15" t="s">
        <v>6</v>
      </c>
      <c r="C7" s="705"/>
      <c r="D7" s="11"/>
      <c r="E7" s="921"/>
      <c r="F7" s="1662">
        <f t="shared" si="0"/>
        <v>0</v>
      </c>
      <c r="G7" s="921"/>
      <c r="H7" s="1662">
        <f t="shared" si="1"/>
        <v>0</v>
      </c>
      <c r="I7" s="921"/>
      <c r="J7" s="1662">
        <f t="shared" si="1"/>
        <v>0</v>
      </c>
      <c r="K7" s="921"/>
      <c r="L7" s="921"/>
      <c r="P7" s="2857"/>
      <c r="Q7" s="2857"/>
      <c r="R7" s="2857"/>
      <c r="S7" s="2857"/>
      <c r="T7" s="2857"/>
      <c r="U7" s="2857"/>
      <c r="V7" s="2857"/>
      <c r="W7" s="2857"/>
    </row>
    <row r="8" spans="1:23" s="1" customFormat="1" ht="12.75" hidden="1" customHeight="1" x14ac:dyDescent="0.25">
      <c r="A8" s="10" t="s">
        <v>7</v>
      </c>
      <c r="B8" s="16" t="s">
        <v>8</v>
      </c>
      <c r="C8" s="705"/>
      <c r="D8" s="13"/>
      <c r="E8" s="922"/>
      <c r="F8" s="1662">
        <f t="shared" si="0"/>
        <v>0</v>
      </c>
      <c r="G8" s="922"/>
      <c r="H8" s="1662">
        <f t="shared" si="1"/>
        <v>0</v>
      </c>
      <c r="I8" s="922"/>
      <c r="J8" s="1662">
        <f t="shared" si="1"/>
        <v>0</v>
      </c>
      <c r="K8" s="922"/>
      <c r="L8" s="922"/>
    </row>
    <row r="9" spans="1:23" s="1" customFormat="1" ht="12.75" hidden="1" customHeight="1" x14ac:dyDescent="0.25">
      <c r="A9" s="10" t="s">
        <v>9</v>
      </c>
      <c r="B9" s="16" t="s">
        <v>10</v>
      </c>
      <c r="C9" s="705"/>
      <c r="D9" s="13"/>
      <c r="E9" s="922"/>
      <c r="F9" s="1662">
        <f t="shared" si="0"/>
        <v>0</v>
      </c>
      <c r="G9" s="922"/>
      <c r="H9" s="1662">
        <f t="shared" si="1"/>
        <v>0</v>
      </c>
      <c r="I9" s="922"/>
      <c r="J9" s="1662">
        <f t="shared" si="1"/>
        <v>0</v>
      </c>
      <c r="K9" s="922"/>
      <c r="L9" s="922"/>
    </row>
    <row r="10" spans="1:23" s="1" customFormat="1" ht="12.75" hidden="1" customHeight="1" x14ac:dyDescent="0.25">
      <c r="A10" s="10" t="s">
        <v>11</v>
      </c>
      <c r="B10" s="16" t="s">
        <v>12</v>
      </c>
      <c r="C10" s="705"/>
      <c r="D10" s="13"/>
      <c r="E10" s="922"/>
      <c r="F10" s="1662">
        <f t="shared" si="0"/>
        <v>0</v>
      </c>
      <c r="G10" s="922"/>
      <c r="H10" s="1662">
        <f t="shared" si="1"/>
        <v>0</v>
      </c>
      <c r="I10" s="922"/>
      <c r="J10" s="1662">
        <f t="shared" si="1"/>
        <v>0</v>
      </c>
      <c r="K10" s="922"/>
      <c r="L10" s="922"/>
    </row>
    <row r="11" spans="1:23" s="1" customFormat="1" ht="12.75" hidden="1" customHeight="1" x14ac:dyDescent="0.25">
      <c r="A11" s="10" t="s">
        <v>13</v>
      </c>
      <c r="B11" s="16" t="s">
        <v>14</v>
      </c>
      <c r="C11" s="705"/>
      <c r="D11" s="13"/>
      <c r="E11" s="922"/>
      <c r="F11" s="1662">
        <f t="shared" si="0"/>
        <v>0</v>
      </c>
      <c r="G11" s="922"/>
      <c r="H11" s="1662">
        <f t="shared" si="1"/>
        <v>0</v>
      </c>
      <c r="I11" s="922"/>
      <c r="J11" s="1662">
        <f t="shared" si="1"/>
        <v>0</v>
      </c>
      <c r="K11" s="922"/>
      <c r="L11" s="922"/>
    </row>
    <row r="12" spans="1:23" s="1" customFormat="1" ht="12.75" hidden="1" customHeight="1" x14ac:dyDescent="0.25">
      <c r="A12" s="12" t="s">
        <v>15</v>
      </c>
      <c r="B12" s="17" t="s">
        <v>16</v>
      </c>
      <c r="C12" s="705"/>
      <c r="D12" s="13"/>
      <c r="E12" s="923"/>
      <c r="F12" s="1662">
        <f t="shared" si="0"/>
        <v>0</v>
      </c>
      <c r="G12" s="923"/>
      <c r="H12" s="1662">
        <f t="shared" si="1"/>
        <v>0</v>
      </c>
      <c r="I12" s="923"/>
      <c r="J12" s="1662">
        <f t="shared" si="1"/>
        <v>0</v>
      </c>
      <c r="K12" s="923"/>
      <c r="L12" s="923"/>
    </row>
    <row r="13" spans="1:23" s="1" customFormat="1" ht="25.5" customHeight="1" thickBot="1" x14ac:dyDescent="0.3">
      <c r="A13" s="722" t="s">
        <v>17</v>
      </c>
      <c r="B13" s="733" t="s">
        <v>18</v>
      </c>
      <c r="C13" s="705">
        <v>35226105</v>
      </c>
      <c r="D13" s="1203">
        <v>1022672014</v>
      </c>
      <c r="E13" s="705">
        <f>SUM('2. sz. mell'!F30)</f>
        <v>0</v>
      </c>
      <c r="F13" s="1662">
        <f t="shared" si="0"/>
        <v>0</v>
      </c>
      <c r="G13" s="705">
        <f>SUM('2. sz. mell'!H30)</f>
        <v>0</v>
      </c>
      <c r="H13" s="1662">
        <f t="shared" si="1"/>
        <v>71704828</v>
      </c>
      <c r="I13" s="705">
        <f>SUM('2. sz. mell'!J30)</f>
        <v>71704828</v>
      </c>
      <c r="J13" s="1662">
        <f t="shared" si="1"/>
        <v>0</v>
      </c>
      <c r="K13" s="705">
        <f>SUM('2. sz. mell'!L30)</f>
        <v>71704828</v>
      </c>
      <c r="L13" s="705">
        <f>SUM('2. sz. mell'!M30)</f>
        <v>71704828</v>
      </c>
      <c r="O13" s="96" t="s">
        <v>778</v>
      </c>
      <c r="P13" s="527">
        <f>SUM(P5-E54)</f>
        <v>0</v>
      </c>
      <c r="Q13" s="527"/>
      <c r="R13" s="527">
        <f>SUM(R5-G54)</f>
        <v>0</v>
      </c>
      <c r="S13" s="527"/>
      <c r="T13" s="527">
        <f>SUM(T5-I54)</f>
        <v>0</v>
      </c>
      <c r="U13" s="527"/>
      <c r="V13" s="527">
        <f>SUM(V5-K54)</f>
        <v>0</v>
      </c>
      <c r="W13" s="527">
        <f>SUM(W5-L54)</f>
        <v>0</v>
      </c>
    </row>
    <row r="14" spans="1:23" s="1" customFormat="1" ht="12.75" hidden="1" customHeight="1" x14ac:dyDescent="0.25">
      <c r="A14" s="737" t="s">
        <v>19</v>
      </c>
      <c r="B14" s="738" t="s">
        <v>20</v>
      </c>
      <c r="C14" s="705"/>
      <c r="D14" s="1203"/>
      <c r="E14" s="921"/>
      <c r="F14" s="1662">
        <f t="shared" si="0"/>
        <v>0</v>
      </c>
      <c r="G14" s="921"/>
      <c r="H14" s="1662">
        <f t="shared" si="1"/>
        <v>0</v>
      </c>
      <c r="I14" s="921"/>
      <c r="J14" s="1662">
        <f t="shared" si="1"/>
        <v>0</v>
      </c>
      <c r="K14" s="921"/>
      <c r="L14" s="921"/>
    </row>
    <row r="15" spans="1:23" s="1" customFormat="1" ht="12.75" hidden="1" customHeight="1" x14ac:dyDescent="0.25">
      <c r="A15" s="737" t="s">
        <v>21</v>
      </c>
      <c r="B15" s="739" t="s">
        <v>22</v>
      </c>
      <c r="C15" s="705"/>
      <c r="D15" s="1203"/>
      <c r="E15" s="922"/>
      <c r="F15" s="1662">
        <f t="shared" si="0"/>
        <v>0</v>
      </c>
      <c r="G15" s="922"/>
      <c r="H15" s="1662">
        <f t="shared" si="1"/>
        <v>0</v>
      </c>
      <c r="I15" s="922"/>
      <c r="J15" s="1662">
        <f t="shared" si="1"/>
        <v>0</v>
      </c>
      <c r="K15" s="922"/>
      <c r="L15" s="922"/>
    </row>
    <row r="16" spans="1:23" s="1" customFormat="1" ht="12.75" hidden="1" customHeight="1" x14ac:dyDescent="0.25">
      <c r="A16" s="737" t="s">
        <v>23</v>
      </c>
      <c r="B16" s="739" t="s">
        <v>24</v>
      </c>
      <c r="C16" s="705"/>
      <c r="D16" s="1203"/>
      <c r="E16" s="922"/>
      <c r="F16" s="1662">
        <f t="shared" si="0"/>
        <v>0</v>
      </c>
      <c r="G16" s="922"/>
      <c r="H16" s="1662">
        <f t="shared" si="1"/>
        <v>0</v>
      </c>
      <c r="I16" s="922"/>
      <c r="J16" s="1662">
        <f t="shared" si="1"/>
        <v>0</v>
      </c>
      <c r="K16" s="922"/>
      <c r="L16" s="922"/>
    </row>
    <row r="17" spans="1:23" s="1" customFormat="1" ht="12.75" hidden="1" customHeight="1" x14ac:dyDescent="0.25">
      <c r="A17" s="737" t="s">
        <v>25</v>
      </c>
      <c r="B17" s="739" t="s">
        <v>26</v>
      </c>
      <c r="C17" s="705"/>
      <c r="D17" s="1203"/>
      <c r="E17" s="922"/>
      <c r="F17" s="1662">
        <f t="shared" si="0"/>
        <v>0</v>
      </c>
      <c r="G17" s="922"/>
      <c r="H17" s="1662">
        <f t="shared" si="1"/>
        <v>0</v>
      </c>
      <c r="I17" s="922"/>
      <c r="J17" s="1662">
        <f t="shared" si="1"/>
        <v>0</v>
      </c>
      <c r="K17" s="922"/>
      <c r="L17" s="922"/>
    </row>
    <row r="18" spans="1:23" s="1" customFormat="1" ht="12.75" hidden="1" customHeight="1" x14ac:dyDescent="0.25">
      <c r="A18" s="737" t="s">
        <v>27</v>
      </c>
      <c r="B18" s="739" t="s">
        <v>28</v>
      </c>
      <c r="C18" s="705"/>
      <c r="D18" s="1203"/>
      <c r="E18" s="922"/>
      <c r="F18" s="1662">
        <f t="shared" si="0"/>
        <v>0</v>
      </c>
      <c r="G18" s="922"/>
      <c r="H18" s="1662">
        <f t="shared" si="1"/>
        <v>0</v>
      </c>
      <c r="I18" s="922"/>
      <c r="J18" s="1662">
        <f t="shared" si="1"/>
        <v>0</v>
      </c>
      <c r="K18" s="922"/>
      <c r="L18" s="922"/>
    </row>
    <row r="19" spans="1:23" s="1" customFormat="1" ht="12.75" hidden="1" customHeight="1" x14ac:dyDescent="0.25">
      <c r="A19" s="737" t="s">
        <v>29</v>
      </c>
      <c r="B19" s="740" t="s">
        <v>30</v>
      </c>
      <c r="C19" s="705"/>
      <c r="D19" s="1203"/>
      <c r="E19" s="923"/>
      <c r="F19" s="1662">
        <f t="shared" si="0"/>
        <v>0</v>
      </c>
      <c r="G19" s="923"/>
      <c r="H19" s="1662">
        <f t="shared" si="1"/>
        <v>0</v>
      </c>
      <c r="I19" s="923"/>
      <c r="J19" s="1662">
        <f t="shared" si="1"/>
        <v>0</v>
      </c>
      <c r="K19" s="923"/>
      <c r="L19" s="923"/>
    </row>
    <row r="20" spans="1:23" s="1" customFormat="1" ht="39" customHeight="1" thickBot="1" x14ac:dyDescent="0.3">
      <c r="A20" s="722" t="s">
        <v>31</v>
      </c>
      <c r="B20" s="733" t="s">
        <v>32</v>
      </c>
      <c r="C20" s="705">
        <v>2673399126</v>
      </c>
      <c r="D20" s="1204">
        <v>2170372220</v>
      </c>
      <c r="E20" s="705">
        <f>SUM('2. sz. mell'!F8)</f>
        <v>2600000000</v>
      </c>
      <c r="F20" s="1662">
        <f t="shared" si="0"/>
        <v>47687737</v>
      </c>
      <c r="G20" s="705">
        <f>SUM('2. sz. mell'!H8)</f>
        <v>2647687737</v>
      </c>
      <c r="H20" s="1662">
        <f t="shared" si="1"/>
        <v>947445094</v>
      </c>
      <c r="I20" s="705">
        <f>SUM('2. sz. mell'!J8)</f>
        <v>3595132831</v>
      </c>
      <c r="J20" s="1662">
        <f t="shared" si="1"/>
        <v>0</v>
      </c>
      <c r="K20" s="705">
        <f>SUM('2. sz. mell'!L8)</f>
        <v>3595132831</v>
      </c>
      <c r="L20" s="705">
        <f>SUM('2. sz. mell'!M8)</f>
        <v>3595132831</v>
      </c>
    </row>
    <row r="21" spans="1:23" s="1" customFormat="1" ht="12.75" hidden="1" customHeight="1" thickBot="1" x14ac:dyDescent="0.3">
      <c r="A21" s="737" t="s">
        <v>33</v>
      </c>
      <c r="B21" s="738" t="s">
        <v>34</v>
      </c>
      <c r="C21" s="705"/>
      <c r="D21" s="1205"/>
      <c r="E21" s="924">
        <f>+E22+E23</f>
        <v>0</v>
      </c>
      <c r="F21" s="1662">
        <f t="shared" si="0"/>
        <v>0</v>
      </c>
      <c r="G21" s="924">
        <f>+G22+G23</f>
        <v>0</v>
      </c>
      <c r="H21" s="1662">
        <f t="shared" si="1"/>
        <v>0</v>
      </c>
      <c r="I21" s="924">
        <f>+I22+I23</f>
        <v>0</v>
      </c>
      <c r="J21" s="1662">
        <f t="shared" si="1"/>
        <v>0</v>
      </c>
      <c r="K21" s="924">
        <f>+K22+K23</f>
        <v>0</v>
      </c>
      <c r="L21" s="924">
        <f>+L22+L23</f>
        <v>0</v>
      </c>
    </row>
    <row r="22" spans="1:23" s="1" customFormat="1" ht="12.75" hidden="1" customHeight="1" thickBot="1" x14ac:dyDescent="0.3">
      <c r="A22" s="737" t="s">
        <v>35</v>
      </c>
      <c r="B22" s="739" t="s">
        <v>36</v>
      </c>
      <c r="C22" s="705"/>
      <c r="D22" s="1206"/>
      <c r="E22" s="922"/>
      <c r="F22" s="1662">
        <f t="shared" si="0"/>
        <v>0</v>
      </c>
      <c r="G22" s="922"/>
      <c r="H22" s="1662">
        <f t="shared" si="1"/>
        <v>0</v>
      </c>
      <c r="I22" s="922"/>
      <c r="J22" s="1662">
        <f t="shared" si="1"/>
        <v>0</v>
      </c>
      <c r="K22" s="922"/>
      <c r="L22" s="922"/>
    </row>
    <row r="23" spans="1:23" s="1" customFormat="1" ht="12.75" hidden="1" customHeight="1" thickBot="1" x14ac:dyDescent="0.3">
      <c r="A23" s="737" t="s">
        <v>37</v>
      </c>
      <c r="B23" s="739" t="s">
        <v>38</v>
      </c>
      <c r="C23" s="705"/>
      <c r="D23" s="1206"/>
      <c r="E23" s="922"/>
      <c r="F23" s="1662">
        <f t="shared" si="0"/>
        <v>0</v>
      </c>
      <c r="G23" s="922"/>
      <c r="H23" s="1662">
        <f t="shared" si="1"/>
        <v>0</v>
      </c>
      <c r="I23" s="922"/>
      <c r="J23" s="1662">
        <f t="shared" si="1"/>
        <v>0</v>
      </c>
      <c r="K23" s="922"/>
      <c r="L23" s="922"/>
    </row>
    <row r="24" spans="1:23" s="1" customFormat="1" ht="12.75" hidden="1" customHeight="1" thickBot="1" x14ac:dyDescent="0.3">
      <c r="A24" s="737" t="s">
        <v>39</v>
      </c>
      <c r="B24" s="739" t="s">
        <v>40</v>
      </c>
      <c r="C24" s="705"/>
      <c r="D24" s="1207"/>
      <c r="E24" s="922"/>
      <c r="F24" s="1662">
        <f t="shared" si="0"/>
        <v>0</v>
      </c>
      <c r="G24" s="922"/>
      <c r="H24" s="1662">
        <f t="shared" si="1"/>
        <v>0</v>
      </c>
      <c r="I24" s="922"/>
      <c r="J24" s="1662">
        <f t="shared" si="1"/>
        <v>0</v>
      </c>
      <c r="K24" s="922"/>
      <c r="L24" s="922"/>
    </row>
    <row r="25" spans="1:23" s="1" customFormat="1" ht="12.75" hidden="1" customHeight="1" thickBot="1" x14ac:dyDescent="0.3">
      <c r="A25" s="737" t="s">
        <v>41</v>
      </c>
      <c r="B25" s="739" t="s">
        <v>42</v>
      </c>
      <c r="C25" s="705"/>
      <c r="D25" s="1208"/>
      <c r="E25" s="922"/>
      <c r="F25" s="1662">
        <f t="shared" si="0"/>
        <v>0</v>
      </c>
      <c r="G25" s="922"/>
      <c r="H25" s="1662">
        <f t="shared" si="1"/>
        <v>0</v>
      </c>
      <c r="I25" s="922"/>
      <c r="J25" s="1662">
        <f t="shared" si="1"/>
        <v>0</v>
      </c>
      <c r="K25" s="922"/>
      <c r="L25" s="922"/>
    </row>
    <row r="26" spans="1:23" s="1" customFormat="1" ht="12.75" hidden="1" customHeight="1" thickBot="1" x14ac:dyDescent="0.3">
      <c r="A26" s="737" t="s">
        <v>43</v>
      </c>
      <c r="B26" s="740" t="s">
        <v>44</v>
      </c>
      <c r="C26" s="705"/>
      <c r="D26" s="1208"/>
      <c r="E26" s="923"/>
      <c r="F26" s="1662">
        <f t="shared" si="0"/>
        <v>0</v>
      </c>
      <c r="G26" s="923"/>
      <c r="H26" s="1662">
        <f t="shared" si="1"/>
        <v>0</v>
      </c>
      <c r="I26" s="923"/>
      <c r="J26" s="1662">
        <f t="shared" si="1"/>
        <v>0</v>
      </c>
      <c r="K26" s="923"/>
      <c r="L26" s="923"/>
    </row>
    <row r="27" spans="1:23" s="1" customFormat="1" ht="16.5" thickBot="1" x14ac:dyDescent="0.3">
      <c r="A27" s="722" t="s">
        <v>45</v>
      </c>
      <c r="B27" s="733" t="s">
        <v>46</v>
      </c>
      <c r="C27" s="705">
        <v>450955902</v>
      </c>
      <c r="D27" s="1208">
        <v>406311423</v>
      </c>
      <c r="E27" s="705">
        <f>SUM('2. sz. mell'!F16)</f>
        <v>358172020</v>
      </c>
      <c r="F27" s="1662">
        <f t="shared" si="0"/>
        <v>254537132</v>
      </c>
      <c r="G27" s="705">
        <f>SUM('2. sz. mell'!H16)</f>
        <v>612709152</v>
      </c>
      <c r="H27" s="1662">
        <f t="shared" si="1"/>
        <v>-182578899</v>
      </c>
      <c r="I27" s="705">
        <f>SUM('2. sz. mell'!J16)</f>
        <v>430130253</v>
      </c>
      <c r="J27" s="1662">
        <f t="shared" si="1"/>
        <v>0</v>
      </c>
      <c r="K27" s="705">
        <f>SUM('2. sz. mell'!L16)</f>
        <v>430130253</v>
      </c>
      <c r="L27" s="705">
        <f>SUM('2. sz. mell'!M16)</f>
        <v>441148462</v>
      </c>
      <c r="W27" s="523"/>
    </row>
    <row r="28" spans="1:23" s="1" customFormat="1" ht="19.5" hidden="1" thickBot="1" x14ac:dyDescent="0.35">
      <c r="A28" s="737" t="s">
        <v>47</v>
      </c>
      <c r="B28" s="738" t="s">
        <v>48</v>
      </c>
      <c r="C28" s="705"/>
      <c r="D28" s="1208"/>
      <c r="E28" s="921"/>
      <c r="F28" s="1662">
        <f t="shared" si="0"/>
        <v>0</v>
      </c>
      <c r="G28" s="921"/>
      <c r="H28" s="1662">
        <f t="shared" si="1"/>
        <v>0</v>
      </c>
      <c r="I28" s="921"/>
      <c r="J28" s="1662">
        <f t="shared" si="1"/>
        <v>0</v>
      </c>
      <c r="K28" s="921"/>
      <c r="L28" s="921"/>
      <c r="W28" s="526"/>
    </row>
    <row r="29" spans="1:23" s="1" customFormat="1" ht="16.5" hidden="1" thickBot="1" x14ac:dyDescent="0.3">
      <c r="A29" s="737" t="s">
        <v>49</v>
      </c>
      <c r="B29" s="739" t="s">
        <v>50</v>
      </c>
      <c r="C29" s="705"/>
      <c r="D29" s="1208"/>
      <c r="E29" s="922"/>
      <c r="F29" s="1662">
        <f t="shared" si="0"/>
        <v>0</v>
      </c>
      <c r="G29" s="922"/>
      <c r="H29" s="1662">
        <f t="shared" si="1"/>
        <v>0</v>
      </c>
      <c r="I29" s="922"/>
      <c r="J29" s="1662">
        <f t="shared" si="1"/>
        <v>0</v>
      </c>
      <c r="K29" s="922"/>
      <c r="L29" s="922"/>
      <c r="P29" s="524"/>
      <c r="Q29" s="524"/>
      <c r="R29" s="524"/>
      <c r="S29" s="524"/>
      <c r="T29" s="524"/>
      <c r="U29" s="524"/>
      <c r="V29" s="524"/>
      <c r="W29" s="524"/>
    </row>
    <row r="30" spans="1:23" s="1" customFormat="1" ht="16.5" hidden="1" thickBot="1" x14ac:dyDescent="0.3">
      <c r="A30" s="737" t="s">
        <v>51</v>
      </c>
      <c r="B30" s="739" t="s">
        <v>52</v>
      </c>
      <c r="C30" s="705"/>
      <c r="D30" s="1208"/>
      <c r="E30" s="922"/>
      <c r="F30" s="1662">
        <f t="shared" si="0"/>
        <v>0</v>
      </c>
      <c r="G30" s="922"/>
      <c r="H30" s="1662">
        <f t="shared" si="1"/>
        <v>0</v>
      </c>
      <c r="I30" s="922"/>
      <c r="J30" s="1662">
        <f t="shared" si="1"/>
        <v>0</v>
      </c>
      <c r="K30" s="922"/>
      <c r="L30" s="922"/>
      <c r="W30" s="524"/>
    </row>
    <row r="31" spans="1:23" s="1" customFormat="1" ht="16.5" hidden="1" thickBot="1" x14ac:dyDescent="0.3">
      <c r="A31" s="737" t="s">
        <v>53</v>
      </c>
      <c r="B31" s="739" t="s">
        <v>54</v>
      </c>
      <c r="C31" s="705"/>
      <c r="D31" s="1208"/>
      <c r="E31" s="922"/>
      <c r="F31" s="1662">
        <f t="shared" si="0"/>
        <v>0</v>
      </c>
      <c r="G31" s="922"/>
      <c r="H31" s="1662">
        <f t="shared" si="1"/>
        <v>0</v>
      </c>
      <c r="I31" s="922"/>
      <c r="J31" s="1662">
        <f t="shared" si="1"/>
        <v>0</v>
      </c>
      <c r="K31" s="922"/>
      <c r="L31" s="922"/>
      <c r="P31" s="524"/>
      <c r="Q31" s="524"/>
      <c r="R31" s="524"/>
      <c r="S31" s="524"/>
      <c r="T31" s="524"/>
      <c r="U31" s="524"/>
      <c r="V31" s="524"/>
      <c r="W31" s="524"/>
    </row>
    <row r="32" spans="1:23" s="1" customFormat="1" ht="19.5" hidden="1" thickBot="1" x14ac:dyDescent="0.3">
      <c r="A32" s="737" t="s">
        <v>55</v>
      </c>
      <c r="B32" s="739" t="s">
        <v>56</v>
      </c>
      <c r="C32" s="705"/>
      <c r="D32" s="1208"/>
      <c r="E32" s="922"/>
      <c r="F32" s="1662">
        <f t="shared" si="0"/>
        <v>0</v>
      </c>
      <c r="G32" s="922"/>
      <c r="H32" s="1662">
        <f t="shared" si="1"/>
        <v>0</v>
      </c>
      <c r="I32" s="922"/>
      <c r="J32" s="1662">
        <f t="shared" si="1"/>
        <v>0</v>
      </c>
      <c r="K32" s="922"/>
      <c r="L32" s="922"/>
      <c r="W32" s="527"/>
    </row>
    <row r="33" spans="1:23" s="1" customFormat="1" ht="16.5" hidden="1" thickBot="1" x14ac:dyDescent="0.3">
      <c r="A33" s="737" t="s">
        <v>57</v>
      </c>
      <c r="B33" s="739" t="s">
        <v>58</v>
      </c>
      <c r="C33" s="705"/>
      <c r="D33" s="1208"/>
      <c r="E33" s="922"/>
      <c r="F33" s="1662">
        <f t="shared" si="0"/>
        <v>0</v>
      </c>
      <c r="G33" s="922"/>
      <c r="H33" s="1662">
        <f t="shared" si="1"/>
        <v>0</v>
      </c>
      <c r="I33" s="922"/>
      <c r="J33" s="1662">
        <f t="shared" si="1"/>
        <v>0</v>
      </c>
      <c r="K33" s="922"/>
      <c r="L33" s="922"/>
      <c r="P33" s="524"/>
      <c r="Q33" s="524"/>
      <c r="R33" s="524"/>
      <c r="S33" s="524"/>
      <c r="T33" s="524"/>
      <c r="U33" s="524"/>
      <c r="V33" s="524"/>
      <c r="W33" s="524"/>
    </row>
    <row r="34" spans="1:23" s="1" customFormat="1" ht="16.5" hidden="1" thickBot="1" x14ac:dyDescent="0.3">
      <c r="A34" s="737" t="s">
        <v>59</v>
      </c>
      <c r="B34" s="739" t="s">
        <v>60</v>
      </c>
      <c r="C34" s="705"/>
      <c r="D34" s="1209"/>
      <c r="E34" s="922"/>
      <c r="F34" s="1662">
        <f t="shared" si="0"/>
        <v>0</v>
      </c>
      <c r="G34" s="922"/>
      <c r="H34" s="1662">
        <f t="shared" si="1"/>
        <v>0</v>
      </c>
      <c r="I34" s="922"/>
      <c r="J34" s="1662">
        <f t="shared" si="1"/>
        <v>0</v>
      </c>
      <c r="K34" s="922"/>
      <c r="L34" s="922"/>
      <c r="P34" s="524"/>
      <c r="Q34" s="524"/>
      <c r="R34" s="524"/>
      <c r="S34" s="524"/>
      <c r="T34" s="524"/>
      <c r="U34" s="524"/>
      <c r="V34" s="524"/>
      <c r="W34" s="524"/>
    </row>
    <row r="35" spans="1:23" s="1" customFormat="1" ht="16.5" hidden="1" thickBot="1" x14ac:dyDescent="0.3">
      <c r="A35" s="737" t="s">
        <v>61</v>
      </c>
      <c r="B35" s="739" t="s">
        <v>62</v>
      </c>
      <c r="C35" s="705"/>
      <c r="D35" s="1205"/>
      <c r="E35" s="922"/>
      <c r="F35" s="1662">
        <f t="shared" si="0"/>
        <v>0</v>
      </c>
      <c r="G35" s="922"/>
      <c r="H35" s="1662">
        <f t="shared" si="1"/>
        <v>0</v>
      </c>
      <c r="I35" s="922"/>
      <c r="J35" s="1662">
        <f t="shared" si="1"/>
        <v>0</v>
      </c>
      <c r="K35" s="922"/>
      <c r="L35" s="922"/>
      <c r="P35" s="524"/>
      <c r="Q35" s="524"/>
      <c r="R35" s="524"/>
      <c r="S35" s="524"/>
      <c r="T35" s="524"/>
      <c r="U35" s="524"/>
      <c r="V35" s="524"/>
      <c r="W35" s="524"/>
    </row>
    <row r="36" spans="1:23" s="1" customFormat="1" ht="16.5" hidden="1" thickBot="1" x14ac:dyDescent="0.3">
      <c r="A36" s="737" t="s">
        <v>63</v>
      </c>
      <c r="B36" s="739" t="s">
        <v>64</v>
      </c>
      <c r="C36" s="705"/>
      <c r="D36" s="1206"/>
      <c r="E36" s="922"/>
      <c r="F36" s="1662">
        <f t="shared" si="0"/>
        <v>0</v>
      </c>
      <c r="G36" s="922"/>
      <c r="H36" s="1662">
        <f t="shared" si="1"/>
        <v>0</v>
      </c>
      <c r="I36" s="922"/>
      <c r="J36" s="1662">
        <f t="shared" si="1"/>
        <v>0</v>
      </c>
      <c r="K36" s="922"/>
      <c r="L36" s="922"/>
      <c r="P36" s="524"/>
      <c r="Q36" s="524"/>
      <c r="R36" s="524"/>
      <c r="S36" s="524"/>
      <c r="T36" s="524"/>
      <c r="U36" s="524"/>
      <c r="V36" s="524"/>
      <c r="W36" s="524"/>
    </row>
    <row r="37" spans="1:23" s="1" customFormat="1" ht="16.5" hidden="1" thickBot="1" x14ac:dyDescent="0.3">
      <c r="A37" s="737" t="s">
        <v>65</v>
      </c>
      <c r="B37" s="740" t="s">
        <v>66</v>
      </c>
      <c r="C37" s="705"/>
      <c r="D37" s="1203"/>
      <c r="E37" s="923"/>
      <c r="F37" s="1662">
        <f t="shared" si="0"/>
        <v>0</v>
      </c>
      <c r="G37" s="923"/>
      <c r="H37" s="1662">
        <f t="shared" si="1"/>
        <v>0</v>
      </c>
      <c r="I37" s="923"/>
      <c r="J37" s="1662">
        <f t="shared" si="1"/>
        <v>0</v>
      </c>
      <c r="K37" s="923"/>
      <c r="L37" s="923"/>
      <c r="P37" s="524"/>
      <c r="Q37" s="524"/>
      <c r="R37" s="524"/>
      <c r="S37" s="524"/>
      <c r="T37" s="524"/>
      <c r="U37" s="524"/>
      <c r="V37" s="524"/>
      <c r="W37" s="524"/>
    </row>
    <row r="38" spans="1:23" s="1" customFormat="1" ht="16.5" thickBot="1" x14ac:dyDescent="0.3">
      <c r="A38" s="722" t="s">
        <v>67</v>
      </c>
      <c r="B38" s="733" t="s">
        <v>68</v>
      </c>
      <c r="C38" s="705">
        <v>302681</v>
      </c>
      <c r="D38" s="1210">
        <v>3013000</v>
      </c>
      <c r="E38" s="705">
        <f>SUM('2. sz. mell'!F29)</f>
        <v>200000000</v>
      </c>
      <c r="F38" s="1662">
        <f t="shared" si="0"/>
        <v>-200000000</v>
      </c>
      <c r="G38" s="705">
        <f>SUM('2. sz. mell'!H29)</f>
        <v>0</v>
      </c>
      <c r="H38" s="1662">
        <f t="shared" si="1"/>
        <v>20000</v>
      </c>
      <c r="I38" s="705">
        <f>SUM('2. sz. mell'!J29)</f>
        <v>20000</v>
      </c>
      <c r="J38" s="1662">
        <f t="shared" si="1"/>
        <v>0</v>
      </c>
      <c r="K38" s="705">
        <f>SUM('2. sz. mell'!L29)</f>
        <v>20000</v>
      </c>
      <c r="L38" s="705">
        <f>SUM('2. sz. mell'!M29)</f>
        <v>20000</v>
      </c>
      <c r="P38" s="524"/>
      <c r="Q38" s="524"/>
      <c r="R38" s="524"/>
      <c r="S38" s="524"/>
      <c r="T38" s="524"/>
      <c r="U38" s="524"/>
      <c r="V38" s="524"/>
      <c r="W38" s="524"/>
    </row>
    <row r="39" spans="1:23" s="1" customFormat="1" ht="12.75" hidden="1" customHeight="1" x14ac:dyDescent="0.25">
      <c r="A39" s="737" t="s">
        <v>69</v>
      </c>
      <c r="B39" s="738" t="s">
        <v>70</v>
      </c>
      <c r="C39" s="705"/>
      <c r="D39" s="1205"/>
      <c r="E39" s="921"/>
      <c r="F39" s="1662">
        <f t="shared" si="0"/>
        <v>0</v>
      </c>
      <c r="G39" s="921"/>
      <c r="H39" s="1662">
        <f t="shared" si="1"/>
        <v>0</v>
      </c>
      <c r="I39" s="921"/>
      <c r="J39" s="1662">
        <f t="shared" si="1"/>
        <v>0</v>
      </c>
      <c r="K39" s="921"/>
      <c r="L39" s="921"/>
      <c r="P39" s="524"/>
      <c r="Q39" s="524"/>
      <c r="R39" s="524"/>
      <c r="S39" s="524"/>
      <c r="T39" s="524"/>
      <c r="U39" s="524"/>
      <c r="V39" s="524"/>
      <c r="W39" s="524"/>
    </row>
    <row r="40" spans="1:23" s="1" customFormat="1" ht="12.75" hidden="1" customHeight="1" x14ac:dyDescent="0.25">
      <c r="A40" s="737" t="s">
        <v>71</v>
      </c>
      <c r="B40" s="739" t="s">
        <v>72</v>
      </c>
      <c r="C40" s="705"/>
      <c r="D40" s="1208"/>
      <c r="E40" s="922"/>
      <c r="F40" s="1662">
        <f t="shared" si="0"/>
        <v>0</v>
      </c>
      <c r="G40" s="922"/>
      <c r="H40" s="1662">
        <f t="shared" si="1"/>
        <v>0</v>
      </c>
      <c r="I40" s="922"/>
      <c r="J40" s="1662">
        <f t="shared" si="1"/>
        <v>0</v>
      </c>
      <c r="K40" s="922"/>
      <c r="L40" s="922"/>
      <c r="P40" s="524"/>
      <c r="Q40" s="524"/>
      <c r="R40" s="524"/>
      <c r="S40" s="524"/>
      <c r="T40" s="524"/>
      <c r="U40" s="524"/>
      <c r="V40" s="524"/>
      <c r="W40" s="524"/>
    </row>
    <row r="41" spans="1:23" s="1" customFormat="1" ht="12.75" hidden="1" customHeight="1" x14ac:dyDescent="0.25">
      <c r="A41" s="737" t="s">
        <v>73</v>
      </c>
      <c r="B41" s="739" t="s">
        <v>74</v>
      </c>
      <c r="C41" s="705"/>
      <c r="D41" s="1208"/>
      <c r="E41" s="922"/>
      <c r="F41" s="1662">
        <f t="shared" si="0"/>
        <v>0</v>
      </c>
      <c r="G41" s="922"/>
      <c r="H41" s="1662">
        <f t="shared" si="1"/>
        <v>0</v>
      </c>
      <c r="I41" s="922"/>
      <c r="J41" s="1662">
        <f t="shared" si="1"/>
        <v>0</v>
      </c>
      <c r="K41" s="922"/>
      <c r="L41" s="922"/>
      <c r="P41" s="524"/>
      <c r="Q41" s="524"/>
      <c r="R41" s="524"/>
      <c r="S41" s="524"/>
      <c r="T41" s="524"/>
      <c r="U41" s="524"/>
      <c r="V41" s="524"/>
      <c r="W41" s="524"/>
    </row>
    <row r="42" spans="1:23" s="1" customFormat="1" ht="12.75" hidden="1" customHeight="1" x14ac:dyDescent="0.25">
      <c r="A42" s="737" t="s">
        <v>75</v>
      </c>
      <c r="B42" s="739" t="s">
        <v>76</v>
      </c>
      <c r="C42" s="705"/>
      <c r="D42" s="1208"/>
      <c r="E42" s="922"/>
      <c r="F42" s="1662">
        <f t="shared" si="0"/>
        <v>0</v>
      </c>
      <c r="G42" s="922"/>
      <c r="H42" s="1662">
        <f t="shared" si="1"/>
        <v>0</v>
      </c>
      <c r="I42" s="922"/>
      <c r="J42" s="1662">
        <f t="shared" si="1"/>
        <v>0</v>
      </c>
      <c r="K42" s="922"/>
      <c r="L42" s="922"/>
      <c r="P42" s="524"/>
      <c r="Q42" s="524"/>
      <c r="R42" s="524"/>
      <c r="S42" s="524"/>
      <c r="T42" s="524"/>
      <c r="U42" s="524"/>
      <c r="V42" s="524"/>
      <c r="W42" s="524"/>
    </row>
    <row r="43" spans="1:23" s="1" customFormat="1" ht="12.75" hidden="1" customHeight="1" x14ac:dyDescent="0.25">
      <c r="A43" s="737" t="s">
        <v>77</v>
      </c>
      <c r="B43" s="740" t="s">
        <v>78</v>
      </c>
      <c r="C43" s="705"/>
      <c r="D43" s="1205"/>
      <c r="E43" s="923"/>
      <c r="F43" s="1662">
        <f t="shared" si="0"/>
        <v>0</v>
      </c>
      <c r="G43" s="923"/>
      <c r="H43" s="1662">
        <f t="shared" si="1"/>
        <v>0</v>
      </c>
      <c r="I43" s="923"/>
      <c r="J43" s="1662">
        <f t="shared" si="1"/>
        <v>0</v>
      </c>
      <c r="K43" s="923"/>
      <c r="L43" s="923"/>
      <c r="P43" s="524"/>
      <c r="Q43" s="524"/>
      <c r="R43" s="524"/>
      <c r="S43" s="524"/>
      <c r="T43" s="524"/>
      <c r="U43" s="524"/>
      <c r="V43" s="524"/>
      <c r="W43" s="524"/>
    </row>
    <row r="44" spans="1:23" s="1" customFormat="1" ht="21" customHeight="1" thickBot="1" x14ac:dyDescent="0.35">
      <c r="A44" s="722" t="s">
        <v>79</v>
      </c>
      <c r="B44" s="733" t="s">
        <v>80</v>
      </c>
      <c r="C44" s="705">
        <v>2606855</v>
      </c>
      <c r="D44" s="1208">
        <v>3395000</v>
      </c>
      <c r="E44" s="706">
        <f>SUM('2. sz. mell'!F27)</f>
        <v>0</v>
      </c>
      <c r="F44" s="1662">
        <f t="shared" si="0"/>
        <v>2502500</v>
      </c>
      <c r="G44" s="706">
        <f>SUM('2. sz. mell'!H27)</f>
        <v>2502500</v>
      </c>
      <c r="H44" s="1662">
        <f t="shared" si="1"/>
        <v>4450000</v>
      </c>
      <c r="I44" s="706">
        <f>SUM('2. sz. mell'!J27)</f>
        <v>6952500</v>
      </c>
      <c r="J44" s="1662">
        <f t="shared" si="1"/>
        <v>0</v>
      </c>
      <c r="K44" s="706">
        <f>SUM('2. sz. mell'!L27)</f>
        <v>6952500</v>
      </c>
      <c r="L44" s="706">
        <f>SUM('2. sz. mell'!M27)</f>
        <v>7002500</v>
      </c>
      <c r="O44" s="525" t="s">
        <v>807</v>
      </c>
      <c r="P44" s="526">
        <f>SUM('1.1.sz.mell  '!E52)</f>
        <v>2835468961</v>
      </c>
      <c r="Q44" s="526"/>
      <c r="R44" s="526">
        <f>SUM('1.1.sz.mell  '!G52)</f>
        <v>5796647289</v>
      </c>
      <c r="S44" s="526"/>
      <c r="T44" s="526">
        <f>SUM('1.1.sz.mell  '!I52)</f>
        <v>5116049774</v>
      </c>
      <c r="U44" s="526"/>
      <c r="V44" s="526">
        <f>SUM('1.1.sz.mell  '!K52)</f>
        <v>5117797733</v>
      </c>
      <c r="W44" s="526">
        <f>SUM('1.1.sz.mell  '!L52)</f>
        <v>5116049774</v>
      </c>
    </row>
    <row r="45" spans="1:23" s="1" customFormat="1" ht="12.75" hidden="1" customHeight="1" x14ac:dyDescent="0.25">
      <c r="A45" s="737" t="s">
        <v>81</v>
      </c>
      <c r="B45" s="738" t="s">
        <v>82</v>
      </c>
      <c r="C45" s="705"/>
      <c r="D45" s="31"/>
      <c r="E45" s="921"/>
      <c r="F45" s="1662">
        <f t="shared" si="0"/>
        <v>0</v>
      </c>
      <c r="G45" s="921"/>
      <c r="H45" s="1662">
        <f t="shared" si="1"/>
        <v>0</v>
      </c>
      <c r="I45" s="921"/>
      <c r="J45" s="1662">
        <f t="shared" si="1"/>
        <v>0</v>
      </c>
      <c r="K45" s="921"/>
      <c r="L45" s="921"/>
      <c r="P45" s="524"/>
      <c r="Q45" s="524"/>
      <c r="R45" s="524"/>
      <c r="S45" s="524"/>
      <c r="T45" s="524"/>
      <c r="U45" s="524"/>
      <c r="V45" s="524"/>
      <c r="W45" s="524"/>
    </row>
    <row r="46" spans="1:23" s="1" customFormat="1" ht="12.75" hidden="1" customHeight="1" x14ac:dyDescent="0.25">
      <c r="A46" s="737" t="s">
        <v>83</v>
      </c>
      <c r="B46" s="739" t="s">
        <v>84</v>
      </c>
      <c r="C46" s="705"/>
      <c r="D46" s="31"/>
      <c r="E46" s="922"/>
      <c r="F46" s="1662">
        <f t="shared" si="0"/>
        <v>0</v>
      </c>
      <c r="G46" s="922"/>
      <c r="H46" s="1662">
        <f t="shared" si="1"/>
        <v>0</v>
      </c>
      <c r="I46" s="922"/>
      <c r="J46" s="1662">
        <f t="shared" si="1"/>
        <v>0</v>
      </c>
      <c r="K46" s="922"/>
      <c r="L46" s="922"/>
      <c r="P46" s="524"/>
      <c r="Q46" s="524"/>
      <c r="R46" s="524"/>
      <c r="S46" s="524"/>
      <c r="T46" s="524"/>
      <c r="U46" s="524"/>
      <c r="V46" s="524"/>
      <c r="W46" s="524"/>
    </row>
    <row r="47" spans="1:23" s="1" customFormat="1" ht="12.75" hidden="1" customHeight="1" x14ac:dyDescent="0.25">
      <c r="A47" s="737" t="s">
        <v>85</v>
      </c>
      <c r="B47" s="739" t="s">
        <v>86</v>
      </c>
      <c r="C47" s="705"/>
      <c r="D47" s="31"/>
      <c r="E47" s="922"/>
      <c r="F47" s="1662">
        <f t="shared" si="0"/>
        <v>0</v>
      </c>
      <c r="G47" s="922"/>
      <c r="H47" s="1662">
        <f t="shared" si="1"/>
        <v>0</v>
      </c>
      <c r="I47" s="922"/>
      <c r="J47" s="1662">
        <f t="shared" si="1"/>
        <v>0</v>
      </c>
      <c r="K47" s="922"/>
      <c r="L47" s="922"/>
      <c r="P47" s="524"/>
      <c r="Q47" s="524"/>
      <c r="R47" s="524"/>
      <c r="S47" s="524"/>
      <c r="T47" s="524"/>
      <c r="U47" s="524"/>
      <c r="V47" s="524"/>
      <c r="W47" s="524"/>
    </row>
    <row r="48" spans="1:23" s="1" customFormat="1" ht="12.75" hidden="1" customHeight="1" x14ac:dyDescent="0.25">
      <c r="A48" s="737" t="s">
        <v>87</v>
      </c>
      <c r="B48" s="740" t="s">
        <v>88</v>
      </c>
      <c r="C48" s="705"/>
      <c r="D48" s="6"/>
      <c r="E48" s="923"/>
      <c r="F48" s="1662">
        <f t="shared" si="0"/>
        <v>0</v>
      </c>
      <c r="G48" s="923"/>
      <c r="H48" s="1662">
        <f t="shared" si="1"/>
        <v>0</v>
      </c>
      <c r="I48" s="923"/>
      <c r="J48" s="1662">
        <f t="shared" si="1"/>
        <v>0</v>
      </c>
      <c r="K48" s="923"/>
      <c r="L48" s="923"/>
      <c r="P48" s="524"/>
      <c r="Q48" s="524"/>
      <c r="R48" s="524"/>
      <c r="S48" s="524"/>
      <c r="T48" s="524"/>
      <c r="U48" s="524"/>
      <c r="V48" s="524"/>
      <c r="W48" s="524"/>
    </row>
    <row r="49" spans="1:23" s="1" customFormat="1" ht="20.25" thickBot="1" x14ac:dyDescent="0.4">
      <c r="A49" s="722" t="s">
        <v>89</v>
      </c>
      <c r="B49" s="741" t="s">
        <v>90</v>
      </c>
      <c r="C49" s="705">
        <v>231994</v>
      </c>
      <c r="D49" s="31">
        <v>1697619</v>
      </c>
      <c r="E49" s="705">
        <f>SUM('2. sz. mell'!F31)</f>
        <v>0</v>
      </c>
      <c r="F49" s="1662">
        <f t="shared" si="0"/>
        <v>0</v>
      </c>
      <c r="G49" s="705">
        <f>SUM('2. sz. mell'!H31)</f>
        <v>0</v>
      </c>
      <c r="H49" s="1662">
        <f t="shared" si="1"/>
        <v>556836</v>
      </c>
      <c r="I49" s="705">
        <f>SUM('2. sz. mell'!J31)</f>
        <v>556836</v>
      </c>
      <c r="J49" s="1662">
        <f t="shared" si="1"/>
        <v>0</v>
      </c>
      <c r="K49" s="705">
        <f>SUM('2. sz. mell'!L31)</f>
        <v>556836</v>
      </c>
      <c r="L49" s="705">
        <f>SUM('2. sz. mell'!M31)</f>
        <v>796962</v>
      </c>
      <c r="O49" s="528" t="s">
        <v>808</v>
      </c>
      <c r="P49" s="529">
        <f>SUM(P5+P44)</f>
        <v>7125457111</v>
      </c>
      <c r="Q49" s="529"/>
      <c r="R49" s="529">
        <f>SUM(R5+R44)</f>
        <v>10241310533</v>
      </c>
      <c r="S49" s="529"/>
      <c r="T49" s="529">
        <f>SUM(T5+T44)</f>
        <v>10475055301</v>
      </c>
      <c r="U49" s="529"/>
      <c r="V49" s="529">
        <f>SUM(V5+V44)</f>
        <v>10476803260</v>
      </c>
      <c r="W49" s="529">
        <f>SUM(W5+W44)</f>
        <v>10486363636</v>
      </c>
    </row>
    <row r="50" spans="1:23" s="1" customFormat="1" ht="32.25" hidden="1" thickBot="1" x14ac:dyDescent="0.3">
      <c r="A50" s="737" t="s">
        <v>91</v>
      </c>
      <c r="B50" s="738" t="s">
        <v>92</v>
      </c>
      <c r="C50" s="705"/>
      <c r="D50" s="31"/>
      <c r="E50" s="922"/>
      <c r="F50" s="1662">
        <f t="shared" si="0"/>
        <v>0</v>
      </c>
      <c r="G50" s="922"/>
      <c r="H50" s="1662">
        <f t="shared" si="1"/>
        <v>0</v>
      </c>
      <c r="I50" s="922"/>
      <c r="J50" s="1662">
        <f t="shared" si="1"/>
        <v>0</v>
      </c>
      <c r="K50" s="922"/>
      <c r="L50" s="922"/>
    </row>
    <row r="51" spans="1:23" s="1" customFormat="1" ht="32.25" hidden="1" thickBot="1" x14ac:dyDescent="0.3">
      <c r="A51" s="737" t="s">
        <v>93</v>
      </c>
      <c r="B51" s="739" t="s">
        <v>94</v>
      </c>
      <c r="C51" s="705"/>
      <c r="D51" s="31"/>
      <c r="E51" s="922"/>
      <c r="F51" s="1662">
        <f t="shared" si="0"/>
        <v>0</v>
      </c>
      <c r="G51" s="922"/>
      <c r="H51" s="1662">
        <f t="shared" si="1"/>
        <v>0</v>
      </c>
      <c r="I51" s="922"/>
      <c r="J51" s="1662">
        <f t="shared" si="1"/>
        <v>0</v>
      </c>
      <c r="K51" s="922"/>
      <c r="L51" s="922"/>
    </row>
    <row r="52" spans="1:23" s="1" customFormat="1" ht="16.5" hidden="1" thickBot="1" x14ac:dyDescent="0.3">
      <c r="A52" s="737" t="s">
        <v>95</v>
      </c>
      <c r="B52" s="739" t="s">
        <v>96</v>
      </c>
      <c r="C52" s="705"/>
      <c r="D52" s="31"/>
      <c r="E52" s="922"/>
      <c r="F52" s="1662">
        <f t="shared" si="0"/>
        <v>0</v>
      </c>
      <c r="G52" s="922"/>
      <c r="H52" s="1662">
        <f t="shared" si="1"/>
        <v>0</v>
      </c>
      <c r="I52" s="922"/>
      <c r="J52" s="1662">
        <f t="shared" si="1"/>
        <v>0</v>
      </c>
      <c r="K52" s="922"/>
      <c r="L52" s="922"/>
    </row>
    <row r="53" spans="1:23" s="1" customFormat="1" ht="16.5" hidden="1" thickBot="1" x14ac:dyDescent="0.3">
      <c r="A53" s="737" t="s">
        <v>97</v>
      </c>
      <c r="B53" s="740" t="s">
        <v>98</v>
      </c>
      <c r="C53" s="705"/>
      <c r="D53" s="34"/>
      <c r="E53" s="922"/>
      <c r="F53" s="1662">
        <f t="shared" si="0"/>
        <v>0</v>
      </c>
      <c r="G53" s="922"/>
      <c r="H53" s="1662">
        <f t="shared" si="1"/>
        <v>0</v>
      </c>
      <c r="I53" s="922"/>
      <c r="J53" s="1662">
        <f t="shared" si="1"/>
        <v>0</v>
      </c>
      <c r="K53" s="922"/>
      <c r="L53" s="922"/>
    </row>
    <row r="54" spans="1:23" s="1" customFormat="1" ht="33.75" thickBot="1" x14ac:dyDescent="0.3">
      <c r="A54" s="722" t="s">
        <v>99</v>
      </c>
      <c r="B54" s="742" t="s">
        <v>100</v>
      </c>
      <c r="C54" s="706">
        <f>C5+C13+C20+C27+C38+C44+C49</f>
        <v>4238177154</v>
      </c>
      <c r="D54" s="918">
        <f>D5+D13+D20+D27+D38+D44+D49</f>
        <v>4789168851</v>
      </c>
      <c r="E54" s="706">
        <f>E5+E13+E20+E27+E38+E44+E49</f>
        <v>4289988150</v>
      </c>
      <c r="F54" s="1662">
        <f t="shared" si="0"/>
        <v>154675094</v>
      </c>
      <c r="G54" s="706">
        <f>G5+G13+G20+G27+G38+G44+G49</f>
        <v>4444663244</v>
      </c>
      <c r="H54" s="1662">
        <f t="shared" si="1"/>
        <v>914342283</v>
      </c>
      <c r="I54" s="706">
        <f>I5+I13+I20+I27+I38+I44+I49</f>
        <v>5359005527</v>
      </c>
      <c r="J54" s="1662">
        <f t="shared" si="1"/>
        <v>0</v>
      </c>
      <c r="K54" s="706">
        <f>K5+K13+K20+K27+K38+K44+K49</f>
        <v>5359005527</v>
      </c>
      <c r="L54" s="706">
        <f>L5+L13+L20+L27+L38+L44+L49</f>
        <v>5370313862</v>
      </c>
    </row>
    <row r="55" spans="1:23" s="1" customFormat="1" ht="23.25" customHeight="1" thickBot="1" x14ac:dyDescent="0.3">
      <c r="A55" s="745" t="s">
        <v>101</v>
      </c>
      <c r="B55" s="741" t="s">
        <v>102</v>
      </c>
      <c r="C55" s="705"/>
      <c r="D55" s="917"/>
      <c r="E55" s="705">
        <f>'2. sz. mell'!F35</f>
        <v>0</v>
      </c>
      <c r="F55" s="1662">
        <f t="shared" si="0"/>
        <v>200000000</v>
      </c>
      <c r="G55" s="705">
        <f>'2. sz. mell'!H35</f>
        <v>200000000</v>
      </c>
      <c r="H55" s="1662">
        <f t="shared" si="1"/>
        <v>-200000000</v>
      </c>
      <c r="I55" s="705">
        <f>'2. sz. mell'!J35</f>
        <v>0</v>
      </c>
      <c r="J55" s="1662">
        <f t="shared" si="1"/>
        <v>0</v>
      </c>
      <c r="K55" s="705">
        <f>'2. sz. mell'!L35</f>
        <v>0</v>
      </c>
      <c r="L55" s="705">
        <f>'2. sz. mell'!M35</f>
        <v>0</v>
      </c>
      <c r="O55" s="23"/>
      <c r="P55" s="23"/>
      <c r="Q55" s="23"/>
      <c r="R55" s="23"/>
      <c r="S55" s="23"/>
      <c r="T55" s="23"/>
      <c r="U55" s="23"/>
      <c r="V55" s="23"/>
      <c r="W55" s="23"/>
    </row>
    <row r="56" spans="1:23" s="1" customFormat="1" ht="12.75" hidden="1" customHeight="1" x14ac:dyDescent="0.25">
      <c r="A56" s="737" t="s">
        <v>103</v>
      </c>
      <c r="B56" s="738" t="s">
        <v>104</v>
      </c>
      <c r="C56" s="705"/>
      <c r="D56" s="917"/>
      <c r="E56" s="922"/>
      <c r="F56" s="1662">
        <f t="shared" si="0"/>
        <v>0</v>
      </c>
      <c r="G56" s="922"/>
      <c r="H56" s="1662">
        <f t="shared" si="1"/>
        <v>0</v>
      </c>
      <c r="I56" s="922"/>
      <c r="J56" s="1662">
        <f t="shared" si="1"/>
        <v>0</v>
      </c>
      <c r="K56" s="922"/>
      <c r="L56" s="922"/>
      <c r="O56" s="3"/>
      <c r="P56" s="3"/>
      <c r="Q56" s="3"/>
      <c r="R56" s="3"/>
      <c r="S56" s="3"/>
      <c r="T56" s="3"/>
      <c r="U56" s="3"/>
      <c r="V56" s="3"/>
      <c r="W56" s="3"/>
    </row>
    <row r="57" spans="1:23" s="1" customFormat="1" ht="12.75" hidden="1" customHeight="1" x14ac:dyDescent="0.25">
      <c r="A57" s="737" t="s">
        <v>105</v>
      </c>
      <c r="B57" s="739" t="s">
        <v>106</v>
      </c>
      <c r="C57" s="705"/>
      <c r="D57" s="917"/>
      <c r="E57" s="922"/>
      <c r="F57" s="1662">
        <f t="shared" si="0"/>
        <v>0</v>
      </c>
      <c r="G57" s="922"/>
      <c r="H57" s="1662">
        <f t="shared" si="1"/>
        <v>0</v>
      </c>
      <c r="I57" s="922"/>
      <c r="J57" s="1662">
        <f t="shared" si="1"/>
        <v>0</v>
      </c>
      <c r="K57" s="922"/>
      <c r="L57" s="922"/>
      <c r="O57" s="5"/>
      <c r="P57" s="5"/>
      <c r="Q57" s="5"/>
      <c r="R57" s="5"/>
      <c r="S57" s="5"/>
      <c r="T57" s="5"/>
      <c r="U57" s="5"/>
      <c r="V57" s="5"/>
      <c r="W57" s="5"/>
    </row>
    <row r="58" spans="1:23" s="1" customFormat="1" ht="12.75" hidden="1" customHeight="1" x14ac:dyDescent="0.25">
      <c r="A58" s="737" t="s">
        <v>107</v>
      </c>
      <c r="B58" s="743" t="s">
        <v>108</v>
      </c>
      <c r="C58" s="705"/>
      <c r="D58" s="917"/>
      <c r="E58" s="922"/>
      <c r="F58" s="1662">
        <f t="shared" si="0"/>
        <v>0</v>
      </c>
      <c r="G58" s="922"/>
      <c r="H58" s="1662">
        <f t="shared" si="1"/>
        <v>0</v>
      </c>
      <c r="I58" s="922"/>
      <c r="J58" s="1662">
        <f t="shared" si="1"/>
        <v>0</v>
      </c>
      <c r="K58" s="922"/>
      <c r="L58" s="922"/>
    </row>
    <row r="59" spans="1:23" s="1" customFormat="1" ht="21" customHeight="1" thickBot="1" x14ac:dyDescent="0.3">
      <c r="A59" s="745" t="s">
        <v>109</v>
      </c>
      <c r="B59" s="741" t="s">
        <v>110</v>
      </c>
      <c r="C59" s="705">
        <v>1504262363</v>
      </c>
      <c r="D59" s="917">
        <v>3260400000</v>
      </c>
      <c r="E59" s="705">
        <f>'2. sz. mell'!F36</f>
        <v>1361850000</v>
      </c>
      <c r="F59" s="1662">
        <f t="shared" si="0"/>
        <v>1096200000</v>
      </c>
      <c r="G59" s="705">
        <f>'2. sz. mell'!H36</f>
        <v>2458050000</v>
      </c>
      <c r="H59" s="1662">
        <f t="shared" si="1"/>
        <v>-800000000</v>
      </c>
      <c r="I59" s="705">
        <f>'2. sz. mell'!J36</f>
        <v>1658050000</v>
      </c>
      <c r="J59" s="1662">
        <f t="shared" si="1"/>
        <v>0</v>
      </c>
      <c r="K59" s="705">
        <f>'2. sz. mell'!L36</f>
        <v>1658050000</v>
      </c>
      <c r="L59" s="705">
        <f>'2. sz. mell'!M36</f>
        <v>1658050000</v>
      </c>
    </row>
    <row r="60" spans="1:23" s="1" customFormat="1" ht="12.75" hidden="1" customHeight="1" x14ac:dyDescent="0.25">
      <c r="A60" s="737" t="s">
        <v>111</v>
      </c>
      <c r="B60" s="738" t="s">
        <v>112</v>
      </c>
      <c r="C60" s="705"/>
      <c r="D60" s="917"/>
      <c r="E60" s="922"/>
      <c r="F60" s="1662">
        <f t="shared" si="0"/>
        <v>0</v>
      </c>
      <c r="G60" s="922"/>
      <c r="H60" s="1662">
        <f t="shared" si="1"/>
        <v>0</v>
      </c>
      <c r="I60" s="922"/>
      <c r="J60" s="1662">
        <f t="shared" si="1"/>
        <v>0</v>
      </c>
      <c r="K60" s="922"/>
      <c r="L60" s="922"/>
    </row>
    <row r="61" spans="1:23" s="1" customFormat="1" ht="12.75" hidden="1" customHeight="1" x14ac:dyDescent="0.25">
      <c r="A61" s="737" t="s">
        <v>113</v>
      </c>
      <c r="B61" s="739" t="s">
        <v>114</v>
      </c>
      <c r="C61" s="705"/>
      <c r="D61" s="917"/>
      <c r="E61" s="922"/>
      <c r="F61" s="1662">
        <f t="shared" si="0"/>
        <v>0</v>
      </c>
      <c r="G61" s="922"/>
      <c r="H61" s="1662">
        <f t="shared" si="1"/>
        <v>0</v>
      </c>
      <c r="I61" s="922"/>
      <c r="J61" s="1662">
        <f t="shared" si="1"/>
        <v>0</v>
      </c>
      <c r="K61" s="922"/>
      <c r="L61" s="922"/>
    </row>
    <row r="62" spans="1:23" s="1" customFormat="1" ht="12.75" hidden="1" customHeight="1" x14ac:dyDescent="0.25">
      <c r="A62" s="737" t="s">
        <v>115</v>
      </c>
      <c r="B62" s="739" t="s">
        <v>116</v>
      </c>
      <c r="C62" s="705"/>
      <c r="D62" s="917"/>
      <c r="E62" s="922"/>
      <c r="F62" s="1662">
        <f t="shared" si="0"/>
        <v>0</v>
      </c>
      <c r="G62" s="922"/>
      <c r="H62" s="1662">
        <f t="shared" si="1"/>
        <v>0</v>
      </c>
      <c r="I62" s="922"/>
      <c r="J62" s="1662">
        <f t="shared" si="1"/>
        <v>0</v>
      </c>
      <c r="K62" s="922"/>
      <c r="L62" s="922"/>
    </row>
    <row r="63" spans="1:23" s="1" customFormat="1" ht="12.75" hidden="1" customHeight="1" x14ac:dyDescent="0.25">
      <c r="A63" s="737" t="s">
        <v>117</v>
      </c>
      <c r="B63" s="740" t="s">
        <v>118</v>
      </c>
      <c r="C63" s="705"/>
      <c r="D63" s="917"/>
      <c r="E63" s="922"/>
      <c r="F63" s="1662">
        <f t="shared" si="0"/>
        <v>0</v>
      </c>
      <c r="G63" s="922"/>
      <c r="H63" s="1662">
        <f t="shared" si="1"/>
        <v>0</v>
      </c>
      <c r="I63" s="922"/>
      <c r="J63" s="1662">
        <f t="shared" si="1"/>
        <v>0</v>
      </c>
      <c r="K63" s="922"/>
      <c r="L63" s="922"/>
    </row>
    <row r="64" spans="1:23" s="1" customFormat="1" ht="21" customHeight="1" thickBot="1" x14ac:dyDescent="0.3">
      <c r="A64" s="745" t="s">
        <v>119</v>
      </c>
      <c r="B64" s="741" t="s">
        <v>120</v>
      </c>
      <c r="C64" s="705">
        <v>1369699496</v>
      </c>
      <c r="D64" s="917">
        <v>81126182</v>
      </c>
      <c r="E64" s="705">
        <f>'2. sz. mell'!F37</f>
        <v>0</v>
      </c>
      <c r="F64" s="1662">
        <f t="shared" si="0"/>
        <v>1311873610</v>
      </c>
      <c r="G64" s="705">
        <f>'2. sz. mell'!H37</f>
        <v>1311873610</v>
      </c>
      <c r="H64" s="1662">
        <f t="shared" si="1"/>
        <v>0</v>
      </c>
      <c r="I64" s="705">
        <f>'2. sz. mell'!J37</f>
        <v>1311873610</v>
      </c>
      <c r="J64" s="1662">
        <f t="shared" si="1"/>
        <v>0</v>
      </c>
      <c r="K64" s="705">
        <f>'2. sz. mell'!L37</f>
        <v>1311873610</v>
      </c>
      <c r="L64" s="705">
        <f>'2. sz. mell'!M37</f>
        <v>1311873610</v>
      </c>
    </row>
    <row r="65" spans="1:23" s="1" customFormat="1" ht="12.75" hidden="1" customHeight="1" x14ac:dyDescent="0.25">
      <c r="A65" s="737" t="s">
        <v>121</v>
      </c>
      <c r="B65" s="738" t="s">
        <v>122</v>
      </c>
      <c r="C65" s="705"/>
      <c r="D65" s="917"/>
      <c r="E65" s="922"/>
      <c r="F65" s="1662">
        <f t="shared" si="0"/>
        <v>0</v>
      </c>
      <c r="G65" s="922"/>
      <c r="H65" s="1662">
        <f t="shared" si="1"/>
        <v>0</v>
      </c>
      <c r="I65" s="922"/>
      <c r="J65" s="1662">
        <f t="shared" si="1"/>
        <v>0</v>
      </c>
      <c r="K65" s="922"/>
      <c r="L65" s="922"/>
    </row>
    <row r="66" spans="1:23" s="1" customFormat="1" ht="12.75" hidden="1" customHeight="1" x14ac:dyDescent="0.25">
      <c r="A66" s="737" t="s">
        <v>123</v>
      </c>
      <c r="B66" s="740" t="s">
        <v>124</v>
      </c>
      <c r="C66" s="705"/>
      <c r="D66" s="917"/>
      <c r="E66" s="922"/>
      <c r="F66" s="1662">
        <f t="shared" si="0"/>
        <v>0</v>
      </c>
      <c r="G66" s="922"/>
      <c r="H66" s="1662">
        <f t="shared" si="1"/>
        <v>0</v>
      </c>
      <c r="I66" s="922"/>
      <c r="J66" s="1662">
        <f t="shared" si="1"/>
        <v>0</v>
      </c>
      <c r="K66" s="922"/>
      <c r="L66" s="922"/>
    </row>
    <row r="67" spans="1:23" s="1" customFormat="1" ht="21" customHeight="1" thickBot="1" x14ac:dyDescent="0.3">
      <c r="A67" s="745" t="s">
        <v>125</v>
      </c>
      <c r="B67" s="741" t="s">
        <v>126</v>
      </c>
      <c r="C67" s="705">
        <v>267558129</v>
      </c>
      <c r="D67" s="917">
        <v>720264725</v>
      </c>
      <c r="E67" s="705">
        <f>'2. sz. mell'!F40</f>
        <v>0</v>
      </c>
      <c r="F67" s="1662">
        <f t="shared" si="0"/>
        <v>207522067</v>
      </c>
      <c r="G67" s="705">
        <f>'2. sz. mell'!H40+'2. sz. mell'!H42</f>
        <v>207522067</v>
      </c>
      <c r="H67" s="1662">
        <f t="shared" si="1"/>
        <v>273810227</v>
      </c>
      <c r="I67" s="705">
        <f>'2. sz. mell'!J40+'2. sz. mell'!J42</f>
        <v>481332294</v>
      </c>
      <c r="J67" s="1662">
        <f t="shared" si="1"/>
        <v>1747959</v>
      </c>
      <c r="K67" s="705">
        <f>'2. sz. mell'!L40+'2. sz. mell'!L42</f>
        <v>483080253</v>
      </c>
      <c r="L67" s="705">
        <f>'2. sz. mell'!M40+'2. sz. mell'!M42</f>
        <v>481332294</v>
      </c>
      <c r="P67" s="4299" t="s">
        <v>521</v>
      </c>
      <c r="Q67" s="2857"/>
      <c r="R67" s="4299" t="s">
        <v>1079</v>
      </c>
      <c r="S67" s="2857"/>
      <c r="T67" s="4299" t="s">
        <v>1054</v>
      </c>
      <c r="U67" s="2857"/>
      <c r="V67" s="4299" t="s">
        <v>1055</v>
      </c>
      <c r="W67" s="4299" t="s">
        <v>769</v>
      </c>
    </row>
    <row r="68" spans="1:23" s="1" customFormat="1" ht="12.75" hidden="1" customHeight="1" x14ac:dyDescent="0.25">
      <c r="A68" s="737" t="s">
        <v>127</v>
      </c>
      <c r="B68" s="738" t="s">
        <v>128</v>
      </c>
      <c r="C68" s="705"/>
      <c r="D68" s="15"/>
      <c r="E68" s="922"/>
      <c r="F68" s="1662">
        <f t="shared" si="0"/>
        <v>0</v>
      </c>
      <c r="G68" s="922"/>
      <c r="H68" s="1662">
        <f t="shared" si="1"/>
        <v>0</v>
      </c>
      <c r="I68" s="922"/>
      <c r="J68" s="1662">
        <f t="shared" si="1"/>
        <v>0</v>
      </c>
      <c r="K68" s="922"/>
      <c r="L68" s="922"/>
      <c r="P68" s="4299"/>
      <c r="Q68" s="2857"/>
      <c r="R68" s="4299"/>
      <c r="S68" s="2857"/>
      <c r="T68" s="4299"/>
      <c r="U68" s="2857"/>
      <c r="V68" s="4299"/>
      <c r="W68" s="4299"/>
    </row>
    <row r="69" spans="1:23" s="1" customFormat="1" ht="12.75" hidden="1" customHeight="1" x14ac:dyDescent="0.25">
      <c r="A69" s="737" t="s">
        <v>129</v>
      </c>
      <c r="B69" s="739" t="s">
        <v>130</v>
      </c>
      <c r="C69" s="705"/>
      <c r="D69" s="16"/>
      <c r="E69" s="922"/>
      <c r="F69" s="1662">
        <f t="shared" si="0"/>
        <v>0</v>
      </c>
      <c r="G69" s="922"/>
      <c r="H69" s="1662">
        <f t="shared" si="1"/>
        <v>0</v>
      </c>
      <c r="I69" s="922"/>
      <c r="J69" s="1662">
        <f t="shared" si="1"/>
        <v>0</v>
      </c>
      <c r="K69" s="922"/>
      <c r="L69" s="922"/>
      <c r="P69" s="4299"/>
      <c r="Q69" s="2857"/>
      <c r="R69" s="4299"/>
      <c r="S69" s="2857"/>
      <c r="T69" s="4299"/>
      <c r="U69" s="2857"/>
      <c r="V69" s="4299"/>
      <c r="W69" s="4299"/>
    </row>
    <row r="70" spans="1:23" s="1" customFormat="1" ht="12.75" hidden="1" customHeight="1" x14ac:dyDescent="0.25">
      <c r="A70" s="737" t="s">
        <v>131</v>
      </c>
      <c r="B70" s="740" t="s">
        <v>132</v>
      </c>
      <c r="C70" s="705"/>
      <c r="D70" s="17"/>
      <c r="E70" s="922"/>
      <c r="F70" s="1662">
        <f t="shared" ref="F70:F81" si="2">SUM(G70-E70)</f>
        <v>0</v>
      </c>
      <c r="G70" s="922"/>
      <c r="H70" s="1662">
        <f t="shared" ref="H70:J81" si="3">SUM(I70-G70)</f>
        <v>0</v>
      </c>
      <c r="I70" s="922"/>
      <c r="J70" s="1662">
        <f t="shared" si="3"/>
        <v>0</v>
      </c>
      <c r="K70" s="922"/>
      <c r="L70" s="922"/>
      <c r="P70" s="4299"/>
      <c r="Q70" s="2857"/>
      <c r="R70" s="4299"/>
      <c r="S70" s="2857"/>
      <c r="T70" s="4299"/>
      <c r="U70" s="2857"/>
      <c r="V70" s="4299"/>
      <c r="W70" s="4299"/>
    </row>
    <row r="71" spans="1:23" s="1" customFormat="1" ht="21" customHeight="1" thickBot="1" x14ac:dyDescent="0.3">
      <c r="A71" s="745" t="s">
        <v>133</v>
      </c>
      <c r="B71" s="741" t="s">
        <v>134</v>
      </c>
      <c r="C71" s="705"/>
      <c r="D71" s="18"/>
      <c r="E71" s="705">
        <f>'2. sz. mell'!F43</f>
        <v>0</v>
      </c>
      <c r="F71" s="1662">
        <f t="shared" si="2"/>
        <v>0</v>
      </c>
      <c r="G71" s="705">
        <f>'2. sz. mell'!H43</f>
        <v>0</v>
      </c>
      <c r="H71" s="1662">
        <f t="shared" si="3"/>
        <v>0</v>
      </c>
      <c r="I71" s="705">
        <f>'2. sz. mell'!J43</f>
        <v>0</v>
      </c>
      <c r="J71" s="1662">
        <f t="shared" si="3"/>
        <v>0</v>
      </c>
      <c r="K71" s="705"/>
      <c r="L71" s="705">
        <f>'2. sz. mell'!M43</f>
        <v>0</v>
      </c>
      <c r="P71" s="4299"/>
      <c r="Q71" s="2857"/>
      <c r="R71" s="4299"/>
      <c r="S71" s="2857"/>
      <c r="T71" s="4299"/>
      <c r="U71" s="2857"/>
      <c r="V71" s="4299"/>
      <c r="W71" s="4299"/>
    </row>
    <row r="72" spans="1:23" s="1" customFormat="1" ht="12.75" hidden="1" customHeight="1" x14ac:dyDescent="0.25">
      <c r="A72" s="746" t="s">
        <v>135</v>
      </c>
      <c r="B72" s="738" t="s">
        <v>136</v>
      </c>
      <c r="C72" s="705"/>
      <c r="D72" s="15"/>
      <c r="E72" s="922"/>
      <c r="F72" s="1662">
        <f t="shared" si="2"/>
        <v>0</v>
      </c>
      <c r="G72" s="922"/>
      <c r="H72" s="1662">
        <f t="shared" si="3"/>
        <v>0</v>
      </c>
      <c r="I72" s="922"/>
      <c r="J72" s="1662">
        <f t="shared" si="3"/>
        <v>0</v>
      </c>
      <c r="K72" s="922"/>
      <c r="L72" s="922"/>
    </row>
    <row r="73" spans="1:23" s="1" customFormat="1" ht="12.75" hidden="1" customHeight="1" x14ac:dyDescent="0.25">
      <c r="A73" s="746" t="s">
        <v>137</v>
      </c>
      <c r="B73" s="739" t="s">
        <v>138</v>
      </c>
      <c r="C73" s="705"/>
      <c r="D73" s="16"/>
      <c r="E73" s="922"/>
      <c r="F73" s="1662">
        <f t="shared" si="2"/>
        <v>0</v>
      </c>
      <c r="G73" s="922"/>
      <c r="H73" s="1662">
        <f t="shared" si="3"/>
        <v>0</v>
      </c>
      <c r="I73" s="922"/>
      <c r="J73" s="1662">
        <f t="shared" si="3"/>
        <v>0</v>
      </c>
      <c r="K73" s="922"/>
      <c r="L73" s="922"/>
    </row>
    <row r="74" spans="1:23" s="1" customFormat="1" ht="12.75" hidden="1" customHeight="1" x14ac:dyDescent="0.25">
      <c r="A74" s="746" t="s">
        <v>139</v>
      </c>
      <c r="B74" s="739" t="s">
        <v>140</v>
      </c>
      <c r="C74" s="705"/>
      <c r="D74" s="16"/>
      <c r="E74" s="922"/>
      <c r="F74" s="1662">
        <f t="shared" si="2"/>
        <v>0</v>
      </c>
      <c r="G74" s="922"/>
      <c r="H74" s="1662">
        <f t="shared" si="3"/>
        <v>0</v>
      </c>
      <c r="I74" s="922"/>
      <c r="J74" s="1662">
        <f t="shared" si="3"/>
        <v>0</v>
      </c>
      <c r="K74" s="922"/>
      <c r="L74" s="922"/>
    </row>
    <row r="75" spans="1:23" s="1" customFormat="1" ht="12.75" hidden="1" customHeight="1" x14ac:dyDescent="0.25">
      <c r="A75" s="746" t="s">
        <v>141</v>
      </c>
      <c r="B75" s="740" t="s">
        <v>142</v>
      </c>
      <c r="C75" s="705"/>
      <c r="D75" s="17"/>
      <c r="E75" s="922"/>
      <c r="F75" s="1662">
        <f t="shared" si="2"/>
        <v>0</v>
      </c>
      <c r="G75" s="922"/>
      <c r="H75" s="1662">
        <f t="shared" si="3"/>
        <v>0</v>
      </c>
      <c r="I75" s="922"/>
      <c r="J75" s="1662">
        <f t="shared" si="3"/>
        <v>0</v>
      </c>
      <c r="K75" s="922"/>
      <c r="L75" s="922"/>
    </row>
    <row r="76" spans="1:23" s="1" customFormat="1" ht="23.25" customHeight="1" thickBot="1" x14ac:dyDescent="0.3">
      <c r="A76" s="745" t="s">
        <v>143</v>
      </c>
      <c r="B76" s="741" t="s">
        <v>144</v>
      </c>
      <c r="C76" s="705"/>
      <c r="D76" s="919"/>
      <c r="E76" s="925">
        <f>'2. sz. mell'!F44</f>
        <v>0</v>
      </c>
      <c r="F76" s="1662">
        <f t="shared" si="2"/>
        <v>0</v>
      </c>
      <c r="G76" s="925">
        <f>'2. sz. mell'!H44</f>
        <v>0</v>
      </c>
      <c r="H76" s="1662">
        <f t="shared" si="3"/>
        <v>0</v>
      </c>
      <c r="I76" s="925">
        <f>'2. sz. mell'!J44</f>
        <v>0</v>
      </c>
      <c r="J76" s="1662">
        <f t="shared" si="3"/>
        <v>0</v>
      </c>
      <c r="K76" s="925"/>
      <c r="L76" s="925">
        <f>'2. sz. mell'!M44</f>
        <v>0</v>
      </c>
      <c r="O76" s="530" t="s">
        <v>778</v>
      </c>
      <c r="P76" s="532">
        <f>SUM(P49-E78)</f>
        <v>1473618961</v>
      </c>
      <c r="Q76" s="532"/>
      <c r="R76" s="532">
        <f>SUM(R49-G78)</f>
        <v>1619201612</v>
      </c>
      <c r="S76" s="532"/>
      <c r="T76" s="532">
        <f>SUM(T49-I78)</f>
        <v>1664793870</v>
      </c>
      <c r="U76" s="532"/>
      <c r="V76" s="532">
        <f>SUM(V49-K78)</f>
        <v>1664793870</v>
      </c>
      <c r="W76" s="532">
        <f>SUM(W49-L78)</f>
        <v>1664793870</v>
      </c>
    </row>
    <row r="77" spans="1:23" s="1" customFormat="1" ht="28.5" customHeight="1" thickBot="1" x14ac:dyDescent="0.35">
      <c r="A77" s="745" t="s">
        <v>145</v>
      </c>
      <c r="B77" s="744" t="s">
        <v>146</v>
      </c>
      <c r="C77" s="706">
        <f>+C55+C59+C64+C67+C71+C76</f>
        <v>3141519988</v>
      </c>
      <c r="D77" s="918">
        <f>+D55+D59+D64+D67+D71+D76</f>
        <v>4061790907</v>
      </c>
      <c r="E77" s="706">
        <f>+E55+E59+E64+E67+E71+E76</f>
        <v>1361850000</v>
      </c>
      <c r="F77" s="1662">
        <f t="shared" si="2"/>
        <v>2815595677</v>
      </c>
      <c r="G77" s="706">
        <f>+G55+G59+G64+G67+G71+G76</f>
        <v>4177445677</v>
      </c>
      <c r="H77" s="1662">
        <f t="shared" si="3"/>
        <v>-726189773</v>
      </c>
      <c r="I77" s="706">
        <f>+I55+I59+I64+I67+I71+I76</f>
        <v>3451255904</v>
      </c>
      <c r="J77" s="1662">
        <f t="shared" si="3"/>
        <v>1747959</v>
      </c>
      <c r="K77" s="706">
        <f>+K55+K59+K64+K67+K71+K76</f>
        <v>3453003863</v>
      </c>
      <c r="L77" s="706">
        <f>+L55+L59+L64+L67+L71+L76</f>
        <v>3451255904</v>
      </c>
      <c r="O77" s="525" t="s">
        <v>245</v>
      </c>
      <c r="P77" s="526">
        <f>SUM('2. sz. mell'!F41)</f>
        <v>1473618961</v>
      </c>
      <c r="Q77" s="526"/>
      <c r="R77" s="526">
        <f>SUM('2. sz. mell'!H41)</f>
        <v>1619201612</v>
      </c>
      <c r="S77" s="526"/>
      <c r="T77" s="526">
        <f>SUM('2. sz. mell'!J41)</f>
        <v>1664793870</v>
      </c>
      <c r="U77" s="526"/>
      <c r="V77" s="526">
        <f>SUM('2. sz. mell'!L41)</f>
        <v>1664793870</v>
      </c>
      <c r="W77" s="526">
        <f>SUM('2. sz. mell'!M41)</f>
        <v>1664793870</v>
      </c>
    </row>
    <row r="78" spans="1:23" s="1" customFormat="1" ht="42" customHeight="1" thickTop="1" thickBot="1" x14ac:dyDescent="0.35">
      <c r="A78" s="745" t="s">
        <v>147</v>
      </c>
      <c r="B78" s="736" t="s">
        <v>148</v>
      </c>
      <c r="C78" s="705">
        <f>+C54+C77</f>
        <v>7379697142</v>
      </c>
      <c r="D78" s="917">
        <f>+D54+D77</f>
        <v>8850959758</v>
      </c>
      <c r="E78" s="705">
        <f>+E54+E77</f>
        <v>5651838150</v>
      </c>
      <c r="F78" s="1662">
        <f t="shared" si="2"/>
        <v>2970270771</v>
      </c>
      <c r="G78" s="705">
        <f>+G54+G77</f>
        <v>8622108921</v>
      </c>
      <c r="H78" s="1662">
        <f t="shared" si="3"/>
        <v>188152510</v>
      </c>
      <c r="I78" s="705">
        <f>+I54+I77</f>
        <v>8810261431</v>
      </c>
      <c r="J78" s="1662">
        <f t="shared" si="3"/>
        <v>1747959</v>
      </c>
      <c r="K78" s="705">
        <f>+K54+K77</f>
        <v>8812009390</v>
      </c>
      <c r="L78" s="705">
        <f>+L54+L77</f>
        <v>8821569766</v>
      </c>
      <c r="O78" s="533" t="s">
        <v>812</v>
      </c>
      <c r="P78" s="534">
        <f>SUM(P76-P77)</f>
        <v>0</v>
      </c>
      <c r="Q78" s="534"/>
      <c r="R78" s="534">
        <f>SUM(R76-R77)</f>
        <v>0</v>
      </c>
      <c r="S78" s="534"/>
      <c r="T78" s="534">
        <f>SUM(T76-T77)</f>
        <v>0</v>
      </c>
      <c r="U78" s="534"/>
      <c r="V78" s="534">
        <f>SUM(V76-V77)</f>
        <v>0</v>
      </c>
      <c r="W78" s="535">
        <f>SUM(W76-W77)</f>
        <v>0</v>
      </c>
    </row>
    <row r="79" spans="1:23" s="1" customFormat="1" ht="22.5" customHeight="1" thickBot="1" x14ac:dyDescent="0.3">
      <c r="A79" s="745" t="s">
        <v>246</v>
      </c>
      <c r="B79" s="741" t="s">
        <v>300</v>
      </c>
      <c r="C79" s="705"/>
      <c r="D79" s="917"/>
      <c r="E79" s="705"/>
      <c r="F79" s="1662">
        <f t="shared" si="2"/>
        <v>0</v>
      </c>
      <c r="G79" s="705"/>
      <c r="H79" s="1662">
        <f t="shared" si="3"/>
        <v>0</v>
      </c>
      <c r="I79" s="705"/>
      <c r="J79" s="1662">
        <f t="shared" si="3"/>
        <v>0</v>
      </c>
      <c r="K79" s="705"/>
      <c r="L79" s="705"/>
    </row>
    <row r="80" spans="1:23" s="1" customFormat="1" ht="21" customHeight="1" thickBot="1" x14ac:dyDescent="0.3">
      <c r="A80" s="745" t="s">
        <v>247</v>
      </c>
      <c r="B80" s="741" t="s">
        <v>813</v>
      </c>
      <c r="C80" s="705"/>
      <c r="D80" s="917"/>
      <c r="E80" s="705"/>
      <c r="F80" s="1662">
        <f t="shared" si="2"/>
        <v>0</v>
      </c>
      <c r="G80" s="705"/>
      <c r="H80" s="1662">
        <f t="shared" si="3"/>
        <v>0</v>
      </c>
      <c r="I80" s="705"/>
      <c r="J80" s="1662">
        <f t="shared" si="3"/>
        <v>0</v>
      </c>
      <c r="K80" s="705"/>
      <c r="L80" s="705"/>
    </row>
    <row r="81" spans="1:23" s="1" customFormat="1" ht="28.5" customHeight="1" thickBot="1" x14ac:dyDescent="0.3">
      <c r="A81" s="745" t="s">
        <v>248</v>
      </c>
      <c r="B81" s="926" t="s">
        <v>816</v>
      </c>
      <c r="C81" s="705">
        <f>SUM(C78-C79-C80)</f>
        <v>7379697142</v>
      </c>
      <c r="D81" s="917">
        <f>SUM(D78-D79-D80)</f>
        <v>8850959758</v>
      </c>
      <c r="E81" s="705">
        <f>SUM(E78-E79-E80)</f>
        <v>5651838150</v>
      </c>
      <c r="F81" s="1662">
        <f t="shared" si="2"/>
        <v>2970270771</v>
      </c>
      <c r="G81" s="705">
        <f>SUM(G78-G79-G80)</f>
        <v>8622108921</v>
      </c>
      <c r="H81" s="1662">
        <f t="shared" si="3"/>
        <v>188152510</v>
      </c>
      <c r="I81" s="705">
        <f>SUM(I78-I79-I80)</f>
        <v>8810261431</v>
      </c>
      <c r="J81" s="1662">
        <f t="shared" si="3"/>
        <v>1747959</v>
      </c>
      <c r="K81" s="705">
        <f>SUM(K78-K79-K80)</f>
        <v>8812009390</v>
      </c>
      <c r="L81" s="705">
        <f>SUM(L78-L79-L80)</f>
        <v>8821569766</v>
      </c>
    </row>
    <row r="82" spans="1:23" s="22" customFormat="1" ht="24" customHeight="1" x14ac:dyDescent="0.2">
      <c r="A82" s="19"/>
      <c r="B82" s="20"/>
      <c r="C82" s="4307"/>
      <c r="D82" s="4307"/>
      <c r="E82" s="1670"/>
      <c r="F82" s="1670"/>
      <c r="G82" s="1670"/>
      <c r="H82" s="1670"/>
      <c r="I82" s="1670"/>
      <c r="J82" s="1670"/>
      <c r="K82" s="1670"/>
      <c r="L82" s="21"/>
    </row>
    <row r="83" spans="1:23" ht="28.5" customHeight="1" x14ac:dyDescent="0.25">
      <c r="A83" s="4301" t="s">
        <v>149</v>
      </c>
      <c r="B83" s="4301"/>
      <c r="C83" s="4301"/>
      <c r="D83" s="4301"/>
      <c r="E83" s="4301"/>
      <c r="F83" s="4301"/>
      <c r="G83" s="4302"/>
      <c r="H83" s="4302"/>
      <c r="I83" s="4302"/>
      <c r="J83" s="4302"/>
      <c r="K83" s="4302"/>
      <c r="L83" s="4302"/>
    </row>
    <row r="84" spans="1:23" s="23" customFormat="1" ht="16.5" customHeight="1" thickBot="1" x14ac:dyDescent="0.3">
      <c r="A84" s="4305"/>
      <c r="B84" s="4305"/>
      <c r="C84" s="4306"/>
      <c r="D84" s="4306"/>
      <c r="E84" s="1671"/>
      <c r="F84" s="1672"/>
      <c r="G84" s="1673"/>
      <c r="H84" s="1673"/>
      <c r="I84" s="1673"/>
      <c r="J84" s="1673"/>
      <c r="K84" s="1673"/>
    </row>
    <row r="85" spans="1:23" ht="38.1" customHeight="1" thickBot="1" x14ac:dyDescent="0.3">
      <c r="A85" s="707" t="s">
        <v>1</v>
      </c>
      <c r="B85" s="710" t="s">
        <v>150</v>
      </c>
      <c r="C85" s="707" t="s">
        <v>1308</v>
      </c>
      <c r="D85" s="915" t="s">
        <v>1309</v>
      </c>
      <c r="E85" s="707" t="s">
        <v>1084</v>
      </c>
      <c r="F85" s="2424" t="s">
        <v>1035</v>
      </c>
      <c r="G85" s="438" t="s">
        <v>1028</v>
      </c>
      <c r="H85" s="1618" t="s">
        <v>1031</v>
      </c>
      <c r="I85" s="438" t="s">
        <v>1028</v>
      </c>
      <c r="J85" s="1618" t="s">
        <v>1038</v>
      </c>
      <c r="K85" s="438" t="s">
        <v>234</v>
      </c>
      <c r="L85" s="438" t="s">
        <v>1952</v>
      </c>
    </row>
    <row r="86" spans="1:23" s="5" customFormat="1" ht="22.5" customHeight="1" thickBot="1" x14ac:dyDescent="0.3">
      <c r="A86" s="708"/>
      <c r="B86" s="711"/>
      <c r="C86" s="708"/>
      <c r="D86" s="711"/>
      <c r="E86" s="2427"/>
      <c r="F86" s="2425"/>
      <c r="G86" s="914"/>
      <c r="H86" s="1662">
        <f>SUM(I86-G86)</f>
        <v>0</v>
      </c>
      <c r="I86" s="1700"/>
      <c r="J86" s="1663"/>
      <c r="K86" s="914"/>
      <c r="L86" s="914" t="s">
        <v>935</v>
      </c>
    </row>
    <row r="87" spans="1:23" s="1" customFormat="1" ht="21" customHeight="1" thickBot="1" x14ac:dyDescent="0.3">
      <c r="A87" s="722" t="s">
        <v>3</v>
      </c>
      <c r="B87" s="723" t="s">
        <v>151</v>
      </c>
      <c r="C87" s="712">
        <v>3810762999</v>
      </c>
      <c r="D87" s="715">
        <v>4010127454</v>
      </c>
      <c r="E87" s="705">
        <f>SUM('2. sz. mell'!F51)</f>
        <v>3569233750</v>
      </c>
      <c r="F87" s="1664">
        <f>SUM(G87-E87)</f>
        <v>803289098</v>
      </c>
      <c r="G87" s="25">
        <f>SUM('2. sz. mell'!H51)</f>
        <v>4372522848</v>
      </c>
      <c r="H87" s="1861">
        <f>SUM(I87-G87)</f>
        <v>175265210</v>
      </c>
      <c r="I87" s="1702">
        <f>SUM('2. sz. mell'!J51)</f>
        <v>4547788058</v>
      </c>
      <c r="J87" s="1861">
        <f>SUM(K87-I87)</f>
        <v>1747959</v>
      </c>
      <c r="K87" s="1702">
        <f>SUM('2. sz. mell'!L51)</f>
        <v>4549536017</v>
      </c>
      <c r="L87" s="1702">
        <f>SUM('2. sz. mell'!M51)</f>
        <v>4093179073</v>
      </c>
      <c r="P87" s="4299" t="s">
        <v>521</v>
      </c>
      <c r="Q87" s="2857"/>
      <c r="R87" s="4299" t="s">
        <v>1053</v>
      </c>
      <c r="S87" s="2857"/>
      <c r="T87" s="4299" t="s">
        <v>1054</v>
      </c>
      <c r="U87" s="2857"/>
      <c r="V87" s="4298" t="s">
        <v>1055</v>
      </c>
      <c r="W87" s="4298" t="s">
        <v>769</v>
      </c>
    </row>
    <row r="88" spans="1:23" s="1" customFormat="1" ht="12.75" hidden="1" customHeight="1" x14ac:dyDescent="0.25">
      <c r="A88" s="737" t="s">
        <v>152</v>
      </c>
      <c r="B88" s="724" t="s">
        <v>153</v>
      </c>
      <c r="C88" s="712"/>
      <c r="D88" s="715"/>
      <c r="E88" s="720"/>
      <c r="F88" s="1664">
        <f t="shared" ref="F88:J144" si="4">SUM(G88-E88)</f>
        <v>0</v>
      </c>
      <c r="G88" s="26"/>
      <c r="H88" s="1861">
        <f t="shared" si="4"/>
        <v>0</v>
      </c>
      <c r="I88" s="1703"/>
      <c r="J88" s="1861">
        <f t="shared" si="4"/>
        <v>0</v>
      </c>
      <c r="K88" s="1703"/>
      <c r="L88" s="1703"/>
      <c r="P88" s="4299"/>
      <c r="Q88" s="2857"/>
      <c r="R88" s="4299"/>
      <c r="S88" s="2857"/>
      <c r="T88" s="4299"/>
      <c r="U88" s="2857"/>
      <c r="V88" s="4298"/>
      <c r="W88" s="4298"/>
    </row>
    <row r="89" spans="1:23" s="1" customFormat="1" ht="12.75" hidden="1" customHeight="1" x14ac:dyDescent="0.25">
      <c r="A89" s="737" t="s">
        <v>154</v>
      </c>
      <c r="B89" s="709" t="s">
        <v>155</v>
      </c>
      <c r="C89" s="712"/>
      <c r="D89" s="715"/>
      <c r="E89" s="720"/>
      <c r="F89" s="1664">
        <f t="shared" si="4"/>
        <v>0</v>
      </c>
      <c r="G89" s="11"/>
      <c r="H89" s="1861">
        <f t="shared" si="4"/>
        <v>0</v>
      </c>
      <c r="I89" s="1704"/>
      <c r="J89" s="1861">
        <f t="shared" si="4"/>
        <v>0</v>
      </c>
      <c r="K89" s="1704"/>
      <c r="L89" s="1704"/>
      <c r="P89" s="4299"/>
      <c r="Q89" s="2857"/>
      <c r="R89" s="4299"/>
      <c r="S89" s="2857"/>
      <c r="T89" s="4299"/>
      <c r="U89" s="2857"/>
      <c r="V89" s="4298"/>
      <c r="W89" s="4298"/>
    </row>
    <row r="90" spans="1:23" s="1" customFormat="1" ht="12.75" hidden="1" customHeight="1" x14ac:dyDescent="0.25">
      <c r="A90" s="737" t="s">
        <v>156</v>
      </c>
      <c r="B90" s="709" t="s">
        <v>157</v>
      </c>
      <c r="C90" s="712"/>
      <c r="D90" s="715"/>
      <c r="E90" s="720"/>
      <c r="F90" s="1664">
        <f t="shared" si="4"/>
        <v>0</v>
      </c>
      <c r="G90" s="13"/>
      <c r="H90" s="1861">
        <f t="shared" si="4"/>
        <v>0</v>
      </c>
      <c r="I90" s="1705"/>
      <c r="J90" s="1861">
        <f t="shared" si="4"/>
        <v>0</v>
      </c>
      <c r="K90" s="1705"/>
      <c r="L90" s="1705"/>
      <c r="P90" s="4299"/>
      <c r="Q90" s="2857"/>
      <c r="R90" s="4299"/>
      <c r="S90" s="2857"/>
      <c r="T90" s="4299"/>
      <c r="U90" s="2857"/>
      <c r="V90" s="4298"/>
      <c r="W90" s="4298"/>
    </row>
    <row r="91" spans="1:23" s="1" customFormat="1" ht="12.75" hidden="1" customHeight="1" x14ac:dyDescent="0.25">
      <c r="A91" s="737" t="s">
        <v>158</v>
      </c>
      <c r="B91" s="709" t="s">
        <v>159</v>
      </c>
      <c r="C91" s="712"/>
      <c r="D91" s="715"/>
      <c r="E91" s="720"/>
      <c r="F91" s="1664">
        <f t="shared" si="4"/>
        <v>0</v>
      </c>
      <c r="G91" s="13"/>
      <c r="H91" s="1861">
        <f t="shared" si="4"/>
        <v>0</v>
      </c>
      <c r="I91" s="1705"/>
      <c r="J91" s="1861">
        <f t="shared" si="4"/>
        <v>0</v>
      </c>
      <c r="K91" s="1705"/>
      <c r="L91" s="1705"/>
      <c r="P91" s="4299"/>
      <c r="Q91" s="2857"/>
      <c r="R91" s="4299"/>
      <c r="S91" s="2857"/>
      <c r="T91" s="4299"/>
      <c r="U91" s="2857"/>
      <c r="V91" s="4298"/>
      <c r="W91" s="4298"/>
    </row>
    <row r="92" spans="1:23" s="1" customFormat="1" ht="12.75" hidden="1" customHeight="1" x14ac:dyDescent="0.25">
      <c r="A92" s="737" t="s">
        <v>160</v>
      </c>
      <c r="B92" s="28" t="s">
        <v>161</v>
      </c>
      <c r="C92" s="712"/>
      <c r="D92" s="715"/>
      <c r="E92" s="720"/>
      <c r="F92" s="1664">
        <f t="shared" si="4"/>
        <v>0</v>
      </c>
      <c r="G92" s="13"/>
      <c r="H92" s="1861">
        <f t="shared" si="4"/>
        <v>0</v>
      </c>
      <c r="I92" s="1705"/>
      <c r="J92" s="1861">
        <f t="shared" si="4"/>
        <v>0</v>
      </c>
      <c r="K92" s="1705"/>
      <c r="L92" s="1705"/>
      <c r="P92" s="4299"/>
      <c r="Q92" s="2857"/>
      <c r="R92" s="4299"/>
      <c r="S92" s="2857"/>
      <c r="T92" s="4299"/>
      <c r="U92" s="2857"/>
      <c r="V92" s="4298"/>
      <c r="W92" s="4298"/>
    </row>
    <row r="93" spans="1:23" s="1" customFormat="1" ht="12.75" hidden="1" customHeight="1" x14ac:dyDescent="0.25">
      <c r="A93" s="737" t="s">
        <v>162</v>
      </c>
      <c r="B93" s="709" t="s">
        <v>163</v>
      </c>
      <c r="C93" s="712"/>
      <c r="D93" s="715"/>
      <c r="E93" s="720"/>
      <c r="F93" s="1664">
        <f t="shared" si="4"/>
        <v>0</v>
      </c>
      <c r="G93" s="13"/>
      <c r="H93" s="1861">
        <f t="shared" si="4"/>
        <v>0</v>
      </c>
      <c r="I93" s="1705"/>
      <c r="J93" s="1861">
        <f t="shared" si="4"/>
        <v>0</v>
      </c>
      <c r="K93" s="1705"/>
      <c r="L93" s="1705"/>
      <c r="P93" s="4299"/>
      <c r="Q93" s="2857"/>
      <c r="R93" s="4299"/>
      <c r="S93" s="2857"/>
      <c r="T93" s="4299"/>
      <c r="U93" s="2857"/>
      <c r="V93" s="4298"/>
      <c r="W93" s="4298"/>
    </row>
    <row r="94" spans="1:23" s="1" customFormat="1" ht="12.75" hidden="1" customHeight="1" x14ac:dyDescent="0.25">
      <c r="A94" s="737" t="s">
        <v>164</v>
      </c>
      <c r="B94" s="725" t="s">
        <v>165</v>
      </c>
      <c r="C94" s="712"/>
      <c r="D94" s="715"/>
      <c r="E94" s="720"/>
      <c r="F94" s="1664">
        <f t="shared" si="4"/>
        <v>0</v>
      </c>
      <c r="G94" s="13"/>
      <c r="H94" s="1861">
        <f t="shared" si="4"/>
        <v>0</v>
      </c>
      <c r="I94" s="1705"/>
      <c r="J94" s="1861">
        <f t="shared" si="4"/>
        <v>0</v>
      </c>
      <c r="K94" s="1705"/>
      <c r="L94" s="1705"/>
      <c r="P94" s="4299"/>
      <c r="Q94" s="2857"/>
      <c r="R94" s="4299"/>
      <c r="S94" s="2857"/>
      <c r="T94" s="4299"/>
      <c r="U94" s="2857"/>
      <c r="V94" s="4298"/>
      <c r="W94" s="4298"/>
    </row>
    <row r="95" spans="1:23" s="1" customFormat="1" ht="12.75" hidden="1" customHeight="1" x14ac:dyDescent="0.25">
      <c r="A95" s="737" t="s">
        <v>166</v>
      </c>
      <c r="B95" s="726" t="s">
        <v>167</v>
      </c>
      <c r="C95" s="712"/>
      <c r="D95" s="715"/>
      <c r="E95" s="720"/>
      <c r="F95" s="1664">
        <f t="shared" si="4"/>
        <v>0</v>
      </c>
      <c r="G95" s="13"/>
      <c r="H95" s="1861">
        <f t="shared" si="4"/>
        <v>0</v>
      </c>
      <c r="I95" s="1705"/>
      <c r="J95" s="1861">
        <f t="shared" si="4"/>
        <v>0</v>
      </c>
      <c r="K95" s="1705"/>
      <c r="L95" s="1705"/>
      <c r="P95" s="4299"/>
      <c r="Q95" s="2857"/>
      <c r="R95" s="4299"/>
      <c r="S95" s="2857"/>
      <c r="T95" s="4299"/>
      <c r="U95" s="2857"/>
      <c r="V95" s="4298"/>
      <c r="W95" s="4298"/>
    </row>
    <row r="96" spans="1:23" s="1" customFormat="1" ht="12.75" hidden="1" customHeight="1" x14ac:dyDescent="0.25">
      <c r="A96" s="737" t="s">
        <v>168</v>
      </c>
      <c r="B96" s="726" t="s">
        <v>169</v>
      </c>
      <c r="C96" s="712"/>
      <c r="D96" s="715"/>
      <c r="E96" s="720"/>
      <c r="F96" s="1664">
        <f t="shared" si="4"/>
        <v>0</v>
      </c>
      <c r="G96" s="13"/>
      <c r="H96" s="1861">
        <f t="shared" si="4"/>
        <v>0</v>
      </c>
      <c r="I96" s="1705"/>
      <c r="J96" s="1861">
        <f t="shared" si="4"/>
        <v>0</v>
      </c>
      <c r="K96" s="1705"/>
      <c r="L96" s="1705"/>
      <c r="P96" s="4299"/>
      <c r="Q96" s="2857"/>
      <c r="R96" s="4299"/>
      <c r="S96" s="2857"/>
      <c r="T96" s="4299"/>
      <c r="U96" s="2857"/>
      <c r="V96" s="4298"/>
      <c r="W96" s="4298"/>
    </row>
    <row r="97" spans="1:23" s="1" customFormat="1" ht="12.75" hidden="1" customHeight="1" x14ac:dyDescent="0.25">
      <c r="A97" s="737" t="s">
        <v>170</v>
      </c>
      <c r="B97" s="725" t="s">
        <v>171</v>
      </c>
      <c r="C97" s="712"/>
      <c r="D97" s="715"/>
      <c r="E97" s="720"/>
      <c r="F97" s="1664">
        <f t="shared" si="4"/>
        <v>0</v>
      </c>
      <c r="G97" s="13"/>
      <c r="H97" s="1861">
        <f t="shared" si="4"/>
        <v>0</v>
      </c>
      <c r="I97" s="1705"/>
      <c r="J97" s="1861">
        <f t="shared" si="4"/>
        <v>0</v>
      </c>
      <c r="K97" s="1705"/>
      <c r="L97" s="1705"/>
      <c r="P97" s="4299"/>
      <c r="Q97" s="2857"/>
      <c r="R97" s="4299"/>
      <c r="S97" s="2857"/>
      <c r="T97" s="4299"/>
      <c r="U97" s="2857"/>
      <c r="V97" s="4298"/>
      <c r="W97" s="4298"/>
    </row>
    <row r="98" spans="1:23" s="1" customFormat="1" ht="12.75" hidden="1" customHeight="1" x14ac:dyDescent="0.25">
      <c r="A98" s="737" t="s">
        <v>172</v>
      </c>
      <c r="B98" s="725" t="s">
        <v>173</v>
      </c>
      <c r="C98" s="712"/>
      <c r="D98" s="715"/>
      <c r="E98" s="720"/>
      <c r="F98" s="1664">
        <f t="shared" si="4"/>
        <v>0</v>
      </c>
      <c r="G98" s="13"/>
      <c r="H98" s="1861">
        <f t="shared" si="4"/>
        <v>0</v>
      </c>
      <c r="I98" s="1705"/>
      <c r="J98" s="1861">
        <f t="shared" si="4"/>
        <v>0</v>
      </c>
      <c r="K98" s="1705"/>
      <c r="L98" s="1705"/>
      <c r="P98" s="4299"/>
      <c r="Q98" s="2857"/>
      <c r="R98" s="4299"/>
      <c r="S98" s="2857"/>
      <c r="T98" s="4299"/>
      <c r="U98" s="2857"/>
      <c r="V98" s="4298"/>
      <c r="W98" s="4298"/>
    </row>
    <row r="99" spans="1:23" s="1" customFormat="1" ht="12.75" hidden="1" customHeight="1" x14ac:dyDescent="0.25">
      <c r="A99" s="737" t="s">
        <v>174</v>
      </c>
      <c r="B99" s="726" t="s">
        <v>175</v>
      </c>
      <c r="C99" s="712"/>
      <c r="D99" s="715"/>
      <c r="E99" s="720"/>
      <c r="F99" s="1664">
        <f t="shared" si="4"/>
        <v>0</v>
      </c>
      <c r="G99" s="13"/>
      <c r="H99" s="1861">
        <f t="shared" si="4"/>
        <v>0</v>
      </c>
      <c r="I99" s="1705"/>
      <c r="J99" s="1861">
        <f t="shared" si="4"/>
        <v>0</v>
      </c>
      <c r="K99" s="1705"/>
      <c r="L99" s="1705"/>
      <c r="P99" s="4299"/>
      <c r="Q99" s="2857"/>
      <c r="R99" s="4299"/>
      <c r="S99" s="2857"/>
      <c r="T99" s="4299"/>
      <c r="U99" s="2857"/>
      <c r="V99" s="4298"/>
      <c r="W99" s="4298"/>
    </row>
    <row r="100" spans="1:23" s="1" customFormat="1" ht="12.75" hidden="1" customHeight="1" x14ac:dyDescent="0.25">
      <c r="A100" s="737" t="s">
        <v>176</v>
      </c>
      <c r="B100" s="727" t="s">
        <v>177</v>
      </c>
      <c r="C100" s="712"/>
      <c r="D100" s="715"/>
      <c r="E100" s="720"/>
      <c r="F100" s="1664">
        <f t="shared" si="4"/>
        <v>0</v>
      </c>
      <c r="G100" s="13"/>
      <c r="H100" s="1861">
        <f t="shared" si="4"/>
        <v>0</v>
      </c>
      <c r="I100" s="1705"/>
      <c r="J100" s="1861">
        <f t="shared" si="4"/>
        <v>0</v>
      </c>
      <c r="K100" s="1705"/>
      <c r="L100" s="1705"/>
      <c r="P100" s="4299"/>
      <c r="Q100" s="2857"/>
      <c r="R100" s="4299"/>
      <c r="S100" s="2857"/>
      <c r="T100" s="4299"/>
      <c r="U100" s="2857"/>
      <c r="V100" s="4298"/>
      <c r="W100" s="4298"/>
    </row>
    <row r="101" spans="1:23" s="1" customFormat="1" ht="12.75" hidden="1" customHeight="1" x14ac:dyDescent="0.25">
      <c r="A101" s="737" t="s">
        <v>178</v>
      </c>
      <c r="B101" s="727" t="s">
        <v>179</v>
      </c>
      <c r="C101" s="712"/>
      <c r="D101" s="715"/>
      <c r="E101" s="720"/>
      <c r="F101" s="1664">
        <f t="shared" si="4"/>
        <v>0</v>
      </c>
      <c r="G101" s="13"/>
      <c r="H101" s="1861">
        <f t="shared" si="4"/>
        <v>0</v>
      </c>
      <c r="I101" s="1705"/>
      <c r="J101" s="1861">
        <f t="shared" si="4"/>
        <v>0</v>
      </c>
      <c r="K101" s="1705"/>
      <c r="L101" s="1705"/>
      <c r="P101" s="4299"/>
      <c r="Q101" s="2857"/>
      <c r="R101" s="4299"/>
      <c r="S101" s="2857"/>
      <c r="T101" s="4299"/>
      <c r="U101" s="2857"/>
      <c r="V101" s="4298"/>
      <c r="W101" s="4298"/>
    </row>
    <row r="102" spans="1:23" s="1" customFormat="1" ht="12.75" hidden="1" customHeight="1" x14ac:dyDescent="0.25">
      <c r="A102" s="737" t="s">
        <v>180</v>
      </c>
      <c r="B102" s="728" t="s">
        <v>181</v>
      </c>
      <c r="C102" s="712"/>
      <c r="D102" s="715"/>
      <c r="E102" s="720"/>
      <c r="F102" s="1664">
        <f t="shared" si="4"/>
        <v>0</v>
      </c>
      <c r="G102" s="29"/>
      <c r="H102" s="1861">
        <f t="shared" si="4"/>
        <v>0</v>
      </c>
      <c r="I102" s="1706"/>
      <c r="J102" s="1861">
        <f t="shared" si="4"/>
        <v>0</v>
      </c>
      <c r="K102" s="1706"/>
      <c r="L102" s="1706"/>
      <c r="P102" s="4299"/>
      <c r="Q102" s="2857"/>
      <c r="R102" s="4299"/>
      <c r="S102" s="2857"/>
      <c r="T102" s="4299"/>
      <c r="U102" s="2857"/>
      <c r="V102" s="4298"/>
      <c r="W102" s="4298"/>
    </row>
    <row r="103" spans="1:23" s="1" customFormat="1" ht="21" customHeight="1" thickBot="1" x14ac:dyDescent="0.3">
      <c r="A103" s="722" t="s">
        <v>17</v>
      </c>
      <c r="B103" s="721" t="s">
        <v>182</v>
      </c>
      <c r="C103" s="712">
        <v>1591929828</v>
      </c>
      <c r="D103" s="715">
        <v>2381398297</v>
      </c>
      <c r="E103" s="705">
        <f>SUM('2. sz. mell'!F67)</f>
        <v>1501283400</v>
      </c>
      <c r="F103" s="1664">
        <f t="shared" si="4"/>
        <v>845874212</v>
      </c>
      <c r="G103" s="6">
        <f>SUM('2. sz. mell'!H67)</f>
        <v>2347157612</v>
      </c>
      <c r="H103" s="1861">
        <f t="shared" si="4"/>
        <v>-81819741</v>
      </c>
      <c r="I103" s="14">
        <f>SUM('2. sz. mell'!J67)</f>
        <v>2265337871</v>
      </c>
      <c r="J103" s="1861">
        <f t="shared" si="4"/>
        <v>0</v>
      </c>
      <c r="K103" s="14">
        <f>SUM('2. sz. mell'!L67)</f>
        <v>2265337871</v>
      </c>
      <c r="L103" s="14">
        <f>SUM('2. sz. mell'!M67)</f>
        <v>1277925554</v>
      </c>
      <c r="P103" s="4299"/>
      <c r="Q103" s="2857"/>
      <c r="R103" s="4299"/>
      <c r="S103" s="2857"/>
      <c r="T103" s="4299"/>
      <c r="U103" s="2857"/>
      <c r="V103" s="4298"/>
      <c r="W103" s="4298"/>
    </row>
    <row r="104" spans="1:23" s="1" customFormat="1" ht="12.75" hidden="1" customHeight="1" x14ac:dyDescent="0.25">
      <c r="A104" s="737" t="s">
        <v>5</v>
      </c>
      <c r="B104" s="709" t="s">
        <v>183</v>
      </c>
      <c r="C104" s="712"/>
      <c r="D104" s="715"/>
      <c r="E104" s="720"/>
      <c r="F104" s="1664">
        <f t="shared" si="4"/>
        <v>0</v>
      </c>
      <c r="G104" s="9"/>
      <c r="H104" s="1861">
        <f t="shared" si="4"/>
        <v>0</v>
      </c>
      <c r="I104" s="1707"/>
      <c r="J104" s="1861">
        <f t="shared" si="4"/>
        <v>0</v>
      </c>
      <c r="K104" s="1707"/>
      <c r="L104" s="1707"/>
    </row>
    <row r="105" spans="1:23" s="1" customFormat="1" ht="12.75" hidden="1" customHeight="1" x14ac:dyDescent="0.25">
      <c r="A105" s="737" t="s">
        <v>7</v>
      </c>
      <c r="B105" s="729" t="s">
        <v>184</v>
      </c>
      <c r="C105" s="712"/>
      <c r="D105" s="715"/>
      <c r="E105" s="720"/>
      <c r="F105" s="1664">
        <f t="shared" si="4"/>
        <v>0</v>
      </c>
      <c r="G105" s="9"/>
      <c r="H105" s="1861">
        <f t="shared" si="4"/>
        <v>0</v>
      </c>
      <c r="I105" s="1707"/>
      <c r="J105" s="1861">
        <f t="shared" si="4"/>
        <v>0</v>
      </c>
      <c r="K105" s="1707"/>
      <c r="L105" s="1707"/>
    </row>
    <row r="106" spans="1:23" s="1" customFormat="1" ht="12.75" hidden="1" customHeight="1" x14ac:dyDescent="0.25">
      <c r="A106" s="737" t="s">
        <v>9</v>
      </c>
      <c r="B106" s="729" t="s">
        <v>185</v>
      </c>
      <c r="C106" s="712"/>
      <c r="D106" s="715"/>
      <c r="E106" s="720"/>
      <c r="F106" s="1664">
        <f t="shared" si="4"/>
        <v>0</v>
      </c>
      <c r="G106" s="11"/>
      <c r="H106" s="1861">
        <f t="shared" si="4"/>
        <v>0</v>
      </c>
      <c r="I106" s="1704"/>
      <c r="J106" s="1861">
        <f t="shared" si="4"/>
        <v>0</v>
      </c>
      <c r="K106" s="1704"/>
      <c r="L106" s="1704"/>
    </row>
    <row r="107" spans="1:23" s="1" customFormat="1" ht="12.75" hidden="1" customHeight="1" x14ac:dyDescent="0.25">
      <c r="A107" s="737" t="s">
        <v>11</v>
      </c>
      <c r="B107" s="729" t="s">
        <v>186</v>
      </c>
      <c r="C107" s="712"/>
      <c r="D107" s="715"/>
      <c r="E107" s="720"/>
      <c r="F107" s="1664">
        <f t="shared" si="4"/>
        <v>0</v>
      </c>
      <c r="G107" s="31"/>
      <c r="H107" s="1861">
        <f t="shared" si="4"/>
        <v>0</v>
      </c>
      <c r="I107" s="1708"/>
      <c r="J107" s="1861">
        <f t="shared" si="4"/>
        <v>0</v>
      </c>
      <c r="K107" s="1708"/>
      <c r="L107" s="1708"/>
    </row>
    <row r="108" spans="1:23" s="1" customFormat="1" ht="12.75" hidden="1" customHeight="1" x14ac:dyDescent="0.25">
      <c r="A108" s="737" t="s">
        <v>13</v>
      </c>
      <c r="B108" s="730" t="s">
        <v>187</v>
      </c>
      <c r="C108" s="712"/>
      <c r="D108" s="715"/>
      <c r="E108" s="720"/>
      <c r="F108" s="1664">
        <f t="shared" si="4"/>
        <v>0</v>
      </c>
      <c r="G108" s="31"/>
      <c r="H108" s="1861">
        <f t="shared" si="4"/>
        <v>0</v>
      </c>
      <c r="I108" s="1708"/>
      <c r="J108" s="1861">
        <f t="shared" si="4"/>
        <v>0</v>
      </c>
      <c r="K108" s="1708"/>
      <c r="L108" s="1708"/>
    </row>
    <row r="109" spans="1:23" s="1" customFormat="1" ht="12.75" hidden="1" customHeight="1" x14ac:dyDescent="0.25">
      <c r="A109" s="737" t="s">
        <v>15</v>
      </c>
      <c r="B109" s="731" t="s">
        <v>188</v>
      </c>
      <c r="C109" s="712"/>
      <c r="D109" s="715"/>
      <c r="E109" s="720"/>
      <c r="F109" s="1664">
        <f t="shared" si="4"/>
        <v>0</v>
      </c>
      <c r="G109" s="31"/>
      <c r="H109" s="1861">
        <f t="shared" si="4"/>
        <v>0</v>
      </c>
      <c r="I109" s="1708"/>
      <c r="J109" s="1861">
        <f t="shared" si="4"/>
        <v>0</v>
      </c>
      <c r="K109" s="1708"/>
      <c r="L109" s="1708"/>
    </row>
    <row r="110" spans="1:23" s="1" customFormat="1" ht="12.75" hidden="1" customHeight="1" x14ac:dyDescent="0.25">
      <c r="A110" s="737" t="s">
        <v>189</v>
      </c>
      <c r="B110" s="732" t="s">
        <v>190</v>
      </c>
      <c r="C110" s="712"/>
      <c r="D110" s="715"/>
      <c r="E110" s="720"/>
      <c r="F110" s="1664">
        <f t="shared" si="4"/>
        <v>0</v>
      </c>
      <c r="G110" s="31"/>
      <c r="H110" s="1861">
        <f t="shared" si="4"/>
        <v>0</v>
      </c>
      <c r="I110" s="1708"/>
      <c r="J110" s="1861">
        <f t="shared" si="4"/>
        <v>0</v>
      </c>
      <c r="K110" s="1708"/>
      <c r="L110" s="1708"/>
    </row>
    <row r="111" spans="1:23" s="1" customFormat="1" ht="12.75" hidden="1" customHeight="1" x14ac:dyDescent="0.25">
      <c r="A111" s="737" t="s">
        <v>191</v>
      </c>
      <c r="B111" s="726" t="s">
        <v>169</v>
      </c>
      <c r="C111" s="712"/>
      <c r="D111" s="715"/>
      <c r="E111" s="720"/>
      <c r="F111" s="1664">
        <f t="shared" si="4"/>
        <v>0</v>
      </c>
      <c r="G111" s="31"/>
      <c r="H111" s="1861">
        <f t="shared" si="4"/>
        <v>0</v>
      </c>
      <c r="I111" s="1708"/>
      <c r="J111" s="1861">
        <f t="shared" si="4"/>
        <v>0</v>
      </c>
      <c r="K111" s="1708"/>
      <c r="L111" s="1708"/>
    </row>
    <row r="112" spans="1:23" s="1" customFormat="1" ht="12.75" hidden="1" customHeight="1" x14ac:dyDescent="0.25">
      <c r="A112" s="737" t="s">
        <v>192</v>
      </c>
      <c r="B112" s="726" t="s">
        <v>193</v>
      </c>
      <c r="C112" s="712"/>
      <c r="D112" s="715"/>
      <c r="E112" s="720"/>
      <c r="F112" s="1664">
        <f t="shared" si="4"/>
        <v>0</v>
      </c>
      <c r="G112" s="31"/>
      <c r="H112" s="1861">
        <f t="shared" si="4"/>
        <v>0</v>
      </c>
      <c r="I112" s="1708"/>
      <c r="J112" s="1861">
        <f t="shared" si="4"/>
        <v>0</v>
      </c>
      <c r="K112" s="1708"/>
      <c r="L112" s="1708"/>
    </row>
    <row r="113" spans="1:23" s="1" customFormat="1" ht="12.75" hidden="1" customHeight="1" x14ac:dyDescent="0.25">
      <c r="A113" s="737" t="s">
        <v>194</v>
      </c>
      <c r="B113" s="726" t="s">
        <v>195</v>
      </c>
      <c r="C113" s="712"/>
      <c r="D113" s="715"/>
      <c r="E113" s="720"/>
      <c r="F113" s="1664">
        <f t="shared" si="4"/>
        <v>0</v>
      </c>
      <c r="G113" s="31"/>
      <c r="H113" s="1861">
        <f t="shared" si="4"/>
        <v>0</v>
      </c>
      <c r="I113" s="1708"/>
      <c r="J113" s="1861">
        <f t="shared" si="4"/>
        <v>0</v>
      </c>
      <c r="K113" s="1708"/>
      <c r="L113" s="1708"/>
    </row>
    <row r="114" spans="1:23" s="1" customFormat="1" ht="12.75" hidden="1" customHeight="1" x14ac:dyDescent="0.25">
      <c r="A114" s="737" t="s">
        <v>196</v>
      </c>
      <c r="B114" s="726" t="s">
        <v>175</v>
      </c>
      <c r="C114" s="712"/>
      <c r="D114" s="715"/>
      <c r="E114" s="720"/>
      <c r="F114" s="1664">
        <f t="shared" si="4"/>
        <v>0</v>
      </c>
      <c r="G114" s="31"/>
      <c r="H114" s="1861">
        <f t="shared" si="4"/>
        <v>0</v>
      </c>
      <c r="I114" s="1708"/>
      <c r="J114" s="1861">
        <f t="shared" si="4"/>
        <v>0</v>
      </c>
      <c r="K114" s="1708"/>
      <c r="L114" s="1708"/>
    </row>
    <row r="115" spans="1:23" s="1" customFormat="1" ht="12.75" hidden="1" customHeight="1" x14ac:dyDescent="0.25">
      <c r="A115" s="737" t="s">
        <v>197</v>
      </c>
      <c r="B115" s="726" t="s">
        <v>198</v>
      </c>
      <c r="C115" s="712"/>
      <c r="D115" s="715"/>
      <c r="E115" s="720"/>
      <c r="F115" s="1664">
        <f t="shared" si="4"/>
        <v>0</v>
      </c>
      <c r="G115" s="31"/>
      <c r="H115" s="1861">
        <f t="shared" si="4"/>
        <v>0</v>
      </c>
      <c r="I115" s="1708"/>
      <c r="J115" s="1861">
        <f t="shared" si="4"/>
        <v>0</v>
      </c>
      <c r="K115" s="1708"/>
      <c r="L115" s="1708"/>
    </row>
    <row r="116" spans="1:23" s="1" customFormat="1" ht="12.75" hidden="1" customHeight="1" x14ac:dyDescent="0.25">
      <c r="A116" s="737" t="s">
        <v>199</v>
      </c>
      <c r="B116" s="726" t="s">
        <v>200</v>
      </c>
      <c r="C116" s="712"/>
      <c r="D116" s="715"/>
      <c r="E116" s="720"/>
      <c r="F116" s="1664">
        <f t="shared" si="4"/>
        <v>0</v>
      </c>
      <c r="G116" s="32"/>
      <c r="H116" s="1861">
        <f t="shared" si="4"/>
        <v>0</v>
      </c>
      <c r="I116" s="1709"/>
      <c r="J116" s="1861">
        <f t="shared" si="4"/>
        <v>0</v>
      </c>
      <c r="K116" s="1709"/>
      <c r="L116" s="1709"/>
    </row>
    <row r="117" spans="1:23" s="1" customFormat="1" ht="12.75" hidden="1" customHeight="1" x14ac:dyDescent="0.25">
      <c r="A117" s="722" t="s">
        <v>31</v>
      </c>
      <c r="B117" s="733" t="s">
        <v>201</v>
      </c>
      <c r="C117" s="712"/>
      <c r="D117" s="715"/>
      <c r="E117" s="705"/>
      <c r="F117" s="1664">
        <f t="shared" si="4"/>
        <v>0</v>
      </c>
      <c r="G117" s="6"/>
      <c r="H117" s="1861">
        <f t="shared" si="4"/>
        <v>0</v>
      </c>
      <c r="I117" s="14"/>
      <c r="J117" s="1861">
        <f t="shared" si="4"/>
        <v>0</v>
      </c>
      <c r="K117" s="14"/>
      <c r="L117" s="14"/>
    </row>
    <row r="118" spans="1:23" s="1" customFormat="1" ht="12.75" hidden="1" customHeight="1" x14ac:dyDescent="0.25">
      <c r="A118" s="737" t="s">
        <v>19</v>
      </c>
      <c r="B118" s="734" t="s">
        <v>202</v>
      </c>
      <c r="C118" s="712"/>
      <c r="D118" s="715"/>
      <c r="E118" s="720"/>
      <c r="F118" s="1664">
        <f t="shared" si="4"/>
        <v>0</v>
      </c>
      <c r="G118" s="9"/>
      <c r="H118" s="1861">
        <f t="shared" si="4"/>
        <v>0</v>
      </c>
      <c r="I118" s="1707"/>
      <c r="J118" s="1861">
        <f t="shared" si="4"/>
        <v>0</v>
      </c>
      <c r="K118" s="1707"/>
      <c r="L118" s="1707"/>
    </row>
    <row r="119" spans="1:23" s="1" customFormat="1" ht="12.75" hidden="1" customHeight="1" x14ac:dyDescent="0.25">
      <c r="A119" s="737" t="s">
        <v>21</v>
      </c>
      <c r="B119" s="729" t="s">
        <v>203</v>
      </c>
      <c r="C119" s="712"/>
      <c r="D119" s="715"/>
      <c r="E119" s="720"/>
      <c r="F119" s="1664">
        <f t="shared" si="4"/>
        <v>0</v>
      </c>
      <c r="G119" s="13"/>
      <c r="H119" s="1861">
        <f t="shared" si="4"/>
        <v>0</v>
      </c>
      <c r="I119" s="1705"/>
      <c r="J119" s="1861">
        <f t="shared" si="4"/>
        <v>0</v>
      </c>
      <c r="K119" s="1705"/>
      <c r="L119" s="1705"/>
    </row>
    <row r="120" spans="1:23" s="1" customFormat="1" ht="27" customHeight="1" thickBot="1" x14ac:dyDescent="0.35">
      <c r="A120" s="722" t="s">
        <v>45</v>
      </c>
      <c r="B120" s="733" t="s">
        <v>204</v>
      </c>
      <c r="C120" s="706">
        <f>+C87+C103+C117</f>
        <v>5402692827</v>
      </c>
      <c r="D120" s="716">
        <v>6391525751</v>
      </c>
      <c r="E120" s="706">
        <f>+E87+E103+E117</f>
        <v>5070517150</v>
      </c>
      <c r="F120" s="1664">
        <f t="shared" si="4"/>
        <v>1649163310</v>
      </c>
      <c r="G120" s="14">
        <f>+G87+G103+G117</f>
        <v>6719680460</v>
      </c>
      <c r="H120" s="1861">
        <f t="shared" si="4"/>
        <v>93445469</v>
      </c>
      <c r="I120" s="14">
        <f>+I87+I103+I117</f>
        <v>6813125929</v>
      </c>
      <c r="J120" s="1861">
        <f t="shared" si="4"/>
        <v>1747959</v>
      </c>
      <c r="K120" s="14">
        <f>+K87+K103+K117</f>
        <v>6814873888</v>
      </c>
      <c r="L120" s="14">
        <f>+L87+L103+L117</f>
        <v>5371104627</v>
      </c>
      <c r="O120" s="525" t="s">
        <v>809</v>
      </c>
      <c r="P120" s="526">
        <f>SUM('1.1.sz.mell  '!E71)</f>
        <v>5070517150</v>
      </c>
      <c r="Q120" s="526"/>
      <c r="R120" s="526">
        <f>SUM('1.1.sz.mell  '!G71)</f>
        <v>6519680460</v>
      </c>
      <c r="S120" s="526"/>
      <c r="T120" s="526">
        <f>SUM('1.1.sz.mell  '!I71)</f>
        <v>6813125929</v>
      </c>
      <c r="U120" s="526"/>
      <c r="V120" s="526">
        <f>SUM('1.1.sz.mell  '!K71)</f>
        <v>6814873888</v>
      </c>
      <c r="W120" s="526">
        <f>SUM('1.1.sz.mell  '!L71)</f>
        <v>5371104627</v>
      </c>
    </row>
    <row r="121" spans="1:23" s="1" customFormat="1" ht="21.75" customHeight="1" thickBot="1" x14ac:dyDescent="0.3">
      <c r="A121" s="722" t="s">
        <v>67</v>
      </c>
      <c r="B121" s="733" t="s">
        <v>205</v>
      </c>
      <c r="C121" s="712">
        <v>1504262363</v>
      </c>
      <c r="D121" s="2460">
        <v>0</v>
      </c>
      <c r="E121" s="705">
        <f>'2. sz. mell'!F87</f>
        <v>0</v>
      </c>
      <c r="F121" s="1664">
        <f t="shared" si="4"/>
        <v>0</v>
      </c>
      <c r="G121" s="6">
        <f>'2. sz. mell'!H87</f>
        <v>0</v>
      </c>
      <c r="H121" s="1861">
        <f t="shared" si="4"/>
        <v>0</v>
      </c>
      <c r="I121" s="14">
        <f>'2. sz. mell'!J87</f>
        <v>0</v>
      </c>
      <c r="J121" s="1861">
        <f t="shared" si="4"/>
        <v>0</v>
      </c>
      <c r="K121" s="14">
        <f>'2. sz. mell'!L87</f>
        <v>0</v>
      </c>
      <c r="L121" s="14">
        <f>'2. sz. mell'!M87</f>
        <v>0</v>
      </c>
      <c r="O121" s="96" t="s">
        <v>778</v>
      </c>
      <c r="P121" s="531">
        <f>SUM(P120-E120)</f>
        <v>0</v>
      </c>
      <c r="Q121" s="531"/>
      <c r="R121" s="531">
        <f>SUM(R120-G120)</f>
        <v>-200000000</v>
      </c>
      <c r="S121" s="531"/>
      <c r="T121" s="527">
        <f>SUM(T113-I162)</f>
        <v>0</v>
      </c>
      <c r="U121" s="527"/>
      <c r="V121" s="527">
        <f>SUM(V113-K162)</f>
        <v>0</v>
      </c>
      <c r="W121" s="531">
        <f>SUM(W120-L120)</f>
        <v>0</v>
      </c>
    </row>
    <row r="122" spans="1:23" s="1" customFormat="1" ht="12.75" hidden="1" customHeight="1" x14ac:dyDescent="0.25">
      <c r="A122" s="737" t="s">
        <v>47</v>
      </c>
      <c r="B122" s="734" t="s">
        <v>206</v>
      </c>
      <c r="C122" s="712"/>
      <c r="D122" s="715"/>
      <c r="E122" s="720"/>
      <c r="F122" s="1664">
        <f t="shared" si="4"/>
        <v>0</v>
      </c>
      <c r="G122" s="31"/>
      <c r="H122" s="1861">
        <f t="shared" si="4"/>
        <v>0</v>
      </c>
      <c r="I122" s="1708"/>
      <c r="J122" s="1861">
        <f t="shared" si="4"/>
        <v>0</v>
      </c>
      <c r="K122" s="1708"/>
      <c r="L122" s="1708"/>
    </row>
    <row r="123" spans="1:23" s="1" customFormat="1" ht="12.75" hidden="1" customHeight="1" x14ac:dyDescent="0.25">
      <c r="A123" s="737" t="s">
        <v>49</v>
      </c>
      <c r="B123" s="734" t="s">
        <v>207</v>
      </c>
      <c r="C123" s="712"/>
      <c r="D123" s="715"/>
      <c r="E123" s="720"/>
      <c r="F123" s="1664">
        <f t="shared" si="4"/>
        <v>0</v>
      </c>
      <c r="G123" s="31"/>
      <c r="H123" s="1861">
        <f t="shared" si="4"/>
        <v>0</v>
      </c>
      <c r="I123" s="1708"/>
      <c r="J123" s="1861">
        <f t="shared" si="4"/>
        <v>0</v>
      </c>
      <c r="K123" s="1708"/>
      <c r="L123" s="1708"/>
    </row>
    <row r="124" spans="1:23" s="1" customFormat="1" ht="12.75" hidden="1" customHeight="1" x14ac:dyDescent="0.25">
      <c r="A124" s="737" t="s">
        <v>51</v>
      </c>
      <c r="B124" s="28" t="s">
        <v>208</v>
      </c>
      <c r="C124" s="712"/>
      <c r="D124" s="715"/>
      <c r="E124" s="720"/>
      <c r="F124" s="1664">
        <f t="shared" si="4"/>
        <v>0</v>
      </c>
      <c r="G124" s="31"/>
      <c r="H124" s="1861">
        <f t="shared" si="4"/>
        <v>0</v>
      </c>
      <c r="I124" s="1708"/>
      <c r="J124" s="1861">
        <f t="shared" si="4"/>
        <v>0</v>
      </c>
      <c r="K124" s="1708"/>
      <c r="L124" s="1708"/>
    </row>
    <row r="125" spans="1:23" s="1" customFormat="1" ht="21" customHeight="1" thickBot="1" x14ac:dyDescent="0.3">
      <c r="A125" s="722" t="s">
        <v>79</v>
      </c>
      <c r="B125" s="733" t="s">
        <v>209</v>
      </c>
      <c r="C125" s="712">
        <v>472741952</v>
      </c>
      <c r="D125" s="715">
        <v>2108050000</v>
      </c>
      <c r="E125" s="705">
        <f>'2. sz. mell'!F88</f>
        <v>581321000</v>
      </c>
      <c r="F125" s="1664">
        <f t="shared" si="4"/>
        <v>1096200000</v>
      </c>
      <c r="G125" s="6">
        <f>'2. sz. mell'!H88</f>
        <v>1677521000</v>
      </c>
      <c r="H125" s="1861">
        <f t="shared" si="4"/>
        <v>-180851145</v>
      </c>
      <c r="I125" s="14">
        <f>'2. sz. mell'!J88</f>
        <v>1496669855</v>
      </c>
      <c r="J125" s="1861">
        <f t="shared" si="4"/>
        <v>0</v>
      </c>
      <c r="K125" s="14">
        <f>'2. sz. mell'!L88</f>
        <v>1496669855</v>
      </c>
      <c r="L125" s="14">
        <f>'2. sz. mell'!M88</f>
        <v>1357269500</v>
      </c>
    </row>
    <row r="126" spans="1:23" s="1" customFormat="1" ht="12.75" hidden="1" customHeight="1" x14ac:dyDescent="0.25">
      <c r="A126" s="737" t="s">
        <v>69</v>
      </c>
      <c r="B126" s="734" t="s">
        <v>210</v>
      </c>
      <c r="C126" s="712"/>
      <c r="D126" s="715"/>
      <c r="E126" s="720"/>
      <c r="F126" s="1664">
        <f t="shared" si="4"/>
        <v>0</v>
      </c>
      <c r="G126" s="31"/>
      <c r="H126" s="1861">
        <f t="shared" si="4"/>
        <v>0</v>
      </c>
      <c r="I126" s="1708"/>
      <c r="J126" s="1861">
        <f t="shared" si="4"/>
        <v>0</v>
      </c>
      <c r="K126" s="1708"/>
      <c r="L126" s="1708"/>
    </row>
    <row r="127" spans="1:23" s="1" customFormat="1" ht="12.75" hidden="1" customHeight="1" x14ac:dyDescent="0.25">
      <c r="A127" s="737" t="s">
        <v>71</v>
      </c>
      <c r="B127" s="734" t="s">
        <v>211</v>
      </c>
      <c r="C127" s="712"/>
      <c r="D127" s="715"/>
      <c r="E127" s="720"/>
      <c r="F127" s="1664">
        <f t="shared" si="4"/>
        <v>0</v>
      </c>
      <c r="G127" s="31"/>
      <c r="H127" s="1861">
        <f t="shared" si="4"/>
        <v>0</v>
      </c>
      <c r="I127" s="1708"/>
      <c r="J127" s="1861">
        <f t="shared" si="4"/>
        <v>0</v>
      </c>
      <c r="K127" s="1708"/>
      <c r="L127" s="1708"/>
    </row>
    <row r="128" spans="1:23" s="1" customFormat="1" ht="12.75" hidden="1" customHeight="1" x14ac:dyDescent="0.25">
      <c r="A128" s="737" t="s">
        <v>73</v>
      </c>
      <c r="B128" s="734" t="s">
        <v>212</v>
      </c>
      <c r="C128" s="712"/>
      <c r="D128" s="715"/>
      <c r="E128" s="720"/>
      <c r="F128" s="1664">
        <f t="shared" si="4"/>
        <v>0</v>
      </c>
      <c r="G128" s="31"/>
      <c r="H128" s="1861">
        <f t="shared" si="4"/>
        <v>0</v>
      </c>
      <c r="I128" s="1708"/>
      <c r="J128" s="1861">
        <f t="shared" si="4"/>
        <v>0</v>
      </c>
      <c r="K128" s="1708"/>
      <c r="L128" s="1708"/>
    </row>
    <row r="129" spans="1:24" s="1" customFormat="1" ht="12.75" hidden="1" customHeight="1" x14ac:dyDescent="0.25">
      <c r="A129" s="737" t="s">
        <v>75</v>
      </c>
      <c r="B129" s="28" t="s">
        <v>213</v>
      </c>
      <c r="C129" s="712"/>
      <c r="D129" s="715"/>
      <c r="E129" s="720"/>
      <c r="F129" s="1664">
        <f t="shared" si="4"/>
        <v>0</v>
      </c>
      <c r="G129" s="31"/>
      <c r="H129" s="1861">
        <f t="shared" si="4"/>
        <v>0</v>
      </c>
      <c r="I129" s="1708"/>
      <c r="J129" s="1861">
        <f t="shared" si="4"/>
        <v>0</v>
      </c>
      <c r="K129" s="1708"/>
      <c r="L129" s="1708"/>
    </row>
    <row r="130" spans="1:24" s="1" customFormat="1" ht="21" customHeight="1" thickBot="1" x14ac:dyDescent="0.35">
      <c r="A130" s="722" t="s">
        <v>89</v>
      </c>
      <c r="B130" s="733" t="s">
        <v>214</v>
      </c>
      <c r="C130" s="712"/>
      <c r="D130" s="715">
        <v>351384007</v>
      </c>
      <c r="E130" s="705">
        <f>'2. sz. mell'!F89</f>
        <v>0</v>
      </c>
      <c r="F130" s="1664">
        <f t="shared" si="4"/>
        <v>224907461</v>
      </c>
      <c r="G130" s="6">
        <f>'2. sz. mell'!H89+'2. sz. mell'!H90</f>
        <v>224907461</v>
      </c>
      <c r="H130" s="1861">
        <f t="shared" si="4"/>
        <v>275558186</v>
      </c>
      <c r="I130" s="14">
        <f>'2. sz. mell'!J89+'2. sz. mell'!J90</f>
        <v>500465647</v>
      </c>
      <c r="J130" s="1861">
        <f t="shared" si="4"/>
        <v>0</v>
      </c>
      <c r="K130" s="14">
        <f>'2. sz. mell'!L89+'2. sz. mell'!L90</f>
        <v>500465647</v>
      </c>
      <c r="L130" s="14">
        <f>'2. sz. mell'!M89+'2. sz. mell'!M90</f>
        <v>478742247</v>
      </c>
      <c r="O130" s="525" t="s">
        <v>810</v>
      </c>
      <c r="P130" s="526">
        <f>SUM('1.1.sz.mell  '!E84)</f>
        <v>2054939961</v>
      </c>
      <c r="Q130" s="526"/>
      <c r="R130" s="526">
        <f>SUM('1.1.sz.mell  '!G84)</f>
        <v>3721630073</v>
      </c>
      <c r="S130" s="526"/>
      <c r="T130" s="526">
        <f>SUM('1.1.sz.mell  '!I84)</f>
        <v>3661929372</v>
      </c>
      <c r="U130" s="526"/>
      <c r="V130" s="526">
        <f>SUM('1.1.sz.mell  '!K84)</f>
        <v>3661929372</v>
      </c>
      <c r="W130" s="526">
        <f>SUM('1.1.sz.mell  '!L84)</f>
        <v>3500805617</v>
      </c>
      <c r="X130" s="526"/>
    </row>
    <row r="131" spans="1:24" s="1" customFormat="1" ht="12.75" hidden="1" customHeight="1" thickBot="1" x14ac:dyDescent="0.3">
      <c r="A131" s="737" t="s">
        <v>81</v>
      </c>
      <c r="B131" s="734" t="s">
        <v>215</v>
      </c>
      <c r="C131" s="712"/>
      <c r="D131" s="715"/>
      <c r="E131" s="720"/>
      <c r="F131" s="1664">
        <f t="shared" si="4"/>
        <v>0</v>
      </c>
      <c r="G131" s="31"/>
      <c r="H131" s="1861">
        <f t="shared" si="4"/>
        <v>0</v>
      </c>
      <c r="I131" s="1708"/>
      <c r="J131" s="1861">
        <f t="shared" si="4"/>
        <v>0</v>
      </c>
      <c r="K131" s="1708"/>
      <c r="L131" s="1708"/>
    </row>
    <row r="132" spans="1:24" s="1" customFormat="1" ht="12.75" hidden="1" customHeight="1" thickBot="1" x14ac:dyDescent="0.3">
      <c r="A132" s="737" t="s">
        <v>83</v>
      </c>
      <c r="B132" s="734" t="s">
        <v>216</v>
      </c>
      <c r="C132" s="712"/>
      <c r="D132" s="715"/>
      <c r="E132" s="720"/>
      <c r="F132" s="1664">
        <f t="shared" si="4"/>
        <v>0</v>
      </c>
      <c r="G132" s="31"/>
      <c r="H132" s="1861">
        <f t="shared" si="4"/>
        <v>0</v>
      </c>
      <c r="I132" s="1708"/>
      <c r="J132" s="1861">
        <f t="shared" si="4"/>
        <v>0</v>
      </c>
      <c r="K132" s="1708"/>
      <c r="L132" s="1708"/>
    </row>
    <row r="133" spans="1:24" s="1" customFormat="1" ht="12.75" hidden="1" customHeight="1" thickBot="1" x14ac:dyDescent="0.3">
      <c r="A133" s="737" t="s">
        <v>85</v>
      </c>
      <c r="B133" s="734" t="s">
        <v>217</v>
      </c>
      <c r="C133" s="712"/>
      <c r="D133" s="715"/>
      <c r="E133" s="720"/>
      <c r="F133" s="1664">
        <f t="shared" si="4"/>
        <v>0</v>
      </c>
      <c r="G133" s="31"/>
      <c r="H133" s="1861">
        <f t="shared" si="4"/>
        <v>0</v>
      </c>
      <c r="I133" s="1708"/>
      <c r="J133" s="1861">
        <f t="shared" si="4"/>
        <v>0</v>
      </c>
      <c r="K133" s="1708"/>
      <c r="L133" s="1708"/>
    </row>
    <row r="134" spans="1:24" s="1" customFormat="1" ht="12.75" hidden="1" customHeight="1" thickBot="1" x14ac:dyDescent="0.3">
      <c r="A134" s="737" t="s">
        <v>87</v>
      </c>
      <c r="B134" s="28" t="s">
        <v>218</v>
      </c>
      <c r="C134" s="712"/>
      <c r="D134" s="715"/>
      <c r="E134" s="720"/>
      <c r="F134" s="1664">
        <f t="shared" si="4"/>
        <v>0</v>
      </c>
      <c r="G134" s="31"/>
      <c r="H134" s="1861">
        <f t="shared" si="4"/>
        <v>0</v>
      </c>
      <c r="I134" s="1708"/>
      <c r="J134" s="1861">
        <f t="shared" si="4"/>
        <v>0</v>
      </c>
      <c r="K134" s="1708"/>
      <c r="L134" s="1708"/>
    </row>
    <row r="135" spans="1:24" s="1" customFormat="1" ht="21" customHeight="1" thickBot="1" x14ac:dyDescent="0.4">
      <c r="A135" s="722" t="s">
        <v>99</v>
      </c>
      <c r="B135" s="733" t="s">
        <v>219</v>
      </c>
      <c r="C135" s="712"/>
      <c r="D135" s="715">
        <v>0</v>
      </c>
      <c r="E135" s="714">
        <f>+E136+E137+E138+E139</f>
        <v>0</v>
      </c>
      <c r="F135" s="1664">
        <f t="shared" si="4"/>
        <v>0</v>
      </c>
      <c r="G135" s="34">
        <f>+G136+G137+G138+G139</f>
        <v>0</v>
      </c>
      <c r="H135" s="1861">
        <f t="shared" si="4"/>
        <v>0</v>
      </c>
      <c r="I135" s="662">
        <f>+I136+I137+I138+I139</f>
        <v>0</v>
      </c>
      <c r="J135" s="1861">
        <f t="shared" si="4"/>
        <v>0</v>
      </c>
      <c r="K135" s="662">
        <f>+K136+K137+K138+K139</f>
        <v>0</v>
      </c>
      <c r="L135" s="662">
        <f>+L136+L137+L138+L139</f>
        <v>0</v>
      </c>
      <c r="O135" s="528" t="s">
        <v>811</v>
      </c>
      <c r="P135" s="529">
        <f>SUM(P120+P130)</f>
        <v>7125457111</v>
      </c>
      <c r="Q135" s="529"/>
      <c r="R135" s="529">
        <f>SUM(R120+R130)</f>
        <v>10241310533</v>
      </c>
      <c r="S135" s="529"/>
      <c r="T135" s="529">
        <f>SUM(T120+T130)</f>
        <v>10475055301</v>
      </c>
      <c r="U135" s="529"/>
      <c r="V135" s="529">
        <f>SUM(V120+V130)</f>
        <v>10476803260</v>
      </c>
      <c r="W135" s="529">
        <f>SUM(W120+W130)</f>
        <v>8871910244</v>
      </c>
    </row>
    <row r="136" spans="1:24" s="1" customFormat="1" ht="12.75" hidden="1" customHeight="1" x14ac:dyDescent="0.25">
      <c r="A136" s="737" t="s">
        <v>91</v>
      </c>
      <c r="B136" s="734" t="s">
        <v>220</v>
      </c>
      <c r="C136" s="712"/>
      <c r="D136" s="715"/>
      <c r="E136" s="720"/>
      <c r="F136" s="1664">
        <f t="shared" si="4"/>
        <v>0</v>
      </c>
      <c r="G136" s="31"/>
      <c r="H136" s="1861">
        <f t="shared" si="4"/>
        <v>0</v>
      </c>
      <c r="I136" s="1708"/>
      <c r="J136" s="1861">
        <f t="shared" si="4"/>
        <v>0</v>
      </c>
      <c r="K136" s="1708"/>
      <c r="L136" s="1708"/>
    </row>
    <row r="137" spans="1:24" s="1" customFormat="1" ht="12.75" hidden="1" customHeight="1" x14ac:dyDescent="0.25">
      <c r="A137" s="737" t="s">
        <v>93</v>
      </c>
      <c r="B137" s="734" t="s">
        <v>221</v>
      </c>
      <c r="C137" s="712"/>
      <c r="D137" s="715"/>
      <c r="E137" s="720"/>
      <c r="F137" s="1664">
        <f t="shared" si="4"/>
        <v>0</v>
      </c>
      <c r="G137" s="31"/>
      <c r="H137" s="1861">
        <f t="shared" si="4"/>
        <v>0</v>
      </c>
      <c r="I137" s="1708"/>
      <c r="J137" s="1861">
        <f t="shared" si="4"/>
        <v>0</v>
      </c>
      <c r="K137" s="1708"/>
      <c r="L137" s="1708"/>
    </row>
    <row r="138" spans="1:24" s="1" customFormat="1" ht="12.75" hidden="1" customHeight="1" x14ac:dyDescent="0.25">
      <c r="A138" s="737" t="s">
        <v>95</v>
      </c>
      <c r="B138" s="734" t="s">
        <v>222</v>
      </c>
      <c r="C138" s="712"/>
      <c r="D138" s="715"/>
      <c r="E138" s="720"/>
      <c r="F138" s="1664">
        <f t="shared" si="4"/>
        <v>0</v>
      </c>
      <c r="G138" s="31"/>
      <c r="H138" s="1861">
        <f t="shared" si="4"/>
        <v>0</v>
      </c>
      <c r="I138" s="1708"/>
      <c r="J138" s="1861">
        <f t="shared" si="4"/>
        <v>0</v>
      </c>
      <c r="K138" s="1708"/>
      <c r="L138" s="1708"/>
    </row>
    <row r="139" spans="1:24" s="1" customFormat="1" ht="12.75" hidden="1" customHeight="1" x14ac:dyDescent="0.25">
      <c r="A139" s="737" t="s">
        <v>97</v>
      </c>
      <c r="B139" s="734" t="s">
        <v>223</v>
      </c>
      <c r="C139" s="712"/>
      <c r="D139" s="715"/>
      <c r="E139" s="720"/>
      <c r="F139" s="1664">
        <f t="shared" si="4"/>
        <v>0</v>
      </c>
      <c r="G139" s="31"/>
      <c r="H139" s="1861">
        <f t="shared" si="4"/>
        <v>0</v>
      </c>
      <c r="I139" s="1708"/>
      <c r="J139" s="1861">
        <f t="shared" si="4"/>
        <v>0</v>
      </c>
      <c r="K139" s="1708"/>
      <c r="L139" s="1708"/>
    </row>
    <row r="140" spans="1:24" s="1" customFormat="1" ht="27" customHeight="1" thickBot="1" x14ac:dyDescent="0.3">
      <c r="A140" s="722" t="s">
        <v>101</v>
      </c>
      <c r="B140" s="733" t="s">
        <v>224</v>
      </c>
      <c r="C140" s="713">
        <f>+C121+C125+C130+C135</f>
        <v>1977004315</v>
      </c>
      <c r="D140" s="717">
        <f>+D121+D125+D130+D135</f>
        <v>2459434007</v>
      </c>
      <c r="E140" s="713">
        <f>+E121+E125+E130+E135</f>
        <v>581321000</v>
      </c>
      <c r="F140" s="1664">
        <f t="shared" si="4"/>
        <v>1321107461</v>
      </c>
      <c r="G140" s="662">
        <f>+G121+G125+G130+G135</f>
        <v>1902428461</v>
      </c>
      <c r="H140" s="1861">
        <f t="shared" si="4"/>
        <v>94707041</v>
      </c>
      <c r="I140" s="662">
        <f>+I121+I125+I130+I135</f>
        <v>1997135502</v>
      </c>
      <c r="J140" s="1861">
        <f t="shared" si="4"/>
        <v>0</v>
      </c>
      <c r="K140" s="662">
        <f>+K121+K125+K130+K135</f>
        <v>1997135502</v>
      </c>
      <c r="L140" s="662">
        <f>+L121+L125+L130+L135</f>
        <v>1836011747</v>
      </c>
      <c r="M140" s="35"/>
      <c r="N140" s="36"/>
    </row>
    <row r="141" spans="1:24" s="1" customFormat="1" ht="23.25" customHeight="1" thickBot="1" x14ac:dyDescent="0.3">
      <c r="A141" s="703" t="s">
        <v>109</v>
      </c>
      <c r="B141" s="735" t="s">
        <v>225</v>
      </c>
      <c r="C141" s="713">
        <f>+C120+C140</f>
        <v>7379697142</v>
      </c>
      <c r="D141" s="717">
        <f>+D120+D140</f>
        <v>8850959758</v>
      </c>
      <c r="E141" s="713">
        <f>+E120+E140</f>
        <v>5651838150</v>
      </c>
      <c r="F141" s="1664">
        <f t="shared" si="4"/>
        <v>2970270771</v>
      </c>
      <c r="G141" s="662">
        <f>+G120+G140</f>
        <v>8622108921</v>
      </c>
      <c r="H141" s="1861">
        <f t="shared" si="4"/>
        <v>188152510</v>
      </c>
      <c r="I141" s="662">
        <f>+I120+I140</f>
        <v>8810261431</v>
      </c>
      <c r="J141" s="1861">
        <f t="shared" si="4"/>
        <v>1747959</v>
      </c>
      <c r="K141" s="662">
        <f>+K120+K140</f>
        <v>8812009390</v>
      </c>
      <c r="L141" s="662">
        <f>+L120+L140</f>
        <v>7207116374</v>
      </c>
      <c r="O141" s="530" t="s">
        <v>778</v>
      </c>
      <c r="P141" s="532">
        <f>SUM(P135-E141)</f>
        <v>1473618961</v>
      </c>
      <c r="Q141" s="532"/>
      <c r="R141" s="532">
        <f>SUM(R135-G141)</f>
        <v>1619201612</v>
      </c>
      <c r="S141" s="532"/>
      <c r="T141" s="532">
        <f>SUM(T135-I141)</f>
        <v>1664793870</v>
      </c>
      <c r="U141" s="532"/>
      <c r="V141" s="532">
        <f>SUM(V135-K141)</f>
        <v>1664793870</v>
      </c>
      <c r="W141" s="532">
        <f>SUM(W135-L141)</f>
        <v>1664793870</v>
      </c>
    </row>
    <row r="142" spans="1:24" s="1" customFormat="1" ht="21.75" customHeight="1" thickBot="1" x14ac:dyDescent="0.35">
      <c r="A142" s="703" t="s">
        <v>119</v>
      </c>
      <c r="B142" s="721" t="s">
        <v>300</v>
      </c>
      <c r="C142" s="714"/>
      <c r="D142" s="718"/>
      <c r="E142" s="705"/>
      <c r="F142" s="1861">
        <f t="shared" si="4"/>
        <v>0</v>
      </c>
      <c r="G142" s="6"/>
      <c r="H142" s="1861">
        <f t="shared" si="4"/>
        <v>0</v>
      </c>
      <c r="I142" s="14"/>
      <c r="J142" s="1861">
        <f t="shared" si="4"/>
        <v>0</v>
      </c>
      <c r="K142" s="14"/>
      <c r="L142" s="14"/>
      <c r="O142" s="525" t="s">
        <v>245</v>
      </c>
      <c r="P142" s="526">
        <f>SUM('2. sz. mell'!F91)</f>
        <v>1473618961</v>
      </c>
      <c r="Q142" s="526"/>
      <c r="R142" s="526">
        <f>SUM('2. sz. mell'!H91)</f>
        <v>1619201612</v>
      </c>
      <c r="S142" s="526"/>
      <c r="T142" s="526">
        <f>SUM('2. sz. mell'!J91)</f>
        <v>1664793870</v>
      </c>
      <c r="U142" s="526"/>
      <c r="V142" s="526">
        <f>SUM('2. sz. mell'!L91)</f>
        <v>1664793870</v>
      </c>
      <c r="W142" s="526">
        <f>SUM('2. sz. mell'!M91)</f>
        <v>1664793870</v>
      </c>
    </row>
    <row r="143" spans="1:24" s="1" customFormat="1" ht="22.5" customHeight="1" thickTop="1" thickBot="1" x14ac:dyDescent="0.35">
      <c r="A143" s="703" t="s">
        <v>125</v>
      </c>
      <c r="B143" s="721" t="s">
        <v>814</v>
      </c>
      <c r="C143" s="719"/>
      <c r="D143" s="719"/>
      <c r="E143" s="705">
        <f>SUM(E67)</f>
        <v>0</v>
      </c>
      <c r="F143" s="1861">
        <f t="shared" si="4"/>
        <v>0</v>
      </c>
      <c r="G143" s="6"/>
      <c r="H143" s="1861">
        <f t="shared" si="4"/>
        <v>0</v>
      </c>
      <c r="I143" s="14"/>
      <c r="J143" s="1861">
        <f t="shared" si="4"/>
        <v>0</v>
      </c>
      <c r="K143" s="14"/>
      <c r="L143" s="14"/>
      <c r="O143" s="533" t="s">
        <v>812</v>
      </c>
      <c r="P143" s="534">
        <f>SUM(P141-P142)</f>
        <v>0</v>
      </c>
      <c r="Q143" s="534"/>
      <c r="R143" s="534">
        <f>SUM(R141-R142)</f>
        <v>0</v>
      </c>
      <c r="S143" s="534"/>
      <c r="T143" s="534">
        <f>SUM(T141-T142)</f>
        <v>0</v>
      </c>
      <c r="U143" s="534"/>
      <c r="V143" s="534">
        <f>SUM(V141-V142)</f>
        <v>0</v>
      </c>
      <c r="W143" s="535">
        <f>SUM(W141-W142)</f>
        <v>0</v>
      </c>
    </row>
    <row r="144" spans="1:24" s="1" customFormat="1" ht="42" customHeight="1" thickBot="1" x14ac:dyDescent="0.3">
      <c r="A144" s="703" t="s">
        <v>133</v>
      </c>
      <c r="B144" s="736" t="s">
        <v>817</v>
      </c>
      <c r="C144" s="706">
        <f>SUM(C141-C143-C142)</f>
        <v>7379697142</v>
      </c>
      <c r="D144" s="716">
        <f>SUM(D141-D143-D142)</f>
        <v>8850959758</v>
      </c>
      <c r="E144" s="706">
        <f>SUM(E141-E143-E142)</f>
        <v>5651838150</v>
      </c>
      <c r="F144" s="2426">
        <f t="shared" si="4"/>
        <v>2970270771</v>
      </c>
      <c r="G144" s="14">
        <f>SUM(G141-G143-G142)</f>
        <v>8622108921</v>
      </c>
      <c r="H144" s="1662">
        <f t="shared" si="4"/>
        <v>188152510</v>
      </c>
      <c r="I144" s="14">
        <f>SUM(I141-I143-I142)</f>
        <v>8810261431</v>
      </c>
      <c r="J144" s="1662">
        <f t="shared" si="4"/>
        <v>1747959</v>
      </c>
      <c r="K144" s="14">
        <f>SUM(K141-K143-K142)</f>
        <v>8812009390</v>
      </c>
      <c r="L144" s="14">
        <f>SUM(L141-L143-L142)</f>
        <v>7207116374</v>
      </c>
      <c r="O144" s="538"/>
      <c r="P144" s="539"/>
      <c r="Q144" s="539"/>
      <c r="R144" s="539"/>
      <c r="S144" s="539"/>
      <c r="T144" s="539"/>
      <c r="U144" s="539"/>
      <c r="V144" s="539"/>
      <c r="W144" s="539"/>
    </row>
    <row r="145" spans="1:12" x14ac:dyDescent="0.25">
      <c r="A145" s="2428"/>
      <c r="B145" s="2428"/>
      <c r="C145" s="2428"/>
      <c r="D145" s="2428"/>
      <c r="E145" s="2429"/>
      <c r="F145" s="1667"/>
      <c r="G145" s="1674"/>
      <c r="H145" s="1674"/>
      <c r="I145" s="1674"/>
      <c r="J145" s="1674"/>
    </row>
    <row r="146" spans="1:12" ht="32.25" customHeight="1" x14ac:dyDescent="0.25">
      <c r="A146" s="4303" t="s">
        <v>226</v>
      </c>
      <c r="B146" s="4303"/>
      <c r="C146" s="4303"/>
      <c r="D146" s="4303"/>
      <c r="E146" s="4303"/>
      <c r="F146" s="4303"/>
      <c r="G146" s="4304"/>
      <c r="H146" s="4304"/>
      <c r="I146" s="4304"/>
      <c r="J146" s="4304"/>
      <c r="K146" s="4304"/>
      <c r="L146" s="4304"/>
    </row>
    <row r="147" spans="1:12" ht="15" customHeight="1" thickBot="1" x14ac:dyDescent="0.3">
      <c r="A147" s="4300"/>
      <c r="B147" s="4300"/>
      <c r="C147" s="4"/>
      <c r="D147" s="4"/>
      <c r="E147" s="37"/>
      <c r="F147" s="1675"/>
      <c r="G147" s="1674"/>
      <c r="H147" s="1674"/>
      <c r="I147" s="1674"/>
      <c r="J147" s="1674"/>
    </row>
    <row r="148" spans="1:12" s="1" customFormat="1" ht="48.75" customHeight="1" thickBot="1" x14ac:dyDescent="0.3">
      <c r="A148" s="722">
        <v>1</v>
      </c>
      <c r="B148" s="721" t="s">
        <v>227</v>
      </c>
      <c r="C148" s="705">
        <f>+C54-C120</f>
        <v>-1164515673</v>
      </c>
      <c r="D148" s="6">
        <f>+D54-D120</f>
        <v>-1602356900</v>
      </c>
      <c r="E148" s="14">
        <f>+E54-E120</f>
        <v>-780529000</v>
      </c>
      <c r="F148" s="1665"/>
      <c r="G148" s="6">
        <f>+G54-G120</f>
        <v>-2275017216</v>
      </c>
      <c r="H148" s="1665"/>
      <c r="I148" s="14">
        <f>+I54-I120</f>
        <v>-1454120402</v>
      </c>
      <c r="J148" s="1662">
        <f>SUM(K148-I148)</f>
        <v>-1747959</v>
      </c>
      <c r="K148" s="14">
        <f>+K54-K120</f>
        <v>-1455868361</v>
      </c>
      <c r="L148" s="6">
        <f>+L54-L120</f>
        <v>-790765</v>
      </c>
    </row>
    <row r="149" spans="1:12" s="1" customFormat="1" ht="55.5" customHeight="1" thickBot="1" x14ac:dyDescent="0.3">
      <c r="A149" s="722" t="s">
        <v>17</v>
      </c>
      <c r="B149" s="721" t="s">
        <v>228</v>
      </c>
      <c r="C149" s="705">
        <f>+C77-C140</f>
        <v>1164515673</v>
      </c>
      <c r="D149" s="6">
        <f>+D77-D140</f>
        <v>1602356900</v>
      </c>
      <c r="E149" s="14">
        <f>+E77-E140</f>
        <v>780529000</v>
      </c>
      <c r="F149" s="1665"/>
      <c r="G149" s="6">
        <f>+G77-G140</f>
        <v>2275017216</v>
      </c>
      <c r="H149" s="1665"/>
      <c r="I149" s="14">
        <f>+I77-I140</f>
        <v>1454120402</v>
      </c>
      <c r="J149" s="1662">
        <f>SUM(K149-I149)</f>
        <v>1747959</v>
      </c>
      <c r="K149" s="14">
        <f>+K77-K140</f>
        <v>1455868361</v>
      </c>
      <c r="L149" s="6">
        <f>+L77-L140</f>
        <v>1615244157</v>
      </c>
    </row>
  </sheetData>
  <mergeCells count="18">
    <mergeCell ref="A1:L1"/>
    <mergeCell ref="A83:L83"/>
    <mergeCell ref="A146:L146"/>
    <mergeCell ref="A2:B2"/>
    <mergeCell ref="A84:B84"/>
    <mergeCell ref="C84:D84"/>
    <mergeCell ref="C82:D82"/>
    <mergeCell ref="W87:W103"/>
    <mergeCell ref="W67:W71"/>
    <mergeCell ref="A147:B147"/>
    <mergeCell ref="P67:P71"/>
    <mergeCell ref="R67:R71"/>
    <mergeCell ref="T67:T71"/>
    <mergeCell ref="V67:V71"/>
    <mergeCell ref="T87:T103"/>
    <mergeCell ref="R87:R103"/>
    <mergeCell ref="P87:P103"/>
    <mergeCell ref="V87:V103"/>
  </mergeCells>
  <printOptions horizontalCentered="1"/>
  <pageMargins left="0.19685039370078741" right="0.19685039370078741" top="1.1023622047244095" bottom="0.59055118110236227" header="0.39370078740157483" footer="0.19685039370078741"/>
  <pageSetup paperSize="9" scale="60" firstPageNumber="5" orientation="portrait" useFirstPageNumber="1" r:id="rId1"/>
  <headerFooter>
    <oddHeader>&amp;C&amp;"Times New Roman CE,Félkövér"&amp;14VECSÉS VÁROS ÖNKORMÁNYZATÁNAK 
2018. ÉVI KÖLTSÉGVETÉSÉNEK ÖSSZEVONT MÉRLEGE&amp;R&amp;12 1. sz. melléklet
Forint</oddHeader>
    <oddFooter>&amp;C- &amp;P 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98"/>
  <sheetViews>
    <sheetView view="pageBreakPreview" topLeftCell="A50" zoomScale="80" zoomScaleNormal="100" zoomScaleSheetLayoutView="80" zoomScalePageLayoutView="60" workbookViewId="0">
      <selection activeCell="O79" sqref="O79"/>
    </sheetView>
  </sheetViews>
  <sheetFormatPr defaultColWidth="9.33203125" defaultRowHeight="12.75" x14ac:dyDescent="0.2"/>
  <cols>
    <col min="1" max="1" width="6.1640625" style="114" customWidth="1"/>
    <col min="2" max="2" width="10" style="115" customWidth="1"/>
    <col min="3" max="3" width="70.33203125" style="115" bestFit="1" customWidth="1"/>
    <col min="4" max="4" width="18.5" style="115" customWidth="1"/>
    <col min="5" max="5" width="19" style="1390" hidden="1" customWidth="1"/>
    <col min="6" max="6" width="17" style="115" hidden="1" customWidth="1"/>
    <col min="7" max="7" width="16.1640625" style="1390" hidden="1" customWidth="1"/>
    <col min="8" max="8" width="16.83203125" style="3245" customWidth="1"/>
    <col min="9" max="9" width="15.1640625" customWidth="1"/>
    <col min="10" max="10" width="17.6640625" style="3245" customWidth="1"/>
    <col min="11" max="11" width="17.5" style="3245" customWidth="1"/>
    <col min="12" max="12" width="18.6640625" style="115" customWidth="1"/>
    <col min="13" max="13" width="18" style="115" customWidth="1"/>
    <col min="14" max="14" width="18" style="115" hidden="1" customWidth="1"/>
    <col min="15" max="15" width="18" style="115" customWidth="1"/>
    <col min="16" max="16" width="18.33203125" style="115" customWidth="1"/>
    <col min="17" max="17" width="18.33203125" style="1986" customWidth="1"/>
    <col min="18" max="18" width="19.5" style="1991" hidden="1" customWidth="1"/>
    <col min="19" max="19" width="19.5" style="115" hidden="1" customWidth="1"/>
    <col min="20" max="20" width="19.5" style="1161" customWidth="1"/>
    <col min="21" max="21" width="17.33203125" style="2907" customWidth="1"/>
    <col min="22" max="22" width="9.33203125" style="115"/>
    <col min="23" max="23" width="18.83203125" style="1877" customWidth="1"/>
    <col min="24" max="24" width="18.83203125" style="1877" hidden="1" customWidth="1"/>
    <col min="25" max="25" width="19.6640625" style="1991" customWidth="1"/>
    <col min="26" max="26" width="19.6640625" style="1991" hidden="1" customWidth="1"/>
    <col min="27" max="28" width="17.83203125" style="115" customWidth="1"/>
    <col min="29" max="29" width="20.1640625" style="1161" customWidth="1"/>
    <col min="30" max="30" width="19.1640625" style="2907" customWidth="1"/>
    <col min="31" max="16384" width="9.33203125" style="115"/>
  </cols>
  <sheetData>
    <row r="1" spans="1:30" s="120" customFormat="1" ht="33.75" customHeight="1" thickBot="1" x14ac:dyDescent="0.25">
      <c r="A1" s="4443"/>
      <c r="B1" s="4443"/>
      <c r="C1" s="117" t="s">
        <v>281</v>
      </c>
      <c r="D1" s="4444" t="s">
        <v>1080</v>
      </c>
      <c r="E1" s="4422" t="s">
        <v>1066</v>
      </c>
      <c r="F1" s="4415" t="s">
        <v>1028</v>
      </c>
      <c r="G1" s="4422" t="s">
        <v>1031</v>
      </c>
      <c r="H1" s="4415" t="s">
        <v>1028</v>
      </c>
      <c r="I1" s="4449" t="s">
        <v>1038</v>
      </c>
      <c r="J1" s="4447" t="s">
        <v>234</v>
      </c>
      <c r="K1" s="4457" t="s">
        <v>1952</v>
      </c>
      <c r="Q1" s="1981"/>
      <c r="R1" s="1988"/>
      <c r="T1" s="1955"/>
      <c r="U1" s="2901"/>
      <c r="W1" s="1971"/>
      <c r="X1" s="1971"/>
      <c r="Y1" s="1988"/>
      <c r="Z1" s="1988"/>
      <c r="AC1" s="1955"/>
      <c r="AD1" s="2901"/>
    </row>
    <row r="2" spans="1:30" s="120" customFormat="1" ht="33.75" customHeight="1" thickBot="1" x14ac:dyDescent="0.3">
      <c r="A2" s="4445" t="s">
        <v>283</v>
      </c>
      <c r="B2" s="4445"/>
      <c r="C2" s="204" t="s">
        <v>327</v>
      </c>
      <c r="D2" s="4444"/>
      <c r="E2" s="4423"/>
      <c r="F2" s="4416" t="s">
        <v>1028</v>
      </c>
      <c r="G2" s="4423" t="s">
        <v>1031</v>
      </c>
      <c r="H2" s="4416" t="s">
        <v>1028</v>
      </c>
      <c r="I2" s="4450"/>
      <c r="J2" s="4451"/>
      <c r="K2" s="4458"/>
      <c r="Q2" s="1982"/>
      <c r="R2" s="4454" t="s">
        <v>1056</v>
      </c>
      <c r="S2" s="4442" t="s">
        <v>1057</v>
      </c>
      <c r="T2" s="4439" t="s">
        <v>1058</v>
      </c>
      <c r="U2" s="2902"/>
      <c r="V2" s="145"/>
      <c r="W2" s="2015"/>
      <c r="X2" s="2015"/>
      <c r="Y2" s="4455" t="s">
        <v>1056</v>
      </c>
      <c r="Z2" s="2892"/>
      <c r="AA2" s="4456" t="s">
        <v>1057</v>
      </c>
      <c r="AB2" s="2893"/>
      <c r="AC2" s="4453" t="s">
        <v>1058</v>
      </c>
      <c r="AD2" s="2908"/>
    </row>
    <row r="3" spans="1:30" s="123" customFormat="1" ht="15.95" customHeight="1" thickBot="1" x14ac:dyDescent="0.25">
      <c r="A3" s="2093"/>
      <c r="B3" s="877"/>
      <c r="C3" s="877"/>
      <c r="D3" s="2459"/>
      <c r="E3" s="1440"/>
      <c r="F3" s="1598"/>
      <c r="G3" s="1598"/>
      <c r="H3" s="1598"/>
      <c r="I3"/>
      <c r="J3" s="1598"/>
      <c r="K3" s="3237"/>
      <c r="Q3" s="1983" t="s">
        <v>771</v>
      </c>
      <c r="R3" s="4454"/>
      <c r="S3" s="4442"/>
      <c r="T3" s="4439"/>
      <c r="U3" s="2037" t="s">
        <v>289</v>
      </c>
      <c r="V3" s="129"/>
      <c r="W3" s="2016" t="s">
        <v>771</v>
      </c>
      <c r="X3" s="2016"/>
      <c r="Y3" s="4455"/>
      <c r="Z3" s="2892"/>
      <c r="AA3" s="4456"/>
      <c r="AB3" s="2893"/>
      <c r="AC3" s="4453"/>
      <c r="AD3" s="2037" t="s">
        <v>289</v>
      </c>
    </row>
    <row r="4" spans="1:30" ht="33.75" customHeight="1" thickBot="1" x14ac:dyDescent="0.25">
      <c r="A4" s="4431" t="s">
        <v>285</v>
      </c>
      <c r="B4" s="4431"/>
      <c r="C4" s="807" t="s">
        <v>286</v>
      </c>
      <c r="D4" s="2790"/>
      <c r="E4" s="2454"/>
      <c r="F4" s="439"/>
      <c r="G4" s="1614"/>
      <c r="H4" s="3163"/>
      <c r="I4" s="2941"/>
      <c r="J4" s="3163"/>
      <c r="K4" s="3238"/>
      <c r="Q4" s="2017" t="s">
        <v>767</v>
      </c>
      <c r="R4" s="2004" t="s">
        <v>767</v>
      </c>
      <c r="S4" s="454" t="s">
        <v>767</v>
      </c>
      <c r="T4" s="1956" t="s">
        <v>767</v>
      </c>
      <c r="U4" s="2037" t="s">
        <v>767</v>
      </c>
      <c r="AD4" s="2037"/>
    </row>
    <row r="5" spans="1:30" s="129" customFormat="1" ht="15" customHeight="1" thickBot="1" x14ac:dyDescent="0.25">
      <c r="A5" s="124"/>
      <c r="B5" s="127"/>
      <c r="C5" s="127"/>
      <c r="D5" s="128"/>
      <c r="E5" s="2455"/>
      <c r="F5" s="128"/>
      <c r="G5" s="1372"/>
      <c r="H5" s="3458"/>
      <c r="I5" s="3486"/>
      <c r="J5" s="2820"/>
      <c r="K5" s="1444"/>
      <c r="Q5" s="1984"/>
      <c r="R5" s="1989"/>
      <c r="T5" s="1958"/>
      <c r="U5" s="2903"/>
      <c r="W5" s="1973" t="s">
        <v>770</v>
      </c>
      <c r="X5" s="1973"/>
      <c r="Y5" s="1989" t="s">
        <v>770</v>
      </c>
      <c r="Z5" s="1989"/>
      <c r="AA5" s="129" t="s">
        <v>770</v>
      </c>
      <c r="AC5" s="1958" t="s">
        <v>770</v>
      </c>
      <c r="AD5" s="2037" t="s">
        <v>770</v>
      </c>
    </row>
    <row r="6" spans="1:30" s="129" customFormat="1" ht="21" customHeight="1" thickBot="1" x14ac:dyDescent="0.25">
      <c r="A6" s="130"/>
      <c r="B6" s="131"/>
      <c r="C6" s="132" t="s">
        <v>230</v>
      </c>
      <c r="D6" s="133"/>
      <c r="E6" s="1588"/>
      <c r="F6" s="133"/>
      <c r="G6" s="1588"/>
      <c r="H6" s="3459"/>
      <c r="I6" s="3487"/>
      <c r="J6" s="3164"/>
      <c r="K6" s="3164"/>
      <c r="Q6" s="1984"/>
      <c r="R6" s="1989"/>
      <c r="T6" s="1958"/>
      <c r="U6" s="2903"/>
      <c r="W6" s="1973"/>
      <c r="X6" s="1973"/>
      <c r="Y6" s="1989"/>
      <c r="Z6" s="1989"/>
      <c r="AC6" s="1958"/>
      <c r="AD6" s="2037"/>
    </row>
    <row r="7" spans="1:30" s="2899" customFormat="1" ht="31.5" customHeight="1" thickBot="1" x14ac:dyDescent="0.25">
      <c r="A7" s="2894" t="s">
        <v>3</v>
      </c>
      <c r="B7" s="2895"/>
      <c r="C7" s="2896" t="s">
        <v>291</v>
      </c>
      <c r="D7" s="138">
        <f>SUM(D8+D16)+D26+D27</f>
        <v>1236071394</v>
      </c>
      <c r="E7" s="2445">
        <f>SUM(F7-D7)</f>
        <v>1197790720</v>
      </c>
      <c r="F7" s="138">
        <f>SUM(F8+F16)+F26+F27</f>
        <v>2433862114</v>
      </c>
      <c r="G7" s="1589">
        <f>SUM(H7-F7)</f>
        <v>1074742622</v>
      </c>
      <c r="H7" s="3460">
        <f>SUM(H8+H16)+H26+H27</f>
        <v>3508604736</v>
      </c>
      <c r="I7" s="3488">
        <f>SUM(J7-H7)</f>
        <v>0</v>
      </c>
      <c r="J7" s="3474">
        <f>SUM(J8+J16)+J26+J27</f>
        <v>3508604736</v>
      </c>
      <c r="K7" s="1697">
        <f>SUM(K8+K16)+K26+K27</f>
        <v>2261308144</v>
      </c>
      <c r="L7" s="2076"/>
      <c r="M7" s="2076"/>
      <c r="N7" s="2076"/>
      <c r="O7" s="2076"/>
      <c r="P7" s="2076"/>
      <c r="Q7" s="2897">
        <f>SUM(D7-W7)</f>
        <v>0</v>
      </c>
      <c r="R7" s="2077">
        <f t="shared" ref="R7:R40" si="0">SUM(F7-Y7)</f>
        <v>0</v>
      </c>
      <c r="S7" s="2898">
        <f t="shared" ref="S7:S42" si="1">SUM(H7-AA7)</f>
        <v>0</v>
      </c>
      <c r="T7" s="2078">
        <f>SUM(J7-AC7)</f>
        <v>0</v>
      </c>
      <c r="U7" s="2040">
        <f>SUM(K7-AD7)</f>
        <v>0</v>
      </c>
      <c r="W7" s="2900">
        <f>SUM('3.b. sz. mell'!F7+'4. b.sz. mell.'!D8+'5.b. sz. mell.'!F8)+'5.b. sz. mell.'!F20+'5.b. sz. mell.'!F27</f>
        <v>1236071394</v>
      </c>
      <c r="X7" s="2900"/>
      <c r="Y7" s="2077">
        <f>SUM('3.b. sz. mell'!H7+'4. b.sz. mell.'!F8+'5.b. sz. mell.'!H8)+'5.b. sz. mell.'!H20+'5.b. sz. mell.'!H27</f>
        <v>2433862114</v>
      </c>
      <c r="Z7" s="2077"/>
      <c r="AA7" s="2898">
        <f>SUM('3.b. sz. mell'!J7+'4. b.sz. mell.'!H8+'5.b. sz. mell.'!J8)+'5.b. sz. mell.'!J20+'5.b. sz. mell.'!J27</f>
        <v>3508604736</v>
      </c>
      <c r="AB7" s="2898"/>
      <c r="AC7" s="2078">
        <f>SUM('3.b. sz. mell'!L7+'4. b.sz. mell.'!J8+'5.b. sz. mell.'!L8)+'5.b. sz. mell.'!L20+'5.b. sz. mell.'!L27</f>
        <v>3508604736</v>
      </c>
      <c r="AD7" s="2040">
        <f>SUM('3.b. sz. mell'!M7+'4. b.sz. mell.'!K8+'5.b. sz. mell.'!M8)+'5.b. sz. mell.'!M20+'5.b. sz. mell.'!M27</f>
        <v>2261308144</v>
      </c>
    </row>
    <row r="8" spans="1:30" s="141" customFormat="1" ht="19.5" customHeight="1" thickBot="1" x14ac:dyDescent="0.25">
      <c r="A8" s="134" t="s">
        <v>17</v>
      </c>
      <c r="B8" s="135"/>
      <c r="C8" s="30" t="s">
        <v>239</v>
      </c>
      <c r="D8" s="137">
        <f>SUM('3.b. sz. mell'!F8)</f>
        <v>761745394</v>
      </c>
      <c r="E8" s="1382">
        <f>SUM(F8-D8)</f>
        <v>1195690720</v>
      </c>
      <c r="F8" s="137">
        <f>SUM('3.b. sz. mell'!H8)</f>
        <v>1957436114</v>
      </c>
      <c r="G8" s="1374">
        <f>SUM(H8-F8)</f>
        <v>1064790850</v>
      </c>
      <c r="H8" s="3461">
        <f>SUM('3.b. sz. mell'!J8)</f>
        <v>3022226964</v>
      </c>
      <c r="I8" s="3488">
        <f>SUM(J8-H8)</f>
        <v>0</v>
      </c>
      <c r="J8" s="2456">
        <f>SUM('3.b. sz. mell'!L8)</f>
        <v>3022226964</v>
      </c>
      <c r="K8" s="948">
        <f>SUM('3.b. sz. mell'!M8)</f>
        <v>1775240287</v>
      </c>
      <c r="L8" s="139"/>
      <c r="M8" s="139"/>
      <c r="N8" s="139"/>
      <c r="O8" s="139"/>
      <c r="P8" s="139"/>
      <c r="Q8" s="2019">
        <f t="shared" ref="Q8:Q72" si="2">SUM(D8-W8)</f>
        <v>0</v>
      </c>
      <c r="R8" s="2005">
        <f t="shared" si="0"/>
        <v>0</v>
      </c>
      <c r="S8" s="2010">
        <f t="shared" si="1"/>
        <v>0</v>
      </c>
      <c r="T8" s="2078">
        <f t="shared" ref="T8:T71" si="3">SUM(J8-AC8)</f>
        <v>0</v>
      </c>
      <c r="U8" s="2040">
        <f t="shared" ref="U8:U43" si="4">SUM(K8-AD8)</f>
        <v>0</v>
      </c>
      <c r="W8" s="2020">
        <f>SUM('3.b. sz. mell'!F8+'4. b.sz. mell.'!D19)</f>
        <v>761745394</v>
      </c>
      <c r="X8" s="2020"/>
      <c r="Y8" s="2021">
        <f>SUM('3.b. sz. mell'!H8+'4. b.sz. mell.'!F19)</f>
        <v>1957436114</v>
      </c>
      <c r="Z8" s="2021"/>
      <c r="AA8" s="2023">
        <f>SUM('3.b. sz. mell'!J8+'4. b.sz. mell.'!H19)</f>
        <v>3022226964</v>
      </c>
      <c r="AB8" s="2023"/>
      <c r="AC8" s="2078">
        <f>SUM('3.b. sz. mell'!L8+'4. b.sz. mell.'!J19)</f>
        <v>3022226964</v>
      </c>
      <c r="AD8" s="2040">
        <f>SUM('3.b. sz. mell'!M8+'4. b.sz. mell.'!K19)</f>
        <v>1775240287</v>
      </c>
    </row>
    <row r="9" spans="1:30" s="145" customFormat="1" ht="12.75" hidden="1" customHeight="1" x14ac:dyDescent="0.2">
      <c r="A9" s="142"/>
      <c r="B9" s="143"/>
      <c r="C9" s="27"/>
      <c r="D9" s="144"/>
      <c r="E9" s="1382">
        <f t="shared" ref="E9:I72" si="5">SUM(F9-D9)</f>
        <v>0</v>
      </c>
      <c r="F9" s="144"/>
      <c r="G9" s="1374">
        <f t="shared" si="5"/>
        <v>0</v>
      </c>
      <c r="H9" s="3462"/>
      <c r="I9" s="3488">
        <f t="shared" si="5"/>
        <v>0</v>
      </c>
      <c r="J9" s="2684"/>
      <c r="K9" s="610"/>
      <c r="L9" s="139"/>
      <c r="M9" s="139"/>
      <c r="N9" s="139"/>
      <c r="O9" s="139"/>
      <c r="P9" s="139"/>
      <c r="Q9" s="2019">
        <f t="shared" si="2"/>
        <v>0</v>
      </c>
      <c r="R9" s="2005">
        <f t="shared" si="0"/>
        <v>0</v>
      </c>
      <c r="S9" s="2010">
        <f t="shared" si="1"/>
        <v>-477432367</v>
      </c>
      <c r="T9" s="2078">
        <f t="shared" si="3"/>
        <v>0</v>
      </c>
      <c r="U9" s="2040">
        <f t="shared" si="4"/>
        <v>0</v>
      </c>
      <c r="W9" s="1874"/>
      <c r="X9" s="1874"/>
      <c r="Y9" s="2022"/>
      <c r="Z9" s="2022"/>
      <c r="AA9" s="2010">
        <f>SUM('3.b. sz. mell'!J9+'4. b.sz. mell.'!H10+'5.b. sz. mell.'!J10)+'5.b. sz. mell.'!J22+'5.b. sz. mell.'!J29</f>
        <v>477432367</v>
      </c>
      <c r="AB9" s="2010"/>
      <c r="AC9" s="2078"/>
      <c r="AD9" s="2040"/>
    </row>
    <row r="10" spans="1:30" s="145" customFormat="1" ht="12.75" hidden="1" customHeight="1" x14ac:dyDescent="0.2">
      <c r="A10" s="142"/>
      <c r="B10" s="143"/>
      <c r="C10" s="27"/>
      <c r="D10" s="144"/>
      <c r="E10" s="1382">
        <f t="shared" si="5"/>
        <v>0</v>
      </c>
      <c r="F10" s="144"/>
      <c r="G10" s="1374">
        <f t="shared" si="5"/>
        <v>0</v>
      </c>
      <c r="H10" s="3462"/>
      <c r="I10" s="3488">
        <f t="shared" si="5"/>
        <v>0</v>
      </c>
      <c r="J10" s="2684"/>
      <c r="K10" s="610"/>
      <c r="L10" s="139"/>
      <c r="M10" s="139"/>
      <c r="N10" s="139"/>
      <c r="O10" s="139"/>
      <c r="P10" s="139"/>
      <c r="Q10" s="2019">
        <f t="shared" si="2"/>
        <v>0</v>
      </c>
      <c r="R10" s="2005">
        <f t="shared" si="0"/>
        <v>0</v>
      </c>
      <c r="S10" s="2010">
        <f t="shared" si="1"/>
        <v>0</v>
      </c>
      <c r="T10" s="2078">
        <f t="shared" si="3"/>
        <v>0</v>
      </c>
      <c r="U10" s="2040">
        <f t="shared" si="4"/>
        <v>0</v>
      </c>
      <c r="W10" s="1874"/>
      <c r="X10" s="1874"/>
      <c r="Y10" s="2022"/>
      <c r="Z10" s="2022"/>
      <c r="AA10" s="2010">
        <f>SUM('3.b. sz. mell'!J10+'4. b.sz. mell.'!H11+'5.b. sz. mell.'!J11)+'5.b. sz. mell.'!J23+'5.b. sz. mell.'!J30</f>
        <v>0</v>
      </c>
      <c r="AB10" s="2010"/>
      <c r="AC10" s="2078"/>
      <c r="AD10" s="2040"/>
    </row>
    <row r="11" spans="1:30" s="145" customFormat="1" ht="12.75" hidden="1" customHeight="1" x14ac:dyDescent="0.2">
      <c r="A11" s="142"/>
      <c r="B11" s="143"/>
      <c r="C11" s="27"/>
      <c r="D11" s="144"/>
      <c r="E11" s="1382">
        <f t="shared" si="5"/>
        <v>0</v>
      </c>
      <c r="F11" s="144"/>
      <c r="G11" s="1374">
        <f t="shared" si="5"/>
        <v>0</v>
      </c>
      <c r="H11" s="3462"/>
      <c r="I11" s="3488">
        <f t="shared" si="5"/>
        <v>0</v>
      </c>
      <c r="J11" s="2684"/>
      <c r="K11" s="610"/>
      <c r="L11" s="139"/>
      <c r="M11" s="139"/>
      <c r="N11" s="139"/>
      <c r="O11" s="139"/>
      <c r="P11" s="139"/>
      <c r="Q11" s="2019">
        <f t="shared" si="2"/>
        <v>0</v>
      </c>
      <c r="R11" s="2005">
        <f t="shared" si="0"/>
        <v>0</v>
      </c>
      <c r="S11" s="2010">
        <f t="shared" si="1"/>
        <v>-1432800</v>
      </c>
      <c r="T11" s="2078">
        <f t="shared" si="3"/>
        <v>0</v>
      </c>
      <c r="U11" s="2040">
        <f t="shared" si="4"/>
        <v>0</v>
      </c>
      <c r="W11" s="1874"/>
      <c r="X11" s="1874"/>
      <c r="Y11" s="2022"/>
      <c r="Z11" s="2022"/>
      <c r="AA11" s="2010">
        <f>SUM('3.b. sz. mell'!J11+'4. b.sz. mell.'!H12+'5.b. sz. mell.'!J12)+'5.b. sz. mell.'!J24+'5.b. sz. mell.'!J31</f>
        <v>1432800</v>
      </c>
      <c r="AB11" s="2010"/>
      <c r="AC11" s="2078"/>
      <c r="AD11" s="2040"/>
    </row>
    <row r="12" spans="1:30" s="145" customFormat="1" ht="12.75" hidden="1" customHeight="1" x14ac:dyDescent="0.2">
      <c r="A12" s="142"/>
      <c r="B12" s="143"/>
      <c r="C12" s="27"/>
      <c r="D12" s="144"/>
      <c r="E12" s="1382">
        <f t="shared" si="5"/>
        <v>0</v>
      </c>
      <c r="F12" s="144"/>
      <c r="G12" s="1374">
        <f t="shared" si="5"/>
        <v>0</v>
      </c>
      <c r="H12" s="3462"/>
      <c r="I12" s="3488">
        <f t="shared" si="5"/>
        <v>0</v>
      </c>
      <c r="J12" s="2684"/>
      <c r="K12" s="610"/>
      <c r="L12" s="139"/>
      <c r="M12" s="139"/>
      <c r="N12" s="139"/>
      <c r="O12" s="139"/>
      <c r="P12" s="139"/>
      <c r="Q12" s="2019">
        <f t="shared" si="2"/>
        <v>0</v>
      </c>
      <c r="R12" s="2005">
        <f t="shared" si="0"/>
        <v>0</v>
      </c>
      <c r="S12" s="2010">
        <f t="shared" si="1"/>
        <v>-763498</v>
      </c>
      <c r="T12" s="2078">
        <f t="shared" si="3"/>
        <v>0</v>
      </c>
      <c r="U12" s="2040">
        <f t="shared" si="4"/>
        <v>0</v>
      </c>
      <c r="W12" s="1874"/>
      <c r="X12" s="1874"/>
      <c r="Y12" s="2022"/>
      <c r="Z12" s="2022"/>
      <c r="AA12" s="2010">
        <f>SUM('3.b. sz. mell'!J12+'4. b.sz. mell.'!H13+'5.b. sz. mell.'!J13)+'5.b. sz. mell.'!J25+'5.b. sz. mell.'!J32</f>
        <v>763498</v>
      </c>
      <c r="AB12" s="2010"/>
      <c r="AC12" s="2078"/>
      <c r="AD12" s="2040"/>
    </row>
    <row r="13" spans="1:30" s="145" customFormat="1" ht="12.75" hidden="1" customHeight="1" x14ac:dyDescent="0.2">
      <c r="A13" s="142"/>
      <c r="B13" s="143"/>
      <c r="C13" s="27"/>
      <c r="D13" s="144"/>
      <c r="E13" s="1382">
        <f t="shared" si="5"/>
        <v>0</v>
      </c>
      <c r="F13" s="144"/>
      <c r="G13" s="1374">
        <f t="shared" si="5"/>
        <v>0</v>
      </c>
      <c r="H13" s="3462"/>
      <c r="I13" s="3488">
        <f t="shared" si="5"/>
        <v>0</v>
      </c>
      <c r="J13" s="2684"/>
      <c r="K13" s="610"/>
      <c r="L13" s="139"/>
      <c r="M13" s="139"/>
      <c r="N13" s="139"/>
      <c r="O13" s="139"/>
      <c r="P13" s="139"/>
      <c r="Q13" s="2019">
        <f t="shared" si="2"/>
        <v>0</v>
      </c>
      <c r="R13" s="2005">
        <f t="shared" si="0"/>
        <v>0</v>
      </c>
      <c r="S13" s="2010">
        <f t="shared" si="1"/>
        <v>0</v>
      </c>
      <c r="T13" s="2078">
        <f t="shared" si="3"/>
        <v>0</v>
      </c>
      <c r="U13" s="2040">
        <f t="shared" si="4"/>
        <v>0</v>
      </c>
      <c r="W13" s="1874"/>
      <c r="X13" s="1874"/>
      <c r="Y13" s="2022"/>
      <c r="Z13" s="2022"/>
      <c r="AA13" s="2010">
        <f>SUM('3.b. sz. mell'!J13+'4. b.sz. mell.'!H14+'5.b. sz. mell.'!J14)+'5.b. sz. mell.'!J26+'5.b. sz. mell.'!J33</f>
        <v>0</v>
      </c>
      <c r="AB13" s="2010"/>
      <c r="AC13" s="2078"/>
      <c r="AD13" s="2040"/>
    </row>
    <row r="14" spans="1:30" s="145" customFormat="1" ht="12.75" hidden="1" customHeight="1" x14ac:dyDescent="0.2">
      <c r="A14" s="142"/>
      <c r="B14" s="143"/>
      <c r="C14" s="27"/>
      <c r="D14" s="144"/>
      <c r="E14" s="1382">
        <f t="shared" si="5"/>
        <v>0</v>
      </c>
      <c r="F14" s="144"/>
      <c r="G14" s="1374">
        <f t="shared" si="5"/>
        <v>0</v>
      </c>
      <c r="H14" s="3462"/>
      <c r="I14" s="3488">
        <f t="shared" si="5"/>
        <v>0</v>
      </c>
      <c r="J14" s="2684"/>
      <c r="K14" s="610"/>
      <c r="L14" s="139"/>
      <c r="M14" s="139"/>
      <c r="N14" s="139"/>
      <c r="O14" s="139"/>
      <c r="P14" s="139"/>
      <c r="Q14" s="2019">
        <f t="shared" si="2"/>
        <v>0</v>
      </c>
      <c r="R14" s="2005">
        <f t="shared" si="0"/>
        <v>0</v>
      </c>
      <c r="S14" s="2010">
        <f t="shared" si="1"/>
        <v>-100000</v>
      </c>
      <c r="T14" s="2078">
        <f t="shared" si="3"/>
        <v>0</v>
      </c>
      <c r="U14" s="2040">
        <f t="shared" si="4"/>
        <v>0</v>
      </c>
      <c r="W14" s="1874"/>
      <c r="X14" s="1874"/>
      <c r="Y14" s="2022"/>
      <c r="Z14" s="2022"/>
      <c r="AA14" s="2010">
        <f>SUM('3.b. sz. mell'!J14+'4. b.sz. mell.'!H15+'5.b. sz. mell.'!J15)+'5.b. sz. mell.'!J27+'5.b. sz. mell.'!J34</f>
        <v>100000</v>
      </c>
      <c r="AB14" s="2010"/>
      <c r="AC14" s="2078"/>
      <c r="AD14" s="2040"/>
    </row>
    <row r="15" spans="1:30" s="145" customFormat="1" ht="12.75" hidden="1" customHeight="1" x14ac:dyDescent="0.2">
      <c r="A15" s="146"/>
      <c r="B15" s="143"/>
      <c r="C15" s="33"/>
      <c r="D15" s="147"/>
      <c r="E15" s="1382">
        <f t="shared" si="5"/>
        <v>0</v>
      </c>
      <c r="F15" s="147"/>
      <c r="G15" s="1374">
        <f t="shared" si="5"/>
        <v>0</v>
      </c>
      <c r="H15" s="3463"/>
      <c r="I15" s="3488">
        <f t="shared" si="5"/>
        <v>0</v>
      </c>
      <c r="J15" s="3475"/>
      <c r="K15" s="1280"/>
      <c r="L15" s="139"/>
      <c r="M15" s="139"/>
      <c r="N15" s="139"/>
      <c r="O15" s="139"/>
      <c r="P15" s="139"/>
      <c r="Q15" s="2019">
        <f t="shared" si="2"/>
        <v>0</v>
      </c>
      <c r="R15" s="2005">
        <f t="shared" si="0"/>
        <v>0</v>
      </c>
      <c r="S15" s="2010">
        <f t="shared" si="1"/>
        <v>-100021</v>
      </c>
      <c r="T15" s="2078">
        <f t="shared" si="3"/>
        <v>0</v>
      </c>
      <c r="U15" s="2040">
        <f t="shared" si="4"/>
        <v>0</v>
      </c>
      <c r="W15" s="1874"/>
      <c r="X15" s="1874"/>
      <c r="Y15" s="2022"/>
      <c r="Z15" s="2022"/>
      <c r="AA15" s="2010">
        <f>SUM('3.b. sz. mell'!J15+'4. b.sz. mell.'!H16+'5.b. sz. mell.'!J16)+'5.b. sz. mell.'!J28+'5.b. sz. mell.'!J35</f>
        <v>100021</v>
      </c>
      <c r="AB15" s="2010"/>
      <c r="AC15" s="2078"/>
      <c r="AD15" s="2040"/>
    </row>
    <row r="16" spans="1:30" s="141" customFormat="1" ht="18.75" customHeight="1" thickBot="1" x14ac:dyDescent="0.25">
      <c r="A16" s="134" t="s">
        <v>31</v>
      </c>
      <c r="B16" s="148"/>
      <c r="C16" s="30" t="s">
        <v>292</v>
      </c>
      <c r="D16" s="137">
        <f>SUM('3.b. sz. mell'!F16+'4. b.sz. mell.'!D8+'5.b. sz. mell.'!F8)</f>
        <v>18469000</v>
      </c>
      <c r="E16" s="1382">
        <f t="shared" si="5"/>
        <v>0</v>
      </c>
      <c r="F16" s="137">
        <f>SUM('3.b. sz. mell'!H16+'4. b.sz. mell.'!F8+'5.b. sz. mell.'!H8)</f>
        <v>18469000</v>
      </c>
      <c r="G16" s="1374">
        <f t="shared" si="5"/>
        <v>-743128</v>
      </c>
      <c r="H16" s="3461">
        <f>SUM('3.b. sz. mell'!J16+'4. b.sz. mell.'!H8+'5.b. sz. mell.'!J8)</f>
        <v>17725872</v>
      </c>
      <c r="I16" s="3488">
        <f t="shared" si="5"/>
        <v>0</v>
      </c>
      <c r="J16" s="2456">
        <f>SUM('3.b. sz. mell'!L16+'4. b.sz. mell.'!J8+'5.b. sz. mell.'!L8)</f>
        <v>17725872</v>
      </c>
      <c r="K16" s="948">
        <f>SUM('3.b. sz. mell'!M16+'4. b.sz. mell.'!K8+'5.b. sz. mell.'!M8)</f>
        <v>17365957</v>
      </c>
      <c r="L16" s="139"/>
      <c r="M16" s="139"/>
      <c r="N16" s="139"/>
      <c r="O16" s="139"/>
      <c r="P16" s="139"/>
      <c r="Q16" s="2019">
        <f t="shared" si="2"/>
        <v>0</v>
      </c>
      <c r="R16" s="2005">
        <f t="shared" si="0"/>
        <v>0</v>
      </c>
      <c r="S16" s="2010">
        <f t="shared" si="1"/>
        <v>0</v>
      </c>
      <c r="T16" s="2078">
        <f t="shared" si="3"/>
        <v>0</v>
      </c>
      <c r="U16" s="2040">
        <f t="shared" si="4"/>
        <v>0</v>
      </c>
      <c r="W16" s="2020">
        <f>SUM('3.b. sz. mell'!F16+'5.b. sz. mell.'!F8)</f>
        <v>18469000</v>
      </c>
      <c r="X16" s="2020"/>
      <c r="Y16" s="2021">
        <f>SUM('3.b. sz. mell'!H16+'5.b. sz. mell.'!H8)</f>
        <v>18469000</v>
      </c>
      <c r="Z16" s="2021"/>
      <c r="AA16" s="2023">
        <f>SUM('3.b. sz. mell'!J16+'5.b. sz. mell.'!J8)</f>
        <v>17725872</v>
      </c>
      <c r="AB16" s="2023"/>
      <c r="AC16" s="2078">
        <f>SUM('3.b. sz. mell'!L16+'5.b. sz. mell.'!L8)</f>
        <v>17725872</v>
      </c>
      <c r="AD16" s="2040">
        <f>SUM('3.b. sz. mell'!M16+'5.b. sz. mell.'!M8)</f>
        <v>17365957</v>
      </c>
    </row>
    <row r="17" spans="1:30" s="141" customFormat="1" ht="12.75" hidden="1" customHeight="1" x14ac:dyDescent="0.2">
      <c r="A17" s="149"/>
      <c r="B17" s="143"/>
      <c r="C17" s="27"/>
      <c r="D17" s="150"/>
      <c r="E17" s="1382">
        <f t="shared" si="5"/>
        <v>0</v>
      </c>
      <c r="F17" s="150"/>
      <c r="G17" s="1374">
        <f t="shared" si="5"/>
        <v>0</v>
      </c>
      <c r="H17" s="1676"/>
      <c r="I17" s="3488">
        <f t="shared" si="5"/>
        <v>0</v>
      </c>
      <c r="J17" s="3476"/>
      <c r="K17" s="3165"/>
      <c r="L17" s="139"/>
      <c r="M17" s="139"/>
      <c r="N17" s="139"/>
      <c r="O17" s="139"/>
      <c r="P17" s="139"/>
      <c r="Q17" s="2019">
        <f t="shared" si="2"/>
        <v>0</v>
      </c>
      <c r="R17" s="2005">
        <f t="shared" si="0"/>
        <v>0</v>
      </c>
      <c r="S17" s="2010">
        <f t="shared" si="1"/>
        <v>-186972013</v>
      </c>
      <c r="T17" s="2078">
        <f t="shared" si="3"/>
        <v>0</v>
      </c>
      <c r="U17" s="2040">
        <f t="shared" si="4"/>
        <v>0</v>
      </c>
      <c r="W17" s="2020"/>
      <c r="X17" s="2020"/>
      <c r="Y17" s="2021"/>
      <c r="Z17" s="2021"/>
      <c r="AA17" s="2010">
        <f>SUM('3.b. sz. mell'!J17+'4. b.sz. mell.'!H18+'5.b. sz. mell.'!J18)+'5.b. sz. mell.'!J30+'5.b. sz. mell.'!J37</f>
        <v>186972013</v>
      </c>
      <c r="AB17" s="2010"/>
      <c r="AC17" s="2078"/>
      <c r="AD17" s="2040"/>
    </row>
    <row r="18" spans="1:30" s="141" customFormat="1" ht="12.75" hidden="1" customHeight="1" x14ac:dyDescent="0.2">
      <c r="A18" s="142"/>
      <c r="B18" s="143"/>
      <c r="C18" s="27"/>
      <c r="D18" s="144"/>
      <c r="E18" s="1382">
        <f t="shared" si="5"/>
        <v>0</v>
      </c>
      <c r="F18" s="144"/>
      <c r="G18" s="1374">
        <f t="shared" si="5"/>
        <v>0</v>
      </c>
      <c r="H18" s="3462"/>
      <c r="I18" s="3488">
        <f t="shared" si="5"/>
        <v>0</v>
      </c>
      <c r="J18" s="2684"/>
      <c r="K18" s="610"/>
      <c r="L18" s="139"/>
      <c r="M18" s="139"/>
      <c r="N18" s="139"/>
      <c r="O18" s="139"/>
      <c r="P18" s="139"/>
      <c r="Q18" s="2019">
        <f t="shared" si="2"/>
        <v>0</v>
      </c>
      <c r="R18" s="2005">
        <f t="shared" si="0"/>
        <v>0</v>
      </c>
      <c r="S18" s="2010">
        <f t="shared" si="1"/>
        <v>-5019041</v>
      </c>
      <c r="T18" s="2078">
        <f t="shared" si="3"/>
        <v>0</v>
      </c>
      <c r="U18" s="2040">
        <f t="shared" si="4"/>
        <v>0</v>
      </c>
      <c r="W18" s="2020"/>
      <c r="X18" s="2020"/>
      <c r="Y18" s="2021"/>
      <c r="Z18" s="2021"/>
      <c r="AA18" s="2010">
        <f>SUM('3.b. sz. mell'!J18+'4. b.sz. mell.'!H19+'5.b. sz. mell.'!J19)+'5.b. sz. mell.'!J31+'5.b. sz. mell.'!J38</f>
        <v>5019041</v>
      </c>
      <c r="AB18" s="2010"/>
      <c r="AC18" s="2078"/>
      <c r="AD18" s="2040"/>
    </row>
    <row r="19" spans="1:30" s="141" customFormat="1" ht="12.75" hidden="1" customHeight="1" x14ac:dyDescent="0.2">
      <c r="A19" s="142"/>
      <c r="B19" s="143"/>
      <c r="C19" s="27"/>
      <c r="D19" s="144"/>
      <c r="E19" s="1382">
        <f t="shared" si="5"/>
        <v>0</v>
      </c>
      <c r="F19" s="144"/>
      <c r="G19" s="1374">
        <f t="shared" si="5"/>
        <v>0</v>
      </c>
      <c r="H19" s="3462"/>
      <c r="I19" s="3488">
        <f t="shared" si="5"/>
        <v>0</v>
      </c>
      <c r="J19" s="2684"/>
      <c r="K19" s="610"/>
      <c r="L19" s="139"/>
      <c r="M19" s="139"/>
      <c r="N19" s="139"/>
      <c r="O19" s="139"/>
      <c r="P19" s="139"/>
      <c r="Q19" s="2019">
        <f t="shared" si="2"/>
        <v>0</v>
      </c>
      <c r="R19" s="2005">
        <f t="shared" si="0"/>
        <v>0</v>
      </c>
      <c r="S19" s="2010">
        <f t="shared" si="1"/>
        <v>-462101900</v>
      </c>
      <c r="T19" s="2078">
        <f t="shared" si="3"/>
        <v>0</v>
      </c>
      <c r="U19" s="2040">
        <f t="shared" si="4"/>
        <v>0</v>
      </c>
      <c r="W19" s="2020"/>
      <c r="X19" s="2020"/>
      <c r="Y19" s="2021"/>
      <c r="Z19" s="2021"/>
      <c r="AA19" s="2010">
        <f>SUM('3.b. sz. mell'!J19+'4. b.sz. mell.'!H20+'5.b. sz. mell.'!J20)+'5.b. sz. mell.'!J32+'5.b. sz. mell.'!J39</f>
        <v>462101900</v>
      </c>
      <c r="AB19" s="2010"/>
      <c r="AC19" s="2078"/>
      <c r="AD19" s="2040"/>
    </row>
    <row r="20" spans="1:30" s="141" customFormat="1" ht="12.75" hidden="1" customHeight="1" x14ac:dyDescent="0.2">
      <c r="A20" s="142"/>
      <c r="B20" s="143"/>
      <c r="C20" s="27"/>
      <c r="D20" s="144"/>
      <c r="E20" s="1382">
        <f t="shared" si="5"/>
        <v>0</v>
      </c>
      <c r="F20" s="144"/>
      <c r="G20" s="1374">
        <f t="shared" si="5"/>
        <v>0</v>
      </c>
      <c r="H20" s="3462"/>
      <c r="I20" s="3488">
        <f t="shared" si="5"/>
        <v>0</v>
      </c>
      <c r="J20" s="2684"/>
      <c r="K20" s="610"/>
      <c r="L20" s="139"/>
      <c r="M20" s="139"/>
      <c r="N20" s="139"/>
      <c r="O20" s="139"/>
      <c r="P20" s="139"/>
      <c r="Q20" s="2019">
        <f t="shared" si="2"/>
        <v>0</v>
      </c>
      <c r="R20" s="2005">
        <f t="shared" si="0"/>
        <v>0</v>
      </c>
      <c r="S20" s="2010">
        <f t="shared" si="1"/>
        <v>-643855786</v>
      </c>
      <c r="T20" s="2078">
        <f t="shared" si="3"/>
        <v>0</v>
      </c>
      <c r="U20" s="2040">
        <f t="shared" si="4"/>
        <v>0</v>
      </c>
      <c r="W20" s="2020"/>
      <c r="X20" s="2020"/>
      <c r="Y20" s="2021"/>
      <c r="Z20" s="2021"/>
      <c r="AA20" s="2010">
        <f>SUM('3.b. sz. mell'!J20+'4. b.sz. mell.'!H21+'5.b. sz. mell.'!J21)+'5.b. sz. mell.'!J33+'5.b. sz. mell.'!J40</f>
        <v>643855786</v>
      </c>
      <c r="AB20" s="2010"/>
      <c r="AC20" s="2078"/>
      <c r="AD20" s="2040"/>
    </row>
    <row r="21" spans="1:30" s="141" customFormat="1" ht="12.75" hidden="1" customHeight="1" x14ac:dyDescent="0.2">
      <c r="A21" s="142"/>
      <c r="B21" s="143"/>
      <c r="C21" s="27"/>
      <c r="D21" s="144"/>
      <c r="E21" s="1382">
        <f t="shared" si="5"/>
        <v>0</v>
      </c>
      <c r="F21" s="144"/>
      <c r="G21" s="1374">
        <f t="shared" si="5"/>
        <v>0</v>
      </c>
      <c r="H21" s="3462"/>
      <c r="I21" s="3488">
        <f t="shared" si="5"/>
        <v>0</v>
      </c>
      <c r="J21" s="2684"/>
      <c r="K21" s="610"/>
      <c r="L21" s="139"/>
      <c r="M21" s="139"/>
      <c r="N21" s="139"/>
      <c r="O21" s="139"/>
      <c r="P21" s="139"/>
      <c r="Q21" s="2019">
        <f t="shared" si="2"/>
        <v>0</v>
      </c>
      <c r="R21" s="2005">
        <f t="shared" si="0"/>
        <v>0</v>
      </c>
      <c r="S21" s="2010">
        <f t="shared" si="1"/>
        <v>-463599676</v>
      </c>
      <c r="T21" s="2078">
        <f t="shared" si="3"/>
        <v>0</v>
      </c>
      <c r="U21" s="2040">
        <f t="shared" si="4"/>
        <v>0</v>
      </c>
      <c r="W21" s="2020"/>
      <c r="X21" s="2020"/>
      <c r="Y21" s="2021"/>
      <c r="Z21" s="2021"/>
      <c r="AA21" s="2010">
        <f>SUM('3.b. sz. mell'!J21+'4. b.sz. mell.'!H22+'5.b. sz. mell.'!J22)+'5.b. sz. mell.'!J34+'5.b. sz. mell.'!J41</f>
        <v>463599676</v>
      </c>
      <c r="AB21" s="2010"/>
      <c r="AC21" s="2078"/>
      <c r="AD21" s="2040"/>
    </row>
    <row r="22" spans="1:30" s="141" customFormat="1" ht="12.75" hidden="1" customHeight="1" x14ac:dyDescent="0.2">
      <c r="A22" s="146"/>
      <c r="B22" s="143"/>
      <c r="C22" s="27"/>
      <c r="D22" s="147"/>
      <c r="E22" s="1382">
        <f t="shared" si="5"/>
        <v>0</v>
      </c>
      <c r="F22" s="147"/>
      <c r="G22" s="1374">
        <f t="shared" si="5"/>
        <v>0</v>
      </c>
      <c r="H22" s="3463"/>
      <c r="I22" s="3488">
        <f t="shared" si="5"/>
        <v>0</v>
      </c>
      <c r="J22" s="3475"/>
      <c r="K22" s="1280"/>
      <c r="L22" s="139"/>
      <c r="M22" s="139"/>
      <c r="N22" s="139"/>
      <c r="O22" s="139"/>
      <c r="P22" s="139"/>
      <c r="Q22" s="2019">
        <f t="shared" si="2"/>
        <v>0</v>
      </c>
      <c r="R22" s="2005">
        <f t="shared" si="0"/>
        <v>0</v>
      </c>
      <c r="S22" s="2010">
        <f t="shared" si="1"/>
        <v>-180256110</v>
      </c>
      <c r="T22" s="2078">
        <f t="shared" si="3"/>
        <v>0</v>
      </c>
      <c r="U22" s="2040">
        <f t="shared" si="4"/>
        <v>0</v>
      </c>
      <c r="W22" s="2020"/>
      <c r="X22" s="2020"/>
      <c r="Y22" s="2021"/>
      <c r="Z22" s="2021"/>
      <c r="AA22" s="2010">
        <f>SUM('3.b. sz. mell'!J22+'4. b.sz. mell.'!H23+'5.b. sz. mell.'!J23)+'5.b. sz. mell.'!J35+'5.b. sz. mell.'!J42</f>
        <v>180256110</v>
      </c>
      <c r="AB22" s="2010"/>
      <c r="AC22" s="2078"/>
      <c r="AD22" s="2040"/>
    </row>
    <row r="23" spans="1:30" s="145" customFormat="1" ht="12.75" hidden="1" customHeight="1" x14ac:dyDescent="0.2">
      <c r="A23" s="142"/>
      <c r="B23" s="143"/>
      <c r="C23" s="27"/>
      <c r="D23" s="144"/>
      <c r="E23" s="1382">
        <f t="shared" si="5"/>
        <v>0</v>
      </c>
      <c r="F23" s="144"/>
      <c r="G23" s="1374">
        <f t="shared" si="5"/>
        <v>0</v>
      </c>
      <c r="H23" s="3462"/>
      <c r="I23" s="3488">
        <f t="shared" si="5"/>
        <v>0</v>
      </c>
      <c r="J23" s="2684"/>
      <c r="K23" s="610"/>
      <c r="L23" s="139"/>
      <c r="M23" s="139"/>
      <c r="N23" s="139"/>
      <c r="O23" s="139"/>
      <c r="P23" s="139"/>
      <c r="Q23" s="2019">
        <f t="shared" si="2"/>
        <v>0</v>
      </c>
      <c r="R23" s="2005">
        <f t="shared" si="0"/>
        <v>0</v>
      </c>
      <c r="S23" s="2010">
        <f t="shared" si="1"/>
        <v>0</v>
      </c>
      <c r="T23" s="2078">
        <f t="shared" si="3"/>
        <v>0</v>
      </c>
      <c r="U23" s="2040">
        <f t="shared" si="4"/>
        <v>0</v>
      </c>
      <c r="W23" s="2020"/>
      <c r="X23" s="2020"/>
      <c r="Y23" s="2021"/>
      <c r="Z23" s="2021"/>
      <c r="AA23" s="2010">
        <f>SUM('3.b. sz. mell'!J23+'4. b.sz. mell.'!H24+'5.b. sz. mell.'!J24)+'5.b. sz. mell.'!J36+'5.b. sz. mell.'!J43</f>
        <v>0</v>
      </c>
      <c r="AB23" s="2010"/>
      <c r="AC23" s="2078"/>
      <c r="AD23" s="2040"/>
    </row>
    <row r="24" spans="1:30" s="145" customFormat="1" ht="12.75" hidden="1" customHeight="1" x14ac:dyDescent="0.2">
      <c r="A24" s="151"/>
      <c r="B24" s="152"/>
      <c r="C24" s="27"/>
      <c r="D24" s="153"/>
      <c r="E24" s="1382">
        <f t="shared" si="5"/>
        <v>0</v>
      </c>
      <c r="F24" s="153"/>
      <c r="G24" s="1374">
        <f t="shared" si="5"/>
        <v>0</v>
      </c>
      <c r="H24" s="3464"/>
      <c r="I24" s="3488">
        <f t="shared" si="5"/>
        <v>0</v>
      </c>
      <c r="J24" s="3477"/>
      <c r="K24" s="1281"/>
      <c r="L24" s="139"/>
      <c r="M24" s="139"/>
      <c r="N24" s="139"/>
      <c r="O24" s="139"/>
      <c r="P24" s="139"/>
      <c r="Q24" s="2019">
        <f t="shared" si="2"/>
        <v>0</v>
      </c>
      <c r="R24" s="2005">
        <f t="shared" si="0"/>
        <v>0</v>
      </c>
      <c r="S24" s="2010">
        <f t="shared" si="1"/>
        <v>-853473626</v>
      </c>
      <c r="T24" s="2078">
        <f t="shared" si="3"/>
        <v>0</v>
      </c>
      <c r="U24" s="2040">
        <f t="shared" si="4"/>
        <v>0</v>
      </c>
      <c r="W24" s="2020"/>
      <c r="X24" s="2020"/>
      <c r="Y24" s="2021"/>
      <c r="Z24" s="2021"/>
      <c r="AA24" s="2010">
        <f>SUM('3.b. sz. mell'!J24+'4. b.sz. mell.'!H25+'5.b. sz. mell.'!J25)+'5.b. sz. mell.'!J37+'5.b. sz. mell.'!J44</f>
        <v>853473626</v>
      </c>
      <c r="AB24" s="2010"/>
      <c r="AC24" s="2078"/>
      <c r="AD24" s="2040"/>
    </row>
    <row r="25" spans="1:30" s="145" customFormat="1" ht="12.75" hidden="1" customHeight="1" x14ac:dyDescent="0.2">
      <c r="A25" s="134"/>
      <c r="B25" s="154"/>
      <c r="C25" s="30"/>
      <c r="D25" s="155"/>
      <c r="E25" s="1382">
        <f t="shared" si="5"/>
        <v>0</v>
      </c>
      <c r="F25" s="155"/>
      <c r="G25" s="1374">
        <f t="shared" si="5"/>
        <v>0</v>
      </c>
      <c r="H25" s="3465"/>
      <c r="I25" s="3488">
        <f t="shared" si="5"/>
        <v>0</v>
      </c>
      <c r="J25" s="3478"/>
      <c r="K25" s="3166"/>
      <c r="L25" s="139"/>
      <c r="M25" s="139"/>
      <c r="N25" s="139"/>
      <c r="O25" s="139"/>
      <c r="P25" s="139"/>
      <c r="Q25" s="2019">
        <f t="shared" si="2"/>
        <v>0</v>
      </c>
      <c r="R25" s="2005">
        <f t="shared" si="0"/>
        <v>0</v>
      </c>
      <c r="S25" s="2010">
        <f t="shared" si="1"/>
        <v>-5019041</v>
      </c>
      <c r="T25" s="2078">
        <f t="shared" si="3"/>
        <v>0</v>
      </c>
      <c r="U25" s="2040">
        <f t="shared" si="4"/>
        <v>0</v>
      </c>
      <c r="W25" s="2020"/>
      <c r="X25" s="2020"/>
      <c r="Y25" s="2021"/>
      <c r="Z25" s="2021"/>
      <c r="AA25" s="2010">
        <f>SUM('3.b. sz. mell'!J25+'4. b.sz. mell.'!H26+'5.b. sz. mell.'!J26)+'5.b. sz. mell.'!J38+'5.b. sz. mell.'!J45</f>
        <v>5019041</v>
      </c>
      <c r="AB25" s="2010"/>
      <c r="AC25" s="2078"/>
      <c r="AD25" s="2040"/>
    </row>
    <row r="26" spans="1:30" s="141" customFormat="1" ht="21" customHeight="1" thickBot="1" x14ac:dyDescent="0.25">
      <c r="A26" s="134" t="s">
        <v>45</v>
      </c>
      <c r="B26" s="148"/>
      <c r="C26" s="30" t="s">
        <v>237</v>
      </c>
      <c r="D26" s="137">
        <f>SUM('3.b. sz. mell'!F26+'4. b.sz. mell.'!D20+'5.b. sz. mell.'!F20)</f>
        <v>455857000</v>
      </c>
      <c r="E26" s="1382">
        <f t="shared" si="5"/>
        <v>0</v>
      </c>
      <c r="F26" s="137">
        <f>SUM('3.b. sz. mell'!H26+'4. b.sz. mell.'!F20+'5.b. sz. mell.'!H20)</f>
        <v>455857000</v>
      </c>
      <c r="G26" s="1374">
        <f t="shared" si="5"/>
        <v>6244900</v>
      </c>
      <c r="H26" s="3461">
        <f>SUM('3.b. sz. mell'!J26+'4. b.sz. mell.'!H20+'5.b. sz. mell.'!J20)</f>
        <v>462101900</v>
      </c>
      <c r="I26" s="3488">
        <f t="shared" si="5"/>
        <v>0</v>
      </c>
      <c r="J26" s="2456">
        <f>SUM('3.b. sz. mell'!L26+'4. b.sz. mell.'!J20+'5.b. sz. mell.'!L20)</f>
        <v>462101900</v>
      </c>
      <c r="K26" s="948">
        <f>SUM('3.b. sz. mell'!M26+'4. b.sz. mell.'!K20+'5.b. sz. mell.'!M20)</f>
        <v>462101900</v>
      </c>
      <c r="L26" s="139"/>
      <c r="M26" s="139"/>
      <c r="N26" s="139"/>
      <c r="O26" s="139"/>
      <c r="P26" s="139"/>
      <c r="Q26" s="2019">
        <f t="shared" si="2"/>
        <v>0</v>
      </c>
      <c r="R26" s="2005">
        <f t="shared" si="0"/>
        <v>0</v>
      </c>
      <c r="S26" s="2010">
        <f t="shared" si="1"/>
        <v>0</v>
      </c>
      <c r="T26" s="2078">
        <f t="shared" si="3"/>
        <v>0</v>
      </c>
      <c r="U26" s="2040">
        <f t="shared" si="4"/>
        <v>0</v>
      </c>
      <c r="W26" s="2020">
        <f>SUM('3.b. sz. mell'!F26+'5.b. sz. mell.'!F20)</f>
        <v>455857000</v>
      </c>
      <c r="X26" s="2020"/>
      <c r="Y26" s="2021">
        <f>SUM('3.b. sz. mell'!H26+'5.b. sz. mell.'!H20)</f>
        <v>455857000</v>
      </c>
      <c r="Z26" s="2021"/>
      <c r="AA26" s="2023">
        <f>SUM('3.b. sz. mell'!J26+'5.b. sz. mell.'!J20)</f>
        <v>462101900</v>
      </c>
      <c r="AB26" s="2023"/>
      <c r="AC26" s="2078">
        <f>SUM('3.b. sz. mell'!L26+'5.b. sz. mell.'!L20)</f>
        <v>462101900</v>
      </c>
      <c r="AD26" s="2040">
        <f>SUM('3.b. sz. mell'!M26+'5.b. sz. mell.'!M20)</f>
        <v>462101900</v>
      </c>
    </row>
    <row r="27" spans="1:30" s="141" customFormat="1" ht="21" customHeight="1" thickBot="1" x14ac:dyDescent="0.25">
      <c r="A27" s="134" t="s">
        <v>67</v>
      </c>
      <c r="B27" s="148"/>
      <c r="C27" s="30" t="s">
        <v>293</v>
      </c>
      <c r="D27" s="137"/>
      <c r="E27" s="1382">
        <f t="shared" si="5"/>
        <v>2100000</v>
      </c>
      <c r="F27" s="137">
        <f>SUM('5.b. sz. mell.'!H27)+'3.b. sz. mell'!H27</f>
        <v>2100000</v>
      </c>
      <c r="G27" s="1374">
        <f>SUM('5.b. sz. mell.'!I27)+'3.b. sz. mell'!I27</f>
        <v>4450000</v>
      </c>
      <c r="H27" s="3461">
        <f>SUM('5.b. sz. mell.'!J27)+'3.b. sz. mell'!J27</f>
        <v>6550000</v>
      </c>
      <c r="I27" s="3488">
        <f>SUM('5.b. sz. mell.'!K27)+'3.b. sz. mell'!K27</f>
        <v>0</v>
      </c>
      <c r="J27" s="2456">
        <f>SUM('5.b. sz. mell.'!L27)+'3.b. sz. mell'!L27</f>
        <v>6550000</v>
      </c>
      <c r="K27" s="948">
        <f>SUM('5.b. sz. mell.'!M27)+'3.b. sz. mell'!M27</f>
        <v>6600000</v>
      </c>
      <c r="L27" s="139"/>
      <c r="M27" s="139"/>
      <c r="N27" s="139"/>
      <c r="O27" s="139"/>
      <c r="P27" s="139"/>
      <c r="Q27" s="2019">
        <f t="shared" si="2"/>
        <v>0</v>
      </c>
      <c r="R27" s="2005">
        <f t="shared" si="0"/>
        <v>0</v>
      </c>
      <c r="S27" s="2010">
        <f t="shared" si="1"/>
        <v>4450000</v>
      </c>
      <c r="T27" s="2078">
        <f t="shared" si="3"/>
        <v>0</v>
      </c>
      <c r="U27" s="2040">
        <f t="shared" si="4"/>
        <v>0</v>
      </c>
      <c r="W27" s="2020">
        <f>SUM('5.b. sz. mell.'!F27)+'3.b. sz. mell'!F27</f>
        <v>0</v>
      </c>
      <c r="X27" s="2020"/>
      <c r="Y27" s="2021">
        <f>SUM('5.b. sz. mell.'!H27)+'3.b. sz. mell'!H27</f>
        <v>2100000</v>
      </c>
      <c r="Z27" s="2020"/>
      <c r="AA27" s="2023">
        <f>SUM('5.b. sz. mell.'!H27)+'3.b. sz. mell'!H27</f>
        <v>2100000</v>
      </c>
      <c r="AB27" s="2020"/>
      <c r="AC27" s="2078">
        <f>SUM('5.b. sz. mell.'!L27)+'3.b. sz. mell'!L27</f>
        <v>6550000</v>
      </c>
      <c r="AD27" s="2040">
        <f>SUM('5.b. sz. mell.'!M27)+'3.b. sz. mell'!M27</f>
        <v>6600000</v>
      </c>
    </row>
    <row r="28" spans="1:30" s="145" customFormat="1" ht="30.75" customHeight="1" thickBot="1" x14ac:dyDescent="0.25">
      <c r="A28" s="134" t="s">
        <v>79</v>
      </c>
      <c r="B28" s="154"/>
      <c r="C28" s="136" t="s">
        <v>294</v>
      </c>
      <c r="D28" s="138">
        <f>SUM(D29:D31)</f>
        <v>200000000</v>
      </c>
      <c r="E28" s="1382">
        <f t="shared" si="5"/>
        <v>-200000000</v>
      </c>
      <c r="F28" s="138">
        <f>SUM(F29:F31)</f>
        <v>0</v>
      </c>
      <c r="G28" s="1374">
        <f t="shared" si="5"/>
        <v>0</v>
      </c>
      <c r="H28" s="3460">
        <f>SUM(H29:H31)</f>
        <v>0</v>
      </c>
      <c r="I28" s="3488">
        <f t="shared" si="5"/>
        <v>0</v>
      </c>
      <c r="J28" s="3474">
        <f>SUM(J29:J31)</f>
        <v>0</v>
      </c>
      <c r="K28" s="1697">
        <f>SUM(K29:K31)</f>
        <v>240126</v>
      </c>
      <c r="L28" s="139"/>
      <c r="M28" s="139"/>
      <c r="N28" s="139"/>
      <c r="O28" s="139"/>
      <c r="P28" s="139"/>
      <c r="Q28" s="2019">
        <f t="shared" si="2"/>
        <v>0</v>
      </c>
      <c r="R28" s="2005">
        <f t="shared" si="0"/>
        <v>0</v>
      </c>
      <c r="S28" s="2010">
        <f t="shared" si="1"/>
        <v>0</v>
      </c>
      <c r="T28" s="2078">
        <f t="shared" si="3"/>
        <v>0</v>
      </c>
      <c r="U28" s="2040">
        <f t="shared" si="4"/>
        <v>0</v>
      </c>
      <c r="W28" s="2020">
        <f>SUM('3.b. sz. mell'!F28)+'4. b.sz. mell.'!D31+'5.b. sz. mell.'!F31</f>
        <v>200000000</v>
      </c>
      <c r="X28" s="2020"/>
      <c r="Y28" s="2021">
        <f>SUM('3.b. sz. mell'!H28)+'5. sz. mell. '!H35+'5.b. sz. mell.'!H33</f>
        <v>0</v>
      </c>
      <c r="Z28" s="2021"/>
      <c r="AA28" s="2023">
        <f>SUM('3.b. sz. mell'!J28)+'5. sz. mell. '!J35+'5.b. sz. mell.'!J33</f>
        <v>0</v>
      </c>
      <c r="AB28" s="2023"/>
      <c r="AC28" s="2078">
        <f>SUM('3.b. sz. mell'!L28)+'5. sz. mell. '!L35+'5.b. sz. mell.'!L33</f>
        <v>0</v>
      </c>
      <c r="AD28" s="2040">
        <f>SUM('3.b. sz. mell'!M28)+'5. sz. mell. '!M35+'5.b. sz. mell.'!M33</f>
        <v>240126</v>
      </c>
    </row>
    <row r="29" spans="1:30" s="145" customFormat="1" ht="18.75" customHeight="1" thickBot="1" x14ac:dyDescent="0.25">
      <c r="A29" s="134" t="s">
        <v>89</v>
      </c>
      <c r="B29" s="154"/>
      <c r="C29" s="30" t="s">
        <v>271</v>
      </c>
      <c r="D29" s="137">
        <f>SUM('3.b. sz. mell'!F29)</f>
        <v>200000000</v>
      </c>
      <c r="E29" s="1382">
        <f t="shared" si="5"/>
        <v>-200000000</v>
      </c>
      <c r="F29" s="137">
        <f>SUM('3.b. sz. mell'!H29)</f>
        <v>0</v>
      </c>
      <c r="G29" s="1374">
        <f t="shared" si="5"/>
        <v>0</v>
      </c>
      <c r="H29" s="3461">
        <f>SUM('3.b. sz. mell'!J29)</f>
        <v>0</v>
      </c>
      <c r="I29" s="3488">
        <f t="shared" si="5"/>
        <v>0</v>
      </c>
      <c r="J29" s="2456">
        <f>SUM('3.b. sz. mell'!L29)</f>
        <v>0</v>
      </c>
      <c r="K29" s="948">
        <f>SUM('3.b. sz. mell'!M29)</f>
        <v>0</v>
      </c>
      <c r="L29" s="139"/>
      <c r="M29" s="139"/>
      <c r="N29" s="139"/>
      <c r="O29" s="139"/>
      <c r="P29" s="139"/>
      <c r="Q29" s="2019">
        <f t="shared" si="2"/>
        <v>0</v>
      </c>
      <c r="R29" s="2005">
        <f t="shared" si="0"/>
        <v>0</v>
      </c>
      <c r="S29" s="2010">
        <f t="shared" si="1"/>
        <v>0</v>
      </c>
      <c r="T29" s="2078">
        <f t="shared" si="3"/>
        <v>0</v>
      </c>
      <c r="U29" s="2040">
        <f t="shared" si="4"/>
        <v>0</v>
      </c>
      <c r="W29" s="2020">
        <f>SUM('3.b. sz. mell'!F29)+'4. b.sz. mell.'!D32+'5.b. sz. mell.'!F32</f>
        <v>200000000</v>
      </c>
      <c r="X29" s="2020"/>
      <c r="Y29" s="2021">
        <f>SUM('3.b. sz. mell'!H29)</f>
        <v>0</v>
      </c>
      <c r="Z29" s="2021"/>
      <c r="AA29" s="2023">
        <f>SUM('3.b. sz. mell'!J29)</f>
        <v>0</v>
      </c>
      <c r="AB29" s="2023"/>
      <c r="AC29" s="2078">
        <f>SUM('3.b. sz. mell'!L29)</f>
        <v>0</v>
      </c>
      <c r="AD29" s="2040">
        <f>SUM('3.b. sz. mell'!M29)</f>
        <v>0</v>
      </c>
    </row>
    <row r="30" spans="1:30" s="145" customFormat="1" ht="18.75" customHeight="1" thickBot="1" x14ac:dyDescent="0.25">
      <c r="A30" s="134" t="s">
        <v>99</v>
      </c>
      <c r="B30" s="154"/>
      <c r="C30" s="30" t="s">
        <v>295</v>
      </c>
      <c r="D30" s="137">
        <f>SUM('3.b. sz. mell'!F30)</f>
        <v>0</v>
      </c>
      <c r="E30" s="1382">
        <f t="shared" si="5"/>
        <v>0</v>
      </c>
      <c r="F30" s="137">
        <f>SUM('3.b. sz. mell'!H30)+'5.b. sz. mell.'!H33</f>
        <v>0</v>
      </c>
      <c r="G30" s="1374">
        <f t="shared" si="5"/>
        <v>0</v>
      </c>
      <c r="H30" s="3461">
        <f>SUM('3.b. sz. mell'!J30)+'5.b. sz. mell.'!J33</f>
        <v>0</v>
      </c>
      <c r="I30" s="3488">
        <f t="shared" si="5"/>
        <v>0</v>
      </c>
      <c r="J30" s="2456">
        <f>SUM('3.b. sz. mell'!L30)+'5.b. sz. mell.'!L33</f>
        <v>0</v>
      </c>
      <c r="K30" s="948">
        <f>SUM('3.b. sz. mell'!M30)+'5.b. sz. mell.'!M33</f>
        <v>0</v>
      </c>
      <c r="L30" s="139"/>
      <c r="M30" s="139"/>
      <c r="N30" s="139"/>
      <c r="O30" s="139"/>
      <c r="P30" s="139"/>
      <c r="Q30" s="2019">
        <f t="shared" si="2"/>
        <v>0</v>
      </c>
      <c r="R30" s="2005">
        <f t="shared" si="0"/>
        <v>0</v>
      </c>
      <c r="S30" s="2010">
        <f t="shared" si="1"/>
        <v>0</v>
      </c>
      <c r="T30" s="2078">
        <f t="shared" si="3"/>
        <v>0</v>
      </c>
      <c r="U30" s="2040">
        <f t="shared" si="4"/>
        <v>0</v>
      </c>
      <c r="W30" s="2020">
        <f>SUM('3.b. sz. mell'!F30)+'4. b.sz. mell.'!D33+'5.b. sz. mell.'!F33</f>
        <v>0</v>
      </c>
      <c r="X30" s="2020"/>
      <c r="Y30" s="2021">
        <f>SUM('3.b. sz. mell'!H30)+'4. b.sz. mell.'!F33+'5.b. sz. mell.'!H33</f>
        <v>0</v>
      </c>
      <c r="Z30" s="2021"/>
      <c r="AA30" s="2023">
        <f>SUM('3.b. sz. mell'!J30)+'4. b.sz. mell.'!H33+'5.b. sz. mell.'!J33</f>
        <v>0</v>
      </c>
      <c r="AB30" s="2023"/>
      <c r="AC30" s="2078">
        <f>SUM('3.b. sz. mell'!L30)+'4. b.sz. mell.'!J33+'5.b. sz. mell.'!L33</f>
        <v>0</v>
      </c>
      <c r="AD30" s="2040">
        <f>SUM('3.b. sz. mell'!M30)+'4. b.sz. mell.'!K33+'5.b. sz. mell.'!M33</f>
        <v>0</v>
      </c>
    </row>
    <row r="31" spans="1:30" s="145" customFormat="1" ht="18.75" customHeight="1" thickBot="1" x14ac:dyDescent="0.25">
      <c r="A31" s="134" t="s">
        <v>101</v>
      </c>
      <c r="B31" s="154"/>
      <c r="C31" s="30" t="s">
        <v>296</v>
      </c>
      <c r="D31" s="137">
        <f>SUM('3.b. sz. mell'!F31)</f>
        <v>0</v>
      </c>
      <c r="E31" s="1382">
        <f t="shared" si="5"/>
        <v>0</v>
      </c>
      <c r="F31" s="137">
        <f>SUM('3.b. sz. mell'!H31)</f>
        <v>0</v>
      </c>
      <c r="G31" s="1374">
        <f t="shared" si="5"/>
        <v>0</v>
      </c>
      <c r="H31" s="3461">
        <f>SUM('3.b. sz. mell'!J31)</f>
        <v>0</v>
      </c>
      <c r="I31" s="3488">
        <f t="shared" si="5"/>
        <v>0</v>
      </c>
      <c r="J31" s="2456">
        <f>SUM('3.b. sz. mell'!L31)</f>
        <v>0</v>
      </c>
      <c r="K31" s="948">
        <f>SUM('3.b. sz. mell'!M31)</f>
        <v>240126</v>
      </c>
      <c r="L31" s="139"/>
      <c r="M31" s="139"/>
      <c r="N31" s="139"/>
      <c r="O31" s="139"/>
      <c r="P31" s="139"/>
      <c r="Q31" s="2019">
        <f t="shared" si="2"/>
        <v>0</v>
      </c>
      <c r="R31" s="2005">
        <f t="shared" si="0"/>
        <v>0</v>
      </c>
      <c r="S31" s="2010">
        <f t="shared" si="1"/>
        <v>0</v>
      </c>
      <c r="T31" s="2078">
        <f t="shared" si="3"/>
        <v>0</v>
      </c>
      <c r="U31" s="2040">
        <f t="shared" si="4"/>
        <v>0</v>
      </c>
      <c r="W31" s="2020">
        <f>SUM('3.b. sz. mell'!F31)</f>
        <v>0</v>
      </c>
      <c r="X31" s="2020"/>
      <c r="Y31" s="2021">
        <f>SUM('3.b. sz. mell'!H31)+'5.b. sz. mell.'!H35</f>
        <v>0</v>
      </c>
      <c r="Z31" s="2021"/>
      <c r="AA31" s="2023">
        <f>SUM('3.b. sz. mell'!J31)+'5.b. sz. mell.'!J35</f>
        <v>0</v>
      </c>
      <c r="AB31" s="2023"/>
      <c r="AC31" s="2078">
        <f>SUM('3.b. sz. mell'!L31)</f>
        <v>0</v>
      </c>
      <c r="AD31" s="2040">
        <f>SUM('3.b. sz. mell'!M31)</f>
        <v>240126</v>
      </c>
    </row>
    <row r="32" spans="1:30" s="145" customFormat="1" ht="21.75" customHeight="1" thickBot="1" x14ac:dyDescent="0.25">
      <c r="A32" s="134" t="s">
        <v>109</v>
      </c>
      <c r="B32" s="154"/>
      <c r="C32" s="136" t="s">
        <v>297</v>
      </c>
      <c r="D32" s="138">
        <f>SUM(D33)</f>
        <v>1414316050</v>
      </c>
      <c r="E32" s="1382">
        <f t="shared" si="5"/>
        <v>1346039120</v>
      </c>
      <c r="F32" s="138">
        <f>SUM(F33)</f>
        <v>2760355170</v>
      </c>
      <c r="G32" s="1374">
        <f t="shared" si="5"/>
        <v>-902417904</v>
      </c>
      <c r="H32" s="3460">
        <f>SUM(H33)</f>
        <v>1857937266</v>
      </c>
      <c r="I32" s="3488">
        <f t="shared" si="5"/>
        <v>0</v>
      </c>
      <c r="J32" s="3474">
        <f>SUM(J33)</f>
        <v>1857937266</v>
      </c>
      <c r="K32" s="1697">
        <f>SUM(K33)</f>
        <v>1857169687</v>
      </c>
      <c r="L32" s="139"/>
      <c r="M32" s="139"/>
      <c r="N32" s="139"/>
      <c r="O32" s="139"/>
      <c r="P32" s="139"/>
      <c r="Q32" s="2019">
        <f t="shared" si="2"/>
        <v>0</v>
      </c>
      <c r="R32" s="2005">
        <f t="shared" si="0"/>
        <v>0</v>
      </c>
      <c r="S32" s="2010">
        <f t="shared" si="1"/>
        <v>0</v>
      </c>
      <c r="T32" s="2078">
        <f t="shared" si="3"/>
        <v>0</v>
      </c>
      <c r="U32" s="2040">
        <f t="shared" si="4"/>
        <v>0</v>
      </c>
      <c r="W32" s="2020">
        <f>SUM('3.b. sz. mell'!F32+'5.b. sz. mell.'!F37)+'4. b.sz. mell.'!D37</f>
        <v>1414316050</v>
      </c>
      <c r="X32" s="2020"/>
      <c r="Y32" s="2021">
        <f>SUM('3.b. sz. mell'!H32+'5.b. sz. mell.'!H39)+'5.b. sz. mell.'!H37+'4. b.sz. mell.'!F37</f>
        <v>2760355170</v>
      </c>
      <c r="Z32" s="2021"/>
      <c r="AA32" s="2023">
        <f>SUM('3.b. sz. mell'!J32+'5.b. sz. mell.'!J39)+'5.b. sz. mell.'!J37+'4. b.sz. mell.'!H37</f>
        <v>1857937266</v>
      </c>
      <c r="AB32" s="2023"/>
      <c r="AC32" s="2078">
        <f>SUM('3.b. sz. mell'!L32+'5.b. sz. mell.'!L39)+'5.b. sz. mell.'!L37+'4. b.sz. mell.'!J37</f>
        <v>1857937266</v>
      </c>
      <c r="AD32" s="2040">
        <f>SUM('3.b. sz. mell'!M32+'5.b. sz. mell.'!M39)+'5.b. sz. mell.'!M37+'4. b.sz. mell.'!K37</f>
        <v>1857169687</v>
      </c>
    </row>
    <row r="33" spans="1:31" s="145" customFormat="1" ht="16.5" customHeight="1" thickBot="1" x14ac:dyDescent="0.25">
      <c r="A33" s="149" t="s">
        <v>119</v>
      </c>
      <c r="B33" s="677"/>
      <c r="C33" s="2814" t="s">
        <v>298</v>
      </c>
      <c r="D33" s="845">
        <f>SUM(D35:D40)</f>
        <v>1414316050</v>
      </c>
      <c r="E33" s="1382">
        <f t="shared" si="5"/>
        <v>1346039120</v>
      </c>
      <c r="F33" s="499">
        <f>SUM(F34+F35+F36+F40)+F39</f>
        <v>2760355170</v>
      </c>
      <c r="G33" s="1374">
        <f t="shared" si="5"/>
        <v>-902417904</v>
      </c>
      <c r="H33" s="3466">
        <f>SUM(H34+H35+H36+H40)+H39</f>
        <v>1857937266</v>
      </c>
      <c r="I33" s="3436">
        <f t="shared" si="5"/>
        <v>0</v>
      </c>
      <c r="J33" s="3167">
        <f>SUM(J34+J35+J36+J40)+J39</f>
        <v>1857937266</v>
      </c>
      <c r="K33" s="3167">
        <f>SUM(K34+K35+K36+K40)+K39</f>
        <v>1857169687</v>
      </c>
      <c r="L33" s="139"/>
      <c r="M33" s="139"/>
      <c r="N33" s="139"/>
      <c r="O33" s="139"/>
      <c r="P33" s="139"/>
      <c r="Q33" s="2019">
        <f t="shared" si="2"/>
        <v>0</v>
      </c>
      <c r="R33" s="2005">
        <f t="shared" si="0"/>
        <v>0</v>
      </c>
      <c r="S33" s="2010">
        <f t="shared" si="1"/>
        <v>0</v>
      </c>
      <c r="T33" s="2078">
        <f t="shared" si="3"/>
        <v>0</v>
      </c>
      <c r="U33" s="2040">
        <f t="shared" si="4"/>
        <v>0</v>
      </c>
      <c r="W33" s="2020">
        <f>SUM('3.b. sz. mell'!F33+'5.b. sz. mell.'!F40)+'4. b.sz. mell.'!D37</f>
        <v>1414316050</v>
      </c>
      <c r="X33" s="2020"/>
      <c r="Y33" s="2021">
        <f>SUM('3.b. sz. mell'!H33+'5.b. sz. mell.'!H40)+'5.b. sz. mell.'!H38+'4. b.sz. mell.'!F40</f>
        <v>2760355170</v>
      </c>
      <c r="Z33" s="2021"/>
      <c r="AA33" s="2023">
        <f>SUM('3.b. sz. mell'!J33+'5.b. sz. mell.'!J40)+'5.b. sz. mell.'!J38+'4. b.sz. mell.'!H40</f>
        <v>1857937266</v>
      </c>
      <c r="AB33" s="2023"/>
      <c r="AC33" s="2078">
        <f>SUM('3.b. sz. mell'!L33+'5.b. sz. mell.'!L40)+'5.b. sz. mell.'!L38+'4. b.sz. mell.'!J40</f>
        <v>1857937266</v>
      </c>
      <c r="AD33" s="2040">
        <f>SUM('3.b. sz. mell'!M33+'5.b. sz. mell.'!M40)+'5.b. sz. mell.'!M38+'4. b.sz. mell.'!K40</f>
        <v>1857169687</v>
      </c>
      <c r="AE33" s="518" t="e">
        <f>SUM('3.b. sz. mell'!N31+'5.b. sz. mell.'!N40)+'5.b. sz. mell.'!N38</f>
        <v>#VALUE!</v>
      </c>
    </row>
    <row r="34" spans="1:31" s="145" customFormat="1" ht="16.5" customHeight="1" x14ac:dyDescent="0.2">
      <c r="A34" s="142" t="s">
        <v>125</v>
      </c>
      <c r="B34" s="143"/>
      <c r="C34" s="501" t="s">
        <v>102</v>
      </c>
      <c r="D34" s="1295"/>
      <c r="E34" s="1467">
        <f t="shared" si="5"/>
        <v>0</v>
      </c>
      <c r="F34" s="1195"/>
      <c r="G34" s="1467">
        <f t="shared" si="5"/>
        <v>0</v>
      </c>
      <c r="H34" s="2674"/>
      <c r="I34" s="3437">
        <f t="shared" si="5"/>
        <v>0</v>
      </c>
      <c r="J34" s="3239"/>
      <c r="K34" s="3239"/>
      <c r="L34" s="139"/>
      <c r="M34" s="139"/>
      <c r="N34" s="139"/>
      <c r="O34" s="139"/>
      <c r="P34" s="139"/>
      <c r="Q34" s="2019">
        <f t="shared" si="2"/>
        <v>0</v>
      </c>
      <c r="R34" s="2005">
        <f t="shared" si="0"/>
        <v>0</v>
      </c>
      <c r="S34" s="2010">
        <f t="shared" si="1"/>
        <v>0</v>
      </c>
      <c r="T34" s="2078">
        <f t="shared" si="3"/>
        <v>0</v>
      </c>
      <c r="U34" s="2040">
        <f t="shared" si="4"/>
        <v>0</v>
      </c>
      <c r="W34" s="2020"/>
      <c r="X34" s="2020"/>
      <c r="Y34" s="2021"/>
      <c r="Z34" s="2021"/>
      <c r="AA34" s="2023"/>
      <c r="AB34" s="2023"/>
      <c r="AC34" s="2078"/>
      <c r="AD34" s="2040"/>
    </row>
    <row r="35" spans="1:31" s="145" customFormat="1" ht="16.5" customHeight="1" x14ac:dyDescent="0.2">
      <c r="A35" s="142" t="s">
        <v>133</v>
      </c>
      <c r="B35" s="143"/>
      <c r="C35" s="501" t="s">
        <v>110</v>
      </c>
      <c r="D35" s="1295">
        <f>SUM('3.b. sz. mell'!F33)</f>
        <v>1361850000</v>
      </c>
      <c r="E35" s="1467">
        <f t="shared" si="5"/>
        <v>1296200000</v>
      </c>
      <c r="F35" s="1195">
        <f>SUM('3.b. sz. mell'!H33)</f>
        <v>2658050000</v>
      </c>
      <c r="G35" s="1467">
        <f t="shared" si="5"/>
        <v>-1000000000</v>
      </c>
      <c r="H35" s="2674">
        <f>SUM('3.b. sz. mell'!J33)</f>
        <v>1658050000</v>
      </c>
      <c r="I35" s="3437">
        <f t="shared" si="5"/>
        <v>0</v>
      </c>
      <c r="J35" s="3239">
        <f>SUM('3.b. sz. mell'!L33)</f>
        <v>1658050000</v>
      </c>
      <c r="K35" s="3239">
        <f>SUM('3.b. sz. mell'!M33)</f>
        <v>1658050000</v>
      </c>
      <c r="L35" s="139"/>
      <c r="M35" s="139"/>
      <c r="N35" s="139"/>
      <c r="O35" s="139"/>
      <c r="P35" s="139"/>
      <c r="Q35" s="2019">
        <f t="shared" si="2"/>
        <v>0</v>
      </c>
      <c r="R35" s="2005">
        <f t="shared" si="0"/>
        <v>0</v>
      </c>
      <c r="S35" s="2010">
        <f t="shared" si="1"/>
        <v>0</v>
      </c>
      <c r="T35" s="2078">
        <f t="shared" si="3"/>
        <v>0</v>
      </c>
      <c r="U35" s="2040">
        <f t="shared" si="4"/>
        <v>0</v>
      </c>
      <c r="W35" s="2020">
        <f>SUM('3.b. sz. mell'!F33)</f>
        <v>1361850000</v>
      </c>
      <c r="X35" s="2020"/>
      <c r="Y35" s="2021">
        <f>SUM('3.b. sz. mell'!H33)</f>
        <v>2658050000</v>
      </c>
      <c r="Z35" s="2021"/>
      <c r="AA35" s="2023">
        <f>SUM('3.b. sz. mell'!J33)</f>
        <v>1658050000</v>
      </c>
      <c r="AB35" s="2023"/>
      <c r="AC35" s="2078">
        <f>SUM('3.b. sz. mell'!L33)</f>
        <v>1658050000</v>
      </c>
      <c r="AD35" s="2040">
        <f>SUM('3.b. sz. mell'!M33)</f>
        <v>1658050000</v>
      </c>
    </row>
    <row r="36" spans="1:31" s="145" customFormat="1" ht="16.5" customHeight="1" x14ac:dyDescent="0.2">
      <c r="A36" s="142" t="s">
        <v>143</v>
      </c>
      <c r="B36" s="143"/>
      <c r="C36" s="501" t="s">
        <v>120</v>
      </c>
      <c r="D36" s="1295"/>
      <c r="E36" s="1467">
        <f t="shared" si="5"/>
        <v>5019041</v>
      </c>
      <c r="F36" s="1195">
        <f>SUM(F37:F38)</f>
        <v>5019041</v>
      </c>
      <c r="G36" s="1467">
        <f t="shared" si="5"/>
        <v>0</v>
      </c>
      <c r="H36" s="2674">
        <f>SUM(H37:H38)</f>
        <v>5019041</v>
      </c>
      <c r="I36" s="3437">
        <f t="shared" si="5"/>
        <v>0</v>
      </c>
      <c r="J36" s="3239">
        <f>SUM(J37:J38)</f>
        <v>5019041</v>
      </c>
      <c r="K36" s="3239">
        <f>SUM(K37:K38)</f>
        <v>5019041</v>
      </c>
      <c r="L36" s="139"/>
      <c r="M36" s="139"/>
      <c r="N36" s="139"/>
      <c r="O36" s="139"/>
      <c r="P36" s="139"/>
      <c r="Q36" s="2019">
        <f t="shared" si="2"/>
        <v>0</v>
      </c>
      <c r="R36" s="2005">
        <f t="shared" si="0"/>
        <v>0</v>
      </c>
      <c r="S36" s="2010">
        <f t="shared" si="1"/>
        <v>0</v>
      </c>
      <c r="T36" s="2078">
        <f t="shared" si="3"/>
        <v>0</v>
      </c>
      <c r="U36" s="2040">
        <f t="shared" si="4"/>
        <v>0</v>
      </c>
      <c r="W36" s="2020"/>
      <c r="X36" s="2020"/>
      <c r="Y36" s="2021">
        <f>SUM('4. b.sz. mell.'!F38+'5.b. sz. mell.'!H38)</f>
        <v>5019041</v>
      </c>
      <c r="Z36" s="2021"/>
      <c r="AA36" s="2023">
        <f>SUM('4. b.sz. mell.'!H38+'5.b. sz. mell.'!J38)</f>
        <v>5019041</v>
      </c>
      <c r="AB36" s="2021"/>
      <c r="AC36" s="2078">
        <f>SUM('4. b.sz. mell.'!J38+'5.b. sz. mell.'!L38)</f>
        <v>5019041</v>
      </c>
      <c r="AD36" s="2040">
        <f>SUM('4. b.sz. mell.'!K38+'5.b. sz. mell.'!M38)</f>
        <v>5019041</v>
      </c>
    </row>
    <row r="37" spans="1:31" s="145" customFormat="1" ht="16.5" customHeight="1" x14ac:dyDescent="0.2">
      <c r="A37" s="142"/>
      <c r="B37" s="143"/>
      <c r="C37" s="940" t="s">
        <v>803</v>
      </c>
      <c r="D37" s="1295">
        <f>SUM('3.b. sz. mell'!F35)</f>
        <v>0</v>
      </c>
      <c r="E37" s="1467">
        <f t="shared" si="5"/>
        <v>5019041</v>
      </c>
      <c r="F37" s="1195">
        <f>SUM('5.b. sz. mell.'!H38)</f>
        <v>5019041</v>
      </c>
      <c r="G37" s="1467">
        <f t="shared" si="5"/>
        <v>0</v>
      </c>
      <c r="H37" s="2674">
        <f>SUM('5.b. sz. mell.'!J38)</f>
        <v>5019041</v>
      </c>
      <c r="I37" s="3437">
        <f t="shared" si="5"/>
        <v>0</v>
      </c>
      <c r="J37" s="3239">
        <f>SUM('5.b. sz. mell.'!L38)</f>
        <v>5019041</v>
      </c>
      <c r="K37" s="3239">
        <f>SUM('5.b. sz. mell.'!M38)</f>
        <v>5019041</v>
      </c>
      <c r="L37" s="139"/>
      <c r="M37" s="139"/>
      <c r="N37" s="139"/>
      <c r="O37" s="139"/>
      <c r="P37" s="139"/>
      <c r="Q37" s="2019">
        <f t="shared" si="2"/>
        <v>0</v>
      </c>
      <c r="R37" s="2005">
        <f t="shared" si="0"/>
        <v>0</v>
      </c>
      <c r="S37" s="2010">
        <f t="shared" si="1"/>
        <v>0</v>
      </c>
      <c r="T37" s="2078">
        <f t="shared" si="3"/>
        <v>0</v>
      </c>
      <c r="U37" s="2040">
        <f t="shared" si="4"/>
        <v>0</v>
      </c>
      <c r="W37" s="2020"/>
      <c r="X37" s="2020"/>
      <c r="Y37" s="2021">
        <f>SUM('5.b. sz. mell.'!H38)</f>
        <v>5019041</v>
      </c>
      <c r="Z37" s="2021"/>
      <c r="AA37" s="2023">
        <f>SUM('5.b. sz. mell.'!J38)</f>
        <v>5019041</v>
      </c>
      <c r="AB37" s="2023"/>
      <c r="AC37" s="2078">
        <f>SUM('5.b. sz. mell.'!L38)</f>
        <v>5019041</v>
      </c>
      <c r="AD37" s="2040">
        <f>SUM('5.b. sz. mell.'!M38)</f>
        <v>5019041</v>
      </c>
    </row>
    <row r="38" spans="1:31" s="145" customFormat="1" ht="16.5" customHeight="1" x14ac:dyDescent="0.2">
      <c r="A38" s="142"/>
      <c r="B38" s="143"/>
      <c r="C38" s="940" t="s">
        <v>804</v>
      </c>
      <c r="D38" s="1295">
        <f>SUM('3.b. sz. mell'!F36)</f>
        <v>0</v>
      </c>
      <c r="E38" s="1467">
        <f t="shared" si="5"/>
        <v>0</v>
      </c>
      <c r="F38" s="1195"/>
      <c r="G38" s="1467">
        <f t="shared" si="5"/>
        <v>0</v>
      </c>
      <c r="H38" s="2674"/>
      <c r="I38" s="3437">
        <f t="shared" si="5"/>
        <v>0</v>
      </c>
      <c r="J38" s="3239"/>
      <c r="K38" s="3239"/>
      <c r="L38" s="139"/>
      <c r="M38" s="139"/>
      <c r="N38" s="139"/>
      <c r="O38" s="139"/>
      <c r="P38" s="139"/>
      <c r="Q38" s="2019">
        <f>SUM(D38-W38)</f>
        <v>0</v>
      </c>
      <c r="R38" s="2005">
        <f t="shared" si="0"/>
        <v>0</v>
      </c>
      <c r="S38" s="2010">
        <f t="shared" si="1"/>
        <v>0</v>
      </c>
      <c r="T38" s="2078">
        <f t="shared" si="3"/>
        <v>0</v>
      </c>
      <c r="U38" s="2040">
        <f t="shared" si="4"/>
        <v>0</v>
      </c>
      <c r="W38" s="2020"/>
      <c r="X38" s="2020"/>
      <c r="Y38" s="2021"/>
      <c r="Z38" s="2021"/>
      <c r="AA38" s="2023"/>
      <c r="AB38" s="2023"/>
      <c r="AC38" s="2078"/>
      <c r="AD38" s="2040"/>
    </row>
    <row r="39" spans="1:31" s="145" customFormat="1" ht="16.5" customHeight="1" x14ac:dyDescent="0.2">
      <c r="A39" s="142" t="s">
        <v>145</v>
      </c>
      <c r="B39" s="143"/>
      <c r="C39" s="501" t="s">
        <v>132</v>
      </c>
      <c r="D39" s="1295"/>
      <c r="E39" s="1467">
        <f t="shared" si="5"/>
        <v>0</v>
      </c>
      <c r="F39" s="1195"/>
      <c r="G39" s="1467">
        <f t="shared" si="5"/>
        <v>0</v>
      </c>
      <c r="H39" s="2674"/>
      <c r="I39" s="3437">
        <f t="shared" si="5"/>
        <v>0</v>
      </c>
      <c r="J39" s="3239"/>
      <c r="K39" s="3239"/>
      <c r="L39" s="139"/>
      <c r="M39" s="139"/>
      <c r="N39" s="139"/>
      <c r="O39" s="139"/>
      <c r="P39" s="139"/>
      <c r="Q39" s="2019">
        <f t="shared" si="2"/>
        <v>0</v>
      </c>
      <c r="R39" s="2005">
        <f t="shared" si="0"/>
        <v>0</v>
      </c>
      <c r="S39" s="2010">
        <f t="shared" si="1"/>
        <v>0</v>
      </c>
      <c r="T39" s="2078">
        <f t="shared" si="3"/>
        <v>0</v>
      </c>
      <c r="U39" s="2040">
        <f t="shared" si="4"/>
        <v>0</v>
      </c>
      <c r="W39" s="2020"/>
      <c r="X39" s="2020"/>
      <c r="Y39" s="2021"/>
      <c r="Z39" s="2021"/>
      <c r="AA39" s="2021"/>
      <c r="AB39" s="2021"/>
      <c r="AC39" s="2078"/>
      <c r="AD39" s="2040"/>
    </row>
    <row r="40" spans="1:31" s="145" customFormat="1" ht="16.5" customHeight="1" thickBot="1" x14ac:dyDescent="0.25">
      <c r="A40" s="142" t="s">
        <v>147</v>
      </c>
      <c r="B40" s="143"/>
      <c r="C40" s="502" t="s">
        <v>245</v>
      </c>
      <c r="D40" s="1295">
        <f>SUM('4. b.sz. mell.'!D40+'5.b. sz. mell.'!F40)</f>
        <v>52466050</v>
      </c>
      <c r="E40" s="1467">
        <f t="shared" si="5"/>
        <v>44820079</v>
      </c>
      <c r="F40" s="1195">
        <f>SUM('4. b.sz. mell.'!F40+'5.b. sz. mell.'!H40)</f>
        <v>97286129</v>
      </c>
      <c r="G40" s="1467">
        <f t="shared" si="5"/>
        <v>97582096</v>
      </c>
      <c r="H40" s="2674">
        <f>SUM('4. b.sz. mell.'!H40+'5.b. sz. mell.'!J40)</f>
        <v>194868225</v>
      </c>
      <c r="I40" s="3489">
        <f t="shared" si="5"/>
        <v>0</v>
      </c>
      <c r="J40" s="3239">
        <f>SUM('4. b.sz. mell.'!J40+'5.b. sz. mell.'!L40)</f>
        <v>194868225</v>
      </c>
      <c r="K40" s="3239">
        <f>SUM('4. b.sz. mell.'!K40+'5.b. sz. mell.'!M40)</f>
        <v>194100646</v>
      </c>
      <c r="L40" s="139"/>
      <c r="M40" s="139"/>
      <c r="N40" s="139"/>
      <c r="O40" s="139"/>
      <c r="P40" s="139"/>
      <c r="Q40" s="2019">
        <f t="shared" si="2"/>
        <v>0</v>
      </c>
      <c r="R40" s="2005">
        <f t="shared" si="0"/>
        <v>0</v>
      </c>
      <c r="S40" s="2010">
        <f t="shared" si="1"/>
        <v>0</v>
      </c>
      <c r="T40" s="2078">
        <f t="shared" si="3"/>
        <v>0</v>
      </c>
      <c r="U40" s="2040">
        <f t="shared" si="4"/>
        <v>0</v>
      </c>
      <c r="W40" s="2020">
        <f>SUM('5.b. sz. mell.'!F40)+'4. b.sz. mell.'!D40</f>
        <v>52466050</v>
      </c>
      <c r="X40" s="2020"/>
      <c r="Y40" s="2021">
        <f>SUM('5.b. sz. mell.'!H40)+'4. b.sz. mell.'!F40</f>
        <v>97286129</v>
      </c>
      <c r="Z40" s="2021"/>
      <c r="AA40" s="2023">
        <f>SUM('5.b. sz. mell.'!J40)+'4. b.sz. mell.'!H40</f>
        <v>194868225</v>
      </c>
      <c r="AB40" s="2023"/>
      <c r="AC40" s="2078">
        <f>SUM('5.b. sz. mell.'!L40)+'4. b.sz. mell.'!J40</f>
        <v>194868225</v>
      </c>
      <c r="AD40" s="2040">
        <f>SUM('5.b. sz. mell.'!M40)+'4. b.sz. mell.'!K40</f>
        <v>194100646</v>
      </c>
    </row>
    <row r="41" spans="1:31" s="145" customFormat="1" ht="16.5" customHeight="1" thickBot="1" x14ac:dyDescent="0.25">
      <c r="A41" s="142" t="s">
        <v>246</v>
      </c>
      <c r="B41" s="143"/>
      <c r="C41" s="2710" t="s">
        <v>299</v>
      </c>
      <c r="D41" s="162">
        <f>SUM(D7+D28+D32)</f>
        <v>2850387444</v>
      </c>
      <c r="E41" s="1437">
        <f t="shared" si="5"/>
        <v>2343829840</v>
      </c>
      <c r="F41" s="162">
        <f>SUM(F7+F28+F32)</f>
        <v>5194217284</v>
      </c>
      <c r="G41" s="1373">
        <f t="shared" si="5"/>
        <v>172324718</v>
      </c>
      <c r="H41" s="1481">
        <f>SUM(H7+H28+H32)</f>
        <v>5366542002</v>
      </c>
      <c r="I41" s="3488">
        <f t="shared" si="5"/>
        <v>0</v>
      </c>
      <c r="J41" s="1447">
        <f>SUM(J7+J28+J32)</f>
        <v>5366542002</v>
      </c>
      <c r="K41" s="1451">
        <f>SUM(K7+K28+K32)</f>
        <v>4118717957</v>
      </c>
      <c r="L41" s="139">
        <f>SUM(D41-D87)</f>
        <v>0</v>
      </c>
      <c r="M41" s="139">
        <f>SUM(F41-F87)</f>
        <v>1400000</v>
      </c>
      <c r="N41" s="139"/>
      <c r="O41" s="139"/>
      <c r="P41" s="139">
        <f>SUM(K41-K87)</f>
        <v>44617039</v>
      </c>
      <c r="Q41" s="2019">
        <f>SUM(D41-W41)</f>
        <v>0</v>
      </c>
      <c r="R41" s="2005">
        <f t="shared" ref="R41:R46" si="6">SUM(F41-Y41)</f>
        <v>0</v>
      </c>
      <c r="S41" s="2010">
        <f t="shared" si="1"/>
        <v>0</v>
      </c>
      <c r="T41" s="2078">
        <f t="shared" si="3"/>
        <v>0</v>
      </c>
      <c r="U41" s="2040">
        <f t="shared" si="4"/>
        <v>0</v>
      </c>
      <c r="W41" s="2020">
        <f>SUM('3.b. sz. mell'!F34+'4. b.sz. mell.'!D42+'5.b. sz. mell.'!F44)</f>
        <v>2850387444</v>
      </c>
      <c r="X41" s="2020"/>
      <c r="Y41" s="2021">
        <f>SUM('3.b. sz. mell'!H34+'4. b.sz. mell.'!F42+'5.b. sz. mell.'!H44)</f>
        <v>5194217284</v>
      </c>
      <c r="Z41" s="2021"/>
      <c r="AA41" s="2023">
        <f>SUM('3.b. sz. mell'!J34+'4. b.sz. mell.'!H42+'5.b. sz. mell.'!J44)</f>
        <v>5366542002</v>
      </c>
      <c r="AB41" s="2023"/>
      <c r="AC41" s="2078">
        <f>SUM('3.b. sz. mell'!L34+'4. b.sz. mell.'!J42+'5.b. sz. mell.'!L44)</f>
        <v>5366542002</v>
      </c>
      <c r="AD41" s="2040">
        <f>SUM('3.b. sz. mell'!M34+'4. b.sz. mell.'!K42+'5.b. sz. mell.'!M44)</f>
        <v>4118717957</v>
      </c>
    </row>
    <row r="42" spans="1:31" s="145" customFormat="1" ht="16.5" customHeight="1" thickBot="1" x14ac:dyDescent="0.25">
      <c r="A42" s="142" t="s">
        <v>247</v>
      </c>
      <c r="B42" s="143"/>
      <c r="C42" s="30" t="s">
        <v>300</v>
      </c>
      <c r="D42" s="137">
        <f>SUM(D40)</f>
        <v>52466050</v>
      </c>
      <c r="E42" s="1437">
        <f t="shared" si="5"/>
        <v>44820079</v>
      </c>
      <c r="F42" s="137">
        <f t="shared" ref="F42:K42" si="7">SUM(F40)</f>
        <v>97286129</v>
      </c>
      <c r="G42" s="1437">
        <f t="shared" si="7"/>
        <v>97582096</v>
      </c>
      <c r="H42" s="3461">
        <f t="shared" si="7"/>
        <v>194868225</v>
      </c>
      <c r="I42" s="3488">
        <f t="shared" si="7"/>
        <v>0</v>
      </c>
      <c r="J42" s="2456">
        <f t="shared" si="7"/>
        <v>194868225</v>
      </c>
      <c r="K42" s="948">
        <f t="shared" si="7"/>
        <v>194100646</v>
      </c>
      <c r="L42" s="139"/>
      <c r="M42" s="139"/>
      <c r="N42" s="139"/>
      <c r="O42" s="139"/>
      <c r="P42" s="139"/>
      <c r="Q42" s="2019">
        <f>SUM(D42-W42)</f>
        <v>0</v>
      </c>
      <c r="R42" s="2005">
        <f t="shared" si="6"/>
        <v>0</v>
      </c>
      <c r="S42" s="2010">
        <f t="shared" si="1"/>
        <v>0</v>
      </c>
      <c r="T42" s="2078">
        <f t="shared" si="3"/>
        <v>0</v>
      </c>
      <c r="U42" s="2040">
        <f t="shared" si="4"/>
        <v>0</v>
      </c>
      <c r="W42" s="2020">
        <f>SUM('4. b.sz. mell.'!D40+'5.b. sz. mell.'!F40)</f>
        <v>52466050</v>
      </c>
      <c r="X42" s="2020">
        <f>SUM('4. b.sz. mell.'!E40+'5.b. sz. mell.'!G40)</f>
        <v>44820079</v>
      </c>
      <c r="Y42" s="2021">
        <f>SUM('4. b.sz. mell.'!F40+'5.b. sz. mell.'!H40)</f>
        <v>97286129</v>
      </c>
      <c r="Z42" s="2020">
        <f>SUM('4. b.sz. mell.'!G40+'5.b. sz. mell.'!I40)</f>
        <v>97582096</v>
      </c>
      <c r="AA42" s="2020">
        <f>SUM('4. b.sz. mell.'!H40+'5.b. sz. mell.'!J40)</f>
        <v>194868225</v>
      </c>
      <c r="AB42" s="2020"/>
      <c r="AC42" s="2078">
        <f>SUM('4. b.sz. mell.'!J40+'5.b. sz. mell.'!L40)</f>
        <v>194868225</v>
      </c>
      <c r="AD42" s="2040">
        <f>SUM('4. b.sz. mell.'!K40+'5.b. sz. mell.'!M40)</f>
        <v>194100646</v>
      </c>
    </row>
    <row r="43" spans="1:31" s="145" customFormat="1" ht="21" customHeight="1" thickBot="1" x14ac:dyDescent="0.25">
      <c r="A43" s="178" t="s">
        <v>248</v>
      </c>
      <c r="B43" s="1194"/>
      <c r="C43" s="161" t="s">
        <v>301</v>
      </c>
      <c r="D43" s="162">
        <f>SUM(D7+D28+D32-D42)</f>
        <v>2797921394</v>
      </c>
      <c r="E43" s="1437">
        <f t="shared" si="5"/>
        <v>2299009761</v>
      </c>
      <c r="F43" s="162">
        <f>SUM(F7+F28+F32-F42)</f>
        <v>5096931155</v>
      </c>
      <c r="G43" s="1373">
        <f t="shared" si="5"/>
        <v>74742622</v>
      </c>
      <c r="H43" s="1481">
        <f>SUM(H7+H28+H32-H42)</f>
        <v>5171673777</v>
      </c>
      <c r="I43" s="3488">
        <f t="shared" si="5"/>
        <v>0</v>
      </c>
      <c r="J43" s="1447">
        <f>SUM(J7+J28+J32-J42)</f>
        <v>5171673777</v>
      </c>
      <c r="K43" s="1451">
        <f>SUM(K7+K28+K32-K42)</f>
        <v>3924617311</v>
      </c>
      <c r="L43" s="205">
        <f>SUM(D43-D89)</f>
        <v>0</v>
      </c>
      <c r="M43" s="205">
        <f>SUM(F43-F89)</f>
        <v>1400000</v>
      </c>
      <c r="N43" s="205">
        <f>SUM(G43-G89)</f>
        <v>-1400000</v>
      </c>
      <c r="O43" s="205">
        <f>SUM(H43-H89)</f>
        <v>0</v>
      </c>
      <c r="P43" s="205">
        <f>SUM(K43-K89)</f>
        <v>44617039</v>
      </c>
      <c r="Q43" s="2019">
        <f>SUM(D43-W43)</f>
        <v>0</v>
      </c>
      <c r="R43" s="2005">
        <f t="shared" si="6"/>
        <v>0</v>
      </c>
      <c r="S43" s="2010"/>
      <c r="T43" s="2078">
        <f t="shared" si="3"/>
        <v>0</v>
      </c>
      <c r="U43" s="2040">
        <f t="shared" si="4"/>
        <v>0</v>
      </c>
      <c r="W43" s="2020">
        <f>SUM('3.b. sz. mell'!F34)+'4. b.sz. mell.'!D42+'5.b. sz. mell.'!F44-W42</f>
        <v>2797921394</v>
      </c>
      <c r="X43" s="2020">
        <f>SUM('3.b. sz. mell'!G34)+'4. b.sz. mell.'!E42+'5.b. sz. mell.'!G44-X42</f>
        <v>2299009761</v>
      </c>
      <c r="Y43" s="2021">
        <f>SUM('3.b. sz. mell'!H34)+'4. b.sz. mell.'!F42+'5.b. sz. mell.'!H44-Y42</f>
        <v>5096931155</v>
      </c>
      <c r="Z43" s="2020">
        <f>SUM('3.b. sz. mell'!I34)+'4. b.sz. mell.'!G42+'5.b. sz. mell.'!I44-Z42</f>
        <v>74742622</v>
      </c>
      <c r="AA43" s="2020">
        <f>SUM('3.b. sz. mell'!J34)+'4. b.sz. mell.'!H42+'5.b. sz. mell.'!J44-AA42</f>
        <v>5171673777</v>
      </c>
      <c r="AB43" s="2020"/>
      <c r="AC43" s="2078">
        <f>SUM('3.b. sz. mell'!L34)+'4. b.sz. mell.'!J42+'5.b. sz. mell.'!L44-AC42</f>
        <v>5171673777</v>
      </c>
      <c r="AD43" s="2040">
        <f>SUM('3.b. sz. mell'!M34)+'4. b.sz. mell.'!K42+'5.b. sz. mell.'!M44-AD42</f>
        <v>3924617311</v>
      </c>
    </row>
    <row r="44" spans="1:31" s="145" customFormat="1" ht="15" customHeight="1" thickBot="1" x14ac:dyDescent="0.25">
      <c r="A44" s="880"/>
      <c r="B44" s="163"/>
      <c r="C44" s="164"/>
      <c r="D44" s="881"/>
      <c r="E44" s="2456"/>
      <c r="F44" s="1532"/>
      <c r="G44" s="1532"/>
      <c r="H44" s="1532"/>
      <c r="I44" s="3436"/>
      <c r="J44" s="1532"/>
      <c r="K44" s="1532"/>
      <c r="L44" s="139"/>
      <c r="M44" s="139"/>
      <c r="N44" s="139"/>
      <c r="O44" s="139"/>
      <c r="P44" s="139"/>
      <c r="Q44" s="2019"/>
      <c r="R44" s="2005"/>
      <c r="S44" s="2010"/>
      <c r="T44" s="2078">
        <f t="shared" si="3"/>
        <v>0</v>
      </c>
      <c r="U44" s="2040"/>
      <c r="W44" s="2020"/>
      <c r="X44" s="2020"/>
      <c r="Y44" s="2021"/>
      <c r="Z44" s="2021"/>
      <c r="AA44" s="2021"/>
      <c r="AB44" s="2021"/>
      <c r="AC44" s="2078"/>
      <c r="AD44" s="2040"/>
    </row>
    <row r="45" spans="1:31" s="129" customFormat="1" ht="20.25" customHeight="1" thickBot="1" x14ac:dyDescent="0.25">
      <c r="A45" s="166"/>
      <c r="B45" s="167"/>
      <c r="C45" s="168" t="s">
        <v>231</v>
      </c>
      <c r="D45" s="169"/>
      <c r="E45" s="1382"/>
      <c r="F45" s="169"/>
      <c r="G45" s="1591"/>
      <c r="H45" s="1611"/>
      <c r="I45" s="3489"/>
      <c r="J45" s="1599"/>
      <c r="K45" s="1599"/>
      <c r="L45" s="139"/>
      <c r="M45" s="139"/>
      <c r="N45" s="139"/>
      <c r="O45" s="139"/>
      <c r="P45" s="139"/>
      <c r="Q45" s="2019"/>
      <c r="R45" s="2005"/>
      <c r="S45" s="2010"/>
      <c r="T45" s="2078">
        <f t="shared" si="3"/>
        <v>0</v>
      </c>
      <c r="U45" s="2040"/>
      <c r="W45" s="2020"/>
      <c r="X45" s="2020"/>
      <c r="Y45" s="2021"/>
      <c r="Z45" s="2021"/>
      <c r="AA45" s="2021"/>
      <c r="AB45" s="2021"/>
      <c r="AC45" s="2078"/>
      <c r="AD45" s="2040"/>
    </row>
    <row r="46" spans="1:31" s="172" customFormat="1" ht="15" customHeight="1" thickBot="1" x14ac:dyDescent="0.25">
      <c r="A46" s="134" t="s">
        <v>3</v>
      </c>
      <c r="B46" s="170"/>
      <c r="C46" s="171" t="s">
        <v>1161</v>
      </c>
      <c r="D46" s="137">
        <f>SUM(D47:D51)</f>
        <v>800890094</v>
      </c>
      <c r="E46" s="1382">
        <f t="shared" si="5"/>
        <v>113243100</v>
      </c>
      <c r="F46" s="137">
        <f>SUM(F47:F51)</f>
        <v>914133194</v>
      </c>
      <c r="G46" s="1374">
        <f t="shared" si="5"/>
        <v>29198661</v>
      </c>
      <c r="H46" s="3461">
        <f>SUM(H47:H51)</f>
        <v>943331855</v>
      </c>
      <c r="I46" s="3488">
        <f t="shared" si="5"/>
        <v>0</v>
      </c>
      <c r="J46" s="2456">
        <f>SUM(J47:J51)</f>
        <v>943331855</v>
      </c>
      <c r="K46" s="948">
        <f>SUM(K47:K51)</f>
        <v>800057292</v>
      </c>
      <c r="L46" s="139"/>
      <c r="M46" s="139"/>
      <c r="N46" s="139"/>
      <c r="O46" s="139"/>
      <c r="P46" s="139"/>
      <c r="Q46" s="2019">
        <f t="shared" si="2"/>
        <v>0</v>
      </c>
      <c r="R46" s="2005">
        <f t="shared" si="6"/>
        <v>0</v>
      </c>
      <c r="S46" s="2010">
        <f t="shared" ref="S46:S79" si="8">SUM(H46-AA46)</f>
        <v>0</v>
      </c>
      <c r="T46" s="2078">
        <f t="shared" si="3"/>
        <v>0</v>
      </c>
      <c r="U46" s="2040">
        <f t="shared" ref="U46:U53" si="9">SUM(K46-AD46)</f>
        <v>0</v>
      </c>
      <c r="W46" s="2020">
        <f>SUM('3.b. sz. mell'!F37+'4. b.sz. mell.'!D45+'5.b. sz. mell.'!F47)</f>
        <v>800890094</v>
      </c>
      <c r="X46" s="2020"/>
      <c r="Y46" s="2021">
        <f>SUM('3.b. sz. mell'!H37+'4. b.sz. mell.'!F45+'5.b. sz. mell.'!H47)</f>
        <v>914133194</v>
      </c>
      <c r="Z46" s="2021"/>
      <c r="AA46" s="2023">
        <f>SUM('3.b. sz. mell'!J37+'4. b.sz. mell.'!H45+'5.b. sz. mell.'!J47)</f>
        <v>943331855</v>
      </c>
      <c r="AB46" s="2023"/>
      <c r="AC46" s="2078">
        <f>SUM('3.b. sz. mell'!L37+'4. b.sz. mell.'!J45+'5.b. sz. mell.'!L47)</f>
        <v>943331855</v>
      </c>
      <c r="AD46" s="2040">
        <f>SUM('3.b. sz. mell'!M37+'4. b.sz. mell.'!K45+'5.b. sz. mell.'!M47)</f>
        <v>800057292</v>
      </c>
    </row>
    <row r="47" spans="1:31" ht="15" customHeight="1" x14ac:dyDescent="0.2">
      <c r="A47" s="173"/>
      <c r="B47" s="174" t="s">
        <v>152</v>
      </c>
      <c r="C47" s="55" t="s">
        <v>153</v>
      </c>
      <c r="D47" s="175">
        <f>SUM('3.b. sz. mell'!F38+'4. b.sz. mell.'!D46+'5.b. sz. mell.'!F48)</f>
        <v>196372000</v>
      </c>
      <c r="E47" s="1432">
        <f t="shared" si="5"/>
        <v>6745710</v>
      </c>
      <c r="F47" s="175">
        <f>SUM('3.b. sz. mell'!H38+'4. b.sz. mell.'!F46+'5.b. sz. mell.'!H48)</f>
        <v>203117710</v>
      </c>
      <c r="G47" s="1386">
        <f t="shared" si="5"/>
        <v>6223284</v>
      </c>
      <c r="H47" s="3467">
        <f>SUM('3.b. sz. mell'!J38+'4. b.sz. mell.'!H46+'5.b. sz. mell.'!J48)</f>
        <v>209340994</v>
      </c>
      <c r="I47" s="3436">
        <f t="shared" si="5"/>
        <v>0</v>
      </c>
      <c r="J47" s="3240">
        <f>SUM('3.b. sz. mell'!L38+'4. b.sz. mell.'!J46+'5.b. sz. mell.'!L48)</f>
        <v>209340994</v>
      </c>
      <c r="K47" s="3240">
        <f>SUM('3.b. sz. mell'!M38+'4. b.sz. mell.'!K46+'5.b. sz. mell.'!M48)</f>
        <v>209340994</v>
      </c>
      <c r="L47" s="139"/>
      <c r="M47" s="139"/>
      <c r="N47" s="139"/>
      <c r="O47" s="139"/>
      <c r="P47" s="139"/>
      <c r="Q47" s="2019">
        <f t="shared" si="2"/>
        <v>0</v>
      </c>
      <c r="R47" s="2005">
        <f t="shared" ref="R47:R53" si="10">SUM(F47-Y47)</f>
        <v>0</v>
      </c>
      <c r="S47" s="2010">
        <f t="shared" si="8"/>
        <v>0</v>
      </c>
      <c r="T47" s="2078">
        <f t="shared" si="3"/>
        <v>0</v>
      </c>
      <c r="U47" s="2040">
        <f t="shared" si="9"/>
        <v>0</v>
      </c>
      <c r="W47" s="2020">
        <f>SUM('3.b. sz. mell'!F38+'4. b.sz. mell.'!D46+'5.b. sz. mell.'!F48)</f>
        <v>196372000</v>
      </c>
      <c r="X47" s="2020"/>
      <c r="Y47" s="2021">
        <f>SUM('3.b. sz. mell'!H38+'4. b.sz. mell.'!F46+'5.b. sz. mell.'!H48)</f>
        <v>203117710</v>
      </c>
      <c r="Z47" s="2021"/>
      <c r="AA47" s="2023">
        <f>SUM('3.b. sz. mell'!J38+'4. b.sz. mell.'!H46+'5.b. sz. mell.'!J48)</f>
        <v>209340994</v>
      </c>
      <c r="AB47" s="2023"/>
      <c r="AC47" s="2078">
        <f>SUM('3.b. sz. mell'!L38+'4. b.sz. mell.'!J46+'5.b. sz. mell.'!L48)</f>
        <v>209340994</v>
      </c>
      <c r="AD47" s="2040">
        <f>SUM('3.b. sz. mell'!M38+'4. b.sz. mell.'!K46+'5.b. sz. mell.'!M48)</f>
        <v>209340994</v>
      </c>
    </row>
    <row r="48" spans="1:31" ht="15" customHeight="1" x14ac:dyDescent="0.2">
      <c r="A48" s="142"/>
      <c r="B48" s="176" t="s">
        <v>154</v>
      </c>
      <c r="C48" s="55" t="s">
        <v>155</v>
      </c>
      <c r="D48" s="175">
        <f>SUM('3.b. sz. mell'!F39+'4. b.sz. mell.'!D47+'5.b. sz. mell.'!F49)</f>
        <v>40088000</v>
      </c>
      <c r="E48" s="1432">
        <f t="shared" si="5"/>
        <v>-102084</v>
      </c>
      <c r="F48" s="175">
        <f>SUM('3.b. sz. mell'!H39+'4. b.sz. mell.'!F47+'5.b. sz. mell.'!H49)</f>
        <v>39985916</v>
      </c>
      <c r="G48" s="1386">
        <f t="shared" si="5"/>
        <v>5176792</v>
      </c>
      <c r="H48" s="3467">
        <f>SUM('3.b. sz. mell'!J39+'4. b.sz. mell.'!H47+'5.b. sz. mell.'!J49)</f>
        <v>45162708</v>
      </c>
      <c r="I48" s="3437">
        <f t="shared" si="5"/>
        <v>0</v>
      </c>
      <c r="J48" s="3240">
        <f>SUM('3.b. sz. mell'!L39+'4. b.sz. mell.'!J47+'5.b. sz. mell.'!L49)</f>
        <v>45162708</v>
      </c>
      <c r="K48" s="3240">
        <f>SUM('3.b. sz. mell'!M39+'4. b.sz. mell.'!K47+'5.b. sz. mell.'!M49)</f>
        <v>45162708</v>
      </c>
      <c r="L48" s="139"/>
      <c r="M48" s="139"/>
      <c r="N48" s="139"/>
      <c r="O48" s="139"/>
      <c r="P48" s="139"/>
      <c r="Q48" s="2019">
        <f t="shared" si="2"/>
        <v>0</v>
      </c>
      <c r="R48" s="2005">
        <f t="shared" si="10"/>
        <v>0</v>
      </c>
      <c r="S48" s="2010">
        <f t="shared" si="8"/>
        <v>0</v>
      </c>
      <c r="T48" s="2078">
        <f t="shared" si="3"/>
        <v>0</v>
      </c>
      <c r="U48" s="2040">
        <f t="shared" si="9"/>
        <v>0</v>
      </c>
      <c r="W48" s="2020">
        <f>SUM('3.b. sz. mell'!F39+'4. b.sz. mell.'!D47+'5.b. sz. mell.'!F49)</f>
        <v>40088000</v>
      </c>
      <c r="X48" s="2020"/>
      <c r="Y48" s="2021">
        <f>SUM('3.b. sz. mell'!H39+'4. b.sz. mell.'!F47+'5.b. sz. mell.'!H49)</f>
        <v>39985916</v>
      </c>
      <c r="Z48" s="2021"/>
      <c r="AA48" s="2023">
        <f>SUM('3.b. sz. mell'!J39+'4. b.sz. mell.'!H47+'5.b. sz. mell.'!J49)</f>
        <v>45162708</v>
      </c>
      <c r="AB48" s="2023"/>
      <c r="AC48" s="2078">
        <f>SUM('3.b. sz. mell'!L39+'4. b.sz. mell.'!J47+'5.b. sz. mell.'!L49)</f>
        <v>45162708</v>
      </c>
      <c r="AD48" s="2040">
        <f>SUM('3.b. sz. mell'!M39+'4. b.sz. mell.'!K47+'5.b. sz. mell.'!M49)</f>
        <v>45162708</v>
      </c>
    </row>
    <row r="49" spans="1:30" ht="15" customHeight="1" x14ac:dyDescent="0.2">
      <c r="A49" s="142"/>
      <c r="B49" s="176" t="s">
        <v>156</v>
      </c>
      <c r="C49" s="55" t="s">
        <v>157</v>
      </c>
      <c r="D49" s="175">
        <f>SUM('3.b. sz. mell'!F40+'4. b.sz. mell.'!D48+'5.b. sz. mell.'!F50)</f>
        <v>349083050</v>
      </c>
      <c r="E49" s="1432">
        <f t="shared" si="5"/>
        <v>-2456690</v>
      </c>
      <c r="F49" s="175">
        <f>SUM('3.b. sz. mell'!H40+'4. b.sz. mell.'!F48+'5.b. sz. mell.'!H50)</f>
        <v>346626360</v>
      </c>
      <c r="G49" s="1386">
        <f t="shared" si="5"/>
        <v>16003121</v>
      </c>
      <c r="H49" s="3467">
        <f>SUM('3.b. sz. mell'!J40+'4. b.sz. mell.'!H48+'5.b. sz. mell.'!J50)</f>
        <v>362629481</v>
      </c>
      <c r="I49" s="3437">
        <f t="shared" si="5"/>
        <v>0</v>
      </c>
      <c r="J49" s="3240">
        <f>SUM('3.b. sz. mell'!L40+'4. b.sz. mell.'!J48+'5.b. sz. mell.'!L50)</f>
        <v>362629481</v>
      </c>
      <c r="K49" s="3240">
        <f>SUM('3.b. sz. mell'!M40+'4. b.sz. mell.'!K48+'5.b. sz. mell.'!M50)</f>
        <v>350760410</v>
      </c>
      <c r="L49" s="139"/>
      <c r="M49" s="139"/>
      <c r="N49" s="139"/>
      <c r="O49" s="139"/>
      <c r="P49" s="139"/>
      <c r="Q49" s="2019">
        <f t="shared" si="2"/>
        <v>0</v>
      </c>
      <c r="R49" s="2005">
        <f t="shared" si="10"/>
        <v>0</v>
      </c>
      <c r="S49" s="2010">
        <f t="shared" si="8"/>
        <v>0</v>
      </c>
      <c r="T49" s="2078">
        <f t="shared" si="3"/>
        <v>0</v>
      </c>
      <c r="U49" s="2040">
        <f t="shared" si="9"/>
        <v>0</v>
      </c>
      <c r="W49" s="2020">
        <f>SUM('3.b. sz. mell'!F40+'4. b.sz. mell.'!D48+'5.b. sz. mell.'!F50)</f>
        <v>349083050</v>
      </c>
      <c r="X49" s="2020"/>
      <c r="Y49" s="2021">
        <f>SUM('3.b. sz. mell'!H40+'4. b.sz. mell.'!F48+'5.b. sz. mell.'!H50)</f>
        <v>346626360</v>
      </c>
      <c r="Z49" s="2021"/>
      <c r="AA49" s="2023">
        <f>SUM('3.b. sz. mell'!J40+'4. b.sz. mell.'!H48+'5.b. sz. mell.'!J50)</f>
        <v>362629481</v>
      </c>
      <c r="AB49" s="2023"/>
      <c r="AC49" s="2078">
        <f>SUM('3.b. sz. mell'!L40+'4. b.sz. mell.'!J48+'5.b. sz. mell.'!L50)</f>
        <v>362629481</v>
      </c>
      <c r="AD49" s="2040">
        <f>SUM('3.b. sz. mell'!M40+'4. b.sz. mell.'!K48+'5.b. sz. mell.'!M50)</f>
        <v>350760410</v>
      </c>
    </row>
    <row r="50" spans="1:30" ht="15" customHeight="1" x14ac:dyDescent="0.2">
      <c r="A50" s="142"/>
      <c r="B50" s="176" t="s">
        <v>158</v>
      </c>
      <c r="C50" s="55" t="s">
        <v>159</v>
      </c>
      <c r="D50" s="175">
        <f>SUM('3.b. sz. mell'!F41+'4. b.sz. mell.'!D49+'5.b. sz. mell.'!F51)</f>
        <v>0</v>
      </c>
      <c r="E50" s="1432">
        <f t="shared" si="5"/>
        <v>0</v>
      </c>
      <c r="F50" s="175">
        <f>SUM('3.b. sz. mell'!H41+'4. b.sz. mell.'!F49+'5.b. sz. mell.'!H51)</f>
        <v>0</v>
      </c>
      <c r="G50" s="1386">
        <f t="shared" si="5"/>
        <v>0</v>
      </c>
      <c r="H50" s="3467">
        <f>SUM('3.b. sz. mell'!J41+'4. b.sz. mell.'!H49+'5.b. sz. mell.'!J51)</f>
        <v>0</v>
      </c>
      <c r="I50" s="3437">
        <f t="shared" si="5"/>
        <v>0</v>
      </c>
      <c r="J50" s="3480">
        <f>SUM('3.b. sz. mell'!L41+'4. b.sz. mell.'!J49+'5.b. sz. mell.'!L51)</f>
        <v>0</v>
      </c>
      <c r="K50" s="3240">
        <f>SUM('3.b. sz. mell'!M41+'4. b.sz. mell.'!K49+'5.b. sz. mell.'!M51)</f>
        <v>0</v>
      </c>
      <c r="L50" s="139"/>
      <c r="M50" s="139"/>
      <c r="N50" s="139"/>
      <c r="O50" s="139"/>
      <c r="P50" s="139"/>
      <c r="Q50" s="2019">
        <f t="shared" si="2"/>
        <v>0</v>
      </c>
      <c r="R50" s="2005">
        <f t="shared" si="10"/>
        <v>0</v>
      </c>
      <c r="S50" s="2010">
        <f t="shared" si="8"/>
        <v>0</v>
      </c>
      <c r="T50" s="2078">
        <f t="shared" si="3"/>
        <v>0</v>
      </c>
      <c r="U50" s="2040">
        <f t="shared" si="9"/>
        <v>0</v>
      </c>
      <c r="W50" s="2020"/>
      <c r="X50" s="2020"/>
      <c r="Y50" s="2021"/>
      <c r="Z50" s="2021"/>
      <c r="AA50" s="2023"/>
      <c r="AB50" s="2023"/>
      <c r="AC50" s="2078"/>
      <c r="AD50" s="2040"/>
    </row>
    <row r="51" spans="1:30" ht="15" customHeight="1" x14ac:dyDescent="0.2">
      <c r="A51" s="142"/>
      <c r="B51" s="176" t="s">
        <v>160</v>
      </c>
      <c r="C51" s="55" t="s">
        <v>161</v>
      </c>
      <c r="D51" s="144">
        <f>SUM(D52:D60)</f>
        <v>215347044</v>
      </c>
      <c r="E51" s="1432">
        <f t="shared" si="5"/>
        <v>109056164</v>
      </c>
      <c r="F51" s="144">
        <f>SUM(F52:F60)</f>
        <v>324403208</v>
      </c>
      <c r="G51" s="1386">
        <f t="shared" si="5"/>
        <v>1795464</v>
      </c>
      <c r="H51" s="3462">
        <f>SUM(H52:H60)</f>
        <v>326198672</v>
      </c>
      <c r="I51" s="3437">
        <f t="shared" si="5"/>
        <v>0</v>
      </c>
      <c r="J51" s="2684">
        <f>SUM(J52:J60)</f>
        <v>326198672</v>
      </c>
      <c r="K51" s="610">
        <f>SUM(K52:K60)</f>
        <v>194793180</v>
      </c>
      <c r="L51" s="139"/>
      <c r="M51" s="139"/>
      <c r="N51" s="139"/>
      <c r="O51" s="139"/>
      <c r="P51" s="139"/>
      <c r="Q51" s="2019">
        <f t="shared" si="2"/>
        <v>0</v>
      </c>
      <c r="R51" s="2005">
        <f t="shared" si="10"/>
        <v>0</v>
      </c>
      <c r="S51" s="2010">
        <f t="shared" si="8"/>
        <v>0</v>
      </c>
      <c r="T51" s="2078">
        <f t="shared" si="3"/>
        <v>0</v>
      </c>
      <c r="U51" s="2040">
        <f t="shared" si="9"/>
        <v>0</v>
      </c>
      <c r="W51" s="2020">
        <f>SUM('3.b. sz. mell'!F42)</f>
        <v>215347044</v>
      </c>
      <c r="X51" s="2020"/>
      <c r="Y51" s="2021">
        <f>SUM('3.b. sz. mell'!H42)</f>
        <v>324403208</v>
      </c>
      <c r="Z51" s="2021"/>
      <c r="AA51" s="2023">
        <f>SUM('3.b. sz. mell'!J42)</f>
        <v>326198672</v>
      </c>
      <c r="AB51" s="2023"/>
      <c r="AC51" s="2078">
        <f>SUM('3.b. sz. mell'!L42)</f>
        <v>326198672</v>
      </c>
      <c r="AD51" s="2040">
        <f>SUM('3.b. sz. mell'!M42)</f>
        <v>194793180</v>
      </c>
    </row>
    <row r="52" spans="1:30" ht="15" customHeight="1" x14ac:dyDescent="0.2">
      <c r="A52" s="142"/>
      <c r="B52" s="176" t="s">
        <v>302</v>
      </c>
      <c r="C52" s="177" t="s">
        <v>303</v>
      </c>
      <c r="D52" s="144">
        <f>SUM('3.b. sz. mell'!F43)</f>
        <v>14487044</v>
      </c>
      <c r="E52" s="1432">
        <f t="shared" si="5"/>
        <v>963500</v>
      </c>
      <c r="F52" s="144">
        <f>SUM('3.b. sz. mell'!H43)</f>
        <v>15450544</v>
      </c>
      <c r="G52" s="1386">
        <f t="shared" si="5"/>
        <v>9264197</v>
      </c>
      <c r="H52" s="3462">
        <f>SUM('3.b. sz. mell'!J43)</f>
        <v>24714741</v>
      </c>
      <c r="I52" s="3437">
        <f t="shared" si="5"/>
        <v>0</v>
      </c>
      <c r="J52" s="2684">
        <f>SUM('3.b. sz. mell'!L43)</f>
        <v>24714741</v>
      </c>
      <c r="K52" s="610">
        <f>SUM('3.b. sz. mell'!M43)</f>
        <v>18691161</v>
      </c>
      <c r="L52" s="139"/>
      <c r="M52" s="139"/>
      <c r="N52" s="139"/>
      <c r="O52" s="139"/>
      <c r="P52" s="139"/>
      <c r="Q52" s="2019">
        <f t="shared" si="2"/>
        <v>0</v>
      </c>
      <c r="R52" s="2005">
        <f t="shared" si="10"/>
        <v>0</v>
      </c>
      <c r="S52" s="2010">
        <f t="shared" si="8"/>
        <v>0</v>
      </c>
      <c r="T52" s="2078">
        <f t="shared" si="3"/>
        <v>0</v>
      </c>
      <c r="U52" s="2040">
        <f t="shared" si="9"/>
        <v>0</v>
      </c>
      <c r="W52" s="2020">
        <f>SUM('3.b. sz. mell'!F43)</f>
        <v>14487044</v>
      </c>
      <c r="X52" s="2020"/>
      <c r="Y52" s="2021">
        <f>SUM('3.b. sz. mell'!H43)</f>
        <v>15450544</v>
      </c>
      <c r="Z52" s="2021"/>
      <c r="AA52" s="2023">
        <f>SUM('3.b. sz. mell'!J43)</f>
        <v>24714741</v>
      </c>
      <c r="AB52" s="2023"/>
      <c r="AC52" s="2078">
        <f>SUM('3.b. sz. mell'!L43)</f>
        <v>24714741</v>
      </c>
      <c r="AD52" s="2040">
        <f>SUM('3.b. sz. mell'!M43)</f>
        <v>18691161</v>
      </c>
    </row>
    <row r="53" spans="1:30" ht="15" customHeight="1" x14ac:dyDescent="0.2">
      <c r="A53" s="142"/>
      <c r="B53" s="176" t="s">
        <v>304</v>
      </c>
      <c r="C53" s="177" t="s">
        <v>305</v>
      </c>
      <c r="D53" s="144">
        <f>SUM('3.b. sz. mell'!F44)</f>
        <v>75887000</v>
      </c>
      <c r="E53" s="1432">
        <f t="shared" si="5"/>
        <v>90320773</v>
      </c>
      <c r="F53" s="144">
        <f>SUM('3.b. sz. mell'!H44)</f>
        <v>166207773</v>
      </c>
      <c r="G53" s="1386">
        <f t="shared" si="5"/>
        <v>58856050</v>
      </c>
      <c r="H53" s="3462">
        <f>SUM('3.b. sz. mell'!J44)</f>
        <v>225063823</v>
      </c>
      <c r="I53" s="3437">
        <f t="shared" si="5"/>
        <v>0</v>
      </c>
      <c r="J53" s="2684">
        <f>SUM('3.b. sz. mell'!L44)</f>
        <v>225063823</v>
      </c>
      <c r="K53" s="610">
        <f>SUM('3.b. sz. mell'!M44)</f>
        <v>166102019</v>
      </c>
      <c r="L53" s="139"/>
      <c r="M53" s="139"/>
      <c r="N53" s="139"/>
      <c r="O53" s="139"/>
      <c r="P53" s="139"/>
      <c r="Q53" s="2019">
        <f t="shared" si="2"/>
        <v>0</v>
      </c>
      <c r="R53" s="2005">
        <f t="shared" si="10"/>
        <v>0</v>
      </c>
      <c r="S53" s="2010">
        <f t="shared" si="8"/>
        <v>0</v>
      </c>
      <c r="T53" s="2078">
        <f t="shared" si="3"/>
        <v>0</v>
      </c>
      <c r="U53" s="2040">
        <f t="shared" si="9"/>
        <v>0</v>
      </c>
      <c r="W53" s="2020">
        <f>SUM('3.b. sz. mell'!F44)</f>
        <v>75887000</v>
      </c>
      <c r="X53" s="2020"/>
      <c r="Y53" s="2021">
        <f>SUM('3.b. sz. mell'!H44)</f>
        <v>166207773</v>
      </c>
      <c r="Z53" s="2021"/>
      <c r="AA53" s="2023">
        <f>SUM('3.b. sz. mell'!J44)</f>
        <v>225063823</v>
      </c>
      <c r="AB53" s="2023"/>
      <c r="AC53" s="2078">
        <f>SUM('3.b. sz. mell'!L44)</f>
        <v>225063823</v>
      </c>
      <c r="AD53" s="2040">
        <f>SUM('3.b. sz. mell'!M44)</f>
        <v>166102019</v>
      </c>
    </row>
    <row r="54" spans="1:30" ht="15" customHeight="1" x14ac:dyDescent="0.2">
      <c r="A54" s="142"/>
      <c r="B54" s="176" t="s">
        <v>306</v>
      </c>
      <c r="C54" s="177" t="s">
        <v>763</v>
      </c>
      <c r="D54" s="144"/>
      <c r="E54" s="1432">
        <f t="shared" si="5"/>
        <v>0</v>
      </c>
      <c r="F54" s="144">
        <f>SUM('3.b. sz. mell'!H45)</f>
        <v>0</v>
      </c>
      <c r="G54" s="1386">
        <f t="shared" si="5"/>
        <v>0</v>
      </c>
      <c r="H54" s="3462">
        <f>SUM('3.b. sz. mell'!J45)</f>
        <v>0</v>
      </c>
      <c r="I54" s="3437">
        <f t="shared" si="5"/>
        <v>0</v>
      </c>
      <c r="J54" s="2684">
        <f>SUM('3.b. sz. mell'!L45)</f>
        <v>0</v>
      </c>
      <c r="K54" s="610"/>
      <c r="L54" s="139"/>
      <c r="M54" s="139"/>
      <c r="N54" s="139"/>
      <c r="O54" s="139"/>
      <c r="P54" s="139"/>
      <c r="Q54" s="2019"/>
      <c r="R54" s="2005"/>
      <c r="S54" s="2010">
        <f t="shared" si="8"/>
        <v>0</v>
      </c>
      <c r="T54" s="2078">
        <f t="shared" si="3"/>
        <v>0</v>
      </c>
      <c r="U54" s="2040"/>
      <c r="W54" s="2020"/>
      <c r="X54" s="2020"/>
      <c r="Y54" s="2021"/>
      <c r="Z54" s="2021"/>
      <c r="AA54" s="2023"/>
      <c r="AB54" s="2023"/>
      <c r="AC54" s="2078"/>
      <c r="AD54" s="2040"/>
    </row>
    <row r="55" spans="1:30" ht="15" customHeight="1" thickBot="1" x14ac:dyDescent="0.25">
      <c r="A55" s="142"/>
      <c r="B55" s="176" t="s">
        <v>829</v>
      </c>
      <c r="C55" s="177" t="s">
        <v>307</v>
      </c>
      <c r="D55" s="144">
        <f>SUM('3.b. sz. mell'!F46)</f>
        <v>124973000</v>
      </c>
      <c r="E55" s="1432">
        <f t="shared" si="5"/>
        <v>17771891</v>
      </c>
      <c r="F55" s="144">
        <f>SUM('3.b. sz. mell'!H46)</f>
        <v>142744891</v>
      </c>
      <c r="G55" s="1386">
        <f t="shared" si="5"/>
        <v>-76324783</v>
      </c>
      <c r="H55" s="3462">
        <f>SUM('3.b. sz. mell'!J46)</f>
        <v>66420108</v>
      </c>
      <c r="I55" s="3437">
        <f t="shared" si="5"/>
        <v>0</v>
      </c>
      <c r="J55" s="2684">
        <f>SUM('3.b. sz. mell'!L46)</f>
        <v>66420108</v>
      </c>
      <c r="K55" s="610">
        <f>SUM('3.b. sz. mell'!M46)</f>
        <v>0</v>
      </c>
      <c r="L55" s="139"/>
      <c r="M55" s="139"/>
      <c r="N55" s="139"/>
      <c r="O55" s="139"/>
      <c r="P55" s="139"/>
      <c r="Q55" s="2019">
        <f t="shared" si="2"/>
        <v>0</v>
      </c>
      <c r="R55" s="2005">
        <f t="shared" ref="R55:R79" si="11">SUM(F55-Y55)</f>
        <v>0</v>
      </c>
      <c r="S55" s="2010">
        <f t="shared" si="8"/>
        <v>0</v>
      </c>
      <c r="T55" s="2078">
        <f t="shared" si="3"/>
        <v>0</v>
      </c>
      <c r="U55" s="2040">
        <f t="shared" ref="U55:U83" si="12">SUM(K55-AD55)</f>
        <v>0</v>
      </c>
      <c r="W55" s="2020">
        <f>SUM('3.b. sz. mell'!F46)</f>
        <v>124973000</v>
      </c>
      <c r="X55" s="2020"/>
      <c r="Y55" s="2021">
        <f>SUM('3.b. sz. mell'!H46)</f>
        <v>142744891</v>
      </c>
      <c r="Z55" s="2021"/>
      <c r="AA55" s="2023">
        <f>SUM('3.b. sz. mell'!J46)</f>
        <v>66420108</v>
      </c>
      <c r="AB55" s="2023"/>
      <c r="AC55" s="2078">
        <f>SUM('3.b. sz. mell'!L46)</f>
        <v>66420108</v>
      </c>
      <c r="AD55" s="2040">
        <f>SUM('3.b. sz. mell'!M46)</f>
        <v>0</v>
      </c>
    </row>
    <row r="56" spans="1:30" ht="28.9" customHeight="1" thickBot="1" x14ac:dyDescent="0.25">
      <c r="A56" s="142"/>
      <c r="B56" s="176" t="s">
        <v>937</v>
      </c>
      <c r="C56" s="177" t="s">
        <v>2012</v>
      </c>
      <c r="D56" s="144"/>
      <c r="E56" s="1382">
        <f t="shared" si="5"/>
        <v>0</v>
      </c>
      <c r="F56" s="144"/>
      <c r="G56" s="1374">
        <f t="shared" si="5"/>
        <v>10000000</v>
      </c>
      <c r="H56" s="2684">
        <f>SUM('3.b. sz. mell'!J47)</f>
        <v>10000000</v>
      </c>
      <c r="I56" s="3558">
        <f t="shared" si="5"/>
        <v>0</v>
      </c>
      <c r="J56" s="2684">
        <f>SUM('3.b. sz. mell'!L47)</f>
        <v>10000000</v>
      </c>
      <c r="K56" s="2684">
        <f>SUM('3.b. sz. mell'!M47)</f>
        <v>10000000</v>
      </c>
      <c r="L56" s="139"/>
      <c r="M56" s="139"/>
      <c r="N56" s="139"/>
      <c r="O56" s="139"/>
      <c r="P56" s="139"/>
      <c r="Q56" s="2019">
        <f t="shared" si="2"/>
        <v>0</v>
      </c>
      <c r="R56" s="2005">
        <f t="shared" si="11"/>
        <v>0</v>
      </c>
      <c r="S56" s="2010">
        <f t="shared" si="8"/>
        <v>10000000</v>
      </c>
      <c r="T56" s="2078">
        <f t="shared" si="3"/>
        <v>0</v>
      </c>
      <c r="U56" s="2040">
        <f t="shared" si="12"/>
        <v>0</v>
      </c>
      <c r="W56" s="2020"/>
      <c r="X56" s="2020"/>
      <c r="Y56" s="2021"/>
      <c r="Z56" s="2021"/>
      <c r="AA56" s="2023"/>
      <c r="AB56" s="2023"/>
      <c r="AC56" s="2078">
        <f>SUM('3.b. sz. mell'!L47)</f>
        <v>10000000</v>
      </c>
      <c r="AD56" s="2040">
        <f>SUM('3.b. sz. mell'!M47)</f>
        <v>10000000</v>
      </c>
    </row>
    <row r="57" spans="1:30" ht="12.75" hidden="1" customHeight="1" thickBot="1" x14ac:dyDescent="0.25">
      <c r="A57" s="142"/>
      <c r="B57" s="176"/>
      <c r="C57" s="177"/>
      <c r="D57" s="144"/>
      <c r="E57" s="1382">
        <f t="shared" si="5"/>
        <v>0</v>
      </c>
      <c r="F57" s="144"/>
      <c r="G57" s="1374">
        <f t="shared" si="5"/>
        <v>0</v>
      </c>
      <c r="H57" s="3462"/>
      <c r="I57" s="3437">
        <f t="shared" si="5"/>
        <v>0</v>
      </c>
      <c r="J57" s="2684"/>
      <c r="K57" s="610"/>
      <c r="L57" s="139"/>
      <c r="M57" s="139"/>
      <c r="N57" s="139"/>
      <c r="O57" s="139"/>
      <c r="P57" s="139"/>
      <c r="Q57" s="2019">
        <f t="shared" si="2"/>
        <v>0</v>
      </c>
      <c r="R57" s="2005">
        <f t="shared" si="11"/>
        <v>0</v>
      </c>
      <c r="S57" s="2010">
        <f t="shared" si="8"/>
        <v>0</v>
      </c>
      <c r="T57" s="2078">
        <f t="shared" si="3"/>
        <v>0</v>
      </c>
      <c r="U57" s="2040">
        <f t="shared" si="12"/>
        <v>0</v>
      </c>
      <c r="W57" s="2020"/>
      <c r="X57" s="2020"/>
      <c r="Y57" s="2021"/>
      <c r="Z57" s="2021"/>
      <c r="AA57" s="2023"/>
      <c r="AB57" s="2023"/>
      <c r="AC57" s="2078"/>
      <c r="AD57" s="2040"/>
    </row>
    <row r="58" spans="1:30" ht="12.75" hidden="1" customHeight="1" thickBot="1" x14ac:dyDescent="0.25">
      <c r="A58" s="142"/>
      <c r="B58" s="176"/>
      <c r="C58" s="177"/>
      <c r="D58" s="144"/>
      <c r="E58" s="1382">
        <f t="shared" si="5"/>
        <v>0</v>
      </c>
      <c r="F58" s="144"/>
      <c r="G58" s="1374">
        <f t="shared" si="5"/>
        <v>0</v>
      </c>
      <c r="H58" s="3462"/>
      <c r="I58" s="3437">
        <f t="shared" si="5"/>
        <v>0</v>
      </c>
      <c r="J58" s="2684"/>
      <c r="K58" s="610"/>
      <c r="L58" s="139"/>
      <c r="M58" s="139"/>
      <c r="N58" s="139"/>
      <c r="O58" s="139"/>
      <c r="P58" s="139"/>
      <c r="Q58" s="2019">
        <f t="shared" si="2"/>
        <v>0</v>
      </c>
      <c r="R58" s="2005">
        <f t="shared" si="11"/>
        <v>0</v>
      </c>
      <c r="S58" s="2010">
        <f t="shared" si="8"/>
        <v>0</v>
      </c>
      <c r="T58" s="2078">
        <f t="shared" si="3"/>
        <v>0</v>
      </c>
      <c r="U58" s="2040">
        <f t="shared" si="12"/>
        <v>0</v>
      </c>
      <c r="W58" s="2020"/>
      <c r="X58" s="2020"/>
      <c r="Y58" s="2021"/>
      <c r="Z58" s="2021"/>
      <c r="AA58" s="2023"/>
      <c r="AB58" s="2023"/>
      <c r="AC58" s="2078"/>
      <c r="AD58" s="2040"/>
    </row>
    <row r="59" spans="1:30" ht="12.75" hidden="1" customHeight="1" thickBot="1" x14ac:dyDescent="0.25">
      <c r="A59" s="142"/>
      <c r="B59" s="176"/>
      <c r="C59" s="177"/>
      <c r="D59" s="144"/>
      <c r="E59" s="1382">
        <f t="shared" si="5"/>
        <v>0</v>
      </c>
      <c r="F59" s="144"/>
      <c r="G59" s="1374">
        <f t="shared" si="5"/>
        <v>0</v>
      </c>
      <c r="H59" s="3462"/>
      <c r="I59" s="3437">
        <f t="shared" si="5"/>
        <v>0</v>
      </c>
      <c r="J59" s="2684"/>
      <c r="K59" s="610"/>
      <c r="L59" s="139"/>
      <c r="M59" s="139"/>
      <c r="N59" s="139"/>
      <c r="O59" s="139"/>
      <c r="P59" s="139"/>
      <c r="Q59" s="2019">
        <f t="shared" si="2"/>
        <v>0</v>
      </c>
      <c r="R59" s="2005">
        <f t="shared" si="11"/>
        <v>0</v>
      </c>
      <c r="S59" s="2010">
        <f t="shared" si="8"/>
        <v>0</v>
      </c>
      <c r="T59" s="2078">
        <f t="shared" si="3"/>
        <v>0</v>
      </c>
      <c r="U59" s="2040">
        <f t="shared" si="12"/>
        <v>0</v>
      </c>
      <c r="W59" s="2020"/>
      <c r="X59" s="2020"/>
      <c r="Y59" s="2021"/>
      <c r="Z59" s="2021"/>
      <c r="AA59" s="2023"/>
      <c r="AB59" s="2023"/>
      <c r="AC59" s="2078"/>
      <c r="AD59" s="2040"/>
    </row>
    <row r="60" spans="1:30" ht="12.75" hidden="1" customHeight="1" thickBot="1" x14ac:dyDescent="0.25">
      <c r="A60" s="151"/>
      <c r="B60" s="176"/>
      <c r="C60" s="177"/>
      <c r="D60" s="153"/>
      <c r="E60" s="1382">
        <f t="shared" si="5"/>
        <v>0</v>
      </c>
      <c r="F60" s="153"/>
      <c r="G60" s="1374">
        <f t="shared" si="5"/>
        <v>0</v>
      </c>
      <c r="H60" s="3464"/>
      <c r="I60" s="3437">
        <f t="shared" si="5"/>
        <v>0</v>
      </c>
      <c r="J60" s="3477"/>
      <c r="K60" s="1281"/>
      <c r="L60" s="139"/>
      <c r="M60" s="139"/>
      <c r="N60" s="139"/>
      <c r="O60" s="139"/>
      <c r="P60" s="139"/>
      <c r="Q60" s="2019">
        <f t="shared" si="2"/>
        <v>0</v>
      </c>
      <c r="R60" s="2005">
        <f t="shared" si="11"/>
        <v>0</v>
      </c>
      <c r="S60" s="2010">
        <f t="shared" si="8"/>
        <v>0</v>
      </c>
      <c r="T60" s="2078">
        <f t="shared" si="3"/>
        <v>0</v>
      </c>
      <c r="U60" s="2040">
        <f t="shared" si="12"/>
        <v>0</v>
      </c>
      <c r="W60" s="2020"/>
      <c r="X60" s="2020"/>
      <c r="Y60" s="2021"/>
      <c r="Z60" s="2021"/>
      <c r="AA60" s="2023"/>
      <c r="AB60" s="2023"/>
      <c r="AC60" s="2078"/>
      <c r="AD60" s="2040"/>
    </row>
    <row r="61" spans="1:30" ht="12.75" hidden="1" customHeight="1" thickBot="1" x14ac:dyDescent="0.25">
      <c r="A61" s="178"/>
      <c r="B61" s="179"/>
      <c r="C61" s="180"/>
      <c r="D61" s="181"/>
      <c r="E61" s="1382">
        <f t="shared" si="5"/>
        <v>0</v>
      </c>
      <c r="F61" s="181"/>
      <c r="G61" s="1374">
        <f t="shared" si="5"/>
        <v>0</v>
      </c>
      <c r="H61" s="3468"/>
      <c r="I61" s="3489">
        <f t="shared" si="5"/>
        <v>0</v>
      </c>
      <c r="J61" s="3481"/>
      <c r="K61" s="3241"/>
      <c r="L61" s="139"/>
      <c r="M61" s="139"/>
      <c r="N61" s="139"/>
      <c r="O61" s="139"/>
      <c r="P61" s="139"/>
      <c r="Q61" s="2019">
        <f t="shared" si="2"/>
        <v>0</v>
      </c>
      <c r="R61" s="2005">
        <f t="shared" si="11"/>
        <v>0</v>
      </c>
      <c r="S61" s="2010">
        <f t="shared" si="8"/>
        <v>0</v>
      </c>
      <c r="T61" s="2078">
        <f t="shared" si="3"/>
        <v>0</v>
      </c>
      <c r="U61" s="2040">
        <f t="shared" si="12"/>
        <v>0</v>
      </c>
      <c r="W61" s="2020"/>
      <c r="X61" s="2020"/>
      <c r="Y61" s="2021"/>
      <c r="Z61" s="2021"/>
      <c r="AA61" s="2023"/>
      <c r="AB61" s="2023"/>
      <c r="AC61" s="2078"/>
      <c r="AD61" s="2040"/>
    </row>
    <row r="62" spans="1:30" ht="15" customHeight="1" thickBot="1" x14ac:dyDescent="0.25">
      <c r="A62" s="134" t="s">
        <v>17</v>
      </c>
      <c r="B62" s="170"/>
      <c r="C62" s="171" t="s">
        <v>308</v>
      </c>
      <c r="D62" s="137">
        <f>SUM(D63:D65)</f>
        <v>1415710300</v>
      </c>
      <c r="E62" s="1382">
        <f t="shared" si="5"/>
        <v>863259200</v>
      </c>
      <c r="F62" s="137">
        <f>SUM(F63:F65)</f>
        <v>2278969500</v>
      </c>
      <c r="G62" s="1374">
        <f t="shared" si="5"/>
        <v>-46265304</v>
      </c>
      <c r="H62" s="3461">
        <f>SUM(H63:H65)</f>
        <v>2232704196</v>
      </c>
      <c r="I62" s="3488">
        <f t="shared" si="5"/>
        <v>0</v>
      </c>
      <c r="J62" s="2456">
        <f>SUM(J63:J65)</f>
        <v>2232704196</v>
      </c>
      <c r="K62" s="948">
        <f>SUM(K63:K65)</f>
        <v>1245429009</v>
      </c>
      <c r="L62" s="139"/>
      <c r="M62" s="139"/>
      <c r="N62" s="139"/>
      <c r="O62" s="139"/>
      <c r="P62" s="139"/>
      <c r="Q62" s="2019">
        <f t="shared" si="2"/>
        <v>0</v>
      </c>
      <c r="R62" s="2005">
        <f t="shared" si="11"/>
        <v>0</v>
      </c>
      <c r="S62" s="2010">
        <f t="shared" si="8"/>
        <v>0</v>
      </c>
      <c r="T62" s="2078">
        <f t="shared" si="3"/>
        <v>0</v>
      </c>
      <c r="U62" s="2040">
        <f t="shared" si="12"/>
        <v>0</v>
      </c>
      <c r="W62" s="2020">
        <f>SUM('3.b. sz. mell'!F53+'5.b. sz. mell.'!F53)+'4. b.sz. mell.'!D37</f>
        <v>1415710300</v>
      </c>
      <c r="X62" s="2020"/>
      <c r="Y62" s="2021">
        <f>SUM('3.b. sz. mell'!H53+'5.b. sz. mell.'!H53+'4. b.sz. mell.'!F53)</f>
        <v>2278969500</v>
      </c>
      <c r="Z62" s="2021"/>
      <c r="AA62" s="2023">
        <f>SUM('3.b. sz. mell'!J53+'4. b.sz. mell.'!H53+'5.b. sz. mell.'!J53)</f>
        <v>2232704196</v>
      </c>
      <c r="AB62" s="2023"/>
      <c r="AC62" s="2078">
        <f>SUM('3.b. sz. mell'!L53+'4. b.sz. mell.'!J53+'5.b. sz. mell.'!L53)</f>
        <v>2232704196</v>
      </c>
      <c r="AD62" s="2040">
        <f>SUM('3.b. sz. mell'!M53+'4. b.sz. mell.'!K53+'5.b. sz. mell.'!M53)</f>
        <v>1245429009</v>
      </c>
    </row>
    <row r="63" spans="1:30" s="172" customFormat="1" ht="15" customHeight="1" x14ac:dyDescent="0.2">
      <c r="A63" s="173"/>
      <c r="B63" s="176" t="s">
        <v>309</v>
      </c>
      <c r="C63" s="55" t="s">
        <v>310</v>
      </c>
      <c r="D63" s="175">
        <f>SUM('3.b. sz. mell'!F54+'4. b.sz. mell.'!D54+'5.b. sz. mell.'!F54)</f>
        <v>1167825300</v>
      </c>
      <c r="E63" s="1432">
        <f t="shared" si="5"/>
        <v>333018510</v>
      </c>
      <c r="F63" s="175">
        <f>SUM('3.b. sz. mell'!H54+'4. b.sz. mell.'!F54+'5.b. sz. mell.'!H54)</f>
        <v>1500843810</v>
      </c>
      <c r="G63" s="1386">
        <f t="shared" si="5"/>
        <v>284815651</v>
      </c>
      <c r="H63" s="3467">
        <f>SUM('3.b. sz. mell'!J54+'4. b.sz. mell.'!H54+'5.b. sz. mell.'!J54)</f>
        <v>1785659461</v>
      </c>
      <c r="I63" s="3436">
        <f t="shared" si="5"/>
        <v>0</v>
      </c>
      <c r="J63" s="3480">
        <f>SUM('3.b. sz. mell'!L54+'4. b.sz. mell.'!J54+'5.b. sz. mell.'!L54)</f>
        <v>1785659461</v>
      </c>
      <c r="K63" s="3240">
        <f>SUM('3.b. sz. mell'!M54+'4. b.sz. mell.'!K54+'5.b. sz. mell.'!M54)</f>
        <v>956258472</v>
      </c>
      <c r="L63" s="139"/>
      <c r="M63" s="139"/>
      <c r="N63" s="139"/>
      <c r="O63" s="139"/>
      <c r="P63" s="139"/>
      <c r="Q63" s="2019">
        <f t="shared" si="2"/>
        <v>0</v>
      </c>
      <c r="R63" s="2005">
        <f t="shared" si="11"/>
        <v>0</v>
      </c>
      <c r="S63" s="2010">
        <f t="shared" si="8"/>
        <v>0</v>
      </c>
      <c r="T63" s="2078">
        <f t="shared" si="3"/>
        <v>0</v>
      </c>
      <c r="U63" s="2040">
        <f t="shared" si="12"/>
        <v>0</v>
      </c>
      <c r="W63" s="2020">
        <f>SUM('3.b. sz. mell'!F54+'5.b. sz. mell.'!F54)+'4. b.sz. mell.'!D40</f>
        <v>1167825300</v>
      </c>
      <c r="X63" s="2020"/>
      <c r="Y63" s="2021">
        <f>SUM('3.b. sz. mell'!H54+'5.b. sz. mell.'!H54+'4. b.sz. mell.'!F54)</f>
        <v>1500843810</v>
      </c>
      <c r="Z63" s="2021"/>
      <c r="AA63" s="2023">
        <f>SUM('3.b. sz. mell'!J54+'5.b. sz. mell.'!J54+'4. b.sz. mell.'!H54)</f>
        <v>1785659461</v>
      </c>
      <c r="AB63" s="2023"/>
      <c r="AC63" s="2078">
        <f>SUM('3.b. sz. mell'!L54+'5.b. sz. mell.'!L54+'4. b.sz. mell.'!J54)</f>
        <v>1785659461</v>
      </c>
      <c r="AD63" s="2040">
        <f>SUM('3.b. sz. mell'!M54+'5.b. sz. mell.'!M54+'4. b.sz. mell.'!K54)</f>
        <v>956258472</v>
      </c>
    </row>
    <row r="64" spans="1:30" ht="15" customHeight="1" x14ac:dyDescent="0.2">
      <c r="A64" s="142"/>
      <c r="B64" s="176" t="s">
        <v>311</v>
      </c>
      <c r="C64" s="55" t="s">
        <v>185</v>
      </c>
      <c r="D64" s="144">
        <f>SUM('3.b. sz. mell'!F55+'4. b.sz. mell.'!D55+'5.b. sz. mell.'!F55)</f>
        <v>29310000</v>
      </c>
      <c r="E64" s="1432">
        <f t="shared" si="5"/>
        <v>193847217</v>
      </c>
      <c r="F64" s="144">
        <f>SUM('3.b. sz. mell'!H55+'4. b.sz. mell.'!F55+'5.b. sz. mell.'!H55)</f>
        <v>223157217</v>
      </c>
      <c r="G64" s="1386">
        <f t="shared" si="5"/>
        <v>162183946</v>
      </c>
      <c r="H64" s="3462">
        <f>SUM('3.b. sz. mell'!J55+'4. b.sz. mell.'!H55+'5.b. sz. mell.'!J55)</f>
        <v>385341163</v>
      </c>
      <c r="I64" s="3437">
        <f t="shared" si="5"/>
        <v>0</v>
      </c>
      <c r="J64" s="2684">
        <f>SUM('3.b. sz. mell'!L55+'4. b.sz. mell.'!J55+'5.b. sz. mell.'!L55)</f>
        <v>385341163</v>
      </c>
      <c r="K64" s="610">
        <f>SUM('3.b. sz. mell'!M55+'4. b.sz. mell.'!K55+'5.b. sz. mell.'!M55)</f>
        <v>289170537</v>
      </c>
      <c r="L64" s="139"/>
      <c r="M64" s="139"/>
      <c r="N64" s="139"/>
      <c r="O64" s="139"/>
      <c r="P64" s="139"/>
      <c r="Q64" s="2019">
        <f t="shared" si="2"/>
        <v>0</v>
      </c>
      <c r="R64" s="2005">
        <f t="shared" si="11"/>
        <v>0</v>
      </c>
      <c r="S64" s="2010">
        <f t="shared" si="8"/>
        <v>0</v>
      </c>
      <c r="T64" s="2078">
        <f t="shared" si="3"/>
        <v>0</v>
      </c>
      <c r="U64" s="2040">
        <f t="shared" si="12"/>
        <v>0</v>
      </c>
      <c r="W64" s="2020">
        <f>SUM('3.b. sz. mell'!F55+'5.b. sz. mell.'!F55)</f>
        <v>29310000</v>
      </c>
      <c r="X64" s="2020"/>
      <c r="Y64" s="2021">
        <f>SUM('3.b. sz. mell'!H55+'5.b. sz. mell.'!H55)</f>
        <v>223157217</v>
      </c>
      <c r="Z64" s="2021"/>
      <c r="AA64" s="2023">
        <f>SUM('3.b. sz. mell'!J55+'5.b. sz. mell.'!J55)</f>
        <v>385341163</v>
      </c>
      <c r="AB64" s="2023"/>
      <c r="AC64" s="2078">
        <f>SUM('3.b. sz. mell'!L55+'5.b. sz. mell.'!L55)</f>
        <v>385341163</v>
      </c>
      <c r="AD64" s="2040">
        <f>SUM('3.b. sz. mell'!M55+'5.b. sz. mell.'!M55)</f>
        <v>289170537</v>
      </c>
    </row>
    <row r="65" spans="1:30" ht="15" customHeight="1" x14ac:dyDescent="0.2">
      <c r="A65" s="142"/>
      <c r="B65" s="176" t="s">
        <v>312</v>
      </c>
      <c r="C65" s="55" t="s">
        <v>273</v>
      </c>
      <c r="D65" s="144">
        <f>SUM(D66:D68)</f>
        <v>218575000</v>
      </c>
      <c r="E65" s="1432">
        <f t="shared" si="5"/>
        <v>336393473</v>
      </c>
      <c r="F65" s="144">
        <f>SUM(F66:F68)</f>
        <v>554968473</v>
      </c>
      <c r="G65" s="1386">
        <f t="shared" si="5"/>
        <v>-493264901</v>
      </c>
      <c r="H65" s="3462">
        <f>SUM(H66:H68)</f>
        <v>61703572</v>
      </c>
      <c r="I65" s="3437">
        <f t="shared" si="5"/>
        <v>0</v>
      </c>
      <c r="J65" s="2684">
        <f>SUM(J66:J68)</f>
        <v>61703572</v>
      </c>
      <c r="K65" s="610">
        <f>SUM(K66:K68)</f>
        <v>0</v>
      </c>
      <c r="L65" s="139"/>
      <c r="M65" s="139"/>
      <c r="N65" s="139"/>
      <c r="O65" s="139"/>
      <c r="P65" s="139"/>
      <c r="Q65" s="2019">
        <f t="shared" si="2"/>
        <v>0</v>
      </c>
      <c r="R65" s="2005">
        <f t="shared" si="11"/>
        <v>0</v>
      </c>
      <c r="S65" s="2010">
        <f t="shared" si="8"/>
        <v>0</v>
      </c>
      <c r="T65" s="2078">
        <f t="shared" si="3"/>
        <v>0</v>
      </c>
      <c r="U65" s="2040">
        <f t="shared" si="12"/>
        <v>0</v>
      </c>
      <c r="W65" s="2020">
        <f>SUM('3.b. sz. mell'!F56+'5.b. sz. mell.'!F56)</f>
        <v>218575000</v>
      </c>
      <c r="X65" s="2020"/>
      <c r="Y65" s="2021">
        <f>SUM('3.b. sz. mell'!H56+'5.b. sz. mell.'!H56)</f>
        <v>554968473</v>
      </c>
      <c r="Z65" s="2021"/>
      <c r="AA65" s="2023">
        <f>SUM('3.b. sz. mell'!J56+'5.b. sz. mell.'!J56)+'4. b.sz. mell.'!H56</f>
        <v>61703572</v>
      </c>
      <c r="AB65" s="2023"/>
      <c r="AC65" s="2078">
        <f>SUM('3.b. sz. mell'!L56+'5.b. sz. mell.'!L56)+'4. b.sz. mell.'!J56</f>
        <v>61703572</v>
      </c>
      <c r="AD65" s="2040">
        <f>SUM('3.b. sz. mell'!M56+'5.b. sz. mell.'!M56)+'4. b.sz. mell.'!K56</f>
        <v>0</v>
      </c>
    </row>
    <row r="66" spans="1:30" ht="15" customHeight="1" x14ac:dyDescent="0.2">
      <c r="A66" s="142"/>
      <c r="B66" s="176" t="s">
        <v>313</v>
      </c>
      <c r="C66" s="177" t="s">
        <v>405</v>
      </c>
      <c r="D66" s="144">
        <f>SUM('3.b. sz. mell'!F57)</f>
        <v>0</v>
      </c>
      <c r="E66" s="1432">
        <f t="shared" si="5"/>
        <v>0</v>
      </c>
      <c r="F66" s="144">
        <f>SUM('3.b. sz. mell'!H57)</f>
        <v>0</v>
      </c>
      <c r="G66" s="1386">
        <f t="shared" si="5"/>
        <v>0</v>
      </c>
      <c r="H66" s="3462">
        <f>SUM('3.b. sz. mell'!J57)+'4. b.sz. mell.'!H56</f>
        <v>0</v>
      </c>
      <c r="I66" s="3437">
        <f t="shared" si="5"/>
        <v>0</v>
      </c>
      <c r="J66" s="2684">
        <f>SUM('3.b. sz. mell'!L57)</f>
        <v>0</v>
      </c>
      <c r="K66" s="610">
        <f>SUM('3.b. sz. mell'!M57)+'4. b.sz. mell.'!K56</f>
        <v>0</v>
      </c>
      <c r="L66" s="139"/>
      <c r="M66" s="139"/>
      <c r="N66" s="139"/>
      <c r="O66" s="139"/>
      <c r="P66" s="139"/>
      <c r="Q66" s="2019">
        <f t="shared" si="2"/>
        <v>0</v>
      </c>
      <c r="R66" s="2005">
        <f t="shared" si="11"/>
        <v>0</v>
      </c>
      <c r="S66" s="2010">
        <f t="shared" si="8"/>
        <v>0</v>
      </c>
      <c r="T66" s="2078">
        <f t="shared" si="3"/>
        <v>0</v>
      </c>
      <c r="U66" s="2040">
        <f t="shared" si="12"/>
        <v>0</v>
      </c>
      <c r="W66" s="2020">
        <f>SUM('3.b. sz. mell'!F57+'5.b. sz. mell.'!F57)</f>
        <v>0</v>
      </c>
      <c r="X66" s="2020"/>
      <c r="Y66" s="2021">
        <f>SUM('3.b. sz. mell'!H57+'5.b. sz. mell.'!H57)</f>
        <v>0</v>
      </c>
      <c r="Z66" s="2021"/>
      <c r="AA66" s="2023">
        <f>SUM('3.b. sz. mell'!J57+'5.b. sz. mell.'!J57)+'4. b.sz. mell.'!H56</f>
        <v>0</v>
      </c>
      <c r="AB66" s="2023"/>
      <c r="AC66" s="2078">
        <f>SUM('3.b. sz. mell'!L57+'5.b. sz. mell.'!L57)+'4. b.sz. mell.'!J56</f>
        <v>0</v>
      </c>
      <c r="AD66" s="2040">
        <f>SUM('3.b. sz. mell'!M57+'5.b. sz. mell.'!M57)+'4. b.sz. mell.'!K56</f>
        <v>0</v>
      </c>
    </row>
    <row r="67" spans="1:30" ht="15" customHeight="1" x14ac:dyDescent="0.2">
      <c r="A67" s="142"/>
      <c r="B67" s="176" t="s">
        <v>315</v>
      </c>
      <c r="C67" s="177" t="s">
        <v>316</v>
      </c>
      <c r="D67" s="144">
        <f>SUM('3.b. sz. mell'!F58)</f>
        <v>0</v>
      </c>
      <c r="E67" s="1432">
        <f t="shared" si="5"/>
        <v>0</v>
      </c>
      <c r="F67" s="144">
        <f>SUM('3.b. sz. mell'!H58)</f>
        <v>0</v>
      </c>
      <c r="G67" s="1386">
        <f t="shared" si="5"/>
        <v>0</v>
      </c>
      <c r="H67" s="3462">
        <f>SUM('3.b. sz. mell'!J58)</f>
        <v>0</v>
      </c>
      <c r="I67" s="3437">
        <f t="shared" si="5"/>
        <v>0</v>
      </c>
      <c r="J67" s="2684">
        <f>SUM('3.b. sz. mell'!L58)</f>
        <v>0</v>
      </c>
      <c r="K67" s="610">
        <f>SUM('3.b. sz. mell'!M58)</f>
        <v>0</v>
      </c>
      <c r="L67" s="139"/>
      <c r="M67" s="139"/>
      <c r="N67" s="139"/>
      <c r="O67" s="139"/>
      <c r="P67" s="139"/>
      <c r="Q67" s="2019">
        <f t="shared" si="2"/>
        <v>0</v>
      </c>
      <c r="R67" s="2005">
        <f t="shared" si="11"/>
        <v>0</v>
      </c>
      <c r="S67" s="2010">
        <f t="shared" si="8"/>
        <v>0</v>
      </c>
      <c r="T67" s="2078">
        <f t="shared" si="3"/>
        <v>0</v>
      </c>
      <c r="U67" s="2040">
        <f t="shared" si="12"/>
        <v>0</v>
      </c>
      <c r="W67" s="2020">
        <f>SUM('3.b. sz. mell'!F58+'5.b. sz. mell.'!F58)</f>
        <v>0</v>
      </c>
      <c r="X67" s="2020"/>
      <c r="Y67" s="2021">
        <f>SUM('3.b. sz. mell'!H58+'5.b. sz. mell.'!H58)</f>
        <v>0</v>
      </c>
      <c r="Z67" s="2021"/>
      <c r="AA67" s="2023">
        <f>SUM('3.b. sz. mell'!I58+'5.b. sz. mell.'!I58)</f>
        <v>0</v>
      </c>
      <c r="AB67" s="2023"/>
      <c r="AC67" s="2078">
        <f>SUM('3.b. sz. mell'!L58+'5.b. sz. mell.'!L58)</f>
        <v>0</v>
      </c>
      <c r="AD67" s="2040">
        <f>SUM('3.b. sz. mell'!M58+'5.b. sz. mell.'!M58)</f>
        <v>0</v>
      </c>
    </row>
    <row r="68" spans="1:30" s="172" customFormat="1" ht="15" customHeight="1" thickBot="1" x14ac:dyDescent="0.25">
      <c r="A68" s="142"/>
      <c r="B68" s="176" t="s">
        <v>317</v>
      </c>
      <c r="C68" s="177" t="s">
        <v>307</v>
      </c>
      <c r="D68" s="144">
        <f>SUM('3.b. sz. mell'!F59)</f>
        <v>218575000</v>
      </c>
      <c r="E68" s="1432">
        <f t="shared" si="5"/>
        <v>336393473</v>
      </c>
      <c r="F68" s="144">
        <f>SUM('3.b. sz. mell'!H59)</f>
        <v>554968473</v>
      </c>
      <c r="G68" s="1386">
        <f t="shared" si="5"/>
        <v>-493264901</v>
      </c>
      <c r="H68" s="3462">
        <f>SUM('3.b. sz. mell'!J59)</f>
        <v>61703572</v>
      </c>
      <c r="I68" s="3437">
        <f t="shared" si="5"/>
        <v>0</v>
      </c>
      <c r="J68" s="2684">
        <f>SUM('3.b. sz. mell'!L59)</f>
        <v>61703572</v>
      </c>
      <c r="K68" s="610">
        <f>SUM('3.b. sz. mell'!M59)</f>
        <v>0</v>
      </c>
      <c r="L68" s="139"/>
      <c r="M68" s="139"/>
      <c r="N68" s="139"/>
      <c r="O68" s="139"/>
      <c r="P68" s="139"/>
      <c r="Q68" s="2019">
        <f t="shared" si="2"/>
        <v>0</v>
      </c>
      <c r="R68" s="2005">
        <f t="shared" si="11"/>
        <v>0</v>
      </c>
      <c r="S68" s="2010">
        <f t="shared" si="8"/>
        <v>0</v>
      </c>
      <c r="T68" s="2078">
        <f t="shared" si="3"/>
        <v>0</v>
      </c>
      <c r="U68" s="2040">
        <f t="shared" si="12"/>
        <v>0</v>
      </c>
      <c r="W68" s="2020">
        <f>SUM('3.b. sz. mell'!F59)</f>
        <v>218575000</v>
      </c>
      <c r="X68" s="2020"/>
      <c r="Y68" s="2021">
        <f>SUM('3.b. sz. mell'!H59)</f>
        <v>554968473</v>
      </c>
      <c r="Z68" s="2021"/>
      <c r="AA68" s="2023">
        <f>SUM('3.b. sz. mell'!J59)</f>
        <v>61703572</v>
      </c>
      <c r="AB68" s="2023"/>
      <c r="AC68" s="2078">
        <f>SUM('3.b. sz. mell'!L59)</f>
        <v>61703572</v>
      </c>
      <c r="AD68" s="2040">
        <f>SUM('3.b. sz. mell'!M59)</f>
        <v>0</v>
      </c>
    </row>
    <row r="69" spans="1:30" ht="12.75" hidden="1" customHeight="1" x14ac:dyDescent="0.25">
      <c r="A69" s="142"/>
      <c r="B69" s="176"/>
      <c r="C69" s="182"/>
      <c r="D69" s="183"/>
      <c r="E69" s="1432">
        <f t="shared" si="5"/>
        <v>0</v>
      </c>
      <c r="F69" s="183"/>
      <c r="G69" s="1386">
        <f t="shared" si="5"/>
        <v>0</v>
      </c>
      <c r="H69" s="3469"/>
      <c r="I69" s="3437">
        <f t="shared" si="5"/>
        <v>0</v>
      </c>
      <c r="J69" s="3482"/>
      <c r="K69" s="3242"/>
      <c r="L69" s="139"/>
      <c r="M69" s="139"/>
      <c r="N69" s="139"/>
      <c r="O69" s="139"/>
      <c r="P69" s="139"/>
      <c r="Q69" s="2019">
        <f t="shared" si="2"/>
        <v>-84</v>
      </c>
      <c r="R69" s="2005">
        <f t="shared" si="11"/>
        <v>0</v>
      </c>
      <c r="S69" s="2010">
        <f t="shared" si="8"/>
        <v>0</v>
      </c>
      <c r="T69" s="2078">
        <f t="shared" si="3"/>
        <v>0</v>
      </c>
      <c r="U69" s="2040">
        <f t="shared" si="12"/>
        <v>0</v>
      </c>
      <c r="W69" s="2020">
        <f>SUM('3.b. sz. mell'!F60+'5.b. sz. mell.'!F60)</f>
        <v>84</v>
      </c>
      <c r="X69" s="2020"/>
      <c r="Y69" s="2021"/>
      <c r="Z69" s="2021"/>
      <c r="AA69" s="2023"/>
      <c r="AB69" s="2023"/>
      <c r="AC69" s="2078"/>
      <c r="AD69" s="2040"/>
    </row>
    <row r="70" spans="1:30" ht="12.75" hidden="1" customHeight="1" x14ac:dyDescent="0.25">
      <c r="A70" s="142"/>
      <c r="B70" s="176"/>
      <c r="C70" s="182"/>
      <c r="D70" s="183"/>
      <c r="E70" s="1432">
        <f t="shared" si="5"/>
        <v>0</v>
      </c>
      <c r="F70" s="183"/>
      <c r="G70" s="1386">
        <f t="shared" si="5"/>
        <v>0</v>
      </c>
      <c r="H70" s="3469"/>
      <c r="I70" s="3437">
        <f t="shared" si="5"/>
        <v>0</v>
      </c>
      <c r="J70" s="3482"/>
      <c r="K70" s="3242"/>
      <c r="L70" s="139"/>
      <c r="M70" s="139"/>
      <c r="N70" s="139"/>
      <c r="O70" s="139"/>
      <c r="P70" s="139"/>
      <c r="Q70" s="2019">
        <f t="shared" si="2"/>
        <v>0</v>
      </c>
      <c r="R70" s="2005">
        <f t="shared" si="11"/>
        <v>0</v>
      </c>
      <c r="S70" s="2010">
        <f t="shared" si="8"/>
        <v>0</v>
      </c>
      <c r="T70" s="2078">
        <f t="shared" si="3"/>
        <v>0</v>
      </c>
      <c r="U70" s="2040">
        <f t="shared" si="12"/>
        <v>0</v>
      </c>
      <c r="W70" s="2020">
        <f>SUM('3.b. sz. mell'!F61+'5.b. sz. mell.'!F61)</f>
        <v>0</v>
      </c>
      <c r="X70" s="2020"/>
      <c r="Y70" s="2021"/>
      <c r="Z70" s="2021"/>
      <c r="AA70" s="2023"/>
      <c r="AB70" s="2023"/>
      <c r="AC70" s="2078"/>
      <c r="AD70" s="2040"/>
    </row>
    <row r="71" spans="1:30" ht="12.75" hidden="1" customHeight="1" x14ac:dyDescent="0.25">
      <c r="A71" s="151"/>
      <c r="B71" s="176"/>
      <c r="C71" s="185"/>
      <c r="D71" s="186" t="e">
        <f>#REF!</f>
        <v>#REF!</v>
      </c>
      <c r="E71" s="1432" t="e">
        <f t="shared" si="5"/>
        <v>#REF!</v>
      </c>
      <c r="F71" s="186" t="e">
        <f>#REF!</f>
        <v>#REF!</v>
      </c>
      <c r="G71" s="1386" t="e">
        <f t="shared" si="5"/>
        <v>#REF!</v>
      </c>
      <c r="H71" s="3470" t="e">
        <f>#REF!</f>
        <v>#REF!</v>
      </c>
      <c r="I71" s="3437" t="e">
        <f t="shared" si="5"/>
        <v>#REF!</v>
      </c>
      <c r="J71" s="3483" t="e">
        <f>#REF!</f>
        <v>#REF!</v>
      </c>
      <c r="K71" s="3243" t="e">
        <f>#REF!</f>
        <v>#REF!</v>
      </c>
      <c r="L71" s="139"/>
      <c r="M71" s="139"/>
      <c r="N71" s="139"/>
      <c r="O71" s="139"/>
      <c r="P71" s="139"/>
      <c r="Q71" s="2019" t="e">
        <f t="shared" si="2"/>
        <v>#REF!</v>
      </c>
      <c r="R71" s="2005" t="e">
        <f t="shared" si="11"/>
        <v>#REF!</v>
      </c>
      <c r="S71" s="2010" t="e">
        <f t="shared" si="8"/>
        <v>#REF!</v>
      </c>
      <c r="T71" s="2078" t="e">
        <f t="shared" si="3"/>
        <v>#REF!</v>
      </c>
      <c r="U71" s="2040" t="e">
        <f t="shared" si="12"/>
        <v>#REF!</v>
      </c>
      <c r="W71" s="2020" t="e">
        <f>SUM('3.b. sz. mell'!F62+'5.b. sz. mell.'!F62)</f>
        <v>#REF!</v>
      </c>
      <c r="X71" s="2020"/>
      <c r="Y71" s="2021"/>
      <c r="Z71" s="2021"/>
      <c r="AA71" s="2023"/>
      <c r="AB71" s="2023"/>
      <c r="AC71" s="2078"/>
      <c r="AD71" s="2040"/>
    </row>
    <row r="72" spans="1:30" ht="12.75" hidden="1" customHeight="1" x14ac:dyDescent="0.2">
      <c r="A72" s="134"/>
      <c r="B72" s="170"/>
      <c r="C72" s="171"/>
      <c r="D72" s="155"/>
      <c r="E72" s="1432">
        <f t="shared" si="5"/>
        <v>0</v>
      </c>
      <c r="F72" s="155"/>
      <c r="G72" s="1386">
        <f t="shared" si="5"/>
        <v>0</v>
      </c>
      <c r="H72" s="3465"/>
      <c r="I72" s="3437">
        <f t="shared" si="5"/>
        <v>0</v>
      </c>
      <c r="J72" s="3478"/>
      <c r="K72" s="3166"/>
      <c r="L72" s="139"/>
      <c r="M72" s="139"/>
      <c r="N72" s="139"/>
      <c r="O72" s="139"/>
      <c r="P72" s="139"/>
      <c r="Q72" s="2019">
        <f t="shared" si="2"/>
        <v>0</v>
      </c>
      <c r="R72" s="2005">
        <f t="shared" si="11"/>
        <v>0</v>
      </c>
      <c r="S72" s="2010">
        <f t="shared" si="8"/>
        <v>0</v>
      </c>
      <c r="T72" s="2078">
        <f t="shared" ref="T72:T87" si="13">SUM(J72-AC72)</f>
        <v>0</v>
      </c>
      <c r="U72" s="2040">
        <f t="shared" si="12"/>
        <v>0</v>
      </c>
      <c r="W72" s="2020">
        <f>SUM('3.b. sz. mell'!F63+'5.b. sz. mell.'!F63)</f>
        <v>0</v>
      </c>
      <c r="X72" s="2020"/>
      <c r="Y72" s="2021"/>
      <c r="Z72" s="2021"/>
      <c r="AA72" s="2023"/>
      <c r="AB72" s="2023"/>
      <c r="AC72" s="2078"/>
      <c r="AD72" s="2040"/>
    </row>
    <row r="73" spans="1:30" s="172" customFormat="1" ht="12.75" hidden="1" customHeight="1" x14ac:dyDescent="0.2">
      <c r="A73" s="134"/>
      <c r="B73" s="170"/>
      <c r="C73" s="171"/>
      <c r="D73" s="137" t="e">
        <f>+D74+D76</f>
        <v>#REF!</v>
      </c>
      <c r="E73" s="1432" t="e">
        <f t="shared" ref="E73:I89" si="14">SUM(F73-D73)</f>
        <v>#REF!</v>
      </c>
      <c r="F73" s="137" t="e">
        <f>+F74+F76</f>
        <v>#REF!</v>
      </c>
      <c r="G73" s="1386" t="e">
        <f t="shared" si="14"/>
        <v>#REF!</v>
      </c>
      <c r="H73" s="3461" t="e">
        <f>+H74+H76</f>
        <v>#REF!</v>
      </c>
      <c r="I73" s="3437" t="e">
        <f t="shared" si="14"/>
        <v>#REF!</v>
      </c>
      <c r="J73" s="2456" t="e">
        <f>+J74+J76</f>
        <v>#REF!</v>
      </c>
      <c r="K73" s="948" t="e">
        <f>+K74+K76</f>
        <v>#REF!</v>
      </c>
      <c r="L73" s="139"/>
      <c r="M73" s="139"/>
      <c r="N73" s="139"/>
      <c r="O73" s="139"/>
      <c r="P73" s="139"/>
      <c r="Q73" s="2019" t="e">
        <f t="shared" ref="Q73:Q86" si="15">SUM(D73-W73)</f>
        <v>#REF!</v>
      </c>
      <c r="R73" s="2005" t="e">
        <f t="shared" si="11"/>
        <v>#REF!</v>
      </c>
      <c r="S73" s="2010" t="e">
        <f t="shared" si="8"/>
        <v>#REF!</v>
      </c>
      <c r="T73" s="2078" t="e">
        <f t="shared" si="13"/>
        <v>#REF!</v>
      </c>
      <c r="U73" s="2040" t="e">
        <f t="shared" si="12"/>
        <v>#REF!</v>
      </c>
      <c r="W73" s="2020" t="e">
        <f>SUM('3.b. sz. mell'!F64+'5.b. sz. mell.'!F64)</f>
        <v>#REF!</v>
      </c>
      <c r="X73" s="2020"/>
      <c r="Y73" s="2021"/>
      <c r="Z73" s="2021"/>
      <c r="AA73" s="2023"/>
      <c r="AB73" s="2023"/>
      <c r="AC73" s="2078"/>
      <c r="AD73" s="2040"/>
    </row>
    <row r="74" spans="1:30" s="172" customFormat="1" ht="12.75" hidden="1" customHeight="1" x14ac:dyDescent="0.2">
      <c r="A74" s="173"/>
      <c r="B74" s="174"/>
      <c r="C74" s="55"/>
      <c r="D74" s="175" t="e">
        <f>SUM(#REF!)</f>
        <v>#REF!</v>
      </c>
      <c r="E74" s="1432" t="e">
        <f t="shared" si="14"/>
        <v>#REF!</v>
      </c>
      <c r="F74" s="175" t="e">
        <f>SUM(#REF!)</f>
        <v>#REF!</v>
      </c>
      <c r="G74" s="1386" t="e">
        <f t="shared" si="14"/>
        <v>#REF!</v>
      </c>
      <c r="H74" s="3467" t="e">
        <f>SUM(#REF!)</f>
        <v>#REF!</v>
      </c>
      <c r="I74" s="3437" t="e">
        <f t="shared" si="14"/>
        <v>#REF!</v>
      </c>
      <c r="J74" s="3480" t="e">
        <f>SUM(#REF!)</f>
        <v>#REF!</v>
      </c>
      <c r="K74" s="3240" t="e">
        <f>SUM(#REF!)</f>
        <v>#REF!</v>
      </c>
      <c r="L74" s="139"/>
      <c r="M74" s="139"/>
      <c r="N74" s="139"/>
      <c r="O74" s="139"/>
      <c r="P74" s="139"/>
      <c r="Q74" s="2019" t="e">
        <f t="shared" si="15"/>
        <v>#REF!</v>
      </c>
      <c r="R74" s="2005" t="e">
        <f t="shared" si="11"/>
        <v>#REF!</v>
      </c>
      <c r="S74" s="2010" t="e">
        <f t="shared" si="8"/>
        <v>#REF!</v>
      </c>
      <c r="T74" s="2078" t="e">
        <f t="shared" si="13"/>
        <v>#REF!</v>
      </c>
      <c r="U74" s="2040" t="e">
        <f t="shared" si="12"/>
        <v>#REF!</v>
      </c>
      <c r="W74" s="2020" t="e">
        <f>SUM('3.b. sz. mell'!F65+'5.b. sz. mell.'!F65)</f>
        <v>#REF!</v>
      </c>
      <c r="X74" s="2020"/>
      <c r="Y74" s="2021"/>
      <c r="Z74" s="2021"/>
      <c r="AA74" s="2023"/>
      <c r="AB74" s="2023"/>
      <c r="AC74" s="2078"/>
      <c r="AD74" s="2040"/>
    </row>
    <row r="75" spans="1:30" s="172" customFormat="1" ht="12.75" hidden="1" customHeight="1" x14ac:dyDescent="0.2">
      <c r="A75" s="146"/>
      <c r="B75" s="187"/>
      <c r="C75" s="55"/>
      <c r="D75" s="147"/>
      <c r="E75" s="1432">
        <f t="shared" si="14"/>
        <v>0</v>
      </c>
      <c r="F75" s="147"/>
      <c r="G75" s="1386">
        <f t="shared" si="14"/>
        <v>0</v>
      </c>
      <c r="H75" s="3463"/>
      <c r="I75" s="3437">
        <f t="shared" si="14"/>
        <v>0</v>
      </c>
      <c r="J75" s="3475"/>
      <c r="K75" s="1280"/>
      <c r="L75" s="139"/>
      <c r="M75" s="139"/>
      <c r="N75" s="139"/>
      <c r="O75" s="139"/>
      <c r="P75" s="139"/>
      <c r="Q75" s="2019">
        <f t="shared" si="15"/>
        <v>0</v>
      </c>
      <c r="R75" s="2005">
        <f t="shared" si="11"/>
        <v>0</v>
      </c>
      <c r="S75" s="2010">
        <f t="shared" si="8"/>
        <v>0</v>
      </c>
      <c r="T75" s="2078">
        <f t="shared" si="13"/>
        <v>0</v>
      </c>
      <c r="U75" s="2040">
        <f t="shared" si="12"/>
        <v>0</v>
      </c>
      <c r="W75" s="2020">
        <f>SUM('3.b. sz. mell'!F66+'5.b. sz. mell.'!F66)</f>
        <v>0</v>
      </c>
      <c r="X75" s="2020"/>
      <c r="Y75" s="2021"/>
      <c r="Z75" s="2021"/>
      <c r="AA75" s="2023"/>
      <c r="AB75" s="2023"/>
      <c r="AC75" s="2078"/>
      <c r="AD75" s="2040"/>
    </row>
    <row r="76" spans="1:30" s="172" customFormat="1" ht="12.75" hidden="1" customHeight="1" x14ac:dyDescent="0.2">
      <c r="A76" s="151"/>
      <c r="B76" s="188"/>
      <c r="C76" s="55"/>
      <c r="D76" s="153"/>
      <c r="E76" s="1432">
        <f t="shared" si="14"/>
        <v>0</v>
      </c>
      <c r="F76" s="153"/>
      <c r="G76" s="1386">
        <f t="shared" si="14"/>
        <v>0</v>
      </c>
      <c r="H76" s="3464"/>
      <c r="I76" s="3437">
        <f t="shared" si="14"/>
        <v>0</v>
      </c>
      <c r="J76" s="3477"/>
      <c r="K76" s="1281"/>
      <c r="L76" s="139"/>
      <c r="M76" s="139"/>
      <c r="N76" s="139"/>
      <c r="O76" s="139"/>
      <c r="P76" s="139"/>
      <c r="Q76" s="2019">
        <f t="shared" si="15"/>
        <v>0</v>
      </c>
      <c r="R76" s="2005">
        <f t="shared" si="11"/>
        <v>0</v>
      </c>
      <c r="S76" s="2010">
        <f t="shared" si="8"/>
        <v>0</v>
      </c>
      <c r="T76" s="2078">
        <f t="shared" si="13"/>
        <v>0</v>
      </c>
      <c r="U76" s="2040">
        <f t="shared" si="12"/>
        <v>0</v>
      </c>
      <c r="W76" s="2020">
        <f>SUM('3.b. sz. mell'!F67+'5.b. sz. mell.'!F67)</f>
        <v>0</v>
      </c>
      <c r="X76" s="2020"/>
      <c r="Y76" s="2021"/>
      <c r="Z76" s="2021"/>
      <c r="AA76" s="2023"/>
      <c r="AB76" s="2023"/>
      <c r="AC76" s="2078"/>
      <c r="AD76" s="2040"/>
    </row>
    <row r="77" spans="1:30" s="172" customFormat="1" ht="12.75" hidden="1" customHeight="1" x14ac:dyDescent="0.2">
      <c r="A77" s="134"/>
      <c r="B77" s="189"/>
      <c r="C77" s="171"/>
      <c r="D77" s="155"/>
      <c r="E77" s="1432">
        <f t="shared" si="14"/>
        <v>0</v>
      </c>
      <c r="F77" s="155"/>
      <c r="G77" s="1386">
        <f t="shared" si="14"/>
        <v>0</v>
      </c>
      <c r="H77" s="3465"/>
      <c r="I77" s="3489">
        <f t="shared" si="14"/>
        <v>0</v>
      </c>
      <c r="J77" s="3478"/>
      <c r="K77" s="3166"/>
      <c r="L77" s="139"/>
      <c r="M77" s="139"/>
      <c r="N77" s="139"/>
      <c r="O77" s="139"/>
      <c r="P77" s="139"/>
      <c r="Q77" s="2019">
        <f t="shared" si="15"/>
        <v>0</v>
      </c>
      <c r="R77" s="2005">
        <f t="shared" si="11"/>
        <v>0</v>
      </c>
      <c r="S77" s="2010">
        <f t="shared" si="8"/>
        <v>0</v>
      </c>
      <c r="T77" s="2078">
        <f t="shared" si="13"/>
        <v>0</v>
      </c>
      <c r="U77" s="2040">
        <f t="shared" si="12"/>
        <v>0</v>
      </c>
      <c r="W77" s="2020">
        <f>SUM('3.b. sz. mell'!F68+'5.b. sz. mell.'!F68)</f>
        <v>0</v>
      </c>
      <c r="X77" s="2020"/>
      <c r="Y77" s="2021"/>
      <c r="Z77" s="2021"/>
      <c r="AA77" s="2023"/>
      <c r="AB77" s="2023"/>
      <c r="AC77" s="2078"/>
      <c r="AD77" s="2040"/>
    </row>
    <row r="78" spans="1:30" s="172" customFormat="1" ht="15" customHeight="1" thickBot="1" x14ac:dyDescent="0.25">
      <c r="A78" s="134" t="s">
        <v>31</v>
      </c>
      <c r="B78" s="170"/>
      <c r="C78" s="2420" t="s">
        <v>318</v>
      </c>
      <c r="D78" s="499">
        <f>SUM(D85+D86+D79)</f>
        <v>633787050</v>
      </c>
      <c r="E78" s="2457">
        <f t="shared" si="14"/>
        <v>1365927540</v>
      </c>
      <c r="F78" s="137">
        <f>SUM(F85+F86+F79)</f>
        <v>1999714590</v>
      </c>
      <c r="G78" s="1613">
        <f t="shared" si="14"/>
        <v>190791361</v>
      </c>
      <c r="H78" s="3461">
        <f>SUM(H85+H86+H79)</f>
        <v>2190505951</v>
      </c>
      <c r="I78" s="3488">
        <f t="shared" si="14"/>
        <v>0</v>
      </c>
      <c r="J78" s="2456">
        <f>SUM(J85+J86+J79)</f>
        <v>2190505951</v>
      </c>
      <c r="K78" s="948">
        <f>SUM(K85+K86+K79)</f>
        <v>2028614617</v>
      </c>
      <c r="L78" s="139"/>
      <c r="M78" s="139"/>
      <c r="N78" s="139"/>
      <c r="O78" s="139"/>
      <c r="P78" s="139"/>
      <c r="Q78" s="2019">
        <f t="shared" si="15"/>
        <v>0</v>
      </c>
      <c r="R78" s="2005">
        <f t="shared" si="11"/>
        <v>0</v>
      </c>
      <c r="S78" s="2010">
        <f t="shared" si="8"/>
        <v>0</v>
      </c>
      <c r="T78" s="2078">
        <f t="shared" si="13"/>
        <v>0</v>
      </c>
      <c r="U78" s="2040">
        <f t="shared" si="12"/>
        <v>0</v>
      </c>
      <c r="W78" s="2020">
        <f>SUM('3.b. sz. mell'!F70)</f>
        <v>633787050</v>
      </c>
      <c r="X78" s="2020"/>
      <c r="Y78" s="2021">
        <f>SUM('3.b. sz. mell'!H70)</f>
        <v>1999714590</v>
      </c>
      <c r="Z78" s="2021"/>
      <c r="AA78" s="2023">
        <f>SUM('3.b. sz. mell'!J70)</f>
        <v>2190505951</v>
      </c>
      <c r="AB78" s="2023"/>
      <c r="AC78" s="2078">
        <f>SUM('3.b. sz. mell'!L70)</f>
        <v>2190505951</v>
      </c>
      <c r="AD78" s="2040">
        <f>SUM('3.b. sz. mell'!M70)</f>
        <v>2028614617</v>
      </c>
    </row>
    <row r="79" spans="1:30" s="172" customFormat="1" ht="15" customHeight="1" x14ac:dyDescent="0.2">
      <c r="A79" s="146"/>
      <c r="B79" s="143" t="s">
        <v>319</v>
      </c>
      <c r="C79" s="2421" t="s">
        <v>214</v>
      </c>
      <c r="D79" s="2422">
        <f>SUM(D80:D84)</f>
        <v>633787050</v>
      </c>
      <c r="E79" s="2457">
        <f t="shared" si="14"/>
        <v>1365927540</v>
      </c>
      <c r="F79" s="156">
        <f>SUM(F80:F84)</f>
        <v>1999714590</v>
      </c>
      <c r="G79" s="1613">
        <f t="shared" si="14"/>
        <v>190791361</v>
      </c>
      <c r="H79" s="3471">
        <f>SUM(H80:H84)</f>
        <v>2190505951</v>
      </c>
      <c r="I79" s="3436">
        <f t="shared" si="14"/>
        <v>0</v>
      </c>
      <c r="J79" s="2163">
        <f>SUM(J80:J84)</f>
        <v>2190505951</v>
      </c>
      <c r="K79" s="3244">
        <f>SUM(K80:K84)</f>
        <v>2028614617</v>
      </c>
      <c r="L79" s="139"/>
      <c r="M79" s="139"/>
      <c r="N79" s="139"/>
      <c r="O79" s="139"/>
      <c r="P79" s="139"/>
      <c r="Q79" s="2019">
        <f t="shared" si="15"/>
        <v>0</v>
      </c>
      <c r="R79" s="2005">
        <f t="shared" si="11"/>
        <v>0</v>
      </c>
      <c r="S79" s="2010">
        <f t="shared" si="8"/>
        <v>0</v>
      </c>
      <c r="T79" s="2078">
        <f t="shared" si="13"/>
        <v>0</v>
      </c>
      <c r="U79" s="2040">
        <f t="shared" si="12"/>
        <v>0</v>
      </c>
      <c r="W79" s="2020">
        <f>SUM('3.b. sz. mell'!F70)</f>
        <v>633787050</v>
      </c>
      <c r="X79" s="2020"/>
      <c r="Y79" s="2021">
        <f>SUM('3.b. sz. mell'!H70)</f>
        <v>1999714590</v>
      </c>
      <c r="Z79" s="2021"/>
      <c r="AA79" s="2023">
        <f>SUM('3.b. sz. mell'!J70)</f>
        <v>2190505951</v>
      </c>
      <c r="AB79" s="2023"/>
      <c r="AC79" s="2078">
        <f>SUM('3.b. sz. mell'!L70)</f>
        <v>2190505951</v>
      </c>
      <c r="AD79" s="2040">
        <f>SUM('3.b. sz. mell'!M70)</f>
        <v>2028614617</v>
      </c>
    </row>
    <row r="80" spans="1:30" s="172" customFormat="1" ht="15" customHeight="1" x14ac:dyDescent="0.2">
      <c r="A80" s="146"/>
      <c r="B80" s="560" t="s">
        <v>820</v>
      </c>
      <c r="C80" s="1219" t="s">
        <v>102</v>
      </c>
      <c r="D80" s="2423"/>
      <c r="E80" s="2458">
        <f t="shared" si="14"/>
        <v>0</v>
      </c>
      <c r="F80" s="144">
        <f>SUM('3.2 Cofogos'!G287)</f>
        <v>0</v>
      </c>
      <c r="G80" s="1503">
        <f>SUM('3.2 Cofogos'!H287)</f>
        <v>0</v>
      </c>
      <c r="H80" s="3462">
        <f>SUM('3.2 Cofogos'!I287)</f>
        <v>0</v>
      </c>
      <c r="I80" s="3437">
        <f>SUM('3.2 Cofogos'!J287)</f>
        <v>0</v>
      </c>
      <c r="J80" s="2684">
        <f>SUM('3.2 Cofogos'!K287)</f>
        <v>0</v>
      </c>
      <c r="K80" s="610">
        <f>SUM('3.2 Cofogos'!L287)</f>
        <v>0</v>
      </c>
      <c r="L80" s="139"/>
      <c r="M80" s="139"/>
      <c r="N80" s="139"/>
      <c r="O80" s="139"/>
      <c r="P80" s="139"/>
      <c r="Q80" s="2019">
        <f t="shared" si="15"/>
        <v>0</v>
      </c>
      <c r="R80" s="2005"/>
      <c r="S80" s="2010"/>
      <c r="T80" s="2078">
        <f t="shared" si="13"/>
        <v>0</v>
      </c>
      <c r="U80" s="2040">
        <f t="shared" si="12"/>
        <v>0</v>
      </c>
      <c r="W80" s="2020"/>
      <c r="X80" s="2020"/>
      <c r="Y80" s="2021"/>
      <c r="Z80" s="2021"/>
      <c r="AA80" s="2021"/>
      <c r="AB80" s="2021"/>
      <c r="AC80" s="2078"/>
      <c r="AD80" s="2040"/>
    </row>
    <row r="81" spans="1:30" s="172" customFormat="1" ht="15" customHeight="1" x14ac:dyDescent="0.2">
      <c r="A81" s="146"/>
      <c r="B81" s="560" t="s">
        <v>821</v>
      </c>
      <c r="C81" s="1219" t="s">
        <v>209</v>
      </c>
      <c r="D81" s="2423">
        <f>SUM('3.b. sz. mell'!F72)</f>
        <v>581321000</v>
      </c>
      <c r="E81" s="2458">
        <f t="shared" si="14"/>
        <v>1096200000</v>
      </c>
      <c r="F81" s="2423">
        <f>SUM('3.2 Cofogos'!G285)</f>
        <v>1677521000</v>
      </c>
      <c r="G81" s="1503">
        <f>SUM('3.2 Cofogos'!H285)</f>
        <v>-180851145</v>
      </c>
      <c r="H81" s="3462">
        <f>SUM('3.2 Cofogos'!I285)</f>
        <v>1496669855</v>
      </c>
      <c r="I81" s="3437">
        <f>SUM('3.2 Cofogos'!J285)</f>
        <v>0</v>
      </c>
      <c r="J81" s="2684">
        <f>SUM('3.2 Cofogos'!K285)</f>
        <v>1496669855</v>
      </c>
      <c r="K81" s="610">
        <f>SUM('3.2 Cofogos'!L285)</f>
        <v>1357269500</v>
      </c>
      <c r="L81" s="139"/>
      <c r="M81" s="139"/>
      <c r="N81" s="139"/>
      <c r="O81" s="139"/>
      <c r="P81" s="139"/>
      <c r="Q81" s="2019">
        <f t="shared" si="15"/>
        <v>0</v>
      </c>
      <c r="R81" s="2005"/>
      <c r="S81" s="2010"/>
      <c r="T81" s="2078"/>
      <c r="U81" s="2040"/>
      <c r="W81" s="2020">
        <f>SUM('3.b. sz. mell'!F72)</f>
        <v>581321000</v>
      </c>
      <c r="X81" s="2020"/>
      <c r="Y81" s="2021"/>
      <c r="Z81" s="2021"/>
      <c r="AA81" s="2021"/>
      <c r="AB81" s="2021"/>
      <c r="AC81" s="2078"/>
      <c r="AD81" s="2040"/>
    </row>
    <row r="82" spans="1:30" s="172" customFormat="1" ht="15" customHeight="1" x14ac:dyDescent="0.2">
      <c r="A82" s="146"/>
      <c r="B82" s="560" t="s">
        <v>367</v>
      </c>
      <c r="C82" s="1219" t="s">
        <v>216</v>
      </c>
      <c r="D82" s="2423"/>
      <c r="E82" s="2458">
        <f t="shared" si="14"/>
        <v>224907461</v>
      </c>
      <c r="F82" s="144">
        <f>SUM('3.2 Cofogos'!G31)</f>
        <v>224907461</v>
      </c>
      <c r="G82" s="1503">
        <f>SUM('3.2 Cofogos'!H31)</f>
        <v>275558186</v>
      </c>
      <c r="H82" s="3462">
        <f>SUM('3.2 Cofogos'!I31)</f>
        <v>500465647</v>
      </c>
      <c r="I82" s="3437">
        <f>SUM('3.2 Cofogos'!J31)</f>
        <v>0</v>
      </c>
      <c r="J82" s="2684">
        <f>SUM('3.2 Cofogos'!K31)</f>
        <v>500465647</v>
      </c>
      <c r="K82" s="610">
        <f>SUM('3.2 Cofogos'!L31)</f>
        <v>478742247</v>
      </c>
      <c r="L82" s="139"/>
      <c r="M82" s="139"/>
      <c r="N82" s="139"/>
      <c r="O82" s="139"/>
      <c r="P82" s="139"/>
      <c r="Q82" s="2019">
        <f t="shared" si="15"/>
        <v>0</v>
      </c>
      <c r="R82" s="2005"/>
      <c r="S82" s="2010"/>
      <c r="T82" s="2078"/>
      <c r="U82" s="2040"/>
      <c r="W82" s="2020">
        <f>SUM('3.b. sz. mell'!F73)</f>
        <v>0</v>
      </c>
      <c r="X82" s="2020"/>
      <c r="Y82" s="2021"/>
      <c r="Z82" s="2021"/>
      <c r="AA82" s="2021"/>
      <c r="AB82" s="2021"/>
      <c r="AC82" s="2078"/>
      <c r="AD82" s="2040"/>
    </row>
    <row r="83" spans="1:30" s="172" customFormat="1" ht="15" customHeight="1" x14ac:dyDescent="0.2">
      <c r="A83" s="146"/>
      <c r="B83" s="176" t="s">
        <v>368</v>
      </c>
      <c r="C83" s="1219" t="s">
        <v>818</v>
      </c>
      <c r="D83" s="2423">
        <f>SUM('4. b.sz. mell.'!D40+'5.b. sz. mell.'!F42)</f>
        <v>52466050</v>
      </c>
      <c r="E83" s="2458">
        <f t="shared" si="14"/>
        <v>44820079</v>
      </c>
      <c r="F83" s="144">
        <f>SUM('3.b. sz. mell'!H71)</f>
        <v>97286129</v>
      </c>
      <c r="G83" s="1503">
        <f t="shared" si="14"/>
        <v>96084320</v>
      </c>
      <c r="H83" s="3462">
        <f>SUM('3.b. sz. mell'!J71)</f>
        <v>193370449</v>
      </c>
      <c r="I83" s="3437">
        <f t="shared" si="14"/>
        <v>0</v>
      </c>
      <c r="J83" s="2684">
        <f>SUM('3.b. sz. mell'!L71)</f>
        <v>193370449</v>
      </c>
      <c r="K83" s="610">
        <f>SUM('3.b. sz. mell'!M71)</f>
        <v>192602870</v>
      </c>
      <c r="L83" s="139"/>
      <c r="M83" s="139"/>
      <c r="N83" s="139"/>
      <c r="O83" s="139"/>
      <c r="P83" s="139"/>
      <c r="Q83" s="2019">
        <f t="shared" si="15"/>
        <v>0</v>
      </c>
      <c r="R83" s="2005">
        <f>SUM(F83-Y83)</f>
        <v>0</v>
      </c>
      <c r="S83" s="2010">
        <f>SUM(H83-AA83)</f>
        <v>0</v>
      </c>
      <c r="T83" s="2078">
        <f t="shared" si="13"/>
        <v>0</v>
      </c>
      <c r="U83" s="2040">
        <f t="shared" si="12"/>
        <v>0</v>
      </c>
      <c r="W83" s="2020">
        <f>SUM('3.b. sz. mell'!F71)</f>
        <v>52466050</v>
      </c>
      <c r="X83" s="2020"/>
      <c r="Y83" s="2021">
        <f>SUM('3.b. sz. mell'!H71)</f>
        <v>97286129</v>
      </c>
      <c r="Z83" s="2021"/>
      <c r="AA83" s="2021">
        <f>SUM('3.b. sz. mell'!J71)</f>
        <v>193370449</v>
      </c>
      <c r="AB83" s="2021"/>
      <c r="AC83" s="2078">
        <f>SUM('3.b. sz. mell'!L71)</f>
        <v>193370449</v>
      </c>
      <c r="AD83" s="2040">
        <f>SUM('3.b. sz. mell'!M71)</f>
        <v>192602870</v>
      </c>
    </row>
    <row r="84" spans="1:30" ht="15" customHeight="1" x14ac:dyDescent="0.2">
      <c r="A84" s="173"/>
      <c r="B84" s="176" t="s">
        <v>878</v>
      </c>
      <c r="C84" s="1219" t="s">
        <v>1162</v>
      </c>
      <c r="D84" s="1295"/>
      <c r="E84" s="2458">
        <f t="shared" si="14"/>
        <v>0</v>
      </c>
      <c r="F84" s="175"/>
      <c r="G84" s="1503">
        <f t="shared" si="14"/>
        <v>0</v>
      </c>
      <c r="H84" s="3467"/>
      <c r="I84" s="3437">
        <f t="shared" si="14"/>
        <v>0</v>
      </c>
      <c r="J84" s="3480"/>
      <c r="K84" s="3240"/>
      <c r="L84" s="139"/>
      <c r="M84" s="139"/>
      <c r="N84" s="139"/>
      <c r="O84" s="139"/>
      <c r="P84" s="139"/>
      <c r="Q84" s="2019">
        <f t="shared" si="15"/>
        <v>0</v>
      </c>
      <c r="R84" s="2005">
        <f>SUM(F84-Y84)</f>
        <v>0</v>
      </c>
      <c r="S84" s="2010">
        <f>SUM(H84-AA84)</f>
        <v>0</v>
      </c>
      <c r="T84" s="2078">
        <f t="shared" si="13"/>
        <v>0</v>
      </c>
      <c r="U84" s="2040">
        <f>SUM(K84-AD84)</f>
        <v>0</v>
      </c>
      <c r="W84" s="2020"/>
      <c r="X84" s="2020"/>
      <c r="Y84" s="2021"/>
      <c r="Z84" s="2021"/>
      <c r="AA84" s="2010"/>
      <c r="AB84" s="2010"/>
      <c r="AC84" s="2078"/>
      <c r="AD84" s="2040"/>
    </row>
    <row r="85" spans="1:30" ht="15" customHeight="1" thickBot="1" x14ac:dyDescent="0.25">
      <c r="A85" s="146"/>
      <c r="B85" s="143" t="s">
        <v>321</v>
      </c>
      <c r="C85" s="1220" t="s">
        <v>219</v>
      </c>
      <c r="D85" s="147"/>
      <c r="E85" s="2458">
        <f t="shared" si="14"/>
        <v>0</v>
      </c>
      <c r="F85" s="147"/>
      <c r="G85" s="1503">
        <f t="shared" si="14"/>
        <v>0</v>
      </c>
      <c r="H85" s="3463"/>
      <c r="I85" s="3437">
        <f t="shared" si="14"/>
        <v>0</v>
      </c>
      <c r="J85" s="3475"/>
      <c r="K85" s="1280"/>
      <c r="L85" s="139"/>
      <c r="M85" s="139"/>
      <c r="N85" s="139"/>
      <c r="O85" s="139"/>
      <c r="P85" s="139"/>
      <c r="Q85" s="2019">
        <f t="shared" si="15"/>
        <v>0</v>
      </c>
      <c r="R85" s="2005">
        <f>SUM(F85-Y85)</f>
        <v>0</v>
      </c>
      <c r="S85" s="2010">
        <f>SUM(H85-AA85)</f>
        <v>0</v>
      </c>
      <c r="T85" s="2078">
        <f t="shared" si="13"/>
        <v>0</v>
      </c>
      <c r="U85" s="2040">
        <f>SUM(K85-AD85)</f>
        <v>0</v>
      </c>
      <c r="W85" s="2020"/>
      <c r="X85" s="2020"/>
      <c r="Y85" s="2021"/>
      <c r="Z85" s="2021"/>
      <c r="AA85" s="2010"/>
      <c r="AB85" s="2010"/>
      <c r="AC85" s="2078"/>
      <c r="AD85" s="2040"/>
    </row>
    <row r="86" spans="1:30" ht="15" customHeight="1" thickBot="1" x14ac:dyDescent="0.25">
      <c r="A86" s="151"/>
      <c r="B86" s="143" t="s">
        <v>586</v>
      </c>
      <c r="C86" s="30" t="s">
        <v>764</v>
      </c>
      <c r="D86" s="153"/>
      <c r="E86" s="2458">
        <f t="shared" si="14"/>
        <v>0</v>
      </c>
      <c r="F86" s="153"/>
      <c r="G86" s="1503">
        <f t="shared" si="14"/>
        <v>0</v>
      </c>
      <c r="H86" s="3464"/>
      <c r="I86" s="3489">
        <f t="shared" si="14"/>
        <v>0</v>
      </c>
      <c r="J86" s="3477"/>
      <c r="K86" s="1281"/>
      <c r="L86" s="139"/>
      <c r="M86" s="139"/>
      <c r="N86" s="139"/>
      <c r="O86" s="139"/>
      <c r="P86" s="139"/>
      <c r="Q86" s="2019">
        <f t="shared" si="15"/>
        <v>0</v>
      </c>
      <c r="R86" s="2005">
        <f>SUM(F86-Y86)</f>
        <v>0</v>
      </c>
      <c r="S86" s="2010">
        <f>SUM(H86-AA86)</f>
        <v>0</v>
      </c>
      <c r="T86" s="2078">
        <f t="shared" si="13"/>
        <v>0</v>
      </c>
      <c r="U86" s="2040">
        <f>SUM(K86-AD86)</f>
        <v>0</v>
      </c>
      <c r="W86" s="2020"/>
      <c r="X86" s="2020"/>
      <c r="Y86" s="2021"/>
      <c r="Z86" s="2021"/>
      <c r="AA86" s="2010"/>
      <c r="AB86" s="2010"/>
      <c r="AC86" s="2078"/>
      <c r="AD86" s="2040"/>
    </row>
    <row r="87" spans="1:30" ht="15" customHeight="1" thickBot="1" x14ac:dyDescent="0.25">
      <c r="A87" s="192"/>
      <c r="B87" s="160"/>
      <c r="C87" s="161" t="s">
        <v>322</v>
      </c>
      <c r="D87" s="162">
        <f>SUM(D46+D62+D78)</f>
        <v>2850387444</v>
      </c>
      <c r="E87" s="1382">
        <f t="shared" si="14"/>
        <v>2342429840</v>
      </c>
      <c r="F87" s="162">
        <f>SUM(F46+F62+F78)</f>
        <v>5192817284</v>
      </c>
      <c r="G87" s="1374">
        <f t="shared" si="14"/>
        <v>173724718</v>
      </c>
      <c r="H87" s="1481">
        <f>SUM(H46+H62+H78)</f>
        <v>5366542002</v>
      </c>
      <c r="I87" s="3488">
        <f t="shared" si="14"/>
        <v>0</v>
      </c>
      <c r="J87" s="1447">
        <f>SUM(J46+J62+J78)</f>
        <v>5366542002</v>
      </c>
      <c r="K87" s="1451">
        <f>SUM(K46+K62+K78)</f>
        <v>4074100918</v>
      </c>
      <c r="L87" s="139"/>
      <c r="M87" s="139">
        <f>SUM(D87-D41)</f>
        <v>0</v>
      </c>
      <c r="N87" s="139"/>
      <c r="O87" s="139"/>
      <c r="P87" s="139"/>
      <c r="Q87" s="2019">
        <f>SUM(D87-W87)</f>
        <v>0</v>
      </c>
      <c r="R87" s="2005">
        <f>SUM(F87-Y87)</f>
        <v>0</v>
      </c>
      <c r="S87" s="2010">
        <f>SUM(H87-AA87)</f>
        <v>0</v>
      </c>
      <c r="T87" s="2078">
        <f t="shared" si="13"/>
        <v>0</v>
      </c>
      <c r="U87" s="2040">
        <f>SUM(K87-AD87)</f>
        <v>0</v>
      </c>
      <c r="W87" s="2020">
        <f>SUM('3.b. sz. mell'!F74+'4. b.sz. mell.'!D60+'5.b. sz. mell.'!F59)</f>
        <v>2850387444</v>
      </c>
      <c r="X87" s="2020"/>
      <c r="Y87" s="2021">
        <f>SUM('3.b. sz. mell'!H74+'4. b.sz. mell.'!F60+'5.b. sz. mell.'!H59)</f>
        <v>5192817284</v>
      </c>
      <c r="Z87" s="2021"/>
      <c r="AA87" s="2021">
        <f>SUM('3.b. sz. mell'!J74+'4. b.sz. mell.'!H60+'5.b. sz. mell.'!J59)</f>
        <v>5366542002</v>
      </c>
      <c r="AB87" s="2021"/>
      <c r="AC87" s="2078">
        <f>SUM('3.b. sz. mell'!L74+'4. b.sz. mell.'!J60+'5.b. sz. mell.'!L59)</f>
        <v>5366542002</v>
      </c>
      <c r="AD87" s="2040">
        <f>SUM('3.b. sz. mell'!M74+'4. b.sz. mell.'!K60+'5.b. sz. mell.'!M59)</f>
        <v>4074100918</v>
      </c>
    </row>
    <row r="88" spans="1:30" ht="21.75" customHeight="1" thickBot="1" x14ac:dyDescent="0.25">
      <c r="A88" s="2811"/>
      <c r="B88" s="2812"/>
      <c r="C88" s="2913" t="s">
        <v>300</v>
      </c>
      <c r="D88" s="2914">
        <f>SUM(D83)</f>
        <v>52466050</v>
      </c>
      <c r="E88" s="1491">
        <f t="shared" si="14"/>
        <v>44820079</v>
      </c>
      <c r="F88" s="1609">
        <f>SUM(F42)</f>
        <v>97286129</v>
      </c>
      <c r="G88" s="1596">
        <f t="shared" si="14"/>
        <v>97582096</v>
      </c>
      <c r="H88" s="3472">
        <f>SUM(H42)</f>
        <v>194868225</v>
      </c>
      <c r="I88" s="3488">
        <f t="shared" si="14"/>
        <v>0</v>
      </c>
      <c r="J88" s="3484">
        <f>SUM(J42)</f>
        <v>194868225</v>
      </c>
      <c r="K88" s="1609">
        <f>SUM(K42)</f>
        <v>194100646</v>
      </c>
      <c r="L88" s="139"/>
      <c r="M88" s="139"/>
      <c r="N88" s="139"/>
      <c r="O88" s="139"/>
      <c r="P88" s="139"/>
      <c r="Q88" s="2019"/>
      <c r="R88" s="2005"/>
      <c r="S88" s="139"/>
      <c r="T88" s="1999"/>
      <c r="U88" s="2905"/>
      <c r="W88" s="2020"/>
      <c r="X88" s="2020"/>
      <c r="Y88" s="2021"/>
      <c r="Z88" s="2021"/>
      <c r="AA88" s="518"/>
      <c r="AB88" s="518"/>
      <c r="AC88" s="2078"/>
      <c r="AD88" s="2040"/>
    </row>
    <row r="89" spans="1:30" s="2079" customFormat="1" ht="20.25" customHeight="1" thickBot="1" x14ac:dyDescent="0.25">
      <c r="A89" s="2813"/>
      <c r="B89" s="2912"/>
      <c r="C89" s="2915" t="s">
        <v>323</v>
      </c>
      <c r="D89" s="2916">
        <f>SUM(D87-D88)</f>
        <v>2797921394</v>
      </c>
      <c r="E89" s="2917">
        <f t="shared" si="14"/>
        <v>2297609761</v>
      </c>
      <c r="F89" s="2910">
        <f>SUM(F87-F88)</f>
        <v>5095531155</v>
      </c>
      <c r="G89" s="2911">
        <f t="shared" si="14"/>
        <v>76142622</v>
      </c>
      <c r="H89" s="3473">
        <f>SUM(H87-H88)</f>
        <v>5171673777</v>
      </c>
      <c r="I89" s="3488">
        <f t="shared" si="14"/>
        <v>0</v>
      </c>
      <c r="J89" s="3485">
        <f>SUM(J87-J88)</f>
        <v>5171673777</v>
      </c>
      <c r="K89" s="2910">
        <f>SUM(K87-K88)</f>
        <v>3880000272</v>
      </c>
      <c r="L89" s="2076"/>
      <c r="M89" s="2076"/>
      <c r="N89" s="2076"/>
      <c r="O89" s="2076"/>
      <c r="P89" s="2076"/>
      <c r="Q89" s="2019"/>
      <c r="R89" s="2077"/>
      <c r="S89" s="2076"/>
      <c r="T89" s="2078"/>
      <c r="U89" s="2904"/>
      <c r="W89" s="2020"/>
      <c r="X89" s="2020"/>
      <c r="Y89" s="2080"/>
      <c r="Z89" s="2080"/>
      <c r="AC89" s="2081"/>
      <c r="AD89" s="2909"/>
    </row>
    <row r="90" spans="1:30" ht="20.25" customHeight="1" thickBot="1" x14ac:dyDescent="0.25">
      <c r="A90" s="4418" t="s">
        <v>324</v>
      </c>
      <c r="B90" s="4419"/>
      <c r="C90" s="4419"/>
      <c r="D90" s="200"/>
      <c r="E90" s="1559"/>
      <c r="F90" s="200"/>
      <c r="G90" s="1388"/>
      <c r="H90" s="3473"/>
      <c r="I90" s="3491"/>
      <c r="J90" s="3485"/>
      <c r="K90" s="2910"/>
      <c r="L90" s="201"/>
      <c r="M90" s="201"/>
      <c r="N90" s="201"/>
      <c r="O90" s="201"/>
      <c r="P90" s="201"/>
      <c r="U90" s="2906"/>
    </row>
    <row r="91" spans="1:30" ht="15" customHeight="1" thickBot="1" x14ac:dyDescent="0.25">
      <c r="A91" s="4418" t="s">
        <v>325</v>
      </c>
      <c r="B91" s="4419"/>
      <c r="C91" s="4419"/>
      <c r="D91" s="202"/>
      <c r="E91" s="2451"/>
      <c r="F91" s="202"/>
      <c r="G91" s="1527"/>
      <c r="H91" s="3473"/>
      <c r="I91" s="3490"/>
      <c r="J91" s="3485"/>
      <c r="K91" s="2910"/>
      <c r="L91" s="201"/>
      <c r="M91" s="201"/>
      <c r="N91" s="201"/>
      <c r="O91" s="201"/>
      <c r="P91" s="201"/>
    </row>
    <row r="92" spans="1:30" ht="15" customHeight="1" x14ac:dyDescent="0.2"/>
    <row r="93" spans="1:30" ht="15" customHeight="1" x14ac:dyDescent="0.2"/>
    <row r="94" spans="1:30" ht="13.5" thickBot="1" x14ac:dyDescent="0.25"/>
    <row r="95" spans="1:30" ht="16.5" thickBot="1" x14ac:dyDescent="0.25">
      <c r="D95" s="162">
        <f>SUM(D89-D43)</f>
        <v>0</v>
      </c>
      <c r="E95" s="1373"/>
      <c r="F95" s="162">
        <f>SUM(F89-F43)</f>
        <v>-1400000</v>
      </c>
      <c r="G95" s="162"/>
      <c r="H95" s="1451">
        <f>SUM(H89-H43)</f>
        <v>0</v>
      </c>
      <c r="J95" s="1451">
        <f>SUM(J89-J43)</f>
        <v>0</v>
      </c>
      <c r="K95" s="1451">
        <f>SUM(K43-K89)</f>
        <v>44617039</v>
      </c>
    </row>
    <row r="98" spans="4:7" ht="15.75" x14ac:dyDescent="0.2">
      <c r="D98" s="203"/>
      <c r="E98" s="1470"/>
      <c r="F98" s="203"/>
      <c r="G98" s="1470"/>
    </row>
  </sheetData>
  <mergeCells count="19">
    <mergeCell ref="A91:C91"/>
    <mergeCell ref="A1:B1"/>
    <mergeCell ref="D1:D2"/>
    <mergeCell ref="A2:B2"/>
    <mergeCell ref="A4:B4"/>
    <mergeCell ref="J1:J2"/>
    <mergeCell ref="E1:E2"/>
    <mergeCell ref="F1:F2"/>
    <mergeCell ref="A90:C90"/>
    <mergeCell ref="K1:K2"/>
    <mergeCell ref="G1:G2"/>
    <mergeCell ref="H1:H2"/>
    <mergeCell ref="I1:I2"/>
    <mergeCell ref="AC2:AC3"/>
    <mergeCell ref="R2:R3"/>
    <mergeCell ref="S2:S3"/>
    <mergeCell ref="T2:T3"/>
    <mergeCell ref="Y2:Y3"/>
    <mergeCell ref="AA2:AA3"/>
  </mergeCells>
  <printOptions horizontalCentered="1"/>
  <pageMargins left="0.31496062992125984" right="0.23622047244094491" top="0.6692913385826772" bottom="0.47244094488188981" header="0.27559055118110237" footer="0.27559055118110237"/>
  <pageSetup paperSize="9" scale="63" firstPageNumber="19" orientation="portrait" useFirstPageNumber="1" r:id="rId1"/>
  <headerFooter>
    <oddHeader>&amp;C&amp;"Times New Roman CE,Félkövér"&amp;14Vecsés Város Önkormányzat és intézményei 
2018. évi bevételei és kiadásai&amp;R&amp;"Times New Roman,Normál"&amp;12 2.b. sz. melléklet
Forint</oddHeader>
    <oddFooter>&amp;C- &amp;P -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J45"/>
  <sheetViews>
    <sheetView view="pageBreakPreview" topLeftCell="A7" zoomScaleNormal="100" zoomScaleSheetLayoutView="100" workbookViewId="0">
      <selection activeCell="Z27" sqref="Z27"/>
    </sheetView>
  </sheetViews>
  <sheetFormatPr defaultColWidth="9.33203125" defaultRowHeight="15" x14ac:dyDescent="0.25"/>
  <cols>
    <col min="1" max="1" width="15.33203125" style="621" customWidth="1"/>
    <col min="2" max="2" width="16.6640625" style="621" customWidth="1"/>
    <col min="3" max="3" width="10" style="621" customWidth="1"/>
    <col min="4" max="4" width="10" style="621" hidden="1" customWidth="1"/>
    <col min="5" max="8" width="13.1640625" style="621" hidden="1" customWidth="1"/>
    <col min="9" max="9" width="13.1640625" style="621" customWidth="1"/>
    <col min="10" max="10" width="13.83203125" style="621" hidden="1" customWidth="1"/>
    <col min="11" max="11" width="13.1640625" style="621" customWidth="1"/>
    <col min="12" max="12" width="13.33203125" style="621" hidden="1" customWidth="1"/>
    <col min="13" max="16" width="13.6640625" style="621" hidden="1" customWidth="1"/>
    <col min="17" max="17" width="13.6640625" style="621" customWidth="1"/>
    <col min="18" max="18" width="14.1640625" style="621" customWidth="1"/>
    <col min="19" max="19" width="9.6640625" style="621" customWidth="1"/>
    <col min="20" max="20" width="9.6640625" style="621" hidden="1" customWidth="1"/>
    <col min="21" max="24" width="13.5" style="621" hidden="1" customWidth="1"/>
    <col min="25" max="25" width="13.5" style="621" customWidth="1"/>
    <col min="26" max="26" width="13.83203125" style="621" customWidth="1"/>
    <col min="27" max="27" width="11.33203125" style="621" customWidth="1"/>
    <col min="28" max="28" width="11.33203125" style="621" hidden="1" customWidth="1"/>
    <col min="29" max="32" width="14.6640625" style="621" hidden="1" customWidth="1"/>
    <col min="33" max="33" width="14.6640625" style="621" customWidth="1"/>
    <col min="34" max="34" width="12.83203125" style="621" bestFit="1" customWidth="1"/>
    <col min="35" max="35" width="9.33203125" style="619"/>
    <col min="36" max="36" width="13.33203125" style="619" bestFit="1" customWidth="1"/>
    <col min="37" max="16384" width="9.33203125" style="619"/>
  </cols>
  <sheetData>
    <row r="1" spans="1:35" ht="20.25" x14ac:dyDescent="0.3">
      <c r="A1" s="4536" t="s">
        <v>1008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952"/>
    </row>
    <row r="2" spans="1:35" ht="20.25" x14ac:dyDescent="0.3">
      <c r="A2" s="4809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810"/>
      <c r="AI2" s="952"/>
    </row>
    <row r="3" spans="1:35" ht="12.75" customHeight="1" thickBot="1" x14ac:dyDescent="0.35">
      <c r="A3" s="2139"/>
      <c r="B3" s="955"/>
      <c r="C3" s="955"/>
      <c r="D3" s="955"/>
      <c r="E3" s="955"/>
      <c r="F3" s="955"/>
      <c r="G3" s="955"/>
      <c r="H3" s="955"/>
      <c r="I3" s="955"/>
      <c r="J3" s="955"/>
      <c r="K3" s="955"/>
      <c r="L3" s="955"/>
      <c r="M3" s="955"/>
      <c r="N3" s="955"/>
      <c r="O3" s="955"/>
      <c r="P3" s="955"/>
      <c r="Q3" s="955"/>
      <c r="R3" s="955"/>
      <c r="S3" s="955"/>
      <c r="T3" s="955"/>
      <c r="U3" s="955"/>
      <c r="V3" s="955"/>
      <c r="W3" s="955"/>
      <c r="X3" s="955"/>
      <c r="Y3" s="955"/>
      <c r="Z3" s="955"/>
      <c r="AA3" s="955"/>
      <c r="AB3" s="955"/>
      <c r="AC3" s="955"/>
      <c r="AD3" s="955"/>
      <c r="AE3" s="955"/>
      <c r="AF3" s="955"/>
      <c r="AG3" s="955"/>
      <c r="AH3" s="2137"/>
      <c r="AI3" s="952"/>
    </row>
    <row r="4" spans="1:35" ht="33.75" customHeight="1" thickTop="1" thickBot="1" x14ac:dyDescent="0.3">
      <c r="A4" s="4533" t="s">
        <v>230</v>
      </c>
      <c r="B4" s="4534"/>
      <c r="C4" s="4534"/>
      <c r="D4" s="4534"/>
      <c r="E4" s="4534"/>
      <c r="F4" s="4534"/>
      <c r="G4" s="4534"/>
      <c r="H4" s="4534"/>
      <c r="I4" s="4534"/>
      <c r="J4" s="4534"/>
      <c r="K4" s="4534"/>
      <c r="L4" s="4534"/>
      <c r="M4" s="4534"/>
      <c r="N4" s="4534"/>
      <c r="O4" s="4534"/>
      <c r="P4" s="4534"/>
      <c r="Q4" s="4534"/>
      <c r="R4" s="4534"/>
      <c r="S4" s="4534"/>
      <c r="T4" s="4534"/>
      <c r="U4" s="4534"/>
      <c r="V4" s="4534"/>
      <c r="W4" s="4534"/>
      <c r="X4" s="4534"/>
      <c r="Y4" s="4534"/>
      <c r="Z4" s="4534"/>
      <c r="AA4" s="4534"/>
      <c r="AB4" s="4534"/>
      <c r="AC4" s="4534"/>
      <c r="AD4" s="4534"/>
      <c r="AE4" s="4534"/>
      <c r="AF4" s="4534"/>
      <c r="AG4" s="4534"/>
      <c r="AH4" s="4535"/>
      <c r="AI4" s="952"/>
    </row>
    <row r="5" spans="1:35" s="636" customFormat="1" ht="66.75" customHeight="1" thickTop="1" thickBot="1" x14ac:dyDescent="0.3">
      <c r="A5" s="4811"/>
      <c r="B5" s="4812"/>
      <c r="C5" s="4541" t="s">
        <v>1009</v>
      </c>
      <c r="D5" s="4542"/>
      <c r="E5" s="4576"/>
      <c r="F5" s="4576"/>
      <c r="G5" s="4576"/>
      <c r="H5" s="4576"/>
      <c r="I5" s="4576"/>
      <c r="J5" s="4813"/>
      <c r="K5" s="4586" t="s">
        <v>1010</v>
      </c>
      <c r="L5" s="4587"/>
      <c r="M5" s="4576"/>
      <c r="N5" s="4576"/>
      <c r="O5" s="4576"/>
      <c r="P5" s="4576"/>
      <c r="Q5" s="4576"/>
      <c r="R5" s="4813"/>
      <c r="S5" s="4814" t="s">
        <v>1011</v>
      </c>
      <c r="T5" s="4587"/>
      <c r="U5" s="4587"/>
      <c r="V5" s="4587"/>
      <c r="W5" s="4587"/>
      <c r="X5" s="4587"/>
      <c r="Y5" s="4587"/>
      <c r="Z5" s="4815"/>
      <c r="AA5" s="4586" t="s">
        <v>1012</v>
      </c>
      <c r="AB5" s="4587"/>
      <c r="AC5" s="4587"/>
      <c r="AD5" s="4587"/>
      <c r="AE5" s="4587"/>
      <c r="AF5" s="4587"/>
      <c r="AG5" s="4587"/>
      <c r="AH5" s="4816"/>
      <c r="AI5" s="1009"/>
    </row>
    <row r="6" spans="1:35" ht="52.5" customHeight="1" thickTop="1" thickBot="1" x14ac:dyDescent="0.3">
      <c r="A6" s="4805"/>
      <c r="B6" s="4806"/>
      <c r="C6" s="1027" t="s">
        <v>867</v>
      </c>
      <c r="D6" s="1028"/>
      <c r="E6" s="959" t="s">
        <v>1070</v>
      </c>
      <c r="F6" s="959"/>
      <c r="G6" s="959" t="s">
        <v>1071</v>
      </c>
      <c r="H6" s="959"/>
      <c r="I6" s="959" t="s">
        <v>1072</v>
      </c>
      <c r="J6" s="1027" t="s">
        <v>289</v>
      </c>
      <c r="K6" s="1027" t="s">
        <v>867</v>
      </c>
      <c r="L6" s="1028"/>
      <c r="M6" s="959" t="s">
        <v>1070</v>
      </c>
      <c r="N6" s="959"/>
      <c r="O6" s="959" t="s">
        <v>1071</v>
      </c>
      <c r="P6" s="959"/>
      <c r="Q6" s="959" t="s">
        <v>1072</v>
      </c>
      <c r="R6" s="1027" t="s">
        <v>289</v>
      </c>
      <c r="S6" s="1027" t="s">
        <v>867</v>
      </c>
      <c r="T6" s="1028"/>
      <c r="U6" s="959" t="s">
        <v>1070</v>
      </c>
      <c r="V6" s="959"/>
      <c r="W6" s="959" t="s">
        <v>1071</v>
      </c>
      <c r="X6" s="959"/>
      <c r="Y6" s="959" t="s">
        <v>1072</v>
      </c>
      <c r="Z6" s="1027" t="s">
        <v>289</v>
      </c>
      <c r="AA6" s="1027" t="s">
        <v>867</v>
      </c>
      <c r="AB6" s="1028"/>
      <c r="AC6" s="959" t="s">
        <v>1070</v>
      </c>
      <c r="AD6" s="959"/>
      <c r="AE6" s="959" t="s">
        <v>1071</v>
      </c>
      <c r="AF6" s="959"/>
      <c r="AG6" s="959" t="s">
        <v>1072</v>
      </c>
      <c r="AH6" s="1027" t="s">
        <v>289</v>
      </c>
      <c r="AI6" s="952"/>
    </row>
    <row r="7" spans="1:35" s="951" customFormat="1" ht="20.25" customHeight="1" thickTop="1" x14ac:dyDescent="0.25">
      <c r="A7" s="4529" t="s">
        <v>837</v>
      </c>
      <c r="B7" s="4559"/>
      <c r="C7" s="1238"/>
      <c r="D7" s="1239"/>
      <c r="E7" s="1239"/>
      <c r="F7" s="1239"/>
      <c r="G7" s="1239"/>
      <c r="H7" s="1239"/>
      <c r="I7" s="1239"/>
      <c r="J7" s="1242"/>
      <c r="K7" s="1241"/>
      <c r="L7" s="2287"/>
      <c r="M7" s="2287"/>
      <c r="N7" s="2287"/>
      <c r="O7" s="2287"/>
      <c r="P7" s="2287"/>
      <c r="Q7" s="2287"/>
      <c r="R7" s="1240"/>
      <c r="S7" s="2289"/>
      <c r="T7" s="2287"/>
      <c r="U7" s="2287"/>
      <c r="V7" s="2287"/>
      <c r="W7" s="2287"/>
      <c r="X7" s="2287"/>
      <c r="Y7" s="2287"/>
      <c r="Z7" s="1242"/>
      <c r="AA7" s="1241"/>
      <c r="AB7" s="2287"/>
      <c r="AC7" s="2287"/>
      <c r="AD7" s="2287"/>
      <c r="AE7" s="2287"/>
      <c r="AF7" s="2287"/>
      <c r="AG7" s="2287"/>
      <c r="AH7" s="1243"/>
      <c r="AI7" s="952"/>
    </row>
    <row r="8" spans="1:35" s="951" customFormat="1" ht="20.25" customHeight="1" x14ac:dyDescent="0.25">
      <c r="A8" s="4529" t="s">
        <v>838</v>
      </c>
      <c r="B8" s="4559"/>
      <c r="C8" s="969">
        <f>C9+C10</f>
        <v>0</v>
      </c>
      <c r="D8" s="964"/>
      <c r="E8" s="964">
        <f>E9+E10</f>
        <v>0</v>
      </c>
      <c r="F8" s="964"/>
      <c r="G8" s="964">
        <f>G9+G10</f>
        <v>0</v>
      </c>
      <c r="H8" s="964"/>
      <c r="I8" s="964">
        <f>I9+I10</f>
        <v>0</v>
      </c>
      <c r="J8" s="968">
        <f>R8+Z8+AH8</f>
        <v>0</v>
      </c>
      <c r="K8" s="969">
        <f>SUM(K9:K10)</f>
        <v>0</v>
      </c>
      <c r="L8" s="964"/>
      <c r="M8" s="964">
        <f>SUM(M9:M10)</f>
        <v>0</v>
      </c>
      <c r="N8" s="964"/>
      <c r="O8" s="964">
        <f>SUM(O9:O10)</f>
        <v>0</v>
      </c>
      <c r="P8" s="964"/>
      <c r="Q8" s="964">
        <f>SUM(Q9:Q10)</f>
        <v>0</v>
      </c>
      <c r="R8" s="970">
        <f>SUM(R9:R10)</f>
        <v>0</v>
      </c>
      <c r="S8" s="963">
        <f>S9+S10</f>
        <v>0</v>
      </c>
      <c r="T8" s="964"/>
      <c r="U8" s="964">
        <f>U9+U10</f>
        <v>0</v>
      </c>
      <c r="V8" s="964"/>
      <c r="W8" s="964">
        <f>W9+W10</f>
        <v>0</v>
      </c>
      <c r="X8" s="964"/>
      <c r="Y8" s="964">
        <f>Y9+Y10</f>
        <v>0</v>
      </c>
      <c r="Z8" s="968">
        <f>Z9+Z10</f>
        <v>0</v>
      </c>
      <c r="AA8" s="969">
        <f>AA9+AA10</f>
        <v>0</v>
      </c>
      <c r="AB8" s="964"/>
      <c r="AC8" s="964">
        <f>AC9+AC10</f>
        <v>0</v>
      </c>
      <c r="AD8" s="964"/>
      <c r="AE8" s="964">
        <f>AE9+AE10</f>
        <v>0</v>
      </c>
      <c r="AF8" s="964"/>
      <c r="AG8" s="964">
        <f>AG9+AG10</f>
        <v>0</v>
      </c>
      <c r="AH8" s="974">
        <f>AH9+AH10</f>
        <v>0</v>
      </c>
      <c r="AI8" s="952"/>
    </row>
    <row r="9" spans="1:35" s="951" customFormat="1" ht="20.25" customHeight="1" x14ac:dyDescent="0.25">
      <c r="A9" s="4531" t="s">
        <v>839</v>
      </c>
      <c r="B9" s="4552"/>
      <c r="C9" s="976">
        <f>K9+S9+AA9</f>
        <v>0</v>
      </c>
      <c r="D9" s="964"/>
      <c r="E9" s="964">
        <f>M9+U9+AC9</f>
        <v>0</v>
      </c>
      <c r="F9" s="964"/>
      <c r="G9" s="964">
        <f>O9+W9+AE9</f>
        <v>0</v>
      </c>
      <c r="H9" s="964"/>
      <c r="I9" s="964">
        <f>Q9+Y9+AG9</f>
        <v>0</v>
      </c>
      <c r="J9" s="968">
        <f>R9+Z9+AH9</f>
        <v>0</v>
      </c>
      <c r="K9" s="969"/>
      <c r="L9" s="964"/>
      <c r="M9" s="964"/>
      <c r="N9" s="964"/>
      <c r="O9" s="964"/>
      <c r="P9" s="964"/>
      <c r="Q9" s="964"/>
      <c r="R9" s="970"/>
      <c r="S9" s="963"/>
      <c r="T9" s="964"/>
      <c r="U9" s="964"/>
      <c r="V9" s="964"/>
      <c r="W9" s="964"/>
      <c r="X9" s="964"/>
      <c r="Y9" s="964"/>
      <c r="Z9" s="968"/>
      <c r="AA9" s="969"/>
      <c r="AB9" s="964"/>
      <c r="AC9" s="964"/>
      <c r="AD9" s="964"/>
      <c r="AE9" s="964"/>
      <c r="AF9" s="964"/>
      <c r="AG9" s="964"/>
      <c r="AH9" s="974"/>
      <c r="AI9" s="952"/>
    </row>
    <row r="10" spans="1:35" s="951" customFormat="1" ht="20.25" customHeight="1" thickBot="1" x14ac:dyDescent="0.3">
      <c r="A10" s="4807" t="s">
        <v>840</v>
      </c>
      <c r="B10" s="4808"/>
      <c r="C10" s="1244">
        <f>K10+S10+AA10</f>
        <v>0</v>
      </c>
      <c r="D10" s="964"/>
      <c r="E10" s="964">
        <f>M10+U10+AC10</f>
        <v>0</v>
      </c>
      <c r="F10" s="964"/>
      <c r="G10" s="964">
        <f>O10+W10+AE10</f>
        <v>0</v>
      </c>
      <c r="H10" s="964"/>
      <c r="I10" s="964">
        <f>Q10+Y10+AG10</f>
        <v>0</v>
      </c>
      <c r="J10" s="968">
        <f>R10+Z10+AH10</f>
        <v>0</v>
      </c>
      <c r="K10" s="969"/>
      <c r="L10" s="964"/>
      <c r="M10" s="964"/>
      <c r="N10" s="964"/>
      <c r="O10" s="964"/>
      <c r="P10" s="964"/>
      <c r="Q10" s="964"/>
      <c r="R10" s="970"/>
      <c r="S10" s="963"/>
      <c r="T10" s="964"/>
      <c r="U10" s="964"/>
      <c r="V10" s="964"/>
      <c r="W10" s="964"/>
      <c r="X10" s="964"/>
      <c r="Y10" s="964"/>
      <c r="Z10" s="968"/>
      <c r="AA10" s="969"/>
      <c r="AB10" s="964"/>
      <c r="AC10" s="964"/>
      <c r="AD10" s="964"/>
      <c r="AE10" s="964"/>
      <c r="AF10" s="964"/>
      <c r="AG10" s="964"/>
      <c r="AH10" s="974"/>
      <c r="AI10" s="952"/>
    </row>
    <row r="11" spans="1:35" s="636" customFormat="1" ht="24.75" customHeight="1" thickBot="1" x14ac:dyDescent="0.3">
      <c r="A11" s="4788" t="s">
        <v>299</v>
      </c>
      <c r="B11" s="4789"/>
      <c r="C11" s="1245">
        <f>C7+C8</f>
        <v>0</v>
      </c>
      <c r="D11" s="982"/>
      <c r="E11" s="982">
        <f>E7+E8</f>
        <v>0</v>
      </c>
      <c r="F11" s="982"/>
      <c r="G11" s="982">
        <f>G7+G8</f>
        <v>0</v>
      </c>
      <c r="H11" s="982"/>
      <c r="I11" s="982">
        <f>I7+I8</f>
        <v>0</v>
      </c>
      <c r="J11" s="2263">
        <f>J7+J8</f>
        <v>0</v>
      </c>
      <c r="K11" s="2233">
        <f>K7+K8</f>
        <v>0</v>
      </c>
      <c r="L11" s="982"/>
      <c r="M11" s="982">
        <f>M7+M8</f>
        <v>0</v>
      </c>
      <c r="N11" s="982"/>
      <c r="O11" s="982">
        <f>O7+O8</f>
        <v>0</v>
      </c>
      <c r="P11" s="982"/>
      <c r="Q11" s="982">
        <f>Q7+Q8</f>
        <v>0</v>
      </c>
      <c r="R11" s="1102">
        <f>R7+R8</f>
        <v>0</v>
      </c>
      <c r="S11" s="2290">
        <f>S7+S8</f>
        <v>0</v>
      </c>
      <c r="T11" s="982"/>
      <c r="U11" s="982">
        <f>U7+U8</f>
        <v>0</v>
      </c>
      <c r="V11" s="982"/>
      <c r="W11" s="982">
        <f>W7+W8</f>
        <v>0</v>
      </c>
      <c r="X11" s="982"/>
      <c r="Y11" s="982">
        <f>Y7+Y8</f>
        <v>0</v>
      </c>
      <c r="Z11" s="2263">
        <f>Z7+Z8</f>
        <v>0</v>
      </c>
      <c r="AA11" s="2233">
        <f>AA7+AA8</f>
        <v>0</v>
      </c>
      <c r="AB11" s="982"/>
      <c r="AC11" s="982">
        <f>AC7+AC8</f>
        <v>0</v>
      </c>
      <c r="AD11" s="982"/>
      <c r="AE11" s="982">
        <f>AE7+AE8</f>
        <v>0</v>
      </c>
      <c r="AF11" s="982"/>
      <c r="AG11" s="982">
        <f>AG7+AG8</f>
        <v>0</v>
      </c>
      <c r="AH11" s="2235">
        <f>AH7+AH8</f>
        <v>0</v>
      </c>
      <c r="AI11" s="1009"/>
    </row>
    <row r="12" spans="1:35" ht="16.5" thickTop="1" thickBot="1" x14ac:dyDescent="0.3">
      <c r="A12" s="2140"/>
      <c r="B12" s="953"/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  <c r="AF12" s="953"/>
      <c r="AG12" s="953"/>
      <c r="AH12" s="2149"/>
      <c r="AI12" s="952"/>
    </row>
    <row r="13" spans="1:35" ht="33.75" customHeight="1" thickTop="1" thickBot="1" x14ac:dyDescent="0.3">
      <c r="A13" s="4533" t="s">
        <v>841</v>
      </c>
      <c r="B13" s="4534"/>
      <c r="C13" s="4534"/>
      <c r="D13" s="4534"/>
      <c r="E13" s="4534"/>
      <c r="F13" s="4534"/>
      <c r="G13" s="4534"/>
      <c r="H13" s="4534"/>
      <c r="I13" s="4534"/>
      <c r="J13" s="4534"/>
      <c r="K13" s="4534"/>
      <c r="L13" s="4534"/>
      <c r="M13" s="4534"/>
      <c r="N13" s="4534"/>
      <c r="O13" s="4534"/>
      <c r="P13" s="4534"/>
      <c r="Q13" s="4534"/>
      <c r="R13" s="4534"/>
      <c r="S13" s="4534"/>
      <c r="T13" s="4534"/>
      <c r="U13" s="4534"/>
      <c r="V13" s="4534"/>
      <c r="W13" s="4534"/>
      <c r="X13" s="4534"/>
      <c r="Y13" s="4534"/>
      <c r="Z13" s="4534"/>
      <c r="AA13" s="4534"/>
      <c r="AB13" s="4534"/>
      <c r="AC13" s="4790"/>
      <c r="AD13" s="4790"/>
      <c r="AE13" s="4790"/>
      <c r="AF13" s="4790"/>
      <c r="AG13" s="4790"/>
      <c r="AH13" s="4791"/>
      <c r="AI13" s="952"/>
    </row>
    <row r="14" spans="1:35" ht="57.75" customHeight="1" thickTop="1" thickBot="1" x14ac:dyDescent="0.3">
      <c r="A14" s="4620"/>
      <c r="B14" s="4792"/>
      <c r="C14" s="4793" t="s">
        <v>1014</v>
      </c>
      <c r="D14" s="4794"/>
      <c r="E14" s="4795"/>
      <c r="F14" s="4795"/>
      <c r="G14" s="4795"/>
      <c r="H14" s="4795"/>
      <c r="I14" s="4795"/>
      <c r="J14" s="4796"/>
      <c r="K14" s="4797" t="s">
        <v>1015</v>
      </c>
      <c r="L14" s="4798"/>
      <c r="M14" s="4799"/>
      <c r="N14" s="4799"/>
      <c r="O14" s="4799"/>
      <c r="P14" s="4799"/>
      <c r="Q14" s="4799"/>
      <c r="R14" s="4800"/>
      <c r="S14" s="4801" t="s">
        <v>1016</v>
      </c>
      <c r="T14" s="4798"/>
      <c r="U14" s="4798"/>
      <c r="V14" s="4798"/>
      <c r="W14" s="4798"/>
      <c r="X14" s="4798"/>
      <c r="Y14" s="4798"/>
      <c r="Z14" s="4802"/>
      <c r="AA14" s="4797" t="s">
        <v>1017</v>
      </c>
      <c r="AB14" s="4798"/>
      <c r="AC14" s="4798"/>
      <c r="AD14" s="4798"/>
      <c r="AE14" s="4798"/>
      <c r="AF14" s="4798"/>
      <c r="AG14" s="4798"/>
      <c r="AH14" s="4803"/>
      <c r="AI14" s="952"/>
    </row>
    <row r="15" spans="1:35" ht="40.5" customHeight="1" thickTop="1" thickBot="1" x14ac:dyDescent="0.3">
      <c r="A15" s="4804"/>
      <c r="B15" s="4468"/>
      <c r="C15" s="1235" t="s">
        <v>1013</v>
      </c>
      <c r="D15" s="1237"/>
      <c r="E15" s="2285" t="s">
        <v>1073</v>
      </c>
      <c r="F15" s="2286"/>
      <c r="G15" s="2285" t="s">
        <v>1074</v>
      </c>
      <c r="H15" s="2286"/>
      <c r="I15" s="2285" t="s">
        <v>1075</v>
      </c>
      <c r="J15" s="1236" t="s">
        <v>1018</v>
      </c>
      <c r="K15" s="1235" t="s">
        <v>1013</v>
      </c>
      <c r="L15" s="1237"/>
      <c r="M15" s="2285" t="s">
        <v>1073</v>
      </c>
      <c r="N15" s="2286"/>
      <c r="O15" s="2285" t="s">
        <v>1074</v>
      </c>
      <c r="P15" s="2286"/>
      <c r="Q15" s="2285" t="s">
        <v>1075</v>
      </c>
      <c r="R15" s="1236" t="s">
        <v>1018</v>
      </c>
      <c r="S15" s="1235" t="s">
        <v>1013</v>
      </c>
      <c r="T15" s="1237"/>
      <c r="U15" s="2285" t="s">
        <v>1073</v>
      </c>
      <c r="V15" s="2286"/>
      <c r="W15" s="2285" t="s">
        <v>1074</v>
      </c>
      <c r="X15" s="2286"/>
      <c r="Y15" s="2285" t="s">
        <v>1075</v>
      </c>
      <c r="Z15" s="1236" t="s">
        <v>1018</v>
      </c>
      <c r="AA15" s="1235" t="s">
        <v>1013</v>
      </c>
      <c r="AB15" s="1237"/>
      <c r="AC15" s="2285" t="s">
        <v>1073</v>
      </c>
      <c r="AD15" s="2286"/>
      <c r="AE15" s="2285" t="s">
        <v>1074</v>
      </c>
      <c r="AF15" s="2286"/>
      <c r="AG15" s="2285" t="s">
        <v>1075</v>
      </c>
      <c r="AH15" s="1246" t="s">
        <v>1018</v>
      </c>
      <c r="AI15" s="952"/>
    </row>
    <row r="16" spans="1:35" s="951" customFormat="1" ht="20.25" customHeight="1" thickTop="1" x14ac:dyDescent="0.25">
      <c r="A16" s="4527" t="s">
        <v>842</v>
      </c>
      <c r="B16" s="4555"/>
      <c r="C16" s="1247">
        <f>K16+S16+AA16</f>
        <v>0</v>
      </c>
      <c r="D16" s="1250"/>
      <c r="E16" s="1248"/>
      <c r="F16" s="2272"/>
      <c r="G16" s="1248"/>
      <c r="H16" s="2272"/>
      <c r="I16" s="1248"/>
      <c r="J16" s="1249"/>
      <c r="K16" s="1247"/>
      <c r="L16" s="1250"/>
      <c r="M16" s="1248"/>
      <c r="N16" s="2272"/>
      <c r="O16" s="1248"/>
      <c r="P16" s="2272"/>
      <c r="Q16" s="1248"/>
      <c r="R16" s="1249"/>
      <c r="S16" s="1247"/>
      <c r="T16" s="1250"/>
      <c r="U16" s="1248"/>
      <c r="V16" s="2272"/>
      <c r="W16" s="1248"/>
      <c r="X16" s="2272"/>
      <c r="Y16" s="1248"/>
      <c r="Z16" s="1249"/>
      <c r="AA16" s="1247"/>
      <c r="AB16" s="1250"/>
      <c r="AC16" s="1250"/>
      <c r="AD16" s="2282"/>
      <c r="AE16" s="1248"/>
      <c r="AF16" s="2282"/>
      <c r="AG16" s="1248"/>
      <c r="AH16" s="1251"/>
      <c r="AI16" s="952"/>
    </row>
    <row r="17" spans="1:36" s="951" customFormat="1" ht="20.25" customHeight="1" x14ac:dyDescent="0.25">
      <c r="A17" s="4531" t="s">
        <v>843</v>
      </c>
      <c r="B17" s="4552"/>
      <c r="C17" s="1252">
        <f>K17+S17+AA17</f>
        <v>0</v>
      </c>
      <c r="D17" s="2271"/>
      <c r="E17" s="1253"/>
      <c r="F17" s="2273"/>
      <c r="G17" s="1253"/>
      <c r="H17" s="2273"/>
      <c r="I17" s="1253"/>
      <c r="J17" s="1254"/>
      <c r="K17" s="1252"/>
      <c r="L17" s="1232"/>
      <c r="M17" s="1255"/>
      <c r="N17" s="2278"/>
      <c r="O17" s="1253"/>
      <c r="P17" s="2278"/>
      <c r="Q17" s="1253"/>
      <c r="R17" s="1254"/>
      <c r="S17" s="1252"/>
      <c r="T17" s="1232"/>
      <c r="U17" s="1255"/>
      <c r="V17" s="2278"/>
      <c r="W17" s="1253"/>
      <c r="X17" s="2278"/>
      <c r="Y17" s="1253"/>
      <c r="Z17" s="1254"/>
      <c r="AA17" s="1252"/>
      <c r="AB17" s="1232"/>
      <c r="AC17" s="1232"/>
      <c r="AD17" s="2283"/>
      <c r="AE17" s="1253"/>
      <c r="AF17" s="2283"/>
      <c r="AG17" s="1253"/>
      <c r="AH17" s="974"/>
      <c r="AI17" s="952"/>
    </row>
    <row r="18" spans="1:36" s="951" customFormat="1" ht="20.25" customHeight="1" x14ac:dyDescent="0.25">
      <c r="A18" s="4546" t="s">
        <v>844</v>
      </c>
      <c r="B18" s="4547"/>
      <c r="C18" s="1252"/>
      <c r="D18" s="1232"/>
      <c r="E18" s="1256"/>
      <c r="F18" s="2274"/>
      <c r="G18" s="1256"/>
      <c r="H18" s="2274"/>
      <c r="I18" s="1256"/>
      <c r="J18" s="1254"/>
      <c r="K18" s="1252"/>
      <c r="L18" s="1232"/>
      <c r="M18" s="1255"/>
      <c r="N18" s="2278"/>
      <c r="O18" s="1256"/>
      <c r="P18" s="2278"/>
      <c r="Q18" s="1256"/>
      <c r="R18" s="1254"/>
      <c r="S18" s="1252"/>
      <c r="T18" s="1232"/>
      <c r="U18" s="1255"/>
      <c r="V18" s="2278"/>
      <c r="W18" s="1256"/>
      <c r="X18" s="2278"/>
      <c r="Y18" s="1256"/>
      <c r="Z18" s="1254"/>
      <c r="AA18" s="1252"/>
      <c r="AB18" s="1232"/>
      <c r="AC18" s="1232"/>
      <c r="AD18" s="2283"/>
      <c r="AE18" s="1256"/>
      <c r="AF18" s="2283"/>
      <c r="AG18" s="1256"/>
      <c r="AH18" s="974"/>
      <c r="AI18" s="952"/>
    </row>
    <row r="19" spans="1:36" s="951" customFormat="1" ht="20.25" customHeight="1" x14ac:dyDescent="0.25">
      <c r="A19" s="4546" t="s">
        <v>845</v>
      </c>
      <c r="B19" s="4547"/>
      <c r="C19" s="1252"/>
      <c r="D19" s="1232"/>
      <c r="E19" s="1257"/>
      <c r="F19" s="2275"/>
      <c r="G19" s="1257"/>
      <c r="H19" s="2275"/>
      <c r="I19" s="1257"/>
      <c r="J19" s="1254"/>
      <c r="K19" s="1258"/>
      <c r="L19" s="2277"/>
      <c r="M19" s="1259"/>
      <c r="N19" s="2279"/>
      <c r="O19" s="1257"/>
      <c r="P19" s="2279"/>
      <c r="Q19" s="1257"/>
      <c r="R19" s="1260"/>
      <c r="S19" s="1252"/>
      <c r="T19" s="1232"/>
      <c r="U19" s="1255"/>
      <c r="V19" s="2278"/>
      <c r="W19" s="1257"/>
      <c r="X19" s="2278"/>
      <c r="Y19" s="1257"/>
      <c r="Z19" s="1254"/>
      <c r="AA19" s="1252"/>
      <c r="AB19" s="1232"/>
      <c r="AC19" s="1232"/>
      <c r="AD19" s="2283"/>
      <c r="AE19" s="1257"/>
      <c r="AF19" s="2283"/>
      <c r="AG19" s="1257"/>
      <c r="AH19" s="974"/>
      <c r="AI19" s="952"/>
    </row>
    <row r="20" spans="1:36" s="636" customFormat="1" ht="24.75" customHeight="1" thickBot="1" x14ac:dyDescent="0.3">
      <c r="A20" s="4550" t="s">
        <v>517</v>
      </c>
      <c r="B20" s="4551"/>
      <c r="C20" s="1261">
        <f>SUM(C16:C19)</f>
        <v>0</v>
      </c>
      <c r="D20" s="1264"/>
      <c r="E20" s="1262">
        <f>SUM(E16:E19)</f>
        <v>0</v>
      </c>
      <c r="F20" s="2276"/>
      <c r="G20" s="1262">
        <f>SUM(G16:G19)</f>
        <v>0</v>
      </c>
      <c r="H20" s="2276"/>
      <c r="I20" s="1262">
        <f>SUM(I16:I19)</f>
        <v>0</v>
      </c>
      <c r="J20" s="1263">
        <f>SUM(J16:J19)</f>
        <v>0</v>
      </c>
      <c r="K20" s="1261">
        <f>SUM(K16:K19)</f>
        <v>0</v>
      </c>
      <c r="L20" s="1264"/>
      <c r="M20" s="1262">
        <f>SUM(M16:M19)</f>
        <v>0</v>
      </c>
      <c r="N20" s="2276"/>
      <c r="O20" s="1262">
        <f>SUM(O16:O19)</f>
        <v>0</v>
      </c>
      <c r="P20" s="2276"/>
      <c r="Q20" s="1262">
        <f>SUM(Q16:Q19)</f>
        <v>0</v>
      </c>
      <c r="R20" s="1263">
        <f>SUM(R16:R19)</f>
        <v>0</v>
      </c>
      <c r="S20" s="1261">
        <f>SUM(S16:S19)</f>
        <v>0</v>
      </c>
      <c r="T20" s="1264"/>
      <c r="U20" s="1262">
        <f>SUM(U16:U19)</f>
        <v>0</v>
      </c>
      <c r="V20" s="2276"/>
      <c r="W20" s="1262">
        <f>SUM(W16:W19)</f>
        <v>0</v>
      </c>
      <c r="X20" s="2276"/>
      <c r="Y20" s="1262">
        <f>SUM(Y16:Y19)</f>
        <v>0</v>
      </c>
      <c r="Z20" s="1263">
        <f>SUM(Z16:Z19)</f>
        <v>0</v>
      </c>
      <c r="AA20" s="1261">
        <f>SUM(AA16:AA19)</f>
        <v>0</v>
      </c>
      <c r="AB20" s="1264"/>
      <c r="AC20" s="1264">
        <f>SUM(AC16:AC19)</f>
        <v>0</v>
      </c>
      <c r="AD20" s="2284"/>
      <c r="AE20" s="1262">
        <f>SUM(AE16:AE19)</f>
        <v>0</v>
      </c>
      <c r="AF20" s="2284"/>
      <c r="AG20" s="1262">
        <f>SUM(AG16:AG19)</f>
        <v>0</v>
      </c>
      <c r="AH20" s="1265">
        <f>SUM(AH16:AH19)</f>
        <v>0</v>
      </c>
      <c r="AI20" s="1009"/>
      <c r="AJ20" s="1116">
        <f>SUM(K20:AA20)</f>
        <v>0</v>
      </c>
    </row>
    <row r="21" spans="1:36" ht="15.75" thickTop="1" x14ac:dyDescent="0.25">
      <c r="A21" s="992"/>
      <c r="B21" s="992"/>
      <c r="C21" s="992"/>
      <c r="D21" s="992"/>
      <c r="E21" s="992"/>
      <c r="F21" s="992"/>
      <c r="G21" s="992"/>
      <c r="H21" s="992"/>
      <c r="I21" s="992"/>
      <c r="J21" s="992"/>
      <c r="K21" s="992"/>
      <c r="L21" s="992"/>
      <c r="M21" s="992"/>
      <c r="N21" s="992"/>
      <c r="O21" s="992"/>
      <c r="P21" s="992"/>
      <c r="Q21" s="992"/>
      <c r="R21" s="992"/>
      <c r="S21" s="992"/>
      <c r="T21" s="992"/>
      <c r="U21" s="992"/>
      <c r="V21" s="992"/>
      <c r="W21" s="992"/>
      <c r="X21" s="992"/>
      <c r="Y21" s="992"/>
      <c r="Z21" s="992"/>
      <c r="AA21" s="992"/>
      <c r="AB21" s="992"/>
      <c r="AC21" s="992"/>
      <c r="AD21" s="992"/>
      <c r="AE21" s="992"/>
      <c r="AF21" s="992"/>
      <c r="AG21" s="992"/>
      <c r="AH21" s="992"/>
      <c r="AI21" s="952"/>
    </row>
    <row r="22" spans="1:36" ht="15.75" x14ac:dyDescent="0.25">
      <c r="A22" s="1006" t="s">
        <v>893</v>
      </c>
      <c r="B22" s="992"/>
      <c r="C22" s="1007">
        <f>SUM(C20-C11)</f>
        <v>0</v>
      </c>
      <c r="D22" s="1007"/>
      <c r="E22" s="1266">
        <f t="shared" ref="E22:K22" si="0">SUM(E20-E11)</f>
        <v>0</v>
      </c>
      <c r="F22" s="1266">
        <f t="shared" si="0"/>
        <v>0</v>
      </c>
      <c r="G22" s="1266">
        <f t="shared" si="0"/>
        <v>0</v>
      </c>
      <c r="H22" s="1266">
        <f t="shared" si="0"/>
        <v>0</v>
      </c>
      <c r="I22" s="1266">
        <f t="shared" si="0"/>
        <v>0</v>
      </c>
      <c r="J22" s="1266">
        <f t="shared" si="0"/>
        <v>0</v>
      </c>
      <c r="K22" s="1266">
        <f t="shared" si="0"/>
        <v>0</v>
      </c>
      <c r="L22" s="1266"/>
      <c r="M22" s="1266">
        <f t="shared" ref="M22:S22" si="1">SUM(M20-M11)</f>
        <v>0</v>
      </c>
      <c r="N22" s="1266">
        <f t="shared" si="1"/>
        <v>0</v>
      </c>
      <c r="O22" s="1266">
        <f t="shared" si="1"/>
        <v>0</v>
      </c>
      <c r="P22" s="1266">
        <f t="shared" si="1"/>
        <v>0</v>
      </c>
      <c r="Q22" s="1266">
        <f t="shared" si="1"/>
        <v>0</v>
      </c>
      <c r="R22" s="1266">
        <f t="shared" si="1"/>
        <v>0</v>
      </c>
      <c r="S22" s="1266">
        <f t="shared" si="1"/>
        <v>0</v>
      </c>
      <c r="T22" s="1266"/>
      <c r="U22" s="1266">
        <f t="shared" ref="U22:AA22" si="2">SUM(U20-U11)</f>
        <v>0</v>
      </c>
      <c r="V22" s="1266">
        <f t="shared" si="2"/>
        <v>0</v>
      </c>
      <c r="W22" s="1266">
        <f t="shared" si="2"/>
        <v>0</v>
      </c>
      <c r="X22" s="1266">
        <f t="shared" si="2"/>
        <v>0</v>
      </c>
      <c r="Y22" s="1266">
        <f t="shared" si="2"/>
        <v>0</v>
      </c>
      <c r="Z22" s="1266">
        <f t="shared" si="2"/>
        <v>0</v>
      </c>
      <c r="AA22" s="1007">
        <f t="shared" si="2"/>
        <v>0</v>
      </c>
      <c r="AB22" s="1007"/>
      <c r="AC22" s="1007">
        <f t="shared" ref="AC22:AH22" si="3">SUM(AC20-AC11)</f>
        <v>0</v>
      </c>
      <c r="AD22" s="1007">
        <f t="shared" si="3"/>
        <v>0</v>
      </c>
      <c r="AE22" s="1007">
        <f t="shared" si="3"/>
        <v>0</v>
      </c>
      <c r="AF22" s="1007">
        <f t="shared" si="3"/>
        <v>0</v>
      </c>
      <c r="AG22" s="1007">
        <f t="shared" si="3"/>
        <v>0</v>
      </c>
      <c r="AH22" s="1007">
        <f t="shared" si="3"/>
        <v>0</v>
      </c>
      <c r="AI22" s="952"/>
    </row>
    <row r="23" spans="1:36" x14ac:dyDescent="0.25">
      <c r="A23" s="992"/>
      <c r="B23" s="992"/>
      <c r="C23" s="992"/>
      <c r="D23" s="992"/>
      <c r="E23" s="992"/>
      <c r="F23" s="992"/>
      <c r="G23" s="992"/>
      <c r="H23" s="992"/>
      <c r="I23" s="992"/>
      <c r="J23" s="992"/>
      <c r="K23" s="992"/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2"/>
      <c r="Y23" s="992"/>
      <c r="Z23" s="992"/>
      <c r="AA23" s="992"/>
      <c r="AB23" s="992"/>
      <c r="AC23" s="992"/>
      <c r="AD23" s="992"/>
      <c r="AE23" s="992"/>
      <c r="AF23" s="992"/>
      <c r="AG23" s="992"/>
      <c r="AH23" s="992"/>
      <c r="AI23" s="952"/>
    </row>
    <row r="24" spans="1:36" x14ac:dyDescent="0.25">
      <c r="A24" s="992"/>
      <c r="B24" s="992"/>
      <c r="C24" s="992"/>
      <c r="D24" s="992"/>
      <c r="E24" s="992"/>
      <c r="F24" s="992"/>
      <c r="G24" s="992"/>
      <c r="H24" s="992"/>
      <c r="I24" s="992"/>
      <c r="J24" s="992"/>
      <c r="K24" s="992"/>
      <c r="L24" s="992"/>
      <c r="M24" s="992"/>
      <c r="N24" s="992"/>
      <c r="O24" s="992"/>
      <c r="P24" s="992"/>
      <c r="Q24" s="992"/>
      <c r="R24" s="992"/>
      <c r="S24" s="992"/>
      <c r="T24" s="992"/>
      <c r="U24" s="992"/>
      <c r="V24" s="992"/>
      <c r="W24" s="992"/>
      <c r="X24" s="992"/>
      <c r="Y24" s="992"/>
      <c r="Z24" s="992"/>
      <c r="AA24" s="992"/>
      <c r="AB24" s="992"/>
      <c r="AC24" s="992"/>
      <c r="AD24" s="992"/>
      <c r="AE24" s="992"/>
      <c r="AF24" s="992"/>
      <c r="AG24" s="992"/>
      <c r="AH24" s="992"/>
      <c r="AI24" s="952"/>
    </row>
    <row r="25" spans="1:36" ht="15.75" x14ac:dyDescent="0.25">
      <c r="A25" s="4558" t="s">
        <v>1019</v>
      </c>
      <c r="B25" s="4558"/>
      <c r="C25" s="1008"/>
      <c r="D25" s="1008"/>
      <c r="E25" s="1008"/>
      <c r="F25" s="1008"/>
      <c r="G25" s="1008"/>
      <c r="H25" s="1008"/>
      <c r="I25" s="1008"/>
      <c r="J25" s="1008"/>
      <c r="K25" s="992"/>
      <c r="L25" s="992"/>
      <c r="M25" s="992"/>
      <c r="N25" s="992"/>
      <c r="O25" s="992"/>
      <c r="P25" s="992"/>
      <c r="Q25" s="992"/>
      <c r="R25" s="992"/>
      <c r="S25" s="992"/>
      <c r="T25" s="992"/>
      <c r="U25" s="992"/>
      <c r="V25" s="992"/>
      <c r="W25" s="992"/>
      <c r="X25" s="992"/>
      <c r="Y25" s="992"/>
      <c r="Z25" s="992"/>
      <c r="AA25" s="992"/>
      <c r="AB25" s="992"/>
      <c r="AC25" s="992"/>
      <c r="AD25" s="992"/>
      <c r="AE25" s="992"/>
      <c r="AF25" s="992"/>
      <c r="AG25" s="992"/>
      <c r="AH25" s="992"/>
      <c r="AI25" s="952"/>
    </row>
    <row r="26" spans="1:36" x14ac:dyDescent="0.25">
      <c r="A26" s="992"/>
      <c r="B26" s="992"/>
      <c r="C26" s="992"/>
      <c r="D26" s="992"/>
      <c r="E26" s="992"/>
      <c r="F26" s="992"/>
      <c r="G26" s="992"/>
      <c r="H26" s="992"/>
      <c r="I26" s="992"/>
      <c r="J26" s="992"/>
      <c r="K26" s="992"/>
      <c r="L26" s="992"/>
      <c r="M26" s="992"/>
      <c r="N26" s="992"/>
      <c r="O26" s="992"/>
      <c r="P26" s="992"/>
      <c r="Q26" s="992"/>
      <c r="R26" s="992"/>
      <c r="S26" s="992"/>
      <c r="T26" s="992"/>
      <c r="U26" s="992"/>
      <c r="V26" s="992"/>
      <c r="W26" s="992"/>
      <c r="X26" s="992"/>
      <c r="Y26" s="992"/>
      <c r="Z26" s="992"/>
      <c r="AA26" s="992"/>
      <c r="AB26" s="992"/>
      <c r="AC26" s="992"/>
      <c r="AD26" s="992"/>
      <c r="AE26" s="992"/>
      <c r="AF26" s="992"/>
      <c r="AG26" s="992"/>
      <c r="AH26" s="992"/>
      <c r="AI26" s="952"/>
    </row>
    <row r="27" spans="1:36" ht="15.75" x14ac:dyDescent="0.25">
      <c r="A27" s="4548" t="s">
        <v>786</v>
      </c>
      <c r="B27" s="4548"/>
      <c r="C27" s="1007">
        <f>SUM('.......'!F8)</f>
        <v>0</v>
      </c>
      <c r="D27" s="1007"/>
      <c r="E27" s="1007">
        <f>SUM('.......'!H8)</f>
        <v>0</v>
      </c>
      <c r="F27" s="1007"/>
      <c r="G27" s="1007">
        <f>SUM('.......'!J8)</f>
        <v>0</v>
      </c>
      <c r="H27" s="1007">
        <f>SUM('.......'!K8)</f>
        <v>0</v>
      </c>
      <c r="I27" s="1007">
        <f>SUM('.......'!L8)</f>
        <v>0</v>
      </c>
      <c r="J27" s="1007">
        <f>SUM('.......'!M8)</f>
        <v>0</v>
      </c>
      <c r="K27" s="992"/>
      <c r="L27" s="992"/>
      <c r="M27" s="4632" t="s">
        <v>236</v>
      </c>
      <c r="N27" s="4632"/>
      <c r="O27" s="4632"/>
      <c r="P27" s="4632"/>
      <c r="Q27" s="4632"/>
      <c r="R27" s="4632"/>
      <c r="S27" s="1007">
        <f>SUM('.......'!F47)</f>
        <v>0</v>
      </c>
      <c r="T27" s="1007"/>
      <c r="U27" s="1007">
        <f>SUM('.......'!J47)</f>
        <v>0</v>
      </c>
      <c r="V27" s="1007"/>
      <c r="W27" s="1007">
        <f>SUM('.......'!L47)</f>
        <v>0</v>
      </c>
      <c r="X27" s="1007"/>
      <c r="Y27" s="1007">
        <f>SUM('.......'!N47)</f>
        <v>0</v>
      </c>
      <c r="Z27" s="1007">
        <f>SUM('.......'!M47)</f>
        <v>0</v>
      </c>
      <c r="AA27" s="992"/>
      <c r="AB27" s="992"/>
      <c r="AC27" s="992"/>
      <c r="AD27" s="992"/>
      <c r="AE27" s="992"/>
      <c r="AF27" s="992"/>
      <c r="AG27" s="992"/>
      <c r="AH27" s="992"/>
      <c r="AI27" s="952"/>
    </row>
    <row r="28" spans="1:36" ht="15.75" x14ac:dyDescent="0.25">
      <c r="A28" s="1006" t="s">
        <v>893</v>
      </c>
      <c r="B28" s="1006"/>
      <c r="C28" s="1011">
        <f>SUM(C27-C7)</f>
        <v>0</v>
      </c>
      <c r="D28" s="1011"/>
      <c r="E28" s="1011">
        <f>SUM(E27-E7)</f>
        <v>0</v>
      </c>
      <c r="F28" s="1011"/>
      <c r="G28" s="1011">
        <f>SUM(G27-G7)</f>
        <v>0</v>
      </c>
      <c r="H28" s="1011">
        <f>SUM(H27-H7)</f>
        <v>0</v>
      </c>
      <c r="I28" s="1011">
        <f>SUM(I27-I7)</f>
        <v>0</v>
      </c>
      <c r="J28" s="1011">
        <f>SUM(J27-J7)</f>
        <v>0</v>
      </c>
      <c r="K28" s="992"/>
      <c r="L28" s="992"/>
      <c r="M28" s="1097" t="s">
        <v>893</v>
      </c>
      <c r="N28" s="1097"/>
      <c r="O28" s="1097"/>
      <c r="P28" s="1097"/>
      <c r="Q28" s="1097"/>
      <c r="R28" s="992"/>
      <c r="S28" s="1011">
        <f>SUM(S27-C16)</f>
        <v>0</v>
      </c>
      <c r="T28" s="1011"/>
      <c r="U28" s="1011">
        <f>SUM(U27-E16)</f>
        <v>0</v>
      </c>
      <c r="V28" s="1011"/>
      <c r="W28" s="1011">
        <f>SUM(W27-G16)</f>
        <v>0</v>
      </c>
      <c r="X28" s="1011"/>
      <c r="Y28" s="1011">
        <f>SUM(Y27-I16)</f>
        <v>0</v>
      </c>
      <c r="Z28" s="1011">
        <f>SUM(Z27-J16)</f>
        <v>0</v>
      </c>
      <c r="AA28" s="992"/>
      <c r="AB28" s="992"/>
      <c r="AC28" s="992"/>
      <c r="AD28" s="992"/>
      <c r="AE28" s="992"/>
      <c r="AF28" s="992"/>
      <c r="AG28" s="992"/>
      <c r="AH28" s="992"/>
      <c r="AI28" s="952"/>
    </row>
    <row r="29" spans="1:36" ht="15.75" x14ac:dyDescent="0.25">
      <c r="A29" s="1008"/>
      <c r="B29" s="1008"/>
      <c r="C29" s="992"/>
      <c r="D29" s="992"/>
      <c r="E29" s="992"/>
      <c r="F29" s="992"/>
      <c r="G29" s="992"/>
      <c r="H29" s="992"/>
      <c r="I29" s="992"/>
      <c r="J29" s="992"/>
      <c r="K29" s="992"/>
      <c r="L29" s="992"/>
      <c r="M29" s="992"/>
      <c r="N29" s="992"/>
      <c r="O29" s="992"/>
      <c r="P29" s="992"/>
      <c r="Q29" s="992"/>
      <c r="R29" s="992"/>
      <c r="S29" s="992"/>
      <c r="T29" s="992"/>
      <c r="U29" s="992"/>
      <c r="V29" s="992"/>
      <c r="W29" s="992"/>
      <c r="X29" s="992"/>
      <c r="Y29" s="992"/>
      <c r="Z29" s="992"/>
      <c r="AA29" s="992"/>
      <c r="AB29" s="992"/>
      <c r="AC29" s="992"/>
      <c r="AD29" s="992"/>
      <c r="AE29" s="992"/>
      <c r="AF29" s="992"/>
      <c r="AG29" s="992"/>
      <c r="AH29" s="992"/>
      <c r="AI29" s="952"/>
    </row>
    <row r="30" spans="1:36" ht="15.75" x14ac:dyDescent="0.25">
      <c r="A30" s="4548" t="s">
        <v>892</v>
      </c>
      <c r="B30" s="4548"/>
      <c r="C30" s="1007">
        <f>SUM('.......'!F39)</f>
        <v>0</v>
      </c>
      <c r="D30" s="1007"/>
      <c r="E30" s="1007">
        <f>SUM('.......'!J36)</f>
        <v>0</v>
      </c>
      <c r="F30" s="1007"/>
      <c r="G30" s="1007">
        <f>SUM('.......'!L36)</f>
        <v>0</v>
      </c>
      <c r="H30" s="1007">
        <f>SUM('.......'!M36)</f>
        <v>0</v>
      </c>
      <c r="I30" s="1007">
        <f>SUM('.......'!N36)</f>
        <v>0</v>
      </c>
      <c r="J30" s="1007">
        <f>SUM('.......'!M36)</f>
        <v>0</v>
      </c>
      <c r="K30" s="992"/>
      <c r="L30" s="992"/>
      <c r="M30" s="4632" t="s">
        <v>895</v>
      </c>
      <c r="N30" s="4632"/>
      <c r="O30" s="4632"/>
      <c r="P30" s="4632"/>
      <c r="Q30" s="4632"/>
      <c r="R30" s="4632"/>
      <c r="S30" s="1007">
        <f>SUM('.......'!F48)</f>
        <v>0</v>
      </c>
      <c r="T30" s="1007"/>
      <c r="U30" s="1007">
        <f>SUM('.......'!J48)</f>
        <v>0</v>
      </c>
      <c r="V30" s="1007"/>
      <c r="W30" s="1007">
        <f>SUM('.......'!L48)</f>
        <v>0</v>
      </c>
      <c r="X30" s="1007"/>
      <c r="Y30" s="1007">
        <f>SUM('.......'!N48)</f>
        <v>0</v>
      </c>
      <c r="Z30" s="1007">
        <f>SUM('.......'!M48)</f>
        <v>0</v>
      </c>
      <c r="AA30" s="992"/>
      <c r="AB30" s="992"/>
      <c r="AC30" s="992"/>
      <c r="AD30" s="992"/>
      <c r="AE30" s="992"/>
      <c r="AF30" s="992"/>
      <c r="AG30" s="992"/>
      <c r="AH30" s="992"/>
      <c r="AI30" s="952"/>
    </row>
    <row r="31" spans="1:36" ht="15.75" x14ac:dyDescent="0.25">
      <c r="A31" s="1006" t="s">
        <v>893</v>
      </c>
      <c r="B31" s="1008"/>
      <c r="C31" s="1011">
        <f>SUM(C30-C8)</f>
        <v>0</v>
      </c>
      <c r="D31" s="1011"/>
      <c r="E31" s="1011">
        <f>SUM(E30-E8)</f>
        <v>0</v>
      </c>
      <c r="F31" s="1011"/>
      <c r="G31" s="1011">
        <f>SUM(G30-G8)</f>
        <v>0</v>
      </c>
      <c r="H31" s="1011">
        <f>SUM(H30-H8)</f>
        <v>0</v>
      </c>
      <c r="I31" s="1011">
        <f>SUM(I30-I8)</f>
        <v>0</v>
      </c>
      <c r="J31" s="1011">
        <f>SUM(J30-J8)</f>
        <v>0</v>
      </c>
      <c r="K31" s="992"/>
      <c r="L31" s="992"/>
      <c r="M31" s="1097" t="s">
        <v>893</v>
      </c>
      <c r="N31" s="1097"/>
      <c r="O31" s="1097"/>
      <c r="P31" s="1097"/>
      <c r="Q31" s="1097"/>
      <c r="R31" s="992"/>
      <c r="S31" s="1011">
        <f>SUM(S30-C17)</f>
        <v>0</v>
      </c>
      <c r="T31" s="1011"/>
      <c r="U31" s="1011">
        <f>SUM(U30-E17)</f>
        <v>0</v>
      </c>
      <c r="V31" s="1011"/>
      <c r="W31" s="1011">
        <f>SUM(W30-G17)</f>
        <v>0</v>
      </c>
      <c r="X31" s="1011"/>
      <c r="Y31" s="1011">
        <f>SUM(Y30-I17)</f>
        <v>0</v>
      </c>
      <c r="Z31" s="1011">
        <f>SUM(Z30-J17)</f>
        <v>0</v>
      </c>
      <c r="AA31" s="992"/>
      <c r="AB31" s="992"/>
      <c r="AC31" s="992"/>
      <c r="AD31" s="992"/>
      <c r="AE31" s="992"/>
      <c r="AF31" s="992"/>
      <c r="AG31" s="992"/>
      <c r="AH31" s="992"/>
      <c r="AI31" s="952"/>
    </row>
    <row r="32" spans="1:36" ht="15.75" x14ac:dyDescent="0.25">
      <c r="A32" s="1008"/>
      <c r="B32" s="1008"/>
      <c r="C32" s="992"/>
      <c r="D32" s="992"/>
      <c r="E32" s="992"/>
      <c r="F32" s="992"/>
      <c r="G32" s="992"/>
      <c r="H32" s="992"/>
      <c r="I32" s="992"/>
      <c r="J32" s="992"/>
      <c r="K32" s="992"/>
      <c r="L32" s="992"/>
      <c r="M32" s="992"/>
      <c r="N32" s="992"/>
      <c r="O32" s="992"/>
      <c r="P32" s="992"/>
      <c r="Q32" s="992"/>
      <c r="R32" s="992"/>
      <c r="S32" s="992"/>
      <c r="T32" s="992"/>
      <c r="U32" s="992"/>
      <c r="V32" s="992"/>
      <c r="W32" s="992"/>
      <c r="X32" s="992"/>
      <c r="Y32" s="992"/>
      <c r="Z32" s="992"/>
      <c r="AA32" s="992"/>
      <c r="AB32" s="992"/>
      <c r="AC32" s="992"/>
      <c r="AD32" s="992"/>
      <c r="AE32" s="992"/>
      <c r="AF32" s="992"/>
      <c r="AG32" s="992"/>
      <c r="AH32" s="992"/>
      <c r="AI32" s="952"/>
    </row>
    <row r="33" spans="1:35" ht="15.75" x14ac:dyDescent="0.25">
      <c r="A33" s="4548" t="s">
        <v>891</v>
      </c>
      <c r="B33" s="4548"/>
      <c r="C33" s="1007">
        <f>SUM('.......'!F40)</f>
        <v>0</v>
      </c>
      <c r="D33" s="1007"/>
      <c r="E33" s="1007">
        <f>SUM('.......'!J40)</f>
        <v>0</v>
      </c>
      <c r="F33" s="1007"/>
      <c r="G33" s="1007">
        <f>SUM('.......'!L40)</f>
        <v>0</v>
      </c>
      <c r="H33" s="1007">
        <f>SUM('.......'!M40)</f>
        <v>0</v>
      </c>
      <c r="I33" s="1007">
        <f>SUM('.......'!N40)</f>
        <v>0</v>
      </c>
      <c r="J33" s="1007">
        <f>SUM('.......'!M40)</f>
        <v>0</v>
      </c>
      <c r="K33" s="992"/>
      <c r="L33" s="992"/>
      <c r="M33" s="4787" t="s">
        <v>896</v>
      </c>
      <c r="N33" s="4787"/>
      <c r="O33" s="4787"/>
      <c r="P33" s="4787"/>
      <c r="Q33" s="4787"/>
      <c r="R33" s="4787"/>
      <c r="S33" s="1007">
        <f>SUM('.......'!F49)</f>
        <v>0</v>
      </c>
      <c r="T33" s="1007"/>
      <c r="U33" s="1007">
        <f>SUM('.......'!H49)</f>
        <v>0</v>
      </c>
      <c r="V33" s="1007"/>
      <c r="W33" s="1007">
        <f>SUM('.......'!J49)</f>
        <v>0</v>
      </c>
      <c r="X33" s="1007"/>
      <c r="Y33" s="1007">
        <f>SUM('.......'!L49)</f>
        <v>0</v>
      </c>
      <c r="Z33" s="1007">
        <f>SUM('.......'!M49)</f>
        <v>0</v>
      </c>
      <c r="AA33" s="992"/>
      <c r="AB33" s="992"/>
      <c r="AC33" s="992"/>
      <c r="AD33" s="992"/>
      <c r="AE33" s="992"/>
      <c r="AF33" s="992"/>
      <c r="AG33" s="992"/>
      <c r="AH33" s="992"/>
      <c r="AI33" s="952"/>
    </row>
    <row r="34" spans="1:35" ht="15.75" x14ac:dyDescent="0.25">
      <c r="A34" s="1006" t="s">
        <v>893</v>
      </c>
      <c r="B34" s="1008"/>
      <c r="C34" s="1011">
        <f>SUM(C33-C9)</f>
        <v>0</v>
      </c>
      <c r="D34" s="1011"/>
      <c r="E34" s="1011">
        <f>SUM(E33-E9)</f>
        <v>0</v>
      </c>
      <c r="F34" s="1011"/>
      <c r="G34" s="1011">
        <f>SUM(G33-G9)</f>
        <v>0</v>
      </c>
      <c r="H34" s="1011">
        <f>SUM(H33-H9)</f>
        <v>0</v>
      </c>
      <c r="I34" s="1011">
        <f>SUM(I33-I9)</f>
        <v>0</v>
      </c>
      <c r="J34" s="1011">
        <f>SUM(J33-J9)</f>
        <v>0</v>
      </c>
      <c r="K34" s="992"/>
      <c r="L34" s="992"/>
      <c r="M34" s="1097" t="s">
        <v>893</v>
      </c>
      <c r="N34" s="1097"/>
      <c r="O34" s="1097"/>
      <c r="P34" s="1097"/>
      <c r="Q34" s="1097"/>
      <c r="R34" s="992"/>
      <c r="S34" s="1011">
        <f>SUM(S33-C20)</f>
        <v>0</v>
      </c>
      <c r="T34" s="1011"/>
      <c r="U34" s="1011">
        <f>SUM(U33-E20)</f>
        <v>0</v>
      </c>
      <c r="V34" s="1011"/>
      <c r="W34" s="1011">
        <f>SUM(W33-G20)</f>
        <v>0</v>
      </c>
      <c r="X34" s="1011"/>
      <c r="Y34" s="1011">
        <f>SUM(Y33-I20)</f>
        <v>0</v>
      </c>
      <c r="Z34" s="1011">
        <f>SUM(Z33-J20)</f>
        <v>0</v>
      </c>
      <c r="AA34" s="992"/>
      <c r="AB34" s="992"/>
      <c r="AC34" s="992"/>
      <c r="AD34" s="992"/>
      <c r="AE34" s="992"/>
      <c r="AF34" s="992"/>
      <c r="AG34" s="992"/>
      <c r="AH34" s="992"/>
      <c r="AI34" s="952"/>
    </row>
    <row r="35" spans="1:35" ht="15.75" x14ac:dyDescent="0.25">
      <c r="A35" s="1008"/>
      <c r="B35" s="1008"/>
      <c r="C35" s="992"/>
      <c r="D35" s="992"/>
      <c r="E35" s="992"/>
      <c r="F35" s="992"/>
      <c r="G35" s="992"/>
      <c r="H35" s="992"/>
      <c r="I35" s="992"/>
      <c r="J35" s="992"/>
      <c r="K35" s="992"/>
      <c r="L35" s="992"/>
      <c r="M35" s="992"/>
      <c r="N35" s="992"/>
      <c r="O35" s="992"/>
      <c r="P35" s="992"/>
      <c r="Q35" s="992"/>
      <c r="R35" s="992"/>
      <c r="S35" s="992"/>
      <c r="T35" s="992"/>
      <c r="U35" s="992"/>
      <c r="V35" s="992"/>
      <c r="W35" s="992"/>
      <c r="X35" s="992"/>
      <c r="Y35" s="992"/>
      <c r="Z35" s="992"/>
      <c r="AA35" s="992"/>
      <c r="AB35" s="992"/>
      <c r="AC35" s="992"/>
      <c r="AD35" s="992"/>
      <c r="AE35" s="992"/>
      <c r="AF35" s="992"/>
      <c r="AG35" s="992"/>
      <c r="AH35" s="992"/>
      <c r="AI35" s="952"/>
    </row>
    <row r="36" spans="1:35" ht="15.75" x14ac:dyDescent="0.25">
      <c r="A36" s="4548" t="s">
        <v>890</v>
      </c>
      <c r="B36" s="4548"/>
      <c r="C36" s="1007">
        <f>SUM('.......'!F41)</f>
        <v>0</v>
      </c>
      <c r="D36" s="1007"/>
      <c r="E36" s="1007">
        <f>SUM('.......'!J41)</f>
        <v>0</v>
      </c>
      <c r="F36" s="1007"/>
      <c r="G36" s="1007">
        <f>SUM('.......'!L41)</f>
        <v>0</v>
      </c>
      <c r="H36" s="1007">
        <f>SUM('.......'!M41)</f>
        <v>0</v>
      </c>
      <c r="I36" s="1007">
        <f>SUM('.......'!N41)</f>
        <v>0</v>
      </c>
      <c r="J36" s="1007">
        <f>SUM('.......'!M41)</f>
        <v>0</v>
      </c>
      <c r="K36" s="992"/>
      <c r="L36" s="992"/>
      <c r="M36" s="4787" t="s">
        <v>897</v>
      </c>
      <c r="N36" s="4787"/>
      <c r="O36" s="4787"/>
      <c r="P36" s="4787"/>
      <c r="Q36" s="4787"/>
      <c r="R36" s="4787"/>
      <c r="S36" s="1007">
        <f>SUM('.......'!F51)</f>
        <v>0</v>
      </c>
      <c r="T36" s="1007"/>
      <c r="U36" s="1007">
        <f>SUM('.......'!H51)</f>
        <v>0</v>
      </c>
      <c r="V36" s="1007"/>
      <c r="W36" s="1007">
        <f>SUM('.......'!J51)</f>
        <v>0</v>
      </c>
      <c r="X36" s="1007"/>
      <c r="Y36" s="1007">
        <f>SUM('.......'!L51)</f>
        <v>0</v>
      </c>
      <c r="Z36" s="1007">
        <f>SUM('.......'!M51)</f>
        <v>0</v>
      </c>
      <c r="AA36" s="992"/>
      <c r="AB36" s="992"/>
      <c r="AC36" s="992"/>
      <c r="AD36" s="992"/>
      <c r="AE36" s="992"/>
      <c r="AF36" s="992"/>
      <c r="AG36" s="992"/>
      <c r="AH36" s="992"/>
      <c r="AI36" s="952"/>
    </row>
    <row r="37" spans="1:35" ht="15.75" x14ac:dyDescent="0.25">
      <c r="A37" s="1006" t="s">
        <v>893</v>
      </c>
      <c r="B37" s="1008"/>
      <c r="C37" s="1011">
        <f>SUM(C36-C10)</f>
        <v>0</v>
      </c>
      <c r="D37" s="1011"/>
      <c r="E37" s="1011">
        <f>SUM(E36-E10)</f>
        <v>0</v>
      </c>
      <c r="F37" s="1011"/>
      <c r="G37" s="1011">
        <f>SUM(G36-G10)</f>
        <v>0</v>
      </c>
      <c r="H37" s="1011">
        <f>SUM(H36-H10)</f>
        <v>0</v>
      </c>
      <c r="I37" s="1011">
        <f>SUM(I36-I10)</f>
        <v>0</v>
      </c>
      <c r="J37" s="1011">
        <f>SUM(J36-J10)</f>
        <v>0</v>
      </c>
      <c r="K37" s="992"/>
      <c r="L37" s="992"/>
      <c r="M37" s="1097" t="s">
        <v>893</v>
      </c>
      <c r="N37" s="1097"/>
      <c r="O37" s="1097"/>
      <c r="P37" s="1097"/>
      <c r="Q37" s="1097"/>
      <c r="R37" s="992"/>
      <c r="S37" s="1011">
        <f>SUM(S36-C23)</f>
        <v>0</v>
      </c>
      <c r="T37" s="1011"/>
      <c r="U37" s="1011">
        <f>SUM(U36-E23)</f>
        <v>0</v>
      </c>
      <c r="V37" s="1011"/>
      <c r="W37" s="1011">
        <f>SUM(W36-G23)</f>
        <v>0</v>
      </c>
      <c r="X37" s="1011"/>
      <c r="Y37" s="1011">
        <f>SUM(Y36-I23)</f>
        <v>0</v>
      </c>
      <c r="Z37" s="1011">
        <f>SUM(Z36-J23)</f>
        <v>0</v>
      </c>
      <c r="AA37" s="992"/>
      <c r="AB37" s="992"/>
      <c r="AC37" s="992"/>
      <c r="AD37" s="992"/>
      <c r="AE37" s="992"/>
      <c r="AF37" s="992"/>
      <c r="AG37" s="992"/>
      <c r="AH37" s="992"/>
      <c r="AI37" s="952"/>
    </row>
    <row r="38" spans="1:35" ht="15.75" thickBot="1" x14ac:dyDescent="0.3">
      <c r="A38" s="992"/>
      <c r="B38" s="992"/>
      <c r="C38" s="992"/>
      <c r="D38" s="992"/>
      <c r="E38" s="992"/>
      <c r="F38" s="992"/>
      <c r="G38" s="992"/>
      <c r="H38" s="992"/>
      <c r="I38" s="992"/>
      <c r="J38" s="992"/>
      <c r="K38" s="992"/>
      <c r="L38" s="992"/>
      <c r="M38" s="992"/>
      <c r="N38" s="992"/>
      <c r="O38" s="992"/>
      <c r="P38" s="992"/>
      <c r="Q38" s="992"/>
      <c r="R38" s="992"/>
      <c r="S38" s="992"/>
      <c r="T38" s="992"/>
      <c r="U38" s="992"/>
      <c r="V38" s="992"/>
      <c r="W38" s="992"/>
      <c r="X38" s="992"/>
      <c r="Y38" s="992"/>
      <c r="Z38" s="992"/>
      <c r="AA38" s="992"/>
      <c r="AB38" s="992"/>
      <c r="AC38" s="992"/>
      <c r="AD38" s="992"/>
      <c r="AE38" s="992"/>
      <c r="AF38" s="992"/>
      <c r="AG38" s="992"/>
      <c r="AH38" s="992"/>
      <c r="AI38" s="952"/>
    </row>
    <row r="39" spans="1:35" ht="16.5" thickTop="1" x14ac:dyDescent="0.25">
      <c r="A39" s="4556" t="s">
        <v>889</v>
      </c>
      <c r="B39" s="4557"/>
      <c r="C39" s="1015">
        <f>SUM('.......'!F42)</f>
        <v>0</v>
      </c>
      <c r="D39" s="1015"/>
      <c r="E39" s="1015">
        <f>SUM('.......'!H42)</f>
        <v>0</v>
      </c>
      <c r="F39" s="1015"/>
      <c r="G39" s="1015">
        <f>SUM('.......'!J42)</f>
        <v>0</v>
      </c>
      <c r="H39" s="1015">
        <f>SUM('.......'!K42)</f>
        <v>0</v>
      </c>
      <c r="I39" s="1015">
        <f>SUM('.......'!L42)</f>
        <v>0</v>
      </c>
      <c r="J39" s="1016">
        <f>SUM('.......'!M42)</f>
        <v>0</v>
      </c>
      <c r="K39" s="992"/>
      <c r="L39" s="992"/>
      <c r="M39" s="4787" t="s">
        <v>898</v>
      </c>
      <c r="N39" s="4787"/>
      <c r="O39" s="4787"/>
      <c r="P39" s="4787"/>
      <c r="Q39" s="4787"/>
      <c r="R39" s="4787"/>
      <c r="S39" s="1007">
        <f>SUM('.......'!F52)</f>
        <v>0</v>
      </c>
      <c r="T39" s="1007"/>
      <c r="U39" s="1007">
        <f>SUM('.......'!H52)</f>
        <v>0</v>
      </c>
      <c r="V39" s="1007"/>
      <c r="W39" s="1007">
        <f>SUM('.......'!J52)</f>
        <v>0</v>
      </c>
      <c r="X39" s="1007"/>
      <c r="Y39" s="1007">
        <f>SUM('.......'!L52)</f>
        <v>0</v>
      </c>
      <c r="Z39" s="1007">
        <f>SUM('.......'!M52)</f>
        <v>0</v>
      </c>
      <c r="AA39" s="992"/>
      <c r="AB39" s="992"/>
      <c r="AC39" s="992"/>
      <c r="AD39" s="992"/>
      <c r="AE39" s="992"/>
      <c r="AF39" s="992"/>
      <c r="AG39" s="992"/>
      <c r="AH39" s="992"/>
      <c r="AI39" s="952"/>
    </row>
    <row r="40" spans="1:35" ht="16.5" thickBot="1" x14ac:dyDescent="0.3">
      <c r="A40" s="1020" t="s">
        <v>1027</v>
      </c>
      <c r="B40" s="1021"/>
      <c r="C40" s="1077">
        <f>SUM(C39-C11)</f>
        <v>0</v>
      </c>
      <c r="D40" s="1077"/>
      <c r="E40" s="1077">
        <f>SUM(E39-E11)</f>
        <v>0</v>
      </c>
      <c r="F40" s="1077"/>
      <c r="G40" s="1077">
        <f>SUM(G39-G11)</f>
        <v>0</v>
      </c>
      <c r="H40" s="1077">
        <f>SUM(H39-H11)</f>
        <v>0</v>
      </c>
      <c r="I40" s="1077">
        <f>SUM(I39-I11)</f>
        <v>0</v>
      </c>
      <c r="J40" s="1092">
        <f>SUM(J39-J11)</f>
        <v>0</v>
      </c>
      <c r="K40" s="992"/>
      <c r="L40" s="992"/>
      <c r="M40" s="1097" t="s">
        <v>893</v>
      </c>
      <c r="N40" s="1097"/>
      <c r="O40" s="1097"/>
      <c r="P40" s="1097"/>
      <c r="Q40" s="1097"/>
      <c r="R40" s="992"/>
      <c r="S40" s="1011">
        <f>SUM(S39-C26)</f>
        <v>0</v>
      </c>
      <c r="T40" s="1011"/>
      <c r="U40" s="1011">
        <f>SUM(U39-E26)</f>
        <v>0</v>
      </c>
      <c r="V40" s="1011"/>
      <c r="W40" s="1011">
        <f>SUM(W39-G26)</f>
        <v>0</v>
      </c>
      <c r="X40" s="1011"/>
      <c r="Y40" s="1011">
        <f>SUM(Y39-I26)</f>
        <v>0</v>
      </c>
      <c r="Z40" s="1011">
        <f>SUM(Z39-J26)</f>
        <v>0</v>
      </c>
      <c r="AA40" s="992"/>
      <c r="AB40" s="992"/>
      <c r="AC40" s="992"/>
      <c r="AD40" s="992"/>
      <c r="AE40" s="992"/>
      <c r="AF40" s="992"/>
      <c r="AG40" s="992"/>
      <c r="AH40" s="992"/>
      <c r="AI40" s="952"/>
    </row>
    <row r="41" spans="1:35" ht="16.5" thickTop="1" thickBot="1" x14ac:dyDescent="0.3">
      <c r="A41" s="992"/>
      <c r="B41" s="992"/>
      <c r="C41" s="992"/>
      <c r="D41" s="992"/>
      <c r="E41" s="992"/>
      <c r="F41" s="992"/>
      <c r="G41" s="992"/>
      <c r="H41" s="992"/>
      <c r="I41" s="992"/>
      <c r="J41" s="992"/>
      <c r="K41" s="992"/>
      <c r="L41" s="992"/>
      <c r="M41" s="992"/>
      <c r="N41" s="992"/>
      <c r="O41" s="992"/>
      <c r="P41" s="992"/>
      <c r="Q41" s="992"/>
      <c r="R41" s="992"/>
      <c r="S41" s="992"/>
      <c r="T41" s="992"/>
      <c r="U41" s="992"/>
      <c r="V41" s="992"/>
      <c r="W41" s="992"/>
      <c r="X41" s="992"/>
      <c r="Y41" s="992"/>
      <c r="Z41" s="992"/>
      <c r="AA41" s="992"/>
      <c r="AB41" s="992"/>
      <c r="AC41" s="992"/>
      <c r="AD41" s="992"/>
      <c r="AE41" s="992"/>
      <c r="AF41" s="992"/>
      <c r="AG41" s="992"/>
      <c r="AH41" s="992"/>
      <c r="AI41" s="952"/>
    </row>
    <row r="42" spans="1:35" ht="15.75" thickTop="1" x14ac:dyDescent="0.25">
      <c r="A42" s="992"/>
      <c r="B42" s="992"/>
      <c r="C42" s="992"/>
      <c r="D42" s="992"/>
      <c r="E42" s="992"/>
      <c r="F42" s="992"/>
      <c r="G42" s="992"/>
      <c r="H42" s="992"/>
      <c r="I42" s="992"/>
      <c r="J42" s="992"/>
      <c r="K42" s="992"/>
      <c r="L42" s="992"/>
      <c r="M42" s="1267" t="s">
        <v>899</v>
      </c>
      <c r="N42" s="2280"/>
      <c r="O42" s="2280"/>
      <c r="P42" s="2280"/>
      <c r="Q42" s="2280"/>
      <c r="R42" s="1017"/>
      <c r="S42" s="1015">
        <f>SUM('.......'!F59)</f>
        <v>0</v>
      </c>
      <c r="T42" s="1015"/>
      <c r="U42" s="1015">
        <f>SUM('.......'!H59)</f>
        <v>0</v>
      </c>
      <c r="V42" s="1015"/>
      <c r="W42" s="1015">
        <f>SUM('.......'!J59)</f>
        <v>0</v>
      </c>
      <c r="X42" s="1015">
        <f>SUM('.......'!K59)</f>
        <v>0</v>
      </c>
      <c r="Y42" s="1015">
        <f>SUM('.......'!L59)</f>
        <v>0</v>
      </c>
      <c r="Z42" s="1016">
        <f>SUM('.......'!M59)</f>
        <v>0</v>
      </c>
      <c r="AA42" s="992"/>
      <c r="AB42" s="992"/>
      <c r="AC42" s="992"/>
      <c r="AD42" s="992"/>
      <c r="AE42" s="992"/>
      <c r="AF42" s="992"/>
      <c r="AG42" s="992"/>
      <c r="AH42" s="992"/>
      <c r="AI42" s="952"/>
    </row>
    <row r="43" spans="1:35" ht="15.75" thickBot="1" x14ac:dyDescent="0.3">
      <c r="A43" s="992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1268" t="s">
        <v>893</v>
      </c>
      <c r="N43" s="2281"/>
      <c r="O43" s="2281"/>
      <c r="P43" s="2281"/>
      <c r="Q43" s="2281"/>
      <c r="R43" s="1024"/>
      <c r="S43" s="1077">
        <f>SUM(S42-C20)</f>
        <v>0</v>
      </c>
      <c r="T43" s="1077"/>
      <c r="U43" s="1077">
        <f>SUM(U42-E20)</f>
        <v>0</v>
      </c>
      <c r="V43" s="1077"/>
      <c r="W43" s="1077">
        <f>SUM(W42-G20)</f>
        <v>0</v>
      </c>
      <c r="X43" s="1077">
        <f>SUM(X42-H20)</f>
        <v>0</v>
      </c>
      <c r="Y43" s="1077">
        <f>SUM(Y42-I20)</f>
        <v>0</v>
      </c>
      <c r="Z43" s="1092">
        <f>SUM(Z42-J20)</f>
        <v>0</v>
      </c>
      <c r="AA43" s="992"/>
      <c r="AB43" s="992"/>
      <c r="AC43" s="992"/>
      <c r="AD43" s="992"/>
      <c r="AE43" s="992"/>
      <c r="AF43" s="992"/>
      <c r="AG43" s="992"/>
      <c r="AH43" s="992"/>
      <c r="AI43" s="952"/>
    </row>
    <row r="44" spans="1:35" ht="15.75" thickTop="1" x14ac:dyDescent="0.25">
      <c r="A44" s="992"/>
      <c r="B44" s="992"/>
      <c r="C44" s="992"/>
      <c r="D44" s="992"/>
      <c r="E44" s="992"/>
      <c r="F44" s="992"/>
      <c r="G44" s="992"/>
      <c r="H44" s="992"/>
      <c r="I44" s="992"/>
      <c r="J44" s="992"/>
      <c r="K44" s="992"/>
      <c r="L44" s="992"/>
      <c r="M44" s="992"/>
      <c r="N44" s="992"/>
      <c r="O44" s="992"/>
      <c r="P44" s="992"/>
      <c r="Q44" s="992"/>
      <c r="R44" s="992"/>
      <c r="S44" s="992"/>
      <c r="T44" s="992"/>
      <c r="U44" s="992"/>
      <c r="V44" s="992"/>
      <c r="W44" s="992"/>
      <c r="X44" s="992"/>
      <c r="Y44" s="992"/>
      <c r="Z44" s="992"/>
      <c r="AA44" s="992"/>
      <c r="AB44" s="992"/>
      <c r="AC44" s="992"/>
      <c r="AD44" s="992"/>
      <c r="AE44" s="992"/>
      <c r="AF44" s="992"/>
      <c r="AG44" s="992"/>
      <c r="AH44" s="992"/>
      <c r="AI44" s="952"/>
    </row>
    <row r="45" spans="1:35" x14ac:dyDescent="0.25">
      <c r="A45" s="992"/>
      <c r="B45" s="992"/>
      <c r="C45" s="992"/>
      <c r="D45" s="992"/>
      <c r="E45" s="992"/>
      <c r="F45" s="992"/>
      <c r="G45" s="992"/>
      <c r="H45" s="992"/>
      <c r="I45" s="992"/>
      <c r="J45" s="992"/>
      <c r="K45" s="992"/>
      <c r="L45" s="992"/>
      <c r="M45" s="992"/>
      <c r="N45" s="992"/>
      <c r="O45" s="992"/>
      <c r="P45" s="992"/>
      <c r="Q45" s="992"/>
      <c r="R45" s="992"/>
      <c r="S45" s="992"/>
      <c r="T45" s="992"/>
      <c r="U45" s="992"/>
      <c r="V45" s="992"/>
      <c r="W45" s="992"/>
      <c r="X45" s="992"/>
      <c r="Y45" s="992"/>
      <c r="Z45" s="992"/>
      <c r="AA45" s="992"/>
      <c r="AB45" s="992"/>
      <c r="AC45" s="992"/>
      <c r="AD45" s="992"/>
      <c r="AE45" s="992"/>
      <c r="AF45" s="992"/>
      <c r="AG45" s="992"/>
      <c r="AH45" s="992"/>
      <c r="AI45" s="952"/>
    </row>
  </sheetData>
  <mergeCells count="37">
    <mergeCell ref="A1:AH1"/>
    <mergeCell ref="A2:AH2"/>
    <mergeCell ref="A4:AH4"/>
    <mergeCell ref="A5:B5"/>
    <mergeCell ref="C5:J5"/>
    <mergeCell ref="K5:R5"/>
    <mergeCell ref="S5:Z5"/>
    <mergeCell ref="AA5:AH5"/>
    <mergeCell ref="A6:B6"/>
    <mergeCell ref="A7:B7"/>
    <mergeCell ref="A8:B8"/>
    <mergeCell ref="A9:B9"/>
    <mergeCell ref="A10:B10"/>
    <mergeCell ref="A17:B17"/>
    <mergeCell ref="A18:B18"/>
    <mergeCell ref="A19:B19"/>
    <mergeCell ref="A20:B20"/>
    <mergeCell ref="A11:B11"/>
    <mergeCell ref="A13:AH13"/>
    <mergeCell ref="A14:B14"/>
    <mergeCell ref="C14:J14"/>
    <mergeCell ref="K14:R14"/>
    <mergeCell ref="S14:Z14"/>
    <mergeCell ref="AA14:AH14"/>
    <mergeCell ref="A15:B15"/>
    <mergeCell ref="A16:B16"/>
    <mergeCell ref="A36:B36"/>
    <mergeCell ref="M36:R36"/>
    <mergeCell ref="A39:B39"/>
    <mergeCell ref="M39:R39"/>
    <mergeCell ref="A25:B25"/>
    <mergeCell ref="A27:B27"/>
    <mergeCell ref="M27:R27"/>
    <mergeCell ref="A30:B30"/>
    <mergeCell ref="M30:R30"/>
    <mergeCell ref="A33:B33"/>
    <mergeCell ref="M33:R33"/>
  </mergeCells>
  <printOptions horizontalCentered="1"/>
  <pageMargins left="0.19685039370078741" right="0.23622047244094491" top="0.74803149606299213" bottom="0.74803149606299213" header="0.31496062992125984" footer="0.31496062992125984"/>
  <pageSetup paperSize="9" scale="56" orientation="landscape" r:id="rId1"/>
  <headerFooter>
    <oddHeader>&amp;R&amp;12 4.6.1. számú melléklet
Forint</oddHeader>
    <oddFooter>&amp;C&amp;12-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98"/>
  <sheetViews>
    <sheetView view="pageBreakPreview" topLeftCell="A44" zoomScale="80" zoomScaleNormal="100" zoomScaleSheetLayoutView="80" zoomScalePageLayoutView="60" workbookViewId="0">
      <selection activeCell="K84" sqref="K84"/>
    </sheetView>
  </sheetViews>
  <sheetFormatPr defaultColWidth="9.33203125" defaultRowHeight="12.75" x14ac:dyDescent="0.2"/>
  <cols>
    <col min="1" max="1" width="6.1640625" style="114" customWidth="1"/>
    <col min="2" max="2" width="10" style="115" customWidth="1"/>
    <col min="3" max="3" width="72.5" style="115" customWidth="1"/>
    <col min="4" max="5" width="9.33203125" style="115" hidden="1" customWidth="1"/>
    <col min="6" max="6" width="15.1640625" style="115" customWidth="1"/>
    <col min="7" max="7" width="18.6640625" style="1390" hidden="1" customWidth="1"/>
    <col min="8" max="8" width="14.33203125" style="115" hidden="1" customWidth="1"/>
    <col min="9" max="9" width="13.83203125" style="1390" hidden="1" customWidth="1"/>
    <col min="10" max="10" width="14.5" style="115" customWidth="1"/>
    <col min="11" max="11" width="13.83203125" style="1390" customWidth="1"/>
    <col min="12" max="12" width="16.1640625" style="115" customWidth="1"/>
    <col min="13" max="13" width="14.83203125" style="115" customWidth="1"/>
    <col min="14" max="14" width="22.5" style="115" customWidth="1"/>
    <col min="15" max="18" width="19" style="115" customWidth="1"/>
    <col min="19" max="22" width="12.5" style="115" customWidth="1"/>
    <col min="23" max="16384" width="9.33203125" style="115"/>
  </cols>
  <sheetData>
    <row r="1" spans="1:21" s="120" customFormat="1" ht="33.75" customHeight="1" thickBot="1" x14ac:dyDescent="0.25">
      <c r="A1" s="4461"/>
      <c r="B1" s="4461"/>
      <c r="C1" s="805" t="s">
        <v>281</v>
      </c>
      <c r="D1" s="4415" t="s">
        <v>282</v>
      </c>
      <c r="E1" s="818"/>
      <c r="F1" s="4415" t="s">
        <v>1080</v>
      </c>
      <c r="G1" s="4422" t="s">
        <v>1035</v>
      </c>
      <c r="H1" s="4415" t="s">
        <v>1028</v>
      </c>
      <c r="I1" s="4422" t="s">
        <v>1031</v>
      </c>
      <c r="J1" s="4415" t="s">
        <v>1028</v>
      </c>
      <c r="K1" s="4449" t="s">
        <v>1038</v>
      </c>
      <c r="L1" s="4415" t="s">
        <v>234</v>
      </c>
      <c r="M1" s="4440" t="s">
        <v>1952</v>
      </c>
    </row>
    <row r="2" spans="1:21" s="120" customFormat="1" ht="33.75" customHeight="1" thickBot="1" x14ac:dyDescent="0.25">
      <c r="A2" s="4462" t="s">
        <v>283</v>
      </c>
      <c r="B2" s="4462"/>
      <c r="C2" s="806" t="s">
        <v>328</v>
      </c>
      <c r="D2" s="4415"/>
      <c r="E2" s="819"/>
      <c r="F2" s="4415"/>
      <c r="G2" s="4423"/>
      <c r="H2" s="4416" t="s">
        <v>1028</v>
      </c>
      <c r="I2" s="4423" t="s">
        <v>1031</v>
      </c>
      <c r="J2" s="4416" t="s">
        <v>1028</v>
      </c>
      <c r="K2" s="4450"/>
      <c r="L2" s="4416"/>
      <c r="M2" s="4441"/>
      <c r="O2" s="470" t="s">
        <v>771</v>
      </c>
      <c r="P2" s="470" t="s">
        <v>768</v>
      </c>
      <c r="Q2" s="470" t="s">
        <v>769</v>
      </c>
      <c r="R2" s="145"/>
      <c r="S2" s="470" t="s">
        <v>771</v>
      </c>
      <c r="T2" s="470" t="s">
        <v>768</v>
      </c>
      <c r="U2" s="470" t="s">
        <v>769</v>
      </c>
    </row>
    <row r="3" spans="1:21" s="123" customFormat="1" ht="15.95" customHeight="1" thickBot="1" x14ac:dyDescent="0.25">
      <c r="A3" s="2093"/>
      <c r="B3" s="877"/>
      <c r="C3" s="877"/>
      <c r="D3" s="4459"/>
      <c r="E3" s="4459"/>
      <c r="F3" s="4459"/>
      <c r="G3" s="1453"/>
      <c r="H3" s="1578"/>
      <c r="I3" s="1579"/>
      <c r="J3" s="1578"/>
      <c r="K3" s="1579"/>
      <c r="L3" s="1607"/>
      <c r="M3" s="879"/>
      <c r="O3" s="454" t="s">
        <v>767</v>
      </c>
      <c r="P3" s="454" t="s">
        <v>767</v>
      </c>
      <c r="Q3" s="454" t="s">
        <v>767</v>
      </c>
      <c r="R3" s="129"/>
      <c r="S3" s="129" t="s">
        <v>770</v>
      </c>
      <c r="T3" s="129" t="s">
        <v>770</v>
      </c>
      <c r="U3" s="129" t="s">
        <v>770</v>
      </c>
    </row>
    <row r="4" spans="1:21" ht="33.75" customHeight="1" thickBot="1" x14ac:dyDescent="0.25">
      <c r="A4" s="4431" t="s">
        <v>285</v>
      </c>
      <c r="B4" s="4431"/>
      <c r="C4" s="807" t="s">
        <v>286</v>
      </c>
      <c r="D4" s="821" t="s">
        <v>287</v>
      </c>
      <c r="E4" s="821" t="s">
        <v>288</v>
      </c>
      <c r="F4" s="821"/>
      <c r="G4" s="2659"/>
      <c r="H4" s="821"/>
      <c r="I4" s="1399"/>
      <c r="J4" s="821"/>
      <c r="K4" s="3369"/>
      <c r="L4" s="821"/>
      <c r="M4" s="821"/>
    </row>
    <row r="5" spans="1:21" s="129" customFormat="1" ht="15" customHeight="1" thickBot="1" x14ac:dyDescent="0.25">
      <c r="A5" s="124"/>
      <c r="B5" s="127"/>
      <c r="C5" s="843"/>
      <c r="D5" s="446"/>
      <c r="E5" s="446"/>
      <c r="F5" s="446"/>
      <c r="G5" s="2455"/>
      <c r="H5" s="446"/>
      <c r="I5" s="1400"/>
      <c r="J5" s="446"/>
      <c r="K5" s="3370"/>
      <c r="L5" s="446"/>
      <c r="M5" s="446"/>
    </row>
    <row r="6" spans="1:21" s="129" customFormat="1" ht="21" customHeight="1" thickBot="1" x14ac:dyDescent="0.25">
      <c r="A6" s="130"/>
      <c r="B6" s="131"/>
      <c r="C6" s="132" t="s">
        <v>230</v>
      </c>
      <c r="D6" s="904"/>
      <c r="E6" s="904"/>
      <c r="F6" s="904"/>
      <c r="G6" s="1588"/>
      <c r="H6" s="904"/>
      <c r="I6" s="1601"/>
      <c r="J6" s="904"/>
      <c r="K6" s="3449"/>
      <c r="L6" s="904"/>
      <c r="M6" s="904"/>
    </row>
    <row r="7" spans="1:21" s="129" customFormat="1" ht="31.5" customHeight="1" thickBot="1" x14ac:dyDescent="0.25">
      <c r="A7" s="134" t="s">
        <v>3</v>
      </c>
      <c r="B7" s="135"/>
      <c r="C7" s="890" t="s">
        <v>291</v>
      </c>
      <c r="D7" s="826" t="e">
        <f>SUM(D8+D16)</f>
        <v>#REF!</v>
      </c>
      <c r="E7" s="826" t="e">
        <f>SUM(E8+E16)</f>
        <v>#REF!</v>
      </c>
      <c r="F7" s="905">
        <f>SUM(F8+F16)+F26</f>
        <v>253084025</v>
      </c>
      <c r="G7" s="2445">
        <f>SUM(H7-F7)</f>
        <v>56848196</v>
      </c>
      <c r="H7" s="905">
        <f>SUM(H8+H16)+H26</f>
        <v>309932221</v>
      </c>
      <c r="I7" s="1602">
        <f>SUM(J7-H7)</f>
        <v>-42524797</v>
      </c>
      <c r="J7" s="905">
        <f>SUM(J8+J16)+J26</f>
        <v>267407424</v>
      </c>
      <c r="K7" s="3450">
        <f>SUM(L7-J7)</f>
        <v>0</v>
      </c>
      <c r="L7" s="905">
        <f>SUM(L8+L16)+L26</f>
        <v>267407424</v>
      </c>
      <c r="M7" s="905">
        <f>SUM(M8+M16)+M26</f>
        <v>265849573</v>
      </c>
      <c r="N7" s="139"/>
    </row>
    <row r="8" spans="1:21" s="141" customFormat="1" ht="19.5" customHeight="1" thickBot="1" x14ac:dyDescent="0.25">
      <c r="A8" s="134" t="s">
        <v>17</v>
      </c>
      <c r="B8" s="135"/>
      <c r="C8" s="891" t="s">
        <v>239</v>
      </c>
      <c r="D8" s="826" t="e">
        <f>SUM(D9:D14)</f>
        <v>#REF!</v>
      </c>
      <c r="E8" s="826" t="e">
        <f>SUM(E9:E14)</f>
        <v>#REF!</v>
      </c>
      <c r="F8" s="826">
        <f>SUM('3.c. sz. mell '!F8)</f>
        <v>253084025</v>
      </c>
      <c r="G8" s="1382">
        <f>SUM(H8-F8)</f>
        <v>56848196</v>
      </c>
      <c r="H8" s="826">
        <f>SUM('3.c. sz. mell '!H8)</f>
        <v>309932221</v>
      </c>
      <c r="I8" s="1407">
        <f>SUM(J8-H8)</f>
        <v>-42524797</v>
      </c>
      <c r="J8" s="826">
        <f>SUM('3.c. sz. mell '!J8)</f>
        <v>267407424</v>
      </c>
      <c r="K8" s="3375">
        <f>SUM(L8-J8)</f>
        <v>0</v>
      </c>
      <c r="L8" s="826">
        <f>SUM('3.c. sz. mell '!L8)</f>
        <v>267407424</v>
      </c>
      <c r="M8" s="826">
        <f>SUM('3.c. sz. mell '!M8)</f>
        <v>265849573</v>
      </c>
      <c r="N8" s="139"/>
    </row>
    <row r="9" spans="1:21" s="145" customFormat="1" ht="12.75" hidden="1" customHeight="1" x14ac:dyDescent="0.2">
      <c r="A9" s="142"/>
      <c r="B9" s="143"/>
      <c r="C9" s="892"/>
      <c r="D9" s="483" t="e">
        <f>SUM(#REF!+#REF!+#REF!)</f>
        <v>#REF!</v>
      </c>
      <c r="E9" s="483" t="e">
        <f>SUM(#REF!+#REF!+#REF!)</f>
        <v>#REF!</v>
      </c>
      <c r="F9" s="483"/>
      <c r="G9" s="1382">
        <f t="shared" ref="G9:G33" si="0">SUM(H9-F9)</f>
        <v>0</v>
      </c>
      <c r="H9" s="483"/>
      <c r="I9" s="1404"/>
      <c r="J9" s="483"/>
      <c r="K9" s="3351"/>
      <c r="L9" s="483"/>
      <c r="M9" s="483"/>
      <c r="N9" s="139"/>
    </row>
    <row r="10" spans="1:21" s="145" customFormat="1" ht="12.75" hidden="1" customHeight="1" x14ac:dyDescent="0.2">
      <c r="A10" s="142"/>
      <c r="B10" s="143"/>
      <c r="C10" s="892"/>
      <c r="D10" s="483"/>
      <c r="E10" s="483"/>
      <c r="F10" s="483"/>
      <c r="G10" s="1382">
        <f t="shared" si="0"/>
        <v>0</v>
      </c>
      <c r="H10" s="483"/>
      <c r="I10" s="1404"/>
      <c r="J10" s="483"/>
      <c r="K10" s="3351"/>
      <c r="L10" s="483"/>
      <c r="M10" s="483"/>
      <c r="N10" s="139"/>
    </row>
    <row r="11" spans="1:21" s="145" customFormat="1" ht="12.75" hidden="1" customHeight="1" x14ac:dyDescent="0.2">
      <c r="A11" s="142"/>
      <c r="B11" s="143"/>
      <c r="C11" s="892"/>
      <c r="D11" s="483" t="e">
        <f>SUM(#REF!)</f>
        <v>#REF!</v>
      </c>
      <c r="E11" s="483" t="e">
        <f>SUM(#REF!)</f>
        <v>#REF!</v>
      </c>
      <c r="F11" s="483"/>
      <c r="G11" s="1382">
        <f t="shared" si="0"/>
        <v>0</v>
      </c>
      <c r="H11" s="483"/>
      <c r="I11" s="1404"/>
      <c r="J11" s="483"/>
      <c r="K11" s="3351"/>
      <c r="L11" s="483"/>
      <c r="M11" s="483"/>
      <c r="N11" s="139"/>
    </row>
    <row r="12" spans="1:21" s="145" customFormat="1" ht="12.75" hidden="1" customHeight="1" x14ac:dyDescent="0.2">
      <c r="A12" s="142"/>
      <c r="B12" s="143"/>
      <c r="C12" s="892"/>
      <c r="D12" s="483" t="e">
        <f>SUM(#REF!)</f>
        <v>#REF!</v>
      </c>
      <c r="E12" s="483" t="e">
        <f>SUM(#REF!+#REF!)</f>
        <v>#REF!</v>
      </c>
      <c r="F12" s="483"/>
      <c r="G12" s="1382">
        <f t="shared" si="0"/>
        <v>0</v>
      </c>
      <c r="H12" s="483"/>
      <c r="I12" s="1404"/>
      <c r="J12" s="483"/>
      <c r="K12" s="3351"/>
      <c r="L12" s="483"/>
      <c r="M12" s="483"/>
      <c r="N12" s="139"/>
    </row>
    <row r="13" spans="1:21" s="145" customFormat="1" ht="12.75" hidden="1" customHeight="1" x14ac:dyDescent="0.2">
      <c r="A13" s="142"/>
      <c r="B13" s="143"/>
      <c r="C13" s="892"/>
      <c r="D13" s="483"/>
      <c r="E13" s="483"/>
      <c r="F13" s="483"/>
      <c r="G13" s="1382">
        <f t="shared" si="0"/>
        <v>0</v>
      </c>
      <c r="H13" s="483"/>
      <c r="I13" s="1404"/>
      <c r="J13" s="483"/>
      <c r="K13" s="3351"/>
      <c r="L13" s="483"/>
      <c r="M13" s="483"/>
      <c r="N13" s="139"/>
    </row>
    <row r="14" spans="1:21" s="145" customFormat="1" ht="12.75" hidden="1" customHeight="1" x14ac:dyDescent="0.2">
      <c r="A14" s="142"/>
      <c r="B14" s="143"/>
      <c r="C14" s="892"/>
      <c r="D14" s="483"/>
      <c r="E14" s="483"/>
      <c r="F14" s="483"/>
      <c r="G14" s="1382">
        <f t="shared" si="0"/>
        <v>0</v>
      </c>
      <c r="H14" s="483"/>
      <c r="I14" s="1404"/>
      <c r="J14" s="483"/>
      <c r="K14" s="3351"/>
      <c r="L14" s="483"/>
      <c r="M14" s="483"/>
      <c r="N14" s="139"/>
    </row>
    <row r="15" spans="1:21" s="145" customFormat="1" ht="12.75" hidden="1" customHeight="1" x14ac:dyDescent="0.2">
      <c r="A15" s="146"/>
      <c r="B15" s="143"/>
      <c r="C15" s="893"/>
      <c r="D15" s="824"/>
      <c r="E15" s="824"/>
      <c r="F15" s="824"/>
      <c r="G15" s="1382">
        <f t="shared" si="0"/>
        <v>0</v>
      </c>
      <c r="H15" s="824"/>
      <c r="I15" s="1405"/>
      <c r="J15" s="824"/>
      <c r="K15" s="3374"/>
      <c r="L15" s="824"/>
      <c r="M15" s="824"/>
      <c r="N15" s="139"/>
    </row>
    <row r="16" spans="1:21" s="141" customFormat="1" ht="18.75" customHeight="1" thickBot="1" x14ac:dyDescent="0.25">
      <c r="A16" s="134" t="s">
        <v>31</v>
      </c>
      <c r="B16" s="148"/>
      <c r="C16" s="891" t="s">
        <v>292</v>
      </c>
      <c r="D16" s="826" t="e">
        <f>SUM(D17:D24)</f>
        <v>#REF!</v>
      </c>
      <c r="E16" s="826" t="e">
        <f>SUM(E17:E24)</f>
        <v>#REF!</v>
      </c>
      <c r="F16" s="826">
        <f>SUM('3.c. sz. mell '!F16)+'4.c. sz. mell.'!F8</f>
        <v>0</v>
      </c>
      <c r="G16" s="1382">
        <f t="shared" si="0"/>
        <v>0</v>
      </c>
      <c r="H16" s="826">
        <f>SUM('3.c. sz. mell '!H16)+'4.c. sz. mell.'!G8</f>
        <v>0</v>
      </c>
      <c r="I16" s="1407"/>
      <c r="J16" s="826">
        <f>SUM('3.c. sz. mell '!J16)+'4.c. sz. mell.'!I8</f>
        <v>0</v>
      </c>
      <c r="K16" s="3375"/>
      <c r="L16" s="826">
        <f>SUM('3.c. sz. mell '!L16)+'4.c. sz. mell.'!K8</f>
        <v>0</v>
      </c>
      <c r="M16" s="826">
        <f>SUM('3.c. sz. mell '!M16)+'4.c. sz. mell.'!M8</f>
        <v>0</v>
      </c>
      <c r="N16" s="139"/>
    </row>
    <row r="17" spans="1:14" s="141" customFormat="1" ht="12.75" hidden="1" customHeight="1" x14ac:dyDescent="0.2">
      <c r="A17" s="149"/>
      <c r="B17" s="143"/>
      <c r="C17" s="892"/>
      <c r="D17" s="310"/>
      <c r="E17" s="310"/>
      <c r="F17" s="826">
        <f>SUM('3.c. sz. mell '!F17)</f>
        <v>0</v>
      </c>
      <c r="G17" s="1382">
        <f t="shared" si="0"/>
        <v>0</v>
      </c>
      <c r="H17" s="826">
        <f>SUM('3.c. sz. mell '!H17)</f>
        <v>0</v>
      </c>
      <c r="I17" s="1407"/>
      <c r="J17" s="826">
        <f>SUM('3.c. sz. mell '!J17)</f>
        <v>0</v>
      </c>
      <c r="K17" s="3375"/>
      <c r="L17" s="826">
        <f>SUM('3.c. sz. mell '!L17)</f>
        <v>0</v>
      </c>
      <c r="M17" s="826">
        <f>SUM('3.c. sz. mell '!M17)</f>
        <v>0</v>
      </c>
      <c r="N17" s="139"/>
    </row>
    <row r="18" spans="1:14" s="141" customFormat="1" ht="12.75" hidden="1" customHeight="1" x14ac:dyDescent="0.2">
      <c r="A18" s="142"/>
      <c r="B18" s="143"/>
      <c r="C18" s="892"/>
      <c r="D18" s="483" t="e">
        <f>SUM(#REF!)</f>
        <v>#REF!</v>
      </c>
      <c r="E18" s="483" t="e">
        <f>SUM(#REF!+#REF!)</f>
        <v>#REF!</v>
      </c>
      <c r="F18" s="826">
        <f>SUM('3.c. sz. mell '!F18)</f>
        <v>0</v>
      </c>
      <c r="G18" s="1382">
        <f t="shared" si="0"/>
        <v>0</v>
      </c>
      <c r="H18" s="826">
        <f>SUM('3.c. sz. mell '!H18)</f>
        <v>0</v>
      </c>
      <c r="I18" s="1407"/>
      <c r="J18" s="826">
        <f>SUM('3.c. sz. mell '!J18)</f>
        <v>0</v>
      </c>
      <c r="K18" s="3375"/>
      <c r="L18" s="826">
        <f>SUM('3.c. sz. mell '!L18)</f>
        <v>0</v>
      </c>
      <c r="M18" s="826">
        <f>SUM('3.c. sz. mell '!M18)</f>
        <v>0</v>
      </c>
      <c r="N18" s="139"/>
    </row>
    <row r="19" spans="1:14" s="141" customFormat="1" ht="12.75" hidden="1" customHeight="1" x14ac:dyDescent="0.2">
      <c r="A19" s="142"/>
      <c r="B19" s="143"/>
      <c r="C19" s="892"/>
      <c r="D19" s="483" t="e">
        <f>SUM(#REF!)</f>
        <v>#REF!</v>
      </c>
      <c r="E19" s="483" t="e">
        <f>SUM(#REF!)</f>
        <v>#REF!</v>
      </c>
      <c r="F19" s="826">
        <f>SUM('3.c. sz. mell '!F19)</f>
        <v>0</v>
      </c>
      <c r="G19" s="1382">
        <f t="shared" si="0"/>
        <v>0</v>
      </c>
      <c r="H19" s="826">
        <f>SUM('3.c. sz. mell '!H19)</f>
        <v>0</v>
      </c>
      <c r="I19" s="1407"/>
      <c r="J19" s="826">
        <f>SUM('3.c. sz. mell '!J19)</f>
        <v>0</v>
      </c>
      <c r="K19" s="3375"/>
      <c r="L19" s="826">
        <f>SUM('3.c. sz. mell '!L19)</f>
        <v>0</v>
      </c>
      <c r="M19" s="826">
        <f>SUM('3.c. sz. mell '!M19)</f>
        <v>0</v>
      </c>
      <c r="N19" s="139"/>
    </row>
    <row r="20" spans="1:14" s="141" customFormat="1" ht="12.75" hidden="1" customHeight="1" x14ac:dyDescent="0.2">
      <c r="A20" s="142"/>
      <c r="B20" s="143"/>
      <c r="C20" s="892"/>
      <c r="D20" s="483"/>
      <c r="E20" s="483"/>
      <c r="F20" s="826">
        <f>SUM('3.c. sz. mell '!F20)</f>
        <v>0</v>
      </c>
      <c r="G20" s="1382">
        <f t="shared" si="0"/>
        <v>0</v>
      </c>
      <c r="H20" s="826">
        <f>SUM('3.c. sz. mell '!H20)</f>
        <v>0</v>
      </c>
      <c r="I20" s="1407"/>
      <c r="J20" s="826">
        <f>SUM('3.c. sz. mell '!J20)</f>
        <v>0</v>
      </c>
      <c r="K20" s="3375"/>
      <c r="L20" s="826">
        <f>SUM('3.c. sz. mell '!L20)</f>
        <v>0</v>
      </c>
      <c r="M20" s="826">
        <f>SUM('3.c. sz. mell '!M20)</f>
        <v>0</v>
      </c>
      <c r="N20" s="139"/>
    </row>
    <row r="21" spans="1:14" s="141" customFormat="1" ht="12.75" hidden="1" customHeight="1" x14ac:dyDescent="0.2">
      <c r="A21" s="142"/>
      <c r="B21" s="143"/>
      <c r="C21" s="892"/>
      <c r="D21" s="483"/>
      <c r="E21" s="483"/>
      <c r="F21" s="826">
        <f>SUM('3.c. sz. mell '!F21)</f>
        <v>0</v>
      </c>
      <c r="G21" s="1382">
        <f t="shared" si="0"/>
        <v>0</v>
      </c>
      <c r="H21" s="826">
        <f>SUM('3.c. sz. mell '!H21)</f>
        <v>0</v>
      </c>
      <c r="I21" s="1407"/>
      <c r="J21" s="826">
        <f>SUM('3.c. sz. mell '!J21)</f>
        <v>0</v>
      </c>
      <c r="K21" s="3375"/>
      <c r="L21" s="826">
        <f>SUM('3.c. sz. mell '!L21)</f>
        <v>0</v>
      </c>
      <c r="M21" s="826">
        <f>SUM('3.c. sz. mell '!M21)</f>
        <v>0</v>
      </c>
      <c r="N21" s="139"/>
    </row>
    <row r="22" spans="1:14" s="141" customFormat="1" ht="12.75" hidden="1" customHeight="1" x14ac:dyDescent="0.2">
      <c r="A22" s="146"/>
      <c r="B22" s="143"/>
      <c r="C22" s="892"/>
      <c r="D22" s="824" t="e">
        <f>SUM(#REF!)</f>
        <v>#REF!</v>
      </c>
      <c r="E22" s="824" t="e">
        <f>SUM(#REF!)</f>
        <v>#REF!</v>
      </c>
      <c r="F22" s="826">
        <f>SUM('3.c. sz. mell '!F22)</f>
        <v>0</v>
      </c>
      <c r="G22" s="1382">
        <f t="shared" si="0"/>
        <v>0</v>
      </c>
      <c r="H22" s="826">
        <f>SUM('3.c. sz. mell '!H22)</f>
        <v>0</v>
      </c>
      <c r="I22" s="1407"/>
      <c r="J22" s="826">
        <f>SUM('3.c. sz. mell '!J22)</f>
        <v>0</v>
      </c>
      <c r="K22" s="3375"/>
      <c r="L22" s="826">
        <f>SUM('3.c. sz. mell '!L22)</f>
        <v>0</v>
      </c>
      <c r="M22" s="826">
        <f>SUM('3.c. sz. mell '!M22)</f>
        <v>0</v>
      </c>
      <c r="N22" s="139"/>
    </row>
    <row r="23" spans="1:14" s="145" customFormat="1" ht="12.75" hidden="1" customHeight="1" x14ac:dyDescent="0.2">
      <c r="A23" s="142"/>
      <c r="B23" s="143"/>
      <c r="C23" s="892"/>
      <c r="D23" s="483" t="e">
        <f>SUM(#REF!)</f>
        <v>#REF!</v>
      </c>
      <c r="E23" s="483" t="e">
        <f>SUM(#REF!)</f>
        <v>#REF!</v>
      </c>
      <c r="F23" s="826">
        <f>SUM('3.c. sz. mell '!F23)</f>
        <v>0</v>
      </c>
      <c r="G23" s="1382">
        <f t="shared" si="0"/>
        <v>0</v>
      </c>
      <c r="H23" s="826">
        <f>SUM('3.c. sz. mell '!H23)</f>
        <v>0</v>
      </c>
      <c r="I23" s="1407"/>
      <c r="J23" s="826">
        <f>SUM('3.c. sz. mell '!J23)</f>
        <v>0</v>
      </c>
      <c r="K23" s="3375"/>
      <c r="L23" s="826">
        <f>SUM('3.c. sz. mell '!L23)</f>
        <v>0</v>
      </c>
      <c r="M23" s="826">
        <f>SUM('3.c. sz. mell '!M23)</f>
        <v>0</v>
      </c>
      <c r="N23" s="139"/>
    </row>
    <row r="24" spans="1:14" s="145" customFormat="1" ht="12.75" hidden="1" customHeight="1" x14ac:dyDescent="0.2">
      <c r="A24" s="151"/>
      <c r="B24" s="152"/>
      <c r="C24" s="892"/>
      <c r="D24" s="825"/>
      <c r="E24" s="825"/>
      <c r="F24" s="826">
        <f>SUM('3.c. sz. mell '!F24)</f>
        <v>0</v>
      </c>
      <c r="G24" s="1382">
        <f t="shared" si="0"/>
        <v>0</v>
      </c>
      <c r="H24" s="826">
        <f>SUM('3.c. sz. mell '!H24)</f>
        <v>0</v>
      </c>
      <c r="I24" s="1407"/>
      <c r="J24" s="826">
        <f>SUM('3.c. sz. mell '!J24)</f>
        <v>0</v>
      </c>
      <c r="K24" s="3375"/>
      <c r="L24" s="826">
        <f>SUM('3.c. sz. mell '!L24)</f>
        <v>0</v>
      </c>
      <c r="M24" s="826">
        <f>SUM('3.c. sz. mell '!M24)</f>
        <v>0</v>
      </c>
      <c r="N24" s="139"/>
    </row>
    <row r="25" spans="1:14" s="145" customFormat="1" ht="12.75" hidden="1" customHeight="1" x14ac:dyDescent="0.2">
      <c r="A25" s="134"/>
      <c r="B25" s="154"/>
      <c r="C25" s="891"/>
      <c r="D25" s="827"/>
      <c r="E25" s="827"/>
      <c r="F25" s="826">
        <f>SUM('3.c. sz. mell '!F25)</f>
        <v>0</v>
      </c>
      <c r="G25" s="1382">
        <f t="shared" si="0"/>
        <v>0</v>
      </c>
      <c r="H25" s="826">
        <f>SUM('3.c. sz. mell '!H25)</f>
        <v>0</v>
      </c>
      <c r="I25" s="1407"/>
      <c r="J25" s="826">
        <f>SUM('3.c. sz. mell '!J25)</f>
        <v>0</v>
      </c>
      <c r="K25" s="3375"/>
      <c r="L25" s="826">
        <f>SUM('3.c. sz. mell '!L25)</f>
        <v>0</v>
      </c>
      <c r="M25" s="826">
        <f>SUM('3.c. sz. mell '!M25)</f>
        <v>0</v>
      </c>
      <c r="N25" s="139"/>
    </row>
    <row r="26" spans="1:14" s="141" customFormat="1" ht="21" customHeight="1" thickBot="1" x14ac:dyDescent="0.25">
      <c r="A26" s="134" t="s">
        <v>45</v>
      </c>
      <c r="B26" s="148"/>
      <c r="C26" s="891" t="s">
        <v>237</v>
      </c>
      <c r="D26" s="826">
        <f>SUM(D28:D33)</f>
        <v>0</v>
      </c>
      <c r="E26" s="826">
        <f>SUM(E28:E33)</f>
        <v>0</v>
      </c>
      <c r="F26" s="826">
        <f>SUM('3.c. sz. mell '!F26)+'4.c. sz. mell.'!F20</f>
        <v>0</v>
      </c>
      <c r="G26" s="1382">
        <f t="shared" si="0"/>
        <v>0</v>
      </c>
      <c r="H26" s="826">
        <f>SUM('3.c. sz. mell '!H26)+'4.c. sz. mell.'!G20</f>
        <v>0</v>
      </c>
      <c r="I26" s="1407"/>
      <c r="J26" s="826">
        <f>SUM('3.c. sz. mell '!J26)+'4.c. sz. mell.'!I20</f>
        <v>0</v>
      </c>
      <c r="K26" s="3375"/>
      <c r="L26" s="826">
        <f>SUM('3.c. sz. mell '!L26)+'4.c. sz. mell.'!K20</f>
        <v>0</v>
      </c>
      <c r="M26" s="826">
        <f>SUM('3.c. sz. mell '!M26)+'4.c. sz. mell.'!M20</f>
        <v>0</v>
      </c>
      <c r="N26" s="139"/>
    </row>
    <row r="27" spans="1:14" s="141" customFormat="1" ht="21" customHeight="1" thickBot="1" x14ac:dyDescent="0.25">
      <c r="A27" s="134" t="s">
        <v>67</v>
      </c>
      <c r="B27" s="148"/>
      <c r="C27" s="891" t="s">
        <v>293</v>
      </c>
      <c r="D27" s="830"/>
      <c r="E27" s="830"/>
      <c r="F27" s="826">
        <f>SUM('3.c. sz. mell '!F27)</f>
        <v>0</v>
      </c>
      <c r="G27" s="1382">
        <f t="shared" si="0"/>
        <v>0</v>
      </c>
      <c r="H27" s="826">
        <f>SUM('3.c. sz. mell '!H27)</f>
        <v>0</v>
      </c>
      <c r="I27" s="1407"/>
      <c r="J27" s="826">
        <f>SUM('3.c. sz. mell '!J27)</f>
        <v>0</v>
      </c>
      <c r="K27" s="3375"/>
      <c r="L27" s="826">
        <f>SUM('3.c. sz. mell '!L27)</f>
        <v>0</v>
      </c>
      <c r="M27" s="826">
        <f>SUM('3.c. sz. mell '!M27)</f>
        <v>0</v>
      </c>
      <c r="N27" s="139" t="s">
        <v>875</v>
      </c>
    </row>
    <row r="28" spans="1:14" s="145" customFormat="1" ht="30.75" customHeight="1" thickBot="1" x14ac:dyDescent="0.25">
      <c r="A28" s="134" t="s">
        <v>79</v>
      </c>
      <c r="B28" s="148"/>
      <c r="C28" s="890" t="s">
        <v>294</v>
      </c>
      <c r="D28" s="483"/>
      <c r="E28" s="483"/>
      <c r="F28" s="905">
        <f>SUM(F29:F31)</f>
        <v>0</v>
      </c>
      <c r="G28" s="1382">
        <f t="shared" si="0"/>
        <v>0</v>
      </c>
      <c r="H28" s="905">
        <f>SUM(H29:H31)</f>
        <v>0</v>
      </c>
      <c r="I28" s="1602"/>
      <c r="J28" s="905">
        <f>SUM(J29:J31)</f>
        <v>0</v>
      </c>
      <c r="K28" s="3450"/>
      <c r="L28" s="905">
        <f>SUM(L29:L31)</f>
        <v>0</v>
      </c>
      <c r="M28" s="905">
        <f>SUM(M29:M31)</f>
        <v>0</v>
      </c>
      <c r="N28" s="139"/>
    </row>
    <row r="29" spans="1:14" s="145" customFormat="1" ht="18.75" customHeight="1" thickBot="1" x14ac:dyDescent="0.25">
      <c r="A29" s="134" t="s">
        <v>89</v>
      </c>
      <c r="B29" s="148"/>
      <c r="C29" s="891" t="s">
        <v>271</v>
      </c>
      <c r="D29" s="483"/>
      <c r="E29" s="483"/>
      <c r="F29" s="826">
        <f>SUM('3.c. sz. mell '!F28)</f>
        <v>0</v>
      </c>
      <c r="G29" s="1382">
        <f t="shared" si="0"/>
        <v>0</v>
      </c>
      <c r="H29" s="826">
        <f>SUM('3.c. sz. mell '!H28)</f>
        <v>0</v>
      </c>
      <c r="I29" s="1407"/>
      <c r="J29" s="826">
        <f>SUM('3.c. sz. mell '!J28)</f>
        <v>0</v>
      </c>
      <c r="K29" s="3375"/>
      <c r="L29" s="826">
        <f>SUM('3.c. sz. mell '!L28)</f>
        <v>0</v>
      </c>
      <c r="M29" s="826">
        <f>SUM('3.c. sz. mell '!M28)</f>
        <v>0</v>
      </c>
      <c r="N29" s="139"/>
    </row>
    <row r="30" spans="1:14" s="145" customFormat="1" ht="18.75" customHeight="1" thickBot="1" x14ac:dyDescent="0.25">
      <c r="A30" s="134" t="s">
        <v>99</v>
      </c>
      <c r="B30" s="148"/>
      <c r="C30" s="891" t="s">
        <v>295</v>
      </c>
      <c r="D30" s="483"/>
      <c r="E30" s="483"/>
      <c r="F30" s="826">
        <f>SUM('3.c. sz. mell '!F29)</f>
        <v>0</v>
      </c>
      <c r="G30" s="1382">
        <f t="shared" si="0"/>
        <v>0</v>
      </c>
      <c r="H30" s="826">
        <f>SUM('3.c. sz. mell '!H29)</f>
        <v>0</v>
      </c>
      <c r="I30" s="1407"/>
      <c r="J30" s="826">
        <f>SUM('3.c. sz. mell '!J29)</f>
        <v>0</v>
      </c>
      <c r="K30" s="3375"/>
      <c r="L30" s="826">
        <f>SUM('3.c. sz. mell '!L29)</f>
        <v>0</v>
      </c>
      <c r="M30" s="826">
        <f>SUM('3.c. sz. mell '!M29)</f>
        <v>0</v>
      </c>
      <c r="N30" s="139"/>
    </row>
    <row r="31" spans="1:14" s="145" customFormat="1" ht="18.75" customHeight="1" thickBot="1" x14ac:dyDescent="0.25">
      <c r="A31" s="134" t="s">
        <v>101</v>
      </c>
      <c r="B31" s="148"/>
      <c r="C31" s="891" t="s">
        <v>296</v>
      </c>
      <c r="D31" s="483"/>
      <c r="E31" s="483"/>
      <c r="F31" s="826">
        <f>SUM('3.c. sz. mell '!F30)</f>
        <v>0</v>
      </c>
      <c r="G31" s="1382">
        <f t="shared" si="0"/>
        <v>0</v>
      </c>
      <c r="H31" s="826">
        <f>SUM('3.c. sz. mell '!H30)</f>
        <v>0</v>
      </c>
      <c r="I31" s="1407"/>
      <c r="J31" s="826">
        <f>SUM('3.c. sz. mell '!J30)</f>
        <v>0</v>
      </c>
      <c r="K31" s="3375"/>
      <c r="L31" s="826">
        <f>SUM('3.c. sz. mell '!L30)</f>
        <v>0</v>
      </c>
      <c r="M31" s="826">
        <f>SUM('3.c. sz. mell '!M30)</f>
        <v>0</v>
      </c>
      <c r="N31" s="139"/>
    </row>
    <row r="32" spans="1:14" s="145" customFormat="1" ht="21.75" customHeight="1" thickBot="1" x14ac:dyDescent="0.25">
      <c r="A32" s="134" t="s">
        <v>109</v>
      </c>
      <c r="B32" s="148"/>
      <c r="C32" s="890" t="s">
        <v>297</v>
      </c>
      <c r="D32" s="483"/>
      <c r="E32" s="483"/>
      <c r="F32" s="905">
        <f>SUM(F33)</f>
        <v>253084025</v>
      </c>
      <c r="G32" s="1382">
        <f t="shared" si="0"/>
        <v>56848196</v>
      </c>
      <c r="H32" s="905">
        <f>SUM(H33)</f>
        <v>309932221</v>
      </c>
      <c r="I32" s="1602"/>
      <c r="J32" s="905">
        <f>SUM(J33)</f>
        <v>267407424</v>
      </c>
      <c r="K32" s="3450">
        <f>SUM(L32-J32)</f>
        <v>0</v>
      </c>
      <c r="L32" s="905">
        <f>SUM(L33)</f>
        <v>267407424</v>
      </c>
      <c r="M32" s="905">
        <f>SUM(M33)</f>
        <v>265849573</v>
      </c>
      <c r="N32" s="139"/>
    </row>
    <row r="33" spans="1:20" s="145" customFormat="1" ht="16.5" customHeight="1" thickBot="1" x14ac:dyDescent="0.25">
      <c r="A33" s="134" t="s">
        <v>119</v>
      </c>
      <c r="B33" s="148"/>
      <c r="C33" s="891" t="s">
        <v>298</v>
      </c>
      <c r="D33" s="483"/>
      <c r="E33" s="483"/>
      <c r="F33" s="826">
        <f>SUM(F36:F40)</f>
        <v>253084025</v>
      </c>
      <c r="G33" s="1382">
        <f t="shared" si="0"/>
        <v>56848196</v>
      </c>
      <c r="H33" s="826">
        <f>SUM(H36:H40)</f>
        <v>309932221</v>
      </c>
      <c r="I33" s="1407"/>
      <c r="J33" s="826">
        <f>SUM(J36:J40)</f>
        <v>267407424</v>
      </c>
      <c r="K33" s="3375">
        <f>SUM(L33-J33)</f>
        <v>0</v>
      </c>
      <c r="L33" s="826">
        <f>SUM(L36:L40)</f>
        <v>267407424</v>
      </c>
      <c r="M33" s="826">
        <f>SUM(M36:M40)</f>
        <v>265849573</v>
      </c>
      <c r="N33" s="139"/>
    </row>
    <row r="34" spans="1:20" s="145" customFormat="1" ht="16.5" customHeight="1" x14ac:dyDescent="0.2">
      <c r="A34" s="149" t="s">
        <v>125</v>
      </c>
      <c r="B34" s="889"/>
      <c r="C34" s="894" t="s">
        <v>102</v>
      </c>
      <c r="D34" s="824"/>
      <c r="E34" s="824"/>
      <c r="F34" s="906"/>
      <c r="G34" s="2802"/>
      <c r="H34" s="906"/>
      <c r="I34" s="1603"/>
      <c r="J34" s="906"/>
      <c r="K34" s="3451"/>
      <c r="L34" s="906"/>
      <c r="M34" s="906"/>
      <c r="N34" s="139"/>
    </row>
    <row r="35" spans="1:20" s="145" customFormat="1" ht="16.5" customHeight="1" x14ac:dyDescent="0.2">
      <c r="A35" s="142" t="s">
        <v>133</v>
      </c>
      <c r="B35" s="143"/>
      <c r="C35" s="894" t="s">
        <v>110</v>
      </c>
      <c r="D35" s="824"/>
      <c r="E35" s="824"/>
      <c r="F35" s="907"/>
      <c r="G35" s="2458"/>
      <c r="H35" s="907"/>
      <c r="I35" s="1503"/>
      <c r="J35" s="907"/>
      <c r="K35" s="3412"/>
      <c r="L35" s="907"/>
      <c r="M35" s="907"/>
      <c r="N35" s="139"/>
    </row>
    <row r="36" spans="1:20" s="145" customFormat="1" ht="16.5" customHeight="1" x14ac:dyDescent="0.2">
      <c r="A36" s="142" t="s">
        <v>143</v>
      </c>
      <c r="B36" s="143"/>
      <c r="C36" s="894" t="s">
        <v>120</v>
      </c>
      <c r="D36" s="824"/>
      <c r="E36" s="824"/>
      <c r="F36" s="907"/>
      <c r="G36" s="2458"/>
      <c r="H36" s="907"/>
      <c r="I36" s="1503"/>
      <c r="J36" s="907"/>
      <c r="K36" s="3412"/>
      <c r="L36" s="907"/>
      <c r="M36" s="907"/>
      <c r="N36" s="139"/>
    </row>
    <row r="37" spans="1:20" s="145" customFormat="1" ht="16.5" customHeight="1" x14ac:dyDescent="0.2">
      <c r="A37" s="142"/>
      <c r="B37" s="143" t="s">
        <v>608</v>
      </c>
      <c r="C37" s="895" t="s">
        <v>803</v>
      </c>
      <c r="D37" s="824"/>
      <c r="E37" s="824"/>
      <c r="F37" s="907"/>
      <c r="G37" s="2458"/>
      <c r="H37" s="907"/>
      <c r="I37" s="1503"/>
      <c r="J37" s="907"/>
      <c r="K37" s="3412"/>
      <c r="L37" s="907"/>
      <c r="M37" s="907"/>
      <c r="N37" s="139"/>
    </row>
    <row r="38" spans="1:20" s="145" customFormat="1" ht="16.5" customHeight="1" x14ac:dyDescent="0.2">
      <c r="A38" s="142"/>
      <c r="B38" s="143" t="s">
        <v>825</v>
      </c>
      <c r="C38" s="895" t="s">
        <v>804</v>
      </c>
      <c r="D38" s="824"/>
      <c r="E38" s="824"/>
      <c r="F38" s="907"/>
      <c r="G38" s="2458"/>
      <c r="H38" s="907"/>
      <c r="I38" s="1503"/>
      <c r="J38" s="907"/>
      <c r="K38" s="3412"/>
      <c r="L38" s="907"/>
      <c r="M38" s="907"/>
      <c r="N38" s="139"/>
    </row>
    <row r="39" spans="1:20" s="145" customFormat="1" ht="16.5" customHeight="1" x14ac:dyDescent="0.2">
      <c r="A39" s="142" t="s">
        <v>145</v>
      </c>
      <c r="B39" s="143"/>
      <c r="C39" s="894" t="s">
        <v>126</v>
      </c>
      <c r="D39" s="824"/>
      <c r="E39" s="824"/>
      <c r="F39" s="907"/>
      <c r="G39" s="2458"/>
      <c r="H39" s="907"/>
      <c r="I39" s="1503"/>
      <c r="J39" s="907"/>
      <c r="K39" s="3412"/>
      <c r="L39" s="907"/>
      <c r="M39" s="907"/>
      <c r="N39" s="4460" t="s">
        <v>521</v>
      </c>
      <c r="O39" s="4460" t="s">
        <v>1064</v>
      </c>
      <c r="P39" s="4460" t="s">
        <v>1065</v>
      </c>
      <c r="Q39" s="4460" t="s">
        <v>1062</v>
      </c>
      <c r="R39" s="4460" t="s">
        <v>769</v>
      </c>
      <c r="S39" s="673"/>
      <c r="T39" s="673"/>
    </row>
    <row r="40" spans="1:20" s="145" customFormat="1" ht="16.5" customHeight="1" thickBot="1" x14ac:dyDescent="0.25">
      <c r="A40" s="178" t="s">
        <v>147</v>
      </c>
      <c r="B40" s="152"/>
      <c r="C40" s="896" t="s">
        <v>245</v>
      </c>
      <c r="D40" s="824"/>
      <c r="E40" s="824"/>
      <c r="F40" s="908">
        <f>SUM('4.c. sz. mell.'!F40+'5.c sz. mell.'!F39)</f>
        <v>253084025</v>
      </c>
      <c r="G40" s="2694">
        <f>SUM(H40-F40)</f>
        <v>56848196</v>
      </c>
      <c r="H40" s="908">
        <f>SUM('4.c. sz. mell.'!H40+'5.c sz. mell.'!H39)</f>
        <v>309932221</v>
      </c>
      <c r="I40" s="2694">
        <f>SUM('4.c. sz. mell.'!I40+'5.c sz. mell.'!I39)</f>
        <v>-42524797</v>
      </c>
      <c r="J40" s="908">
        <f>SUM('4.c. sz. mell.'!J40+'5.c sz. mell.'!J39)</f>
        <v>267407424</v>
      </c>
      <c r="K40" s="3452">
        <f>SUM('4.c. sz. mell.'!K40+'5.c sz. mell.'!K39)</f>
        <v>0</v>
      </c>
      <c r="L40" s="908">
        <f>SUM('4.c. sz. mell.'!L40+'5.c sz. mell.'!L39)</f>
        <v>267407424</v>
      </c>
      <c r="M40" s="908">
        <f>SUM('4.c. sz. mell.'!M40+'5.c sz. mell.'!M39)</f>
        <v>265849573</v>
      </c>
      <c r="N40" s="4460"/>
      <c r="O40" s="4460"/>
      <c r="P40" s="4460"/>
      <c r="Q40" s="4460"/>
      <c r="R40" s="4460"/>
      <c r="S40" s="673"/>
      <c r="T40" s="673"/>
    </row>
    <row r="41" spans="1:20" s="145" customFormat="1" ht="16.5" customHeight="1" thickBot="1" x14ac:dyDescent="0.25">
      <c r="A41" s="134" t="s">
        <v>143</v>
      </c>
      <c r="B41" s="154"/>
      <c r="C41" s="897" t="s">
        <v>299</v>
      </c>
      <c r="D41" s="824"/>
      <c r="E41" s="824"/>
      <c r="F41" s="912">
        <f>SUM(F7+F28+F32)</f>
        <v>506168050</v>
      </c>
      <c r="G41" s="2803">
        <f>SUM(H41-F41)</f>
        <v>113696392</v>
      </c>
      <c r="H41" s="912">
        <f>SUM(H7+H28+H32)</f>
        <v>619864442</v>
      </c>
      <c r="I41" s="1604">
        <f>SUM(J41-H41)</f>
        <v>-85049594</v>
      </c>
      <c r="J41" s="912">
        <f>SUM(J7+J28+J32)</f>
        <v>534814848</v>
      </c>
      <c r="K41" s="3453">
        <f>SUM(L41-J41)</f>
        <v>0</v>
      </c>
      <c r="L41" s="912">
        <f>SUM(L7+L28+L32)</f>
        <v>534814848</v>
      </c>
      <c r="M41" s="912">
        <f>SUM(M7+M28+M32)</f>
        <v>531699146</v>
      </c>
      <c r="N41" s="1305"/>
      <c r="O41" s="1305">
        <f>SUM(H41-H87)</f>
        <v>0</v>
      </c>
      <c r="P41" s="1305">
        <f>SUM(J41-J87)</f>
        <v>0</v>
      </c>
      <c r="Q41" s="1305">
        <f>SUM(L41-L87)</f>
        <v>0</v>
      </c>
      <c r="R41" s="1305">
        <f>SUM(M41-M87)</f>
        <v>0</v>
      </c>
      <c r="S41" s="673"/>
    </row>
    <row r="42" spans="1:20" s="145" customFormat="1" ht="16.5" customHeight="1" thickBot="1" x14ac:dyDescent="0.25">
      <c r="A42" s="134" t="s">
        <v>145</v>
      </c>
      <c r="B42" s="157"/>
      <c r="C42" s="891" t="s">
        <v>300</v>
      </c>
      <c r="D42" s="824"/>
      <c r="E42" s="824"/>
      <c r="F42" s="826">
        <f>SUM(F40)</f>
        <v>253084025</v>
      </c>
      <c r="G42" s="1382">
        <f>SUM(H42-F42)</f>
        <v>56848196</v>
      </c>
      <c r="H42" s="826">
        <f>SUM(H40)</f>
        <v>309932221</v>
      </c>
      <c r="I42" s="1407">
        <f>SUM(J42-H42)</f>
        <v>-42524797</v>
      </c>
      <c r="J42" s="826">
        <f>SUM(J40)</f>
        <v>267407424</v>
      </c>
      <c r="K42" s="3375">
        <f>SUM(L42-J42)</f>
        <v>0</v>
      </c>
      <c r="L42" s="826">
        <f>SUM(L40)</f>
        <v>267407424</v>
      </c>
      <c r="M42" s="826">
        <f>SUM(M40)</f>
        <v>265849573</v>
      </c>
      <c r="N42" s="2014"/>
      <c r="O42" s="673"/>
      <c r="P42" s="673"/>
      <c r="Q42" s="673"/>
      <c r="R42" s="673"/>
      <c r="S42" s="673"/>
      <c r="T42" s="673"/>
    </row>
    <row r="43" spans="1:20" s="145" customFormat="1" ht="21" customHeight="1" thickBot="1" x14ac:dyDescent="0.25">
      <c r="A43" s="134" t="s">
        <v>147</v>
      </c>
      <c r="B43" s="160"/>
      <c r="C43" s="898" t="s">
        <v>301</v>
      </c>
      <c r="D43" s="545" t="e">
        <f>+#REF!+#REF!+#REF!</f>
        <v>#REF!</v>
      </c>
      <c r="E43" s="545" t="e">
        <f>+#REF!+#REF!+#REF!</f>
        <v>#REF!</v>
      </c>
      <c r="F43" s="545">
        <f>SUM(F7+F28+F32-F42)</f>
        <v>253084025</v>
      </c>
      <c r="G43" s="2804">
        <f>SUM(H43-F43)</f>
        <v>56848196</v>
      </c>
      <c r="H43" s="545">
        <f>SUM(H7+H28+H32-H42)</f>
        <v>309932221</v>
      </c>
      <c r="I43" s="1608">
        <f>SUM(J43-H43)</f>
        <v>-42524797</v>
      </c>
      <c r="J43" s="545">
        <f>SUM(J7+J28+J32-J42)</f>
        <v>267407424</v>
      </c>
      <c r="K43" s="3454">
        <f>SUM(L43-J43)</f>
        <v>0</v>
      </c>
      <c r="L43" s="545">
        <f>SUM(L7+L28+L32-L42)</f>
        <v>267407424</v>
      </c>
      <c r="M43" s="545">
        <f>SUM(M7+M28+M32-M42)</f>
        <v>265849573</v>
      </c>
      <c r="N43" s="2014">
        <f>SUM(F89-F43)</f>
        <v>0</v>
      </c>
      <c r="O43" s="1305"/>
      <c r="P43" s="1305"/>
      <c r="Q43" s="673"/>
      <c r="R43" s="673"/>
      <c r="S43" s="673"/>
      <c r="T43" s="673"/>
    </row>
    <row r="44" spans="1:20" s="145" customFormat="1" ht="15" customHeight="1" thickBot="1" x14ac:dyDescent="0.25">
      <c r="A44" s="880"/>
      <c r="B44" s="163"/>
      <c r="C44" s="164"/>
      <c r="D44" s="857"/>
      <c r="E44" s="868"/>
      <c r="F44" s="753"/>
      <c r="G44" s="1532"/>
      <c r="H44" s="1563"/>
      <c r="I44" s="1532"/>
      <c r="J44" s="1563"/>
      <c r="K44" s="1532"/>
      <c r="L44" s="859"/>
      <c r="M44" s="881"/>
      <c r="N44" s="139"/>
    </row>
    <row r="45" spans="1:20" s="129" customFormat="1" ht="20.25" customHeight="1" thickBot="1" x14ac:dyDescent="0.25">
      <c r="A45" s="166"/>
      <c r="B45" s="167"/>
      <c r="C45" s="168" t="s">
        <v>231</v>
      </c>
      <c r="D45" s="909"/>
      <c r="E45" s="1610"/>
      <c r="F45" s="1599"/>
      <c r="G45" s="1611"/>
      <c r="H45" s="1611"/>
      <c r="I45" s="1611"/>
      <c r="J45" s="1611"/>
      <c r="K45" s="1611"/>
      <c r="L45" s="1611"/>
      <c r="M45" s="169"/>
      <c r="N45" s="139"/>
    </row>
    <row r="46" spans="1:20" s="172" customFormat="1" ht="15" customHeight="1" thickBot="1" x14ac:dyDescent="0.25">
      <c r="A46" s="134" t="s">
        <v>3</v>
      </c>
      <c r="B46" s="170"/>
      <c r="C46" s="171" t="s">
        <v>1161</v>
      </c>
      <c r="D46" s="826" t="e">
        <f>SUM(D47:D51)+D60</f>
        <v>#REF!</v>
      </c>
      <c r="E46" s="826" t="e">
        <f>SUM(E47:E51)+E60</f>
        <v>#REF!</v>
      </c>
      <c r="F46" s="826">
        <f>SUM(F47:F51)</f>
        <v>253084025</v>
      </c>
      <c r="G46" s="1382">
        <f>SUM(H46-F46)</f>
        <v>56848196</v>
      </c>
      <c r="H46" s="826">
        <f>SUM(H47:H51)</f>
        <v>309932221</v>
      </c>
      <c r="I46" s="1407">
        <f>SUM(J46-H46)</f>
        <v>-42524797</v>
      </c>
      <c r="J46" s="826">
        <f>SUM(J47:J51)</f>
        <v>267407424</v>
      </c>
      <c r="K46" s="3375">
        <f>SUM(L46-J46)</f>
        <v>0</v>
      </c>
      <c r="L46" s="826">
        <f>SUM(L47:L51)</f>
        <v>267407424</v>
      </c>
      <c r="M46" s="826">
        <f>SUM(M47:M51)</f>
        <v>265849573</v>
      </c>
      <c r="N46" s="139"/>
    </row>
    <row r="47" spans="1:20" ht="15" customHeight="1" x14ac:dyDescent="0.2">
      <c r="A47" s="173"/>
      <c r="B47" s="174" t="s">
        <v>152</v>
      </c>
      <c r="C47" s="812" t="s">
        <v>153</v>
      </c>
      <c r="D47" s="831" t="e">
        <f>SUM(#REF!+#REF!+#REF!+#REF!)</f>
        <v>#REF!</v>
      </c>
      <c r="E47" s="831" t="e">
        <f>SUM(#REF!+#REF!+#REF!+#REF!)</f>
        <v>#REF!</v>
      </c>
      <c r="F47" s="831">
        <f>SUM('3.c. sz. mell '!F37+'4.c. sz. mell.'!F47)</f>
        <v>170349907</v>
      </c>
      <c r="G47" s="1432"/>
      <c r="H47" s="831">
        <f>SUM('3.c. sz. mell '!H37+'4.c. sz. mell.'!H47)</f>
        <v>219897352</v>
      </c>
      <c r="I47" s="1432">
        <f>SUM('3.c. sz. mell '!I37+'4.c. sz. mell.'!I47)</f>
        <v>-23418263</v>
      </c>
      <c r="J47" s="831">
        <f>SUM('3.c. sz. mell '!J37+'4.c. sz. mell.'!J47)</f>
        <v>196479089</v>
      </c>
      <c r="K47" s="3381">
        <f>SUM('3.c. sz. mell '!K37+'4.c. sz. mell.'!K47)</f>
        <v>0</v>
      </c>
      <c r="L47" s="831">
        <f>SUM('3.c. sz. mell '!L37+'4.c. sz. mell.'!L47)</f>
        <v>196479089</v>
      </c>
      <c r="M47" s="831">
        <f>SUM('3.c. sz. mell '!M37+'4.c. sz. mell.'!M47)</f>
        <v>196479089</v>
      </c>
      <c r="N47" s="139"/>
    </row>
    <row r="48" spans="1:20" ht="15" customHeight="1" x14ac:dyDescent="0.2">
      <c r="A48" s="142"/>
      <c r="B48" s="176" t="s">
        <v>154</v>
      </c>
      <c r="C48" s="812" t="s">
        <v>155</v>
      </c>
      <c r="D48" s="483" t="e">
        <f>SUM(#REF!+#REF!+#REF!+#REF!+#REF!)</f>
        <v>#REF!</v>
      </c>
      <c r="E48" s="483" t="e">
        <f>SUM(#REF!+#REF!+#REF!+#REF!+#REF!)</f>
        <v>#REF!</v>
      </c>
      <c r="F48" s="831">
        <f>SUM('3.c. sz. mell '!F38+'4.c. sz. mell.'!F48)</f>
        <v>36041456</v>
      </c>
      <c r="G48" s="1432"/>
      <c r="H48" s="831">
        <f>SUM('3.c. sz. mell '!H38+'4.c. sz. mell.'!H48)</f>
        <v>45957434</v>
      </c>
      <c r="I48" s="1411">
        <f>SUM('3.c. sz. mell '!I38+'4.c. sz. mell.'!I48)</f>
        <v>-8193203</v>
      </c>
      <c r="J48" s="831">
        <f>SUM('3.c. sz. mell '!J38+'4.c. sz. mell.'!J48)</f>
        <v>37764231</v>
      </c>
      <c r="K48" s="3381">
        <f>SUM('3.c. sz. mell '!K38+'4.c. sz. mell.'!K48)</f>
        <v>0</v>
      </c>
      <c r="L48" s="831">
        <f>SUM('3.c. sz. mell '!L38+'4.c. sz. mell.'!L48)</f>
        <v>37764231</v>
      </c>
      <c r="M48" s="831">
        <f>SUM('3.c. sz. mell '!M38+'4.c. sz. mell.'!M48)</f>
        <v>37764231</v>
      </c>
      <c r="N48" s="139"/>
    </row>
    <row r="49" spans="1:14" ht="15" customHeight="1" x14ac:dyDescent="0.2">
      <c r="A49" s="142"/>
      <c r="B49" s="176" t="s">
        <v>156</v>
      </c>
      <c r="C49" s="812" t="s">
        <v>157</v>
      </c>
      <c r="D49" s="483" t="e">
        <f>SUM(#REF!+#REF!+#REF!+#REF!+#REF!+#REF!+#REF!+#REF!+#REF!+#REF!+#REF!+#REF!+#REF!)</f>
        <v>#REF!</v>
      </c>
      <c r="E49" s="483" t="e">
        <f>SUM(#REF!+#REF!+#REF!+#REF!+#REF!+#REF!+#REF!+#REF!+#REF!+#REF!+#REF!+#REF!+#REF!)</f>
        <v>#REF!</v>
      </c>
      <c r="F49" s="831">
        <f>SUM('3.c. sz. mell '!F39+'4.c. sz. mell.'!F49)</f>
        <v>46692662</v>
      </c>
      <c r="G49" s="1432"/>
      <c r="H49" s="831">
        <f>SUM('3.c. sz. mell '!H39+'4.c. sz. mell.'!H49)</f>
        <v>44077435</v>
      </c>
      <c r="I49" s="1411">
        <f>SUM('3.c. sz. mell '!I39+'4.c. sz. mell.'!I49)</f>
        <v>-10913331</v>
      </c>
      <c r="J49" s="831">
        <f>SUM('3.c. sz. mell '!J39+'4.c. sz. mell.'!J49)</f>
        <v>33164104</v>
      </c>
      <c r="K49" s="3381">
        <f>SUM('3.c. sz. mell '!K39+'4.c. sz. mell.'!K49)</f>
        <v>0</v>
      </c>
      <c r="L49" s="831">
        <f>SUM('3.c. sz. mell '!L39+'4.c. sz. mell.'!L49)</f>
        <v>33164104</v>
      </c>
      <c r="M49" s="831">
        <f>SUM('3.c. sz. mell '!M39+'4.c. sz. mell.'!M49)</f>
        <v>31606253</v>
      </c>
      <c r="N49" s="139"/>
    </row>
    <row r="50" spans="1:14" ht="15" customHeight="1" x14ac:dyDescent="0.2">
      <c r="A50" s="142"/>
      <c r="B50" s="176" t="s">
        <v>158</v>
      </c>
      <c r="C50" s="812" t="s">
        <v>159</v>
      </c>
      <c r="D50" s="483" t="e">
        <f>SUM(#REF!)</f>
        <v>#REF!</v>
      </c>
      <c r="E50" s="483" t="e">
        <f>SUM(#REF!)</f>
        <v>#REF!</v>
      </c>
      <c r="F50" s="831">
        <f>SUM('3.c. sz. mell '!F40+'4.c. sz. mell.'!F53)</f>
        <v>0</v>
      </c>
      <c r="G50" s="1432">
        <f>SUM(H50-F50)</f>
        <v>0</v>
      </c>
      <c r="H50" s="831">
        <f>SUM('3.c. sz. mell '!H40+'4.c. sz. mell.'!G53)</f>
        <v>0</v>
      </c>
      <c r="I50" s="1411">
        <f>SUM(J50-H50)</f>
        <v>0</v>
      </c>
      <c r="J50" s="831">
        <f>SUM('3.c. sz. mell '!J40+'4.c. sz. mell.'!I53)</f>
        <v>0</v>
      </c>
      <c r="K50" s="3381">
        <f>SUM(L50-J50)</f>
        <v>0</v>
      </c>
      <c r="L50" s="831">
        <f>SUM('3.c. sz. mell '!L40+'4.c. sz. mell.'!K53)</f>
        <v>0</v>
      </c>
      <c r="M50" s="831">
        <f>SUM('3.c. sz. mell '!M40+'4.c. sz. mell.'!M53)</f>
        <v>0</v>
      </c>
      <c r="N50" s="139"/>
    </row>
    <row r="51" spans="1:14" ht="15" customHeight="1" x14ac:dyDescent="0.2">
      <c r="A51" s="142"/>
      <c r="B51" s="176" t="s">
        <v>160</v>
      </c>
      <c r="C51" s="812" t="s">
        <v>161</v>
      </c>
      <c r="D51" s="483" t="e">
        <f>SUM(D52:D59)</f>
        <v>#REF!</v>
      </c>
      <c r="E51" s="483" t="e">
        <f>SUM(E52:E59)</f>
        <v>#REF!</v>
      </c>
      <c r="F51" s="483">
        <f>SUM(F52:F59)</f>
        <v>0</v>
      </c>
      <c r="G51" s="1415"/>
      <c r="H51" s="483">
        <f>SUM(H52:H59)</f>
        <v>0</v>
      </c>
      <c r="I51" s="1404"/>
      <c r="J51" s="483">
        <f>SUM(J52:J59)</f>
        <v>0</v>
      </c>
      <c r="K51" s="3351"/>
      <c r="L51" s="483">
        <f>SUM(L52:L59)</f>
        <v>0</v>
      </c>
      <c r="M51" s="483">
        <f>SUM(M52:M59)</f>
        <v>0</v>
      </c>
      <c r="N51" s="139"/>
    </row>
    <row r="52" spans="1:14" ht="15" customHeight="1" x14ac:dyDescent="0.2">
      <c r="A52" s="142"/>
      <c r="B52" s="176" t="s">
        <v>302</v>
      </c>
      <c r="C52" s="899" t="s">
        <v>303</v>
      </c>
      <c r="D52" s="483"/>
      <c r="E52" s="483"/>
      <c r="F52" s="483"/>
      <c r="G52" s="1415"/>
      <c r="H52" s="483"/>
      <c r="I52" s="1404"/>
      <c r="J52" s="483"/>
      <c r="K52" s="3351"/>
      <c r="L52" s="483"/>
      <c r="M52" s="483"/>
      <c r="N52" s="139"/>
    </row>
    <row r="53" spans="1:14" ht="15" customHeight="1" x14ac:dyDescent="0.2">
      <c r="A53" s="142"/>
      <c r="B53" s="176" t="s">
        <v>304</v>
      </c>
      <c r="C53" s="899" t="s">
        <v>305</v>
      </c>
      <c r="D53" s="483"/>
      <c r="E53" s="483"/>
      <c r="F53" s="483"/>
      <c r="G53" s="1415"/>
      <c r="H53" s="483"/>
      <c r="I53" s="1404"/>
      <c r="J53" s="483"/>
      <c r="K53" s="3351"/>
      <c r="L53" s="483"/>
      <c r="M53" s="483"/>
      <c r="N53" s="139"/>
    </row>
    <row r="54" spans="1:14" ht="15" customHeight="1" thickBot="1" x14ac:dyDescent="0.25">
      <c r="A54" s="142"/>
      <c r="B54" s="176" t="s">
        <v>306</v>
      </c>
      <c r="C54" s="899" t="s">
        <v>307</v>
      </c>
      <c r="D54" s="483"/>
      <c r="E54" s="483"/>
      <c r="F54" s="483"/>
      <c r="G54" s="1415"/>
      <c r="H54" s="483"/>
      <c r="I54" s="1404"/>
      <c r="J54" s="483"/>
      <c r="K54" s="3351"/>
      <c r="L54" s="483"/>
      <c r="M54" s="483"/>
      <c r="N54" s="139"/>
    </row>
    <row r="55" spans="1:14" ht="12.75" hidden="1" customHeight="1" x14ac:dyDescent="0.2">
      <c r="A55" s="142"/>
      <c r="B55" s="176"/>
      <c r="C55" s="899"/>
      <c r="D55" s="483" t="e">
        <f>SUM(#REF!)</f>
        <v>#REF!</v>
      </c>
      <c r="E55" s="483" t="e">
        <f>SUM(#REF!)-#REF!-#REF!</f>
        <v>#REF!</v>
      </c>
      <c r="F55" s="483"/>
      <c r="G55" s="1415"/>
      <c r="H55" s="483"/>
      <c r="I55" s="1404"/>
      <c r="J55" s="483"/>
      <c r="K55" s="3351"/>
      <c r="L55" s="483"/>
      <c r="M55" s="483"/>
      <c r="N55" s="139"/>
    </row>
    <row r="56" spans="1:14" ht="12.75" hidden="1" customHeight="1" x14ac:dyDescent="0.2">
      <c r="A56" s="142"/>
      <c r="B56" s="176"/>
      <c r="C56" s="899"/>
      <c r="D56" s="483"/>
      <c r="E56" s="483" t="e">
        <f>#REF!+#REF!+#REF!</f>
        <v>#REF!</v>
      </c>
      <c r="F56" s="483"/>
      <c r="G56" s="1415"/>
      <c r="H56" s="483"/>
      <c r="I56" s="1404"/>
      <c r="J56" s="483"/>
      <c r="K56" s="3351"/>
      <c r="L56" s="483"/>
      <c r="M56" s="483"/>
      <c r="N56" s="139"/>
    </row>
    <row r="57" spans="1:14" ht="12.75" hidden="1" customHeight="1" x14ac:dyDescent="0.2">
      <c r="A57" s="142"/>
      <c r="B57" s="176"/>
      <c r="C57" s="899"/>
      <c r="D57" s="483"/>
      <c r="E57" s="483"/>
      <c r="F57" s="483"/>
      <c r="G57" s="1415"/>
      <c r="H57" s="483"/>
      <c r="I57" s="1404"/>
      <c r="J57" s="483"/>
      <c r="K57" s="3351"/>
      <c r="L57" s="483"/>
      <c r="M57" s="483"/>
      <c r="N57" s="139"/>
    </row>
    <row r="58" spans="1:14" ht="12.75" hidden="1" customHeight="1" x14ac:dyDescent="0.2">
      <c r="A58" s="142"/>
      <c r="B58" s="176"/>
      <c r="C58" s="899"/>
      <c r="D58" s="483" t="e">
        <f>SUM(#REF!)</f>
        <v>#REF!</v>
      </c>
      <c r="E58" s="483" t="e">
        <f>SUM(#REF!)</f>
        <v>#REF!</v>
      </c>
      <c r="F58" s="483"/>
      <c r="G58" s="1415"/>
      <c r="H58" s="483"/>
      <c r="I58" s="1404"/>
      <c r="J58" s="483"/>
      <c r="K58" s="3351"/>
      <c r="L58" s="483"/>
      <c r="M58" s="483"/>
      <c r="N58" s="139"/>
    </row>
    <row r="59" spans="1:14" ht="12.75" hidden="1" customHeight="1" x14ac:dyDescent="0.2">
      <c r="A59" s="151"/>
      <c r="B59" s="176"/>
      <c r="C59" s="899"/>
      <c r="D59" s="825"/>
      <c r="E59" s="825"/>
      <c r="F59" s="825"/>
      <c r="G59" s="1518"/>
      <c r="H59" s="825"/>
      <c r="I59" s="1406"/>
      <c r="J59" s="825"/>
      <c r="K59" s="3349"/>
      <c r="L59" s="825"/>
      <c r="M59" s="825"/>
      <c r="N59" s="139"/>
    </row>
    <row r="60" spans="1:14" ht="12.75" hidden="1" customHeight="1" x14ac:dyDescent="0.2">
      <c r="A60" s="178"/>
      <c r="B60" s="179"/>
      <c r="C60" s="840"/>
      <c r="D60" s="855" t="e">
        <f>SUM(#REF!)</f>
        <v>#REF!</v>
      </c>
      <c r="E60" s="855" t="e">
        <f>#REF!</f>
        <v>#REF!</v>
      </c>
      <c r="F60" s="855"/>
      <c r="G60" s="2762"/>
      <c r="H60" s="855"/>
      <c r="I60" s="1556"/>
      <c r="J60" s="855"/>
      <c r="K60" s="3420"/>
      <c r="L60" s="855"/>
      <c r="M60" s="855"/>
      <c r="N60" s="139"/>
    </row>
    <row r="61" spans="1:14" ht="15" customHeight="1" thickBot="1" x14ac:dyDescent="0.25">
      <c r="A61" s="134" t="s">
        <v>17</v>
      </c>
      <c r="B61" s="170"/>
      <c r="C61" s="817" t="s">
        <v>308</v>
      </c>
      <c r="D61" s="826" t="e">
        <f>SUM(D62:D64)</f>
        <v>#REF!</v>
      </c>
      <c r="E61" s="826" t="e">
        <f>SUM(E62:E64)</f>
        <v>#REF!</v>
      </c>
      <c r="F61" s="826">
        <f>SUM(F62:F64)</f>
        <v>0</v>
      </c>
      <c r="G61" s="1382"/>
      <c r="H61" s="826">
        <f>SUM(H62:H64)</f>
        <v>0</v>
      </c>
      <c r="I61" s="1407"/>
      <c r="J61" s="826">
        <f>SUM(J62:J64)</f>
        <v>0</v>
      </c>
      <c r="K61" s="3375"/>
      <c r="L61" s="826">
        <f>SUM(L62:L64)</f>
        <v>0</v>
      </c>
      <c r="M61" s="826">
        <f>SUM(M62:M64)</f>
        <v>0</v>
      </c>
      <c r="N61" s="139"/>
    </row>
    <row r="62" spans="1:14" s="172" customFormat="1" ht="15" customHeight="1" x14ac:dyDescent="0.2">
      <c r="A62" s="173"/>
      <c r="B62" s="176" t="s">
        <v>309</v>
      </c>
      <c r="C62" s="812" t="s">
        <v>310</v>
      </c>
      <c r="D62" s="831" t="e">
        <f>SUM(#REF!)</f>
        <v>#REF!</v>
      </c>
      <c r="E62" s="831" t="e">
        <f>SUM(#REF!)</f>
        <v>#REF!</v>
      </c>
      <c r="F62" s="831"/>
      <c r="G62" s="1432"/>
      <c r="H62" s="831"/>
      <c r="I62" s="1411"/>
      <c r="J62" s="831"/>
      <c r="K62" s="3381"/>
      <c r="L62" s="831"/>
      <c r="M62" s="831"/>
      <c r="N62" s="139"/>
    </row>
    <row r="63" spans="1:14" ht="15" customHeight="1" x14ac:dyDescent="0.2">
      <c r="A63" s="142"/>
      <c r="B63" s="176" t="s">
        <v>311</v>
      </c>
      <c r="C63" s="812" t="s">
        <v>185</v>
      </c>
      <c r="D63" s="483" t="e">
        <f>SUM(#REF!)</f>
        <v>#REF!</v>
      </c>
      <c r="E63" s="483" t="e">
        <f>SUM(#REF!)</f>
        <v>#REF!</v>
      </c>
      <c r="F63" s="483"/>
      <c r="G63" s="1415"/>
      <c r="H63" s="483"/>
      <c r="I63" s="1404"/>
      <c r="J63" s="483"/>
      <c r="K63" s="3351"/>
      <c r="L63" s="483"/>
      <c r="M63" s="483"/>
      <c r="N63" s="139"/>
    </row>
    <row r="64" spans="1:14" ht="15" customHeight="1" x14ac:dyDescent="0.2">
      <c r="A64" s="142"/>
      <c r="B64" s="176" t="s">
        <v>312</v>
      </c>
      <c r="C64" s="812" t="s">
        <v>273</v>
      </c>
      <c r="D64" s="483" t="e">
        <f>SUM(D67+D66)</f>
        <v>#REF!</v>
      </c>
      <c r="E64" s="483" t="e">
        <f>SUM(E67+E66)</f>
        <v>#REF!</v>
      </c>
      <c r="F64" s="483"/>
      <c r="G64" s="1415"/>
      <c r="H64" s="483"/>
      <c r="I64" s="1404"/>
      <c r="J64" s="483"/>
      <c r="K64" s="3351"/>
      <c r="L64" s="483"/>
      <c r="M64" s="483"/>
      <c r="N64" s="139"/>
    </row>
    <row r="65" spans="1:19" ht="15" customHeight="1" x14ac:dyDescent="0.2">
      <c r="A65" s="142"/>
      <c r="B65" s="176" t="s">
        <v>313</v>
      </c>
      <c r="C65" s="899" t="s">
        <v>405</v>
      </c>
      <c r="D65" s="483"/>
      <c r="E65" s="483"/>
      <c r="F65" s="483"/>
      <c r="G65" s="1415"/>
      <c r="H65" s="483"/>
      <c r="I65" s="1404"/>
      <c r="J65" s="483"/>
      <c r="K65" s="3351"/>
      <c r="L65" s="483"/>
      <c r="M65" s="483"/>
      <c r="N65" s="139"/>
    </row>
    <row r="66" spans="1:19" ht="15" customHeight="1" x14ac:dyDescent="0.2">
      <c r="A66" s="142"/>
      <c r="B66" s="176" t="s">
        <v>315</v>
      </c>
      <c r="C66" s="899" t="s">
        <v>316</v>
      </c>
      <c r="D66" s="483" t="e">
        <f>SUM(#REF!+#REF!)</f>
        <v>#REF!</v>
      </c>
      <c r="E66" s="483" t="e">
        <f>SUM(#REF!+#REF!)</f>
        <v>#REF!</v>
      </c>
      <c r="F66" s="483"/>
      <c r="G66" s="1415"/>
      <c r="H66" s="483"/>
      <c r="I66" s="1404"/>
      <c r="J66" s="483"/>
      <c r="K66" s="3351"/>
      <c r="L66" s="483"/>
      <c r="M66" s="483"/>
      <c r="N66" s="139"/>
    </row>
    <row r="67" spans="1:19" s="172" customFormat="1" ht="15" customHeight="1" thickBot="1" x14ac:dyDescent="0.25">
      <c r="A67" s="142"/>
      <c r="B67" s="176" t="s">
        <v>317</v>
      </c>
      <c r="C67" s="899" t="s">
        <v>307</v>
      </c>
      <c r="D67" s="483" t="e">
        <f>SUM(D68:D70)</f>
        <v>#REF!</v>
      </c>
      <c r="E67" s="483" t="e">
        <f>SUM(E68:E70)</f>
        <v>#REF!</v>
      </c>
      <c r="F67" s="483"/>
      <c r="G67" s="1415"/>
      <c r="H67" s="483"/>
      <c r="I67" s="1404"/>
      <c r="J67" s="483"/>
      <c r="K67" s="3351"/>
      <c r="L67" s="483"/>
      <c r="M67" s="483"/>
      <c r="N67" s="139"/>
    </row>
    <row r="68" spans="1:19" ht="12.75" hidden="1" customHeight="1" x14ac:dyDescent="0.25">
      <c r="A68" s="142"/>
      <c r="B68" s="176"/>
      <c r="C68" s="900"/>
      <c r="D68" s="848" t="e">
        <f>SUM(#REF!)</f>
        <v>#REF!</v>
      </c>
      <c r="E68" s="848" t="e">
        <f>SUM(#REF!)</f>
        <v>#REF!</v>
      </c>
      <c r="F68" s="848"/>
      <c r="G68" s="2761"/>
      <c r="H68" s="848"/>
      <c r="I68" s="1555"/>
      <c r="J68" s="848"/>
      <c r="K68" s="3419"/>
      <c r="L68" s="848"/>
      <c r="M68" s="848"/>
      <c r="N68" s="139"/>
      <c r="S68" s="184"/>
    </row>
    <row r="69" spans="1:19" ht="12.75" hidden="1" customHeight="1" x14ac:dyDescent="0.25">
      <c r="A69" s="142"/>
      <c r="B69" s="176"/>
      <c r="C69" s="900"/>
      <c r="D69" s="848"/>
      <c r="E69" s="848"/>
      <c r="F69" s="848"/>
      <c r="G69" s="2761"/>
      <c r="H69" s="848"/>
      <c r="I69" s="1555"/>
      <c r="J69" s="848"/>
      <c r="K69" s="3419"/>
      <c r="L69" s="848"/>
      <c r="M69" s="848"/>
      <c r="N69" s="139"/>
    </row>
    <row r="70" spans="1:19" ht="12.75" hidden="1" customHeight="1" x14ac:dyDescent="0.25">
      <c r="A70" s="151"/>
      <c r="B70" s="176"/>
      <c r="C70" s="901"/>
      <c r="D70" s="910"/>
      <c r="E70" s="910"/>
      <c r="F70" s="910" t="e">
        <f>#REF!</f>
        <v>#REF!</v>
      </c>
      <c r="G70" s="2799"/>
      <c r="H70" s="910" t="e">
        <f>#REF!</f>
        <v>#REF!</v>
      </c>
      <c r="I70" s="1605"/>
      <c r="J70" s="910" t="e">
        <f>#REF!</f>
        <v>#REF!</v>
      </c>
      <c r="K70" s="3455"/>
      <c r="L70" s="910" t="e">
        <f>#REF!</f>
        <v>#REF!</v>
      </c>
      <c r="M70" s="910" t="e">
        <f>#REF!</f>
        <v>#REF!</v>
      </c>
      <c r="N70" s="139"/>
    </row>
    <row r="71" spans="1:19" ht="12.75" hidden="1" customHeight="1" x14ac:dyDescent="0.2">
      <c r="A71" s="134"/>
      <c r="B71" s="170"/>
      <c r="C71" s="817"/>
      <c r="D71" s="827"/>
      <c r="E71" s="827" t="e">
        <f>#REF!</f>
        <v>#REF!</v>
      </c>
      <c r="F71" s="827"/>
      <c r="G71" s="1381"/>
      <c r="H71" s="827"/>
      <c r="I71" s="1408"/>
      <c r="J71" s="827"/>
      <c r="K71" s="3376"/>
      <c r="L71" s="827"/>
      <c r="M71" s="827"/>
      <c r="N71" s="139"/>
    </row>
    <row r="72" spans="1:19" s="172" customFormat="1" ht="12.75" hidden="1" customHeight="1" x14ac:dyDescent="0.2">
      <c r="A72" s="134"/>
      <c r="B72" s="170"/>
      <c r="C72" s="817"/>
      <c r="D72" s="826" t="e">
        <f>+D73+D75</f>
        <v>#REF!</v>
      </c>
      <c r="E72" s="826" t="e">
        <f>+E73+E75</f>
        <v>#REF!</v>
      </c>
      <c r="F72" s="826" t="e">
        <f>+F73+F75</f>
        <v>#REF!</v>
      </c>
      <c r="G72" s="1382"/>
      <c r="H72" s="826" t="e">
        <f>+H73+H75</f>
        <v>#REF!</v>
      </c>
      <c r="I72" s="1407"/>
      <c r="J72" s="826" t="e">
        <f>+J73+J75</f>
        <v>#REF!</v>
      </c>
      <c r="K72" s="3375"/>
      <c r="L72" s="826" t="e">
        <f>+L73+L75</f>
        <v>#REF!</v>
      </c>
      <c r="M72" s="826" t="e">
        <f>+M73+M75</f>
        <v>#REF!</v>
      </c>
      <c r="N72" s="139"/>
    </row>
    <row r="73" spans="1:19" s="172" customFormat="1" ht="12.75" hidden="1" customHeight="1" x14ac:dyDescent="0.2">
      <c r="A73" s="173"/>
      <c r="B73" s="174"/>
      <c r="C73" s="812"/>
      <c r="D73" s="831" t="e">
        <f>SUM(#REF!)</f>
        <v>#REF!</v>
      </c>
      <c r="E73" s="831"/>
      <c r="F73" s="831" t="e">
        <f>SUM(#REF!)</f>
        <v>#REF!</v>
      </c>
      <c r="G73" s="1432"/>
      <c r="H73" s="831" t="e">
        <f>SUM(#REF!)</f>
        <v>#REF!</v>
      </c>
      <c r="I73" s="1411"/>
      <c r="J73" s="831" t="e">
        <f>SUM(#REF!)</f>
        <v>#REF!</v>
      </c>
      <c r="K73" s="3381"/>
      <c r="L73" s="831" t="e">
        <f>SUM(#REF!)</f>
        <v>#REF!</v>
      </c>
      <c r="M73" s="831" t="e">
        <f>SUM(#REF!)</f>
        <v>#REF!</v>
      </c>
      <c r="N73" s="139"/>
    </row>
    <row r="74" spans="1:19" s="172" customFormat="1" ht="12.75" hidden="1" customHeight="1" x14ac:dyDescent="0.2">
      <c r="A74" s="146"/>
      <c r="B74" s="187"/>
      <c r="C74" s="812"/>
      <c r="D74" s="824"/>
      <c r="E74" s="831"/>
      <c r="F74" s="824"/>
      <c r="G74" s="1519"/>
      <c r="H74" s="824"/>
      <c r="I74" s="1405"/>
      <c r="J74" s="824"/>
      <c r="K74" s="3374"/>
      <c r="L74" s="824"/>
      <c r="M74" s="824"/>
      <c r="N74" s="139"/>
    </row>
    <row r="75" spans="1:19" s="172" customFormat="1" ht="12.75" hidden="1" customHeight="1" x14ac:dyDescent="0.2">
      <c r="A75" s="151"/>
      <c r="B75" s="188"/>
      <c r="C75" s="812"/>
      <c r="D75" s="825" t="e">
        <f>SUM(#REF!)</f>
        <v>#REF!</v>
      </c>
      <c r="E75" s="825" t="e">
        <f>SUM(#REF!)</f>
        <v>#REF!</v>
      </c>
      <c r="F75" s="825"/>
      <c r="G75" s="1518"/>
      <c r="H75" s="825"/>
      <c r="I75" s="1406"/>
      <c r="J75" s="825"/>
      <c r="K75" s="3349"/>
      <c r="L75" s="825"/>
      <c r="M75" s="825"/>
      <c r="N75" s="139"/>
    </row>
    <row r="76" spans="1:19" s="172" customFormat="1" ht="12.75" hidden="1" customHeight="1" x14ac:dyDescent="0.2">
      <c r="A76" s="134"/>
      <c r="B76" s="189"/>
      <c r="C76" s="817"/>
      <c r="D76" s="827" t="e">
        <f>SUM(#REF!)</f>
        <v>#REF!</v>
      </c>
      <c r="E76" s="827" t="e">
        <f>SUM(#REF!)</f>
        <v>#REF!</v>
      </c>
      <c r="F76" s="827"/>
      <c r="G76" s="1381"/>
      <c r="H76" s="827"/>
      <c r="I76" s="1408"/>
      <c r="J76" s="827"/>
      <c r="K76" s="3376"/>
      <c r="L76" s="827"/>
      <c r="M76" s="827"/>
      <c r="N76" s="139"/>
    </row>
    <row r="77" spans="1:19" s="172" customFormat="1" ht="15" hidden="1" customHeight="1" thickBot="1" x14ac:dyDescent="0.25">
      <c r="A77" s="134"/>
      <c r="B77" s="170"/>
      <c r="C77" s="902"/>
      <c r="D77" s="911" t="e">
        <f>+D46+D61+D71+D72+D76</f>
        <v>#REF!</v>
      </c>
      <c r="E77" s="911" t="e">
        <f>+E46+E61+E71+E72+E76</f>
        <v>#REF!</v>
      </c>
      <c r="F77" s="911"/>
      <c r="G77" s="2800"/>
      <c r="H77" s="911"/>
      <c r="I77" s="1606"/>
      <c r="J77" s="911"/>
      <c r="K77" s="3456"/>
      <c r="L77" s="911"/>
      <c r="M77" s="911"/>
      <c r="N77" s="139"/>
    </row>
    <row r="78" spans="1:19" s="172" customFormat="1" ht="15" customHeight="1" thickBot="1" x14ac:dyDescent="0.25">
      <c r="A78" s="134" t="s">
        <v>31</v>
      </c>
      <c r="B78" s="170"/>
      <c r="C78" s="817" t="s">
        <v>318</v>
      </c>
      <c r="D78" s="826" t="e">
        <f>+D83+D85</f>
        <v>#REF!</v>
      </c>
      <c r="E78" s="826" t="e">
        <f>+E83+E85</f>
        <v>#REF!</v>
      </c>
      <c r="F78" s="826">
        <f>+F83+F85</f>
        <v>253084025</v>
      </c>
      <c r="G78" s="1382"/>
      <c r="H78" s="826">
        <f>+H83+H85</f>
        <v>309932221</v>
      </c>
      <c r="I78" s="1407"/>
      <c r="J78" s="826">
        <f>+J83+J85</f>
        <v>267407424</v>
      </c>
      <c r="K78" s="3375">
        <f>SUM(L78-J78)</f>
        <v>0</v>
      </c>
      <c r="L78" s="826">
        <f>+L83+L85</f>
        <v>267407424</v>
      </c>
      <c r="M78" s="826">
        <f>+M83+M85</f>
        <v>265849573</v>
      </c>
      <c r="N78" s="139"/>
    </row>
    <row r="79" spans="1:19" s="172" customFormat="1" ht="15" customHeight="1" x14ac:dyDescent="0.2">
      <c r="A79" s="146"/>
      <c r="B79" s="176" t="s">
        <v>319</v>
      </c>
      <c r="C79" s="903" t="s">
        <v>214</v>
      </c>
      <c r="D79" s="830"/>
      <c r="E79" s="830"/>
      <c r="F79" s="4295">
        <f>SUM(F80:F83)</f>
        <v>253084025</v>
      </c>
      <c r="G79" s="2693"/>
      <c r="H79" s="4295">
        <f>SUM(H80:H83)</f>
        <v>309932221</v>
      </c>
      <c r="I79" s="4296"/>
      <c r="J79" s="4295">
        <f>SUM(J80:J83)</f>
        <v>267407424</v>
      </c>
      <c r="K79" s="4297">
        <f>SUM(L79-J79)</f>
        <v>0</v>
      </c>
      <c r="L79" s="4295">
        <f>SUM(L80:L83)</f>
        <v>267407424</v>
      </c>
      <c r="M79" s="4295">
        <f>SUM(M80:M83)</f>
        <v>265849573</v>
      </c>
      <c r="N79" s="139"/>
    </row>
    <row r="80" spans="1:19" s="172" customFormat="1" ht="15" customHeight="1" x14ac:dyDescent="0.2">
      <c r="A80" s="146"/>
      <c r="B80" s="176" t="s">
        <v>363</v>
      </c>
      <c r="C80" s="899" t="s">
        <v>102</v>
      </c>
      <c r="D80" s="830"/>
      <c r="E80" s="830"/>
      <c r="F80" s="483"/>
      <c r="G80" s="1415"/>
      <c r="H80" s="483"/>
      <c r="I80" s="1404"/>
      <c r="J80" s="483"/>
      <c r="K80" s="3351"/>
      <c r="L80" s="483"/>
      <c r="M80" s="483"/>
      <c r="N80" s="139"/>
    </row>
    <row r="81" spans="1:14" s="172" customFormat="1" ht="15" customHeight="1" x14ac:dyDescent="0.2">
      <c r="A81" s="146"/>
      <c r="B81" s="176" t="s">
        <v>364</v>
      </c>
      <c r="C81" s="899" t="s">
        <v>209</v>
      </c>
      <c r="D81" s="830"/>
      <c r="E81" s="830"/>
      <c r="F81" s="483"/>
      <c r="G81" s="1415"/>
      <c r="H81" s="483"/>
      <c r="I81" s="1404"/>
      <c r="J81" s="483"/>
      <c r="K81" s="3351"/>
      <c r="L81" s="483"/>
      <c r="M81" s="483"/>
      <c r="N81" s="139"/>
    </row>
    <row r="82" spans="1:14" s="172" customFormat="1" ht="15" customHeight="1" x14ac:dyDescent="0.2">
      <c r="A82" s="146"/>
      <c r="B82" s="176" t="s">
        <v>365</v>
      </c>
      <c r="C82" s="899" t="s">
        <v>214</v>
      </c>
      <c r="D82" s="830"/>
      <c r="E82" s="830"/>
      <c r="F82" s="483"/>
      <c r="G82" s="1415"/>
      <c r="H82" s="483"/>
      <c r="I82" s="1404"/>
      <c r="J82" s="483"/>
      <c r="K82" s="3351"/>
      <c r="L82" s="483"/>
      <c r="M82" s="483"/>
      <c r="N82" s="139"/>
    </row>
    <row r="83" spans="1:14" ht="15" customHeight="1" x14ac:dyDescent="0.2">
      <c r="A83" s="173"/>
      <c r="B83" s="176" t="s">
        <v>877</v>
      </c>
      <c r="C83" s="899" t="s">
        <v>320</v>
      </c>
      <c r="D83" s="831"/>
      <c r="E83" s="831"/>
      <c r="F83" s="483">
        <f>SUM('3.c. sz. mell '!F70)</f>
        <v>253084025</v>
      </c>
      <c r="G83" s="1415"/>
      <c r="H83" s="483">
        <f>SUM('3.c. sz. mell '!H70)</f>
        <v>309932221</v>
      </c>
      <c r="I83" s="1404"/>
      <c r="J83" s="483">
        <f>SUM('3.c. sz. mell '!J70)</f>
        <v>267407424</v>
      </c>
      <c r="K83" s="3351">
        <f>SUM(L83-J83)</f>
        <v>0</v>
      </c>
      <c r="L83" s="483">
        <f>SUM('3.c. sz. mell '!L70)</f>
        <v>267407424</v>
      </c>
      <c r="M83" s="483">
        <f>SUM('3.c. sz. mell '!M70)</f>
        <v>265849573</v>
      </c>
      <c r="N83" s="139"/>
    </row>
    <row r="84" spans="1:14" ht="15" customHeight="1" x14ac:dyDescent="0.2">
      <c r="A84" s="146"/>
      <c r="B84" s="176" t="s">
        <v>321</v>
      </c>
      <c r="C84" s="894" t="s">
        <v>219</v>
      </c>
      <c r="D84" s="824"/>
      <c r="E84" s="824"/>
      <c r="F84" s="824"/>
      <c r="G84" s="1519"/>
      <c r="H84" s="824"/>
      <c r="I84" s="1405"/>
      <c r="J84" s="824"/>
      <c r="K84" s="3374"/>
      <c r="L84" s="824"/>
      <c r="M84" s="824"/>
      <c r="N84" s="139"/>
    </row>
    <row r="85" spans="1:14" ht="15" customHeight="1" thickBot="1" x14ac:dyDescent="0.25">
      <c r="A85" s="151"/>
      <c r="B85" s="176" t="s">
        <v>586</v>
      </c>
      <c r="C85" s="896" t="s">
        <v>764</v>
      </c>
      <c r="D85" s="825" t="e">
        <f>SUM(#REF!)</f>
        <v>#REF!</v>
      </c>
      <c r="E85" s="825" t="e">
        <f>SUM(#REF!)</f>
        <v>#REF!</v>
      </c>
      <c r="F85" s="825"/>
      <c r="G85" s="1518"/>
      <c r="H85" s="825"/>
      <c r="I85" s="1406"/>
      <c r="J85" s="825"/>
      <c r="K85" s="3349"/>
      <c r="L85" s="825"/>
      <c r="M85" s="825"/>
      <c r="N85" s="139"/>
    </row>
    <row r="86" spans="1:14" s="145" customFormat="1" ht="15" customHeight="1" thickBot="1" x14ac:dyDescent="0.25">
      <c r="A86" s="134"/>
      <c r="B86" s="170"/>
      <c r="C86" s="817"/>
      <c r="D86" s="827"/>
      <c r="E86" s="827"/>
      <c r="F86" s="827"/>
      <c r="G86" s="1381"/>
      <c r="H86" s="827"/>
      <c r="I86" s="1408"/>
      <c r="J86" s="827"/>
      <c r="K86" s="3376"/>
      <c r="L86" s="827"/>
      <c r="M86" s="827"/>
      <c r="N86" s="139"/>
    </row>
    <row r="87" spans="1:14" ht="15" customHeight="1" thickBot="1" x14ac:dyDescent="0.25">
      <c r="A87" s="192"/>
      <c r="B87" s="160"/>
      <c r="C87" s="898" t="s">
        <v>322</v>
      </c>
      <c r="D87" s="545" t="e">
        <f>+D77+D78</f>
        <v>#REF!</v>
      </c>
      <c r="E87" s="545" t="e">
        <f>+E77+E78</f>
        <v>#REF!</v>
      </c>
      <c r="F87" s="545">
        <f>SUM(F46+F61+F78)</f>
        <v>506168050</v>
      </c>
      <c r="G87" s="1437">
        <f>SUM(H87-F87)</f>
        <v>113696392</v>
      </c>
      <c r="H87" s="545">
        <f>SUM(H46+H61+H78)</f>
        <v>619864442</v>
      </c>
      <c r="I87" s="1401">
        <f>SUM(J87-H87)</f>
        <v>-85049594</v>
      </c>
      <c r="J87" s="545">
        <f>SUM(J46+J61+J78)</f>
        <v>534814848</v>
      </c>
      <c r="K87" s="3371">
        <f>SUM(L87-J87)</f>
        <v>0</v>
      </c>
      <c r="L87" s="545">
        <f>SUM(L46+L61+L78)</f>
        <v>534814848</v>
      </c>
      <c r="M87" s="545">
        <f>SUM(M46+M61+M78)</f>
        <v>531699146</v>
      </c>
      <c r="N87" s="139"/>
    </row>
    <row r="88" spans="1:14" ht="21.75" customHeight="1" thickBot="1" x14ac:dyDescent="0.25">
      <c r="A88" s="244"/>
      <c r="B88" s="2920"/>
      <c r="C88" s="2921" t="s">
        <v>300</v>
      </c>
      <c r="D88" s="2922"/>
      <c r="E88" s="2922"/>
      <c r="F88" s="545">
        <f>SUM(F42)</f>
        <v>253084025</v>
      </c>
      <c r="G88" s="1437">
        <f>SUM(H88-F88)</f>
        <v>56848196</v>
      </c>
      <c r="H88" s="545">
        <f t="shared" ref="H88:M88" si="1">SUM(H42)</f>
        <v>309932221</v>
      </c>
      <c r="I88" s="1401">
        <f t="shared" si="1"/>
        <v>-42524797</v>
      </c>
      <c r="J88" s="545">
        <f t="shared" si="1"/>
        <v>267407424</v>
      </c>
      <c r="K88" s="3371">
        <f t="shared" si="1"/>
        <v>0</v>
      </c>
      <c r="L88" s="545">
        <f t="shared" si="1"/>
        <v>267407424</v>
      </c>
      <c r="M88" s="545">
        <f t="shared" si="1"/>
        <v>265849573</v>
      </c>
      <c r="N88" s="139"/>
    </row>
    <row r="89" spans="1:14" s="2079" customFormat="1" ht="20.25" customHeight="1" thickBot="1" x14ac:dyDescent="0.25">
      <c r="A89" s="3169"/>
      <c r="B89" s="2923"/>
      <c r="C89" s="2921" t="s">
        <v>323</v>
      </c>
      <c r="D89" s="2924"/>
      <c r="E89" s="2924"/>
      <c r="F89" s="2925">
        <f>SUM(F87-F88)</f>
        <v>253084025</v>
      </c>
      <c r="G89" s="2926">
        <f>SUM(H89-F89)</f>
        <v>56848196</v>
      </c>
      <c r="H89" s="2925">
        <f>SUM(H87-H88)</f>
        <v>309932221</v>
      </c>
      <c r="I89" s="2926">
        <f>SUM(J89-H89)</f>
        <v>-42524797</v>
      </c>
      <c r="J89" s="2925">
        <f>SUM(J87-J88)</f>
        <v>267407424</v>
      </c>
      <c r="K89" s="3457">
        <f>SUM(L89-J89)</f>
        <v>0</v>
      </c>
      <c r="L89" s="2925">
        <f>SUM(L87-L88)</f>
        <v>267407424</v>
      </c>
      <c r="M89" s="3170">
        <f>SUM(M87-M88)</f>
        <v>265849573</v>
      </c>
      <c r="N89" s="2076"/>
    </row>
    <row r="90" spans="1:14" ht="20.25" customHeight="1" thickBot="1" x14ac:dyDescent="0.25">
      <c r="A90" s="4418" t="s">
        <v>324</v>
      </c>
      <c r="B90" s="4419"/>
      <c r="C90" s="4419"/>
      <c r="D90" s="200" t="e">
        <f>SUM(#REF!+#REF!)</f>
        <v>#REF!</v>
      </c>
      <c r="E90" s="200" t="e">
        <f>SUM(#REF!+#REF!)</f>
        <v>#REF!</v>
      </c>
      <c r="F90" s="200"/>
      <c r="G90" s="1559"/>
      <c r="H90" s="200"/>
      <c r="I90" s="1388"/>
      <c r="J90" s="200"/>
      <c r="K90" s="3346"/>
      <c r="L90" s="200"/>
      <c r="M90" s="200"/>
      <c r="N90" s="201"/>
    </row>
    <row r="91" spans="1:14" ht="15" customHeight="1" thickBot="1" x14ac:dyDescent="0.25">
      <c r="A91" s="4418" t="s">
        <v>325</v>
      </c>
      <c r="B91" s="4419"/>
      <c r="C91" s="4419"/>
      <c r="D91" s="202">
        <v>13.5</v>
      </c>
      <c r="E91" s="202">
        <v>13.5</v>
      </c>
      <c r="F91" s="202"/>
      <c r="G91" s="2451"/>
      <c r="H91" s="202"/>
      <c r="I91" s="1527"/>
      <c r="J91" s="202"/>
      <c r="K91" s="3448"/>
      <c r="L91" s="202"/>
      <c r="M91" s="202"/>
      <c r="N91" s="201"/>
    </row>
    <row r="92" spans="1:14" ht="15" customHeight="1" x14ac:dyDescent="0.2"/>
    <row r="93" spans="1:14" ht="15" customHeight="1" x14ac:dyDescent="0.2"/>
    <row r="94" spans="1:14" ht="13.5" thickBot="1" x14ac:dyDescent="0.25"/>
    <row r="95" spans="1:14" ht="16.5" thickBot="1" x14ac:dyDescent="0.25">
      <c r="E95" s="162">
        <v>4969009</v>
      </c>
      <c r="F95" s="162">
        <f>SUM(F89-F43)</f>
        <v>0</v>
      </c>
      <c r="G95" s="1373"/>
      <c r="H95" s="162">
        <f t="shared" ref="H95:M95" si="2">SUM(H89-H43)</f>
        <v>0</v>
      </c>
      <c r="I95" s="162">
        <f t="shared" si="2"/>
        <v>0</v>
      </c>
      <c r="J95" s="162">
        <f t="shared" si="2"/>
        <v>0</v>
      </c>
      <c r="K95" s="162">
        <f t="shared" si="2"/>
        <v>0</v>
      </c>
      <c r="L95" s="162">
        <f t="shared" si="2"/>
        <v>0</v>
      </c>
      <c r="M95" s="162">
        <f t="shared" si="2"/>
        <v>0</v>
      </c>
    </row>
    <row r="98" spans="5:13" ht="15.75" x14ac:dyDescent="0.2">
      <c r="E98" s="203" t="e">
        <f>SUM(E95-E87)</f>
        <v>#REF!</v>
      </c>
      <c r="F98" s="203"/>
      <c r="G98" s="1470"/>
      <c r="H98" s="203"/>
      <c r="I98" s="1470"/>
      <c r="J98" s="203"/>
      <c r="K98" s="1470"/>
      <c r="L98" s="203"/>
      <c r="M98" s="203"/>
    </row>
  </sheetData>
  <mergeCells count="20">
    <mergeCell ref="A91:C91"/>
    <mergeCell ref="A1:B1"/>
    <mergeCell ref="D1:D2"/>
    <mergeCell ref="F1:F2"/>
    <mergeCell ref="A2:B2"/>
    <mergeCell ref="R39:R40"/>
    <mergeCell ref="O39:O40"/>
    <mergeCell ref="N39:N40"/>
    <mergeCell ref="A90:C90"/>
    <mergeCell ref="A4:B4"/>
    <mergeCell ref="Q39:Q40"/>
    <mergeCell ref="P39:P40"/>
    <mergeCell ref="G1:G2"/>
    <mergeCell ref="H1:H2"/>
    <mergeCell ref="M1:M2"/>
    <mergeCell ref="I1:I2"/>
    <mergeCell ref="D3:F3"/>
    <mergeCell ref="J1:J2"/>
    <mergeCell ref="K1:K2"/>
    <mergeCell ref="L1:L2"/>
  </mergeCells>
  <printOptions horizontalCentered="1"/>
  <pageMargins left="0.19685039370078741" right="0.15748031496062992" top="0.78740157480314965" bottom="0.47244094488188981" header="0.27559055118110237" footer="0.27559055118110237"/>
  <pageSetup paperSize="9" scale="67" firstPageNumber="20" orientation="portrait" useFirstPageNumber="1" r:id="rId1"/>
  <headerFooter>
    <oddHeader>&amp;C&amp;"Times New Roman CE,Félkövér"&amp;14Vecsés Város Önkormányzat és intézményei
2018. évi bevételei és kiadásai&amp;R&amp;"Times New Roman,Normál"&amp;12 2.c. sz. melléklet
Forint</oddHeader>
    <oddFooter>&amp;C- &amp;P -</oddFooter>
  </headerFooter>
  <rowBreaks count="1" manualBreakCount="1">
    <brk id="9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106"/>
  <sheetViews>
    <sheetView view="pageBreakPreview" topLeftCell="A41" zoomScale="90" zoomScaleNormal="100" zoomScaleSheetLayoutView="90" zoomScalePageLayoutView="60" workbookViewId="0">
      <selection activeCell="C61" sqref="C61"/>
    </sheetView>
  </sheetViews>
  <sheetFormatPr defaultColWidth="9.33203125" defaultRowHeight="12.75" x14ac:dyDescent="0.2"/>
  <cols>
    <col min="1" max="1" width="6.1640625" style="114" customWidth="1"/>
    <col min="2" max="2" width="10.5" style="115" customWidth="1"/>
    <col min="3" max="3" width="64.1640625" style="115" customWidth="1"/>
    <col min="4" max="5" width="9.33203125" style="115" hidden="1" customWidth="1"/>
    <col min="6" max="6" width="18.83203125" style="115" customWidth="1"/>
    <col min="7" max="7" width="14.1640625" style="1390" hidden="1" customWidth="1"/>
    <col min="8" max="8" width="18.6640625" style="115" hidden="1" customWidth="1"/>
    <col min="9" max="9" width="16.6640625" style="1390" hidden="1" customWidth="1"/>
    <col min="10" max="10" width="18.6640625" style="115" customWidth="1"/>
    <col min="11" max="11" width="15.83203125" style="1390" customWidth="1"/>
    <col min="12" max="12" width="18.1640625" style="115" customWidth="1"/>
    <col min="13" max="13" width="18.83203125" style="115" customWidth="1"/>
    <col min="14" max="14" width="19.6640625" style="459" customWidth="1"/>
    <col min="15" max="15" width="13.33203125" style="115" customWidth="1"/>
    <col min="16" max="16" width="19.83203125" style="1877" customWidth="1"/>
    <col min="17" max="17" width="19.83203125" style="1877" hidden="1" customWidth="1"/>
    <col min="18" max="18" width="23.1640625" style="1991" bestFit="1" customWidth="1"/>
    <col min="19" max="19" width="20.33203125" style="1991" hidden="1" customWidth="1"/>
    <col min="20" max="20" width="23.83203125" style="115" bestFit="1" customWidth="1"/>
    <col min="21" max="21" width="20.33203125" style="115" customWidth="1"/>
    <col min="22" max="22" width="23.6640625" style="1161" customWidth="1"/>
    <col min="23" max="23" width="14.1640625" style="1904" bestFit="1" customWidth="1"/>
    <col min="24" max="24" width="9.33203125" style="115"/>
    <col min="25" max="25" width="20.6640625" style="1877" customWidth="1"/>
    <col min="26" max="26" width="20.6640625" style="1877" hidden="1" customWidth="1"/>
    <col min="27" max="27" width="19.5" style="1991" customWidth="1"/>
    <col min="28" max="28" width="19.5" style="1991" hidden="1" customWidth="1"/>
    <col min="29" max="30" width="19.5" style="115" customWidth="1"/>
    <col min="31" max="31" width="19.5" style="1161" customWidth="1"/>
    <col min="32" max="32" width="19.6640625" style="1904" customWidth="1"/>
    <col min="33" max="16384" width="9.33203125" style="115"/>
  </cols>
  <sheetData>
    <row r="1" spans="1:32" s="120" customFormat="1" ht="24" customHeight="1" thickBot="1" x14ac:dyDescent="0.25">
      <c r="A1" s="4443" t="s">
        <v>280</v>
      </c>
      <c r="B1" s="4443"/>
      <c r="C1" s="119" t="s">
        <v>329</v>
      </c>
      <c r="D1" s="4444" t="s">
        <v>282</v>
      </c>
      <c r="E1" s="118"/>
      <c r="F1" s="4444" t="s">
        <v>1080</v>
      </c>
      <c r="G1" s="4422" t="s">
        <v>1035</v>
      </c>
      <c r="H1" s="4415" t="s">
        <v>1028</v>
      </c>
      <c r="I1" s="4422" t="s">
        <v>1031</v>
      </c>
      <c r="J1" s="4415" t="s">
        <v>1028</v>
      </c>
      <c r="K1" s="4449" t="s">
        <v>2623</v>
      </c>
      <c r="L1" s="4415" t="s">
        <v>234</v>
      </c>
      <c r="M1" s="4440" t="s">
        <v>1952</v>
      </c>
      <c r="N1" s="4466" t="s">
        <v>290</v>
      </c>
      <c r="O1" s="491"/>
      <c r="P1" s="1971"/>
      <c r="Q1" s="1971"/>
      <c r="R1" s="1988"/>
      <c r="S1" s="1988"/>
      <c r="V1" s="1955"/>
      <c r="W1" s="1960"/>
      <c r="Y1" s="1971"/>
      <c r="Z1" s="1971"/>
      <c r="AA1" s="1988"/>
      <c r="AB1" s="1988"/>
      <c r="AE1" s="1955"/>
      <c r="AF1" s="1960"/>
    </row>
    <row r="2" spans="1:32" s="120" customFormat="1" ht="26.25" customHeight="1" thickBot="1" x14ac:dyDescent="0.25">
      <c r="A2" s="4445" t="s">
        <v>283</v>
      </c>
      <c r="B2" s="4463"/>
      <c r="C2" s="537" t="s">
        <v>284</v>
      </c>
      <c r="D2" s="4444"/>
      <c r="E2" s="121"/>
      <c r="F2" s="4444"/>
      <c r="G2" s="4423"/>
      <c r="H2" s="4416" t="s">
        <v>1028</v>
      </c>
      <c r="I2" s="4423" t="s">
        <v>1031</v>
      </c>
      <c r="J2" s="4432" t="s">
        <v>234</v>
      </c>
      <c r="K2" s="4450"/>
      <c r="L2" s="4416"/>
      <c r="M2" s="4441"/>
      <c r="N2" s="4467"/>
      <c r="O2" s="492"/>
      <c r="P2" s="1982"/>
      <c r="Q2" s="1982"/>
      <c r="R2" s="1884" t="s">
        <v>1056</v>
      </c>
      <c r="S2" s="2307"/>
      <c r="T2" s="305" t="s">
        <v>1057</v>
      </c>
      <c r="U2" s="305"/>
      <c r="V2" s="1870" t="s">
        <v>1058</v>
      </c>
      <c r="W2" s="1995"/>
      <c r="X2" s="123"/>
      <c r="Y2" s="1982"/>
      <c r="Z2" s="1982"/>
      <c r="AA2" s="1884" t="s">
        <v>1056</v>
      </c>
      <c r="AB2" s="2307"/>
      <c r="AC2" s="305" t="s">
        <v>1057</v>
      </c>
      <c r="AD2" s="305"/>
      <c r="AE2" s="1870" t="s">
        <v>1058</v>
      </c>
      <c r="AF2" s="1995"/>
    </row>
    <row r="3" spans="1:32" s="123" customFormat="1" ht="9.75" customHeight="1" thickBot="1" x14ac:dyDescent="0.25">
      <c r="A3" s="876"/>
      <c r="B3" s="877"/>
      <c r="C3" s="877"/>
      <c r="D3" s="4464"/>
      <c r="E3" s="4464"/>
      <c r="F3" s="4465"/>
      <c r="G3" s="1440"/>
      <c r="H3" s="1578"/>
      <c r="I3" s="1578"/>
      <c r="J3" s="1578"/>
      <c r="K3" s="1578"/>
      <c r="L3" s="878"/>
      <c r="M3" s="879"/>
      <c r="N3" s="513"/>
      <c r="P3" s="1983" t="s">
        <v>771</v>
      </c>
      <c r="Q3" s="1983"/>
      <c r="R3" s="1884"/>
      <c r="S3" s="2307"/>
      <c r="T3" s="305"/>
      <c r="U3" s="305"/>
      <c r="V3" s="1870"/>
      <c r="W3" s="1996" t="s">
        <v>289</v>
      </c>
      <c r="X3" s="145"/>
      <c r="Y3" s="1983" t="s">
        <v>771</v>
      </c>
      <c r="Z3" s="1983"/>
      <c r="AA3" s="1884"/>
      <c r="AB3" s="2307"/>
      <c r="AC3" s="305"/>
      <c r="AD3" s="305"/>
      <c r="AE3" s="1870"/>
      <c r="AF3" s="1996" t="s">
        <v>289</v>
      </c>
    </row>
    <row r="4" spans="1:32" ht="20.25" customHeight="1" thickBot="1" x14ac:dyDescent="0.25">
      <c r="A4" s="4431" t="s">
        <v>285</v>
      </c>
      <c r="B4" s="4431"/>
      <c r="C4" s="125" t="s">
        <v>286</v>
      </c>
      <c r="D4" s="126" t="s">
        <v>287</v>
      </c>
      <c r="E4" s="126" t="s">
        <v>288</v>
      </c>
      <c r="F4" s="126"/>
      <c r="G4" s="2659"/>
      <c r="H4" s="126"/>
      <c r="I4" s="1371"/>
      <c r="J4" s="126"/>
      <c r="K4" s="3329"/>
      <c r="L4" s="126"/>
      <c r="M4" s="126"/>
      <c r="N4" s="872"/>
      <c r="O4" s="461"/>
      <c r="P4" s="1974" t="s">
        <v>767</v>
      </c>
      <c r="Q4" s="1974"/>
      <c r="R4" s="1884" t="s">
        <v>767</v>
      </c>
      <c r="S4" s="2004"/>
      <c r="T4" s="454" t="s">
        <v>767</v>
      </c>
      <c r="U4" s="454"/>
      <c r="V4" s="1956" t="s">
        <v>767</v>
      </c>
      <c r="W4" s="2000" t="s">
        <v>767</v>
      </c>
      <c r="X4" s="129"/>
      <c r="Y4" s="1973" t="s">
        <v>770</v>
      </c>
      <c r="Z4" s="1973"/>
      <c r="AA4" s="1884" t="s">
        <v>770</v>
      </c>
      <c r="AB4" s="1989"/>
      <c r="AC4" s="129" t="s">
        <v>770</v>
      </c>
      <c r="AD4" s="129"/>
      <c r="AE4" s="1958" t="s">
        <v>770</v>
      </c>
      <c r="AF4" s="1964" t="s">
        <v>770</v>
      </c>
    </row>
    <row r="5" spans="1:32" s="129" customFormat="1" ht="9" customHeight="1" thickBot="1" x14ac:dyDescent="0.25">
      <c r="A5" s="124"/>
      <c r="B5" s="127"/>
      <c r="C5" s="127"/>
      <c r="D5" s="128"/>
      <c r="E5" s="128"/>
      <c r="F5" s="128"/>
      <c r="G5" s="2455"/>
      <c r="H5" s="128"/>
      <c r="I5" s="1372"/>
      <c r="J5" s="128"/>
      <c r="K5" s="3330"/>
      <c r="L5" s="128"/>
      <c r="M5" s="128"/>
      <c r="N5" s="873"/>
      <c r="O5" s="461"/>
      <c r="P5" s="1973"/>
      <c r="Q5" s="1973"/>
      <c r="R5" s="1884"/>
      <c r="S5" s="1989"/>
      <c r="V5" s="1958"/>
      <c r="W5" s="1997"/>
      <c r="Y5" s="1973"/>
      <c r="Z5" s="1973"/>
      <c r="AA5" s="2353">
        <f>SUM('3. a. sz. mell'!H7+'3.b. sz. mell'!H7+'3.c. sz. mell '!H7)</f>
        <v>3675545231</v>
      </c>
      <c r="AB5" s="1989"/>
      <c r="AE5" s="1958"/>
      <c r="AF5" s="1964"/>
    </row>
    <row r="6" spans="1:32" s="129" customFormat="1" ht="21" customHeight="1" thickBot="1" x14ac:dyDescent="0.25">
      <c r="A6" s="130"/>
      <c r="B6" s="131"/>
      <c r="C6" s="132" t="s">
        <v>230</v>
      </c>
      <c r="D6" s="133"/>
      <c r="E6" s="133"/>
      <c r="F6" s="133"/>
      <c r="G6" s="1588"/>
      <c r="H6" s="133"/>
      <c r="I6" s="1588"/>
      <c r="J6" s="133"/>
      <c r="K6" s="3442"/>
      <c r="L6" s="133"/>
      <c r="M6" s="133"/>
      <c r="N6" s="514"/>
      <c r="O6" s="493"/>
      <c r="V6" s="1958"/>
      <c r="AE6" s="1958"/>
    </row>
    <row r="7" spans="1:32" s="129" customFormat="1" ht="20.25" customHeight="1" thickBot="1" x14ac:dyDescent="0.25">
      <c r="A7" s="124" t="s">
        <v>3</v>
      </c>
      <c r="B7" s="2082"/>
      <c r="C7" s="30" t="s">
        <v>291</v>
      </c>
      <c r="D7" s="432" t="e">
        <f>SUM(D8+D16)</f>
        <v>#REF!</v>
      </c>
      <c r="E7" s="432" t="e">
        <f>SUM(E8+E16)</f>
        <v>#REF!</v>
      </c>
      <c r="F7" s="432">
        <f>SUM(F8+F16)+F26+F27</f>
        <v>3328982130</v>
      </c>
      <c r="G7" s="2719">
        <f t="shared" ref="G7:G34" si="0">SUM(H7-F7)</f>
        <v>346563101</v>
      </c>
      <c r="H7" s="432">
        <f t="shared" ref="H7:M7" si="1">H8+H16+H26+H27</f>
        <v>3675545231</v>
      </c>
      <c r="I7" s="2719">
        <f t="shared" si="1"/>
        <v>830308373</v>
      </c>
      <c r="J7" s="432">
        <f t="shared" si="1"/>
        <v>4505853604</v>
      </c>
      <c r="K7" s="3364">
        <f>SUM(L7-J7)</f>
        <v>0</v>
      </c>
      <c r="L7" s="432">
        <f t="shared" si="1"/>
        <v>4505853604</v>
      </c>
      <c r="M7" s="432">
        <f t="shared" si="1"/>
        <v>4517253956</v>
      </c>
      <c r="N7" s="2083">
        <f>SUM(M7/H7)*100</f>
        <v>122.90024124586809</v>
      </c>
      <c r="O7" s="1866"/>
      <c r="P7" s="2003">
        <f t="shared" ref="P7:P39" si="2">SUM(F7-Y7)</f>
        <v>0</v>
      </c>
      <c r="Q7" s="2003"/>
      <c r="R7" s="2354">
        <f>SUM(H7-AA5)</f>
        <v>0</v>
      </c>
      <c r="S7" s="2005"/>
      <c r="T7" s="139">
        <f>SUM(J7-AC7)</f>
        <v>0</v>
      </c>
      <c r="U7" s="139"/>
      <c r="V7" s="1999">
        <f t="shared" ref="V7:V22" si="3">SUM(L7-AE7)</f>
        <v>0</v>
      </c>
      <c r="W7" s="2001">
        <f t="shared" ref="W7:W39" si="4">SUM(M7-AF7)</f>
        <v>0</v>
      </c>
      <c r="Y7" s="2003">
        <f>SUM('3. a. sz. mell'!F7+'3.b. sz. mell'!F7+'3.c. sz. mell '!F7)</f>
        <v>3328982130</v>
      </c>
      <c r="Z7" s="2003"/>
      <c r="AA7" s="2354">
        <f>SUM('3. a. sz. mell'!H7+'3.b. sz. mell'!H7+'3.c. sz. mell '!H7)</f>
        <v>3675545231</v>
      </c>
      <c r="AB7" s="2005"/>
      <c r="AC7" s="139">
        <f>SUM('3. a. sz. mell'!J7+'3.b. sz. mell'!J7+'3.c. sz. mell '!J7)</f>
        <v>4505853604</v>
      </c>
      <c r="AD7" s="139"/>
      <c r="AE7" s="1999">
        <f>SUM('3. a. sz. mell'!L7+'3.b. sz. mell'!L7+'3.c. sz. mell '!L7)</f>
        <v>4505853604</v>
      </c>
      <c r="AF7" s="2002">
        <f>SUM('3. a. sz. mell'!M7+'3.b. sz. mell'!M7+'3.c. sz. mell '!M7)</f>
        <v>4517253956</v>
      </c>
    </row>
    <row r="8" spans="1:32" s="141" customFormat="1" ht="19.5" customHeight="1" thickBot="1" x14ac:dyDescent="0.25">
      <c r="A8" s="134" t="s">
        <v>17</v>
      </c>
      <c r="B8" s="135"/>
      <c r="C8" s="30" t="s">
        <v>239</v>
      </c>
      <c r="D8" s="137" t="e">
        <f>SUM(D9:D14)</f>
        <v>#REF!</v>
      </c>
      <c r="E8" s="137" t="e">
        <f>SUM(E9:E14)</f>
        <v>#REF!</v>
      </c>
      <c r="F8" s="137">
        <f>SUM('3.1. Cofog'!L87)</f>
        <v>2600000000</v>
      </c>
      <c r="G8" s="1382">
        <f t="shared" si="0"/>
        <v>47687737</v>
      </c>
      <c r="H8" s="137">
        <f>SUM('3.1. Cofog'!N87)</f>
        <v>2647687737</v>
      </c>
      <c r="I8" s="2719">
        <f>J8-H8</f>
        <v>947388294</v>
      </c>
      <c r="J8" s="137">
        <f>SUM('3.1. Cofog'!P87)</f>
        <v>3595076031</v>
      </c>
      <c r="K8" s="3364">
        <f t="shared" ref="K8:K33" si="5">SUM(L8-J8)</f>
        <v>0</v>
      </c>
      <c r="L8" s="137">
        <f>SUM('3.1. Cofog'!R87)</f>
        <v>3595076031</v>
      </c>
      <c r="M8" s="137">
        <f>SUM('3.1. Cofog'!S87)</f>
        <v>3595076031</v>
      </c>
      <c r="N8" s="540">
        <f t="shared" ref="N8:N74" si="6">SUM(M8/H8)*100</f>
        <v>135.78172307711225</v>
      </c>
      <c r="O8" s="286"/>
      <c r="P8" s="2003">
        <f t="shared" si="2"/>
        <v>0</v>
      </c>
      <c r="Q8" s="2003"/>
      <c r="R8" s="2354">
        <f t="shared" ref="R8:R39" si="7">SUM(H8-AA8)</f>
        <v>0</v>
      </c>
      <c r="S8" s="2005"/>
      <c r="T8" s="139">
        <f t="shared" ref="T8:T71" si="8">SUM(J8-AC8)</f>
        <v>0</v>
      </c>
      <c r="U8" s="139"/>
      <c r="V8" s="1999">
        <f t="shared" si="3"/>
        <v>0</v>
      </c>
      <c r="W8" s="2001">
        <f t="shared" si="4"/>
        <v>0</v>
      </c>
      <c r="Y8" s="2003">
        <f>SUM('3. a. sz. mell'!F8+'3.b. sz. mell'!F8+'3.c. sz. mell '!F8)</f>
        <v>2600000000</v>
      </c>
      <c r="Z8" s="2003"/>
      <c r="AA8" s="2354">
        <f>SUM('3. a. sz. mell'!H8+'3.b. sz. mell'!H8+'3.c. sz. mell '!H8)</f>
        <v>2647687737</v>
      </c>
      <c r="AB8" s="2005"/>
      <c r="AC8" s="139">
        <f>SUM('3. a. sz. mell'!J8+'3.b. sz. mell'!J8+'3.c. sz. mell '!J8)</f>
        <v>3595076031</v>
      </c>
      <c r="AD8" s="139"/>
      <c r="AE8" s="1999">
        <f>SUM('3. a. sz. mell'!L8+'3.b. sz. mell'!L8+'3.c. sz. mell '!L8)</f>
        <v>3595076031</v>
      </c>
      <c r="AF8" s="2002">
        <f>SUM('3. a. sz. mell'!M8+'3.b. sz. mell'!M8+'3.c. sz. mell '!M8)</f>
        <v>3595076031</v>
      </c>
    </row>
    <row r="9" spans="1:32" s="145" customFormat="1" ht="12.75" hidden="1" customHeight="1" thickBot="1" x14ac:dyDescent="0.25">
      <c r="A9" s="142"/>
      <c r="B9" s="143"/>
      <c r="C9" s="27"/>
      <c r="D9" s="144" t="e">
        <f>SUM(#REF!+#REF!+#REF!)</f>
        <v>#REF!</v>
      </c>
      <c r="E9" s="144" t="e">
        <f>SUM(#REF!+#REF!+#REF!)</f>
        <v>#REF!</v>
      </c>
      <c r="F9" s="144"/>
      <c r="G9" s="1382">
        <f t="shared" si="0"/>
        <v>0</v>
      </c>
      <c r="H9" s="144"/>
      <c r="I9" s="2719">
        <f t="shared" ref="I9:I27" si="9">J9-H9</f>
        <v>0</v>
      </c>
      <c r="J9" s="144"/>
      <c r="K9" s="3364">
        <f t="shared" si="5"/>
        <v>0</v>
      </c>
      <c r="L9" s="144"/>
      <c r="M9" s="144"/>
      <c r="N9" s="540" t="e">
        <f t="shared" si="6"/>
        <v>#DIV/0!</v>
      </c>
      <c r="O9" s="463"/>
      <c r="P9" s="2003">
        <f t="shared" si="2"/>
        <v>0</v>
      </c>
      <c r="Q9" s="2003"/>
      <c r="R9" s="2354">
        <f t="shared" si="7"/>
        <v>0</v>
      </c>
      <c r="S9" s="2005"/>
      <c r="T9" s="139">
        <f t="shared" si="8"/>
        <v>0</v>
      </c>
      <c r="U9" s="139"/>
      <c r="V9" s="1999">
        <f t="shared" si="3"/>
        <v>0</v>
      </c>
      <c r="W9" s="2001">
        <f t="shared" si="4"/>
        <v>0</v>
      </c>
      <c r="Y9" s="2003">
        <f>SUM('3. a. sz. mell'!F9+'3.b. sz. mell'!F9+'3.c. sz. mell '!F9)</f>
        <v>0</v>
      </c>
      <c r="Z9" s="2003"/>
      <c r="AA9" s="2354">
        <f>SUM('3. a. sz. mell'!H9+'3.b. sz. mell'!H9+'3.c. sz. mell '!H9)</f>
        <v>0</v>
      </c>
      <c r="AB9" s="2005"/>
      <c r="AC9" s="139">
        <f>SUM('3. a. sz. mell'!J9+'3.b. sz. mell'!J9+'3.c. sz. mell '!J9)</f>
        <v>0</v>
      </c>
      <c r="AD9" s="139"/>
      <c r="AE9" s="1999">
        <f>SUM('3. a. sz. mell'!L9+'3.b. sz. mell'!L9+'3.c. sz. mell '!L9)</f>
        <v>0</v>
      </c>
      <c r="AF9" s="2002">
        <f>SUM('3. a. sz. mell'!M9+'3.b. sz. mell'!M9+'3.c. sz. mell '!M9)</f>
        <v>0</v>
      </c>
    </row>
    <row r="10" spans="1:32" s="145" customFormat="1" ht="12.75" hidden="1" customHeight="1" thickBot="1" x14ac:dyDescent="0.25">
      <c r="A10" s="142"/>
      <c r="B10" s="143"/>
      <c r="C10" s="27"/>
      <c r="D10" s="144"/>
      <c r="E10" s="144"/>
      <c r="F10" s="144"/>
      <c r="G10" s="1382">
        <f t="shared" si="0"/>
        <v>0</v>
      </c>
      <c r="H10" s="144"/>
      <c r="I10" s="2719">
        <f t="shared" si="9"/>
        <v>0</v>
      </c>
      <c r="J10" s="144"/>
      <c r="K10" s="3364">
        <f t="shared" si="5"/>
        <v>0</v>
      </c>
      <c r="L10" s="144"/>
      <c r="M10" s="144"/>
      <c r="N10" s="540" t="e">
        <f t="shared" si="6"/>
        <v>#DIV/0!</v>
      </c>
      <c r="O10" s="463"/>
      <c r="P10" s="2003">
        <f t="shared" si="2"/>
        <v>0</v>
      </c>
      <c r="Q10" s="2003"/>
      <c r="R10" s="2354">
        <f t="shared" si="7"/>
        <v>0</v>
      </c>
      <c r="S10" s="2005"/>
      <c r="T10" s="139">
        <f t="shared" si="8"/>
        <v>0</v>
      </c>
      <c r="U10" s="139"/>
      <c r="V10" s="1999">
        <f t="shared" si="3"/>
        <v>0</v>
      </c>
      <c r="W10" s="2001">
        <f t="shared" si="4"/>
        <v>0</v>
      </c>
      <c r="Y10" s="2003">
        <f>SUM('3. a. sz. mell'!F10+'3.b. sz. mell'!F10+'3.c. sz. mell '!F10)</f>
        <v>0</v>
      </c>
      <c r="Z10" s="2003"/>
      <c r="AA10" s="2354">
        <f>SUM('3. a. sz. mell'!H10+'3.b. sz. mell'!H10+'3.c. sz. mell '!H10)</f>
        <v>0</v>
      </c>
      <c r="AB10" s="2005"/>
      <c r="AC10" s="139">
        <f>SUM('3. a. sz. mell'!J10+'3.b. sz. mell'!J10+'3.c. sz. mell '!J10)</f>
        <v>0</v>
      </c>
      <c r="AD10" s="139"/>
      <c r="AE10" s="1999">
        <f>SUM('3. a. sz. mell'!L10+'3.b. sz. mell'!L10+'3.c. sz. mell '!L10)</f>
        <v>0</v>
      </c>
      <c r="AF10" s="2002">
        <f>SUM('3. a. sz. mell'!M10+'3.b. sz. mell'!M10+'3.c. sz. mell '!M10)</f>
        <v>0</v>
      </c>
    </row>
    <row r="11" spans="1:32" s="145" customFormat="1" ht="12.75" hidden="1" customHeight="1" thickBot="1" x14ac:dyDescent="0.25">
      <c r="A11" s="142"/>
      <c r="B11" s="143"/>
      <c r="C11" s="27"/>
      <c r="D11" s="144" t="e">
        <f>SUM(#REF!)</f>
        <v>#REF!</v>
      </c>
      <c r="E11" s="144" t="e">
        <f>SUM(#REF!)</f>
        <v>#REF!</v>
      </c>
      <c r="F11" s="144"/>
      <c r="G11" s="1382">
        <f t="shared" si="0"/>
        <v>0</v>
      </c>
      <c r="H11" s="144"/>
      <c r="I11" s="2719" t="e">
        <f t="shared" si="9"/>
        <v>#REF!</v>
      </c>
      <c r="J11" s="144" t="e">
        <f>SUM(#REF!)</f>
        <v>#REF!</v>
      </c>
      <c r="K11" s="3364" t="e">
        <f t="shared" si="5"/>
        <v>#REF!</v>
      </c>
      <c r="L11" s="144" t="e">
        <f>SUM(#REF!)</f>
        <v>#REF!</v>
      </c>
      <c r="M11" s="144"/>
      <c r="N11" s="540" t="e">
        <f t="shared" si="6"/>
        <v>#DIV/0!</v>
      </c>
      <c r="O11" s="463"/>
      <c r="P11" s="2003">
        <f t="shared" si="2"/>
        <v>0</v>
      </c>
      <c r="Q11" s="2003"/>
      <c r="R11" s="2354">
        <f t="shared" si="7"/>
        <v>0</v>
      </c>
      <c r="S11" s="2005"/>
      <c r="T11" s="139" t="e">
        <f t="shared" si="8"/>
        <v>#REF!</v>
      </c>
      <c r="U11" s="139"/>
      <c r="V11" s="1999" t="e">
        <f t="shared" si="3"/>
        <v>#REF!</v>
      </c>
      <c r="W11" s="2001">
        <f t="shared" si="4"/>
        <v>0</v>
      </c>
      <c r="Y11" s="2003">
        <f>SUM('3. a. sz. mell'!F11+'3.b. sz. mell'!F11+'3.c. sz. mell '!F11)</f>
        <v>0</v>
      </c>
      <c r="Z11" s="2003"/>
      <c r="AA11" s="2354">
        <f>SUM('3. a. sz. mell'!H11+'3.b. sz. mell'!H11+'3.c. sz. mell '!H11)</f>
        <v>0</v>
      </c>
      <c r="AB11" s="2005"/>
      <c r="AC11" s="139" t="e">
        <f>SUM('3. a. sz. mell'!J11+'3.b. sz. mell'!J11+'3.c. sz. mell '!J11)</f>
        <v>#REF!</v>
      </c>
      <c r="AD11" s="139"/>
      <c r="AE11" s="1999">
        <f>SUM('3. a. sz. mell'!L11+'3.b. sz. mell'!L11+'3.c. sz. mell '!L11)</f>
        <v>0</v>
      </c>
      <c r="AF11" s="2002">
        <f>SUM('3. a. sz. mell'!M11+'3.b. sz. mell'!M11+'3.c. sz. mell '!M11)</f>
        <v>0</v>
      </c>
    </row>
    <row r="12" spans="1:32" s="145" customFormat="1" ht="12.75" hidden="1" customHeight="1" thickBot="1" x14ac:dyDescent="0.25">
      <c r="A12" s="142"/>
      <c r="B12" s="143"/>
      <c r="C12" s="27"/>
      <c r="D12" s="144" t="e">
        <f>SUM(#REF!)</f>
        <v>#REF!</v>
      </c>
      <c r="E12" s="144" t="e">
        <f>SUM(#REF!+#REF!)</f>
        <v>#REF!</v>
      </c>
      <c r="F12" s="144"/>
      <c r="G12" s="1382">
        <f t="shared" si="0"/>
        <v>0</v>
      </c>
      <c r="H12" s="144"/>
      <c r="I12" s="2719" t="e">
        <f t="shared" si="9"/>
        <v>#REF!</v>
      </c>
      <c r="J12" s="144" t="e">
        <f>SUM(#REF!+#REF!)</f>
        <v>#REF!</v>
      </c>
      <c r="K12" s="3364" t="e">
        <f t="shared" si="5"/>
        <v>#REF!</v>
      </c>
      <c r="L12" s="144" t="e">
        <f>SUM(#REF!+#REF!)</f>
        <v>#REF!</v>
      </c>
      <c r="M12" s="144"/>
      <c r="N12" s="540" t="e">
        <f t="shared" si="6"/>
        <v>#DIV/0!</v>
      </c>
      <c r="O12" s="463"/>
      <c r="P12" s="2003">
        <f t="shared" si="2"/>
        <v>0</v>
      </c>
      <c r="Q12" s="2003"/>
      <c r="R12" s="2354">
        <f t="shared" si="7"/>
        <v>0</v>
      </c>
      <c r="S12" s="2005"/>
      <c r="T12" s="139" t="e">
        <f t="shared" si="8"/>
        <v>#REF!</v>
      </c>
      <c r="U12" s="139"/>
      <c r="V12" s="1999" t="e">
        <f t="shared" si="3"/>
        <v>#REF!</v>
      </c>
      <c r="W12" s="2001">
        <f t="shared" si="4"/>
        <v>0</v>
      </c>
      <c r="Y12" s="2003">
        <f>SUM('3. a. sz. mell'!F12+'3.b. sz. mell'!F12+'3.c. sz. mell '!F12)</f>
        <v>0</v>
      </c>
      <c r="Z12" s="2003"/>
      <c r="AA12" s="2354">
        <f>SUM('3. a. sz. mell'!H12+'3.b. sz. mell'!H12+'3.c. sz. mell '!H12)</f>
        <v>0</v>
      </c>
      <c r="AB12" s="2005"/>
      <c r="AC12" s="139" t="e">
        <f>SUM('3. a. sz. mell'!J12+'3.b. sz. mell'!J12+'3.c. sz. mell '!J12)</f>
        <v>#REF!</v>
      </c>
      <c r="AD12" s="139"/>
      <c r="AE12" s="1999">
        <f>SUM('3. a. sz. mell'!L12+'3.b. sz. mell'!L12+'3.c. sz. mell '!L12)</f>
        <v>0</v>
      </c>
      <c r="AF12" s="2002">
        <f>SUM('3. a. sz. mell'!M12+'3.b. sz. mell'!M12+'3.c. sz. mell '!M12)</f>
        <v>0</v>
      </c>
    </row>
    <row r="13" spans="1:32" s="145" customFormat="1" ht="12.75" hidden="1" customHeight="1" thickBot="1" x14ac:dyDescent="0.25">
      <c r="A13" s="142"/>
      <c r="B13" s="143"/>
      <c r="C13" s="27"/>
      <c r="D13" s="144"/>
      <c r="E13" s="144"/>
      <c r="F13" s="144"/>
      <c r="G13" s="1382">
        <f t="shared" si="0"/>
        <v>0</v>
      </c>
      <c r="H13" s="144"/>
      <c r="I13" s="2719">
        <f t="shared" si="9"/>
        <v>0</v>
      </c>
      <c r="J13" s="144"/>
      <c r="K13" s="3364">
        <f t="shared" si="5"/>
        <v>0</v>
      </c>
      <c r="L13" s="144"/>
      <c r="M13" s="144"/>
      <c r="N13" s="540" t="e">
        <f t="shared" si="6"/>
        <v>#DIV/0!</v>
      </c>
      <c r="O13" s="463"/>
      <c r="P13" s="2003">
        <f t="shared" si="2"/>
        <v>0</v>
      </c>
      <c r="Q13" s="2003"/>
      <c r="R13" s="2354">
        <f t="shared" si="7"/>
        <v>0</v>
      </c>
      <c r="S13" s="2005"/>
      <c r="T13" s="139">
        <f t="shared" si="8"/>
        <v>0</v>
      </c>
      <c r="U13" s="139"/>
      <c r="V13" s="1999">
        <f t="shared" si="3"/>
        <v>0</v>
      </c>
      <c r="W13" s="2001">
        <f t="shared" si="4"/>
        <v>0</v>
      </c>
      <c r="Y13" s="2003">
        <f>SUM('3. a. sz. mell'!F13+'3.b. sz. mell'!F13+'3.c. sz. mell '!F13)</f>
        <v>0</v>
      </c>
      <c r="Z13" s="2003"/>
      <c r="AA13" s="2354">
        <f>SUM('3. a. sz. mell'!H13+'3.b. sz. mell'!H13+'3.c. sz. mell '!H13)</f>
        <v>0</v>
      </c>
      <c r="AB13" s="2005"/>
      <c r="AC13" s="139">
        <f>SUM('3. a. sz. mell'!J13+'3.b. sz. mell'!J13+'3.c. sz. mell '!J13)</f>
        <v>0</v>
      </c>
      <c r="AD13" s="139"/>
      <c r="AE13" s="1999">
        <f>SUM('3. a. sz. mell'!L13+'3.b. sz. mell'!L13+'3.c. sz. mell '!L13)</f>
        <v>0</v>
      </c>
      <c r="AF13" s="2002">
        <f>SUM('3. a. sz. mell'!M13+'3.b. sz. mell'!M13+'3.c. sz. mell '!M13)</f>
        <v>0</v>
      </c>
    </row>
    <row r="14" spans="1:32" s="145" customFormat="1" ht="12.75" hidden="1" customHeight="1" thickBot="1" x14ac:dyDescent="0.25">
      <c r="A14" s="142"/>
      <c r="B14" s="143"/>
      <c r="C14" s="27"/>
      <c r="D14" s="144"/>
      <c r="E14" s="144"/>
      <c r="F14" s="144"/>
      <c r="G14" s="1382">
        <f t="shared" si="0"/>
        <v>0</v>
      </c>
      <c r="H14" s="144"/>
      <c r="I14" s="2719">
        <f t="shared" si="9"/>
        <v>0</v>
      </c>
      <c r="J14" s="144"/>
      <c r="K14" s="3364">
        <f t="shared" si="5"/>
        <v>0</v>
      </c>
      <c r="L14" s="144"/>
      <c r="M14" s="144"/>
      <c r="N14" s="540" t="e">
        <f t="shared" si="6"/>
        <v>#DIV/0!</v>
      </c>
      <c r="O14" s="463"/>
      <c r="P14" s="2003">
        <f t="shared" si="2"/>
        <v>0</v>
      </c>
      <c r="Q14" s="2003"/>
      <c r="R14" s="2354">
        <f t="shared" si="7"/>
        <v>0</v>
      </c>
      <c r="S14" s="2005"/>
      <c r="T14" s="139">
        <f t="shared" si="8"/>
        <v>0</v>
      </c>
      <c r="U14" s="139"/>
      <c r="V14" s="1999">
        <f t="shared" si="3"/>
        <v>0</v>
      </c>
      <c r="W14" s="2001">
        <f t="shared" si="4"/>
        <v>0</v>
      </c>
      <c r="Y14" s="2003">
        <f>SUM('3. a. sz. mell'!F14+'3.b. sz. mell'!F14+'3.c. sz. mell '!F14)</f>
        <v>0</v>
      </c>
      <c r="Z14" s="2003"/>
      <c r="AA14" s="2354">
        <f>SUM('3. a. sz. mell'!H14+'3.b. sz. mell'!H14+'3.c. sz. mell '!H14)</f>
        <v>0</v>
      </c>
      <c r="AB14" s="2005"/>
      <c r="AC14" s="139">
        <f>SUM('3. a. sz. mell'!J14+'3.b. sz. mell'!J14+'3.c. sz. mell '!J14)</f>
        <v>0</v>
      </c>
      <c r="AD14" s="139"/>
      <c r="AE14" s="1999">
        <f>SUM('3. a. sz. mell'!L14+'3.b. sz. mell'!L14+'3.c. sz. mell '!L14)</f>
        <v>0</v>
      </c>
      <c r="AF14" s="2002">
        <f>SUM('3. a. sz. mell'!M14+'3.b. sz. mell'!M14+'3.c. sz. mell '!M14)</f>
        <v>0</v>
      </c>
    </row>
    <row r="15" spans="1:32" s="145" customFormat="1" ht="12.75" hidden="1" customHeight="1" thickBot="1" x14ac:dyDescent="0.25">
      <c r="A15" s="146"/>
      <c r="B15" s="143"/>
      <c r="C15" s="33"/>
      <c r="D15" s="147"/>
      <c r="E15" s="147"/>
      <c r="F15" s="147"/>
      <c r="G15" s="1382">
        <f t="shared" si="0"/>
        <v>0</v>
      </c>
      <c r="H15" s="147"/>
      <c r="I15" s="2719">
        <f t="shared" si="9"/>
        <v>0</v>
      </c>
      <c r="J15" s="147"/>
      <c r="K15" s="3364">
        <f t="shared" si="5"/>
        <v>0</v>
      </c>
      <c r="L15" s="147"/>
      <c r="M15" s="147"/>
      <c r="N15" s="540" t="e">
        <f t="shared" si="6"/>
        <v>#DIV/0!</v>
      </c>
      <c r="O15" s="463"/>
      <c r="P15" s="2003">
        <f t="shared" si="2"/>
        <v>0</v>
      </c>
      <c r="Q15" s="2003"/>
      <c r="R15" s="2354">
        <f t="shared" si="7"/>
        <v>0</v>
      </c>
      <c r="S15" s="2005"/>
      <c r="T15" s="139">
        <f t="shared" si="8"/>
        <v>0</v>
      </c>
      <c r="U15" s="139"/>
      <c r="V15" s="1999">
        <f t="shared" si="3"/>
        <v>0</v>
      </c>
      <c r="W15" s="2001">
        <f t="shared" si="4"/>
        <v>0</v>
      </c>
      <c r="Y15" s="2003">
        <f>SUM('3. a. sz. mell'!F15+'3.b. sz. mell'!F15+'3.c. sz. mell '!F15)</f>
        <v>0</v>
      </c>
      <c r="Z15" s="2003"/>
      <c r="AA15" s="2354">
        <f>SUM('3. a. sz. mell'!H15+'3.b. sz. mell'!H15+'3.c. sz. mell '!H15)</f>
        <v>0</v>
      </c>
      <c r="AB15" s="2005"/>
      <c r="AC15" s="139">
        <f>SUM('3. a. sz. mell'!J15+'3.b. sz. mell'!J15+'3.c. sz. mell '!J15)</f>
        <v>0</v>
      </c>
      <c r="AD15" s="139"/>
      <c r="AE15" s="1999">
        <f>SUM('3. a. sz. mell'!L15+'3.b. sz. mell'!L15+'3.c. sz. mell '!L15)</f>
        <v>0</v>
      </c>
      <c r="AF15" s="2002">
        <f>SUM('3. a. sz. mell'!M15+'3.b. sz. mell'!M15+'3.c. sz. mell '!M15)</f>
        <v>0</v>
      </c>
    </row>
    <row r="16" spans="1:32" s="141" customFormat="1" ht="18.75" customHeight="1" thickBot="1" x14ac:dyDescent="0.25">
      <c r="A16" s="134" t="s">
        <v>31</v>
      </c>
      <c r="B16" s="148"/>
      <c r="C16" s="30" t="s">
        <v>330</v>
      </c>
      <c r="D16" s="137" t="e">
        <f>SUM(D17:D24)</f>
        <v>#REF!</v>
      </c>
      <c r="E16" s="137" t="e">
        <f>SUM(E17:E24)</f>
        <v>#REF!</v>
      </c>
      <c r="F16" s="137">
        <f>SUM('3.1. Cofog'!L4+'3.1. Cofog'!L53)+'3.1. Cofog'!L80</f>
        <v>123704000</v>
      </c>
      <c r="G16" s="1382">
        <f t="shared" si="0"/>
        <v>254441175</v>
      </c>
      <c r="H16" s="137">
        <f>SUM('3.1. Cofog'!N4+'3.1. Cofog'!N53)+'3.1. Cofog'!N80+'3.1. Cofog'!N42+'3.1. Cofog'!N103+'3.1. Cofog'!N18</f>
        <v>378145175</v>
      </c>
      <c r="I16" s="2719">
        <f t="shared" si="9"/>
        <v>-188168922</v>
      </c>
      <c r="J16" s="137">
        <f>SUM('3.1. Cofog'!P4+'3.1. Cofog'!P53)+'3.1. Cofog'!P80+'3.1. Cofog'!P42+'3.1. Cofog'!P103+'3.1. Cofog'!P18</f>
        <v>189976253</v>
      </c>
      <c r="K16" s="3364">
        <f t="shared" si="5"/>
        <v>0</v>
      </c>
      <c r="L16" s="137">
        <f>SUM('3.1. Cofog'!R4+'3.1. Cofog'!R53)+'3.1. Cofog'!R80+'3.1. Cofog'!R42+'3.1. Cofog'!R103+'3.1. Cofog'!R18</f>
        <v>189976253</v>
      </c>
      <c r="M16" s="137">
        <f>SUM('3.1. Cofog'!S4+'3.1. Cofog'!S53)+'3.1. Cofog'!S80+'3.1. Cofog'!S42+'3.1. Cofog'!S103+'3.1. Cofog'!S18</f>
        <v>201326605</v>
      </c>
      <c r="N16" s="540">
        <f t="shared" si="6"/>
        <v>53.240558999595855</v>
      </c>
      <c r="O16" s="286"/>
      <c r="P16" s="2003">
        <f t="shared" si="2"/>
        <v>0</v>
      </c>
      <c r="Q16" s="2003"/>
      <c r="R16" s="2354">
        <f t="shared" si="7"/>
        <v>0</v>
      </c>
      <c r="S16" s="2005"/>
      <c r="T16" s="139">
        <f t="shared" si="8"/>
        <v>0</v>
      </c>
      <c r="U16" s="139"/>
      <c r="V16" s="1999">
        <f t="shared" si="3"/>
        <v>0</v>
      </c>
      <c r="W16" s="2001">
        <f t="shared" si="4"/>
        <v>0</v>
      </c>
      <c r="Y16" s="2003">
        <f>SUM('3. a. sz. mell'!F16+'3.b. sz. mell'!F16+'3.c. sz. mell '!F16)</f>
        <v>123704000</v>
      </c>
      <c r="Z16" s="2003"/>
      <c r="AA16" s="2354">
        <f>SUM('3. a. sz. mell'!H16+'3.b. sz. mell'!H16+'3.c. sz. mell '!H16)</f>
        <v>378145175</v>
      </c>
      <c r="AB16" s="2005"/>
      <c r="AC16" s="139">
        <f>SUM('3. a. sz. mell'!J16+'3.b. sz. mell'!J16+'3.c. sz. mell '!J16)</f>
        <v>189976253</v>
      </c>
      <c r="AD16" s="139"/>
      <c r="AE16" s="1999">
        <f>SUM('3. a. sz. mell'!L16+'3.b. sz. mell'!L16+'3.c. sz. mell '!L16)</f>
        <v>189976253</v>
      </c>
      <c r="AF16" s="2002">
        <f>SUM('3. a. sz. mell'!M16+'3.b. sz. mell'!M16+'3.c. sz. mell '!M16)</f>
        <v>201326605</v>
      </c>
    </row>
    <row r="17" spans="1:32" s="141" customFormat="1" ht="12.75" hidden="1" customHeight="1" thickBot="1" x14ac:dyDescent="0.25">
      <c r="A17" s="149"/>
      <c r="B17" s="143"/>
      <c r="C17" s="27"/>
      <c r="D17" s="150"/>
      <c r="E17" s="150"/>
      <c r="F17" s="150"/>
      <c r="G17" s="1382">
        <f t="shared" si="0"/>
        <v>0</v>
      </c>
      <c r="H17" s="150"/>
      <c r="I17" s="2719">
        <f t="shared" si="9"/>
        <v>0</v>
      </c>
      <c r="J17" s="150"/>
      <c r="K17" s="3364">
        <f t="shared" si="5"/>
        <v>0</v>
      </c>
      <c r="L17" s="150"/>
      <c r="M17" s="150"/>
      <c r="N17" s="540" t="e">
        <f t="shared" si="6"/>
        <v>#DIV/0!</v>
      </c>
      <c r="O17" s="463"/>
      <c r="P17" s="2003">
        <f t="shared" si="2"/>
        <v>0</v>
      </c>
      <c r="Q17" s="2003"/>
      <c r="R17" s="2354">
        <f t="shared" si="7"/>
        <v>0</v>
      </c>
      <c r="S17" s="2005"/>
      <c r="T17" s="139">
        <f t="shared" si="8"/>
        <v>0</v>
      </c>
      <c r="U17" s="139"/>
      <c r="V17" s="1999">
        <f t="shared" si="3"/>
        <v>0</v>
      </c>
      <c r="W17" s="2001">
        <f t="shared" si="4"/>
        <v>0</v>
      </c>
      <c r="Y17" s="2003">
        <f>SUM('3. a. sz. mell'!F17+'3.b. sz. mell'!F17+'3.c. sz. mell '!F17)</f>
        <v>0</v>
      </c>
      <c r="Z17" s="2003"/>
      <c r="AA17" s="2354">
        <f>SUM('3. a. sz. mell'!H17+'3.b. sz. mell'!H17+'3.c. sz. mell '!H17)</f>
        <v>0</v>
      </c>
      <c r="AB17" s="2005"/>
      <c r="AC17" s="139">
        <f>SUM('3. a. sz. mell'!J17+'3.b. sz. mell'!J17+'3.c. sz. mell '!J17)</f>
        <v>0</v>
      </c>
      <c r="AD17" s="139"/>
      <c r="AE17" s="1999">
        <f>SUM('3. a. sz. mell'!L17+'3.b. sz. mell'!L17+'3.c. sz. mell '!L17)</f>
        <v>0</v>
      </c>
      <c r="AF17" s="2002">
        <f>SUM('3. a. sz. mell'!M17+'3.b. sz. mell'!M17+'3.c. sz. mell '!M17)</f>
        <v>0</v>
      </c>
    </row>
    <row r="18" spans="1:32" s="141" customFormat="1" ht="12.75" hidden="1" customHeight="1" thickBot="1" x14ac:dyDescent="0.25">
      <c r="A18" s="142"/>
      <c r="B18" s="143"/>
      <c r="C18" s="27"/>
      <c r="D18" s="144" t="e">
        <f>SUM(#REF!)</f>
        <v>#REF!</v>
      </c>
      <c r="E18" s="144" t="e">
        <f>SUM(#REF!+#REF!)</f>
        <v>#REF!</v>
      </c>
      <c r="F18" s="144"/>
      <c r="G18" s="1382">
        <f t="shared" si="0"/>
        <v>0</v>
      </c>
      <c r="H18" s="144"/>
      <c r="I18" s="2719">
        <f t="shared" si="9"/>
        <v>0</v>
      </c>
      <c r="J18" s="144"/>
      <c r="K18" s="3364">
        <f t="shared" si="5"/>
        <v>0</v>
      </c>
      <c r="L18" s="144"/>
      <c r="M18" s="144"/>
      <c r="N18" s="540" t="e">
        <f t="shared" si="6"/>
        <v>#DIV/0!</v>
      </c>
      <c r="O18" s="463"/>
      <c r="P18" s="2003">
        <f t="shared" si="2"/>
        <v>0</v>
      </c>
      <c r="Q18" s="2003"/>
      <c r="R18" s="2354">
        <f t="shared" si="7"/>
        <v>0</v>
      </c>
      <c r="S18" s="2005"/>
      <c r="T18" s="139">
        <f t="shared" si="8"/>
        <v>0</v>
      </c>
      <c r="U18" s="139"/>
      <c r="V18" s="1999">
        <f t="shared" si="3"/>
        <v>0</v>
      </c>
      <c r="W18" s="2001">
        <f t="shared" si="4"/>
        <v>0</v>
      </c>
      <c r="Y18" s="2003">
        <f>SUM('3. a. sz. mell'!F18+'3.b. sz. mell'!F18+'3.c. sz. mell '!F18)</f>
        <v>0</v>
      </c>
      <c r="Z18" s="2003"/>
      <c r="AA18" s="2354">
        <f>SUM('3. a. sz. mell'!H18+'3.b. sz. mell'!H18+'3.c. sz. mell '!H18)</f>
        <v>0</v>
      </c>
      <c r="AB18" s="2005"/>
      <c r="AC18" s="139">
        <f>SUM('3. a. sz. mell'!J18+'3.b. sz. mell'!J18+'3.c. sz. mell '!J18)</f>
        <v>0</v>
      </c>
      <c r="AD18" s="139"/>
      <c r="AE18" s="1999">
        <f>SUM('3. a. sz. mell'!L18+'3.b. sz. mell'!L18+'3.c. sz. mell '!L18)</f>
        <v>0</v>
      </c>
      <c r="AF18" s="2002">
        <f>SUM('3. a. sz. mell'!M18+'3.b. sz. mell'!M18+'3.c. sz. mell '!M18)</f>
        <v>0</v>
      </c>
    </row>
    <row r="19" spans="1:32" s="141" customFormat="1" ht="12.75" hidden="1" customHeight="1" thickBot="1" x14ac:dyDescent="0.25">
      <c r="A19" s="142"/>
      <c r="B19" s="143"/>
      <c r="C19" s="27"/>
      <c r="D19" s="144" t="e">
        <f>SUM(#REF!)</f>
        <v>#REF!</v>
      </c>
      <c r="E19" s="144" t="e">
        <f>SUM(#REF!)</f>
        <v>#REF!</v>
      </c>
      <c r="F19" s="144"/>
      <c r="G19" s="1382">
        <f t="shared" si="0"/>
        <v>0</v>
      </c>
      <c r="H19" s="144"/>
      <c r="I19" s="2719">
        <f t="shared" si="9"/>
        <v>0</v>
      </c>
      <c r="J19" s="144"/>
      <c r="K19" s="3364">
        <f t="shared" si="5"/>
        <v>0</v>
      </c>
      <c r="L19" s="144"/>
      <c r="M19" s="144"/>
      <c r="N19" s="540" t="e">
        <f t="shared" si="6"/>
        <v>#DIV/0!</v>
      </c>
      <c r="O19" s="463"/>
      <c r="P19" s="2003">
        <f t="shared" si="2"/>
        <v>0</v>
      </c>
      <c r="Q19" s="2003"/>
      <c r="R19" s="2354">
        <f t="shared" si="7"/>
        <v>0</v>
      </c>
      <c r="S19" s="2005"/>
      <c r="T19" s="139">
        <f t="shared" si="8"/>
        <v>0</v>
      </c>
      <c r="U19" s="139"/>
      <c r="V19" s="1999">
        <f t="shared" si="3"/>
        <v>0</v>
      </c>
      <c r="W19" s="2001">
        <f t="shared" si="4"/>
        <v>0</v>
      </c>
      <c r="Y19" s="2003">
        <f>SUM('3. a. sz. mell'!F19+'3.b. sz. mell'!F19+'3.c. sz. mell '!F19)</f>
        <v>0</v>
      </c>
      <c r="Z19" s="2003"/>
      <c r="AA19" s="2354">
        <f>SUM('3. a. sz. mell'!H19+'3.b. sz. mell'!H19+'3.c. sz. mell '!H19)</f>
        <v>0</v>
      </c>
      <c r="AB19" s="2005"/>
      <c r="AC19" s="139">
        <f>SUM('3. a. sz. mell'!J19+'3.b. sz. mell'!J19+'3.c. sz. mell '!J19)</f>
        <v>0</v>
      </c>
      <c r="AD19" s="139"/>
      <c r="AE19" s="1999">
        <f>SUM('3. a. sz. mell'!L19+'3.b. sz. mell'!L19+'3.c. sz. mell '!L19)</f>
        <v>0</v>
      </c>
      <c r="AF19" s="2002">
        <f>SUM('3. a. sz. mell'!M19+'3.b. sz. mell'!M19+'3.c. sz. mell '!M19)</f>
        <v>0</v>
      </c>
    </row>
    <row r="20" spans="1:32" s="141" customFormat="1" ht="12.75" hidden="1" customHeight="1" thickBot="1" x14ac:dyDescent="0.25">
      <c r="A20" s="142"/>
      <c r="B20" s="143"/>
      <c r="C20" s="27"/>
      <c r="D20" s="144"/>
      <c r="E20" s="144"/>
      <c r="F20" s="144"/>
      <c r="G20" s="1382">
        <f t="shared" si="0"/>
        <v>0</v>
      </c>
      <c r="H20" s="144"/>
      <c r="I20" s="2719">
        <f t="shared" si="9"/>
        <v>0</v>
      </c>
      <c r="J20" s="144"/>
      <c r="K20" s="3364">
        <f t="shared" si="5"/>
        <v>0</v>
      </c>
      <c r="L20" s="144"/>
      <c r="M20" s="144"/>
      <c r="N20" s="540" t="e">
        <f t="shared" si="6"/>
        <v>#DIV/0!</v>
      </c>
      <c r="O20" s="463"/>
      <c r="P20" s="2003">
        <f t="shared" si="2"/>
        <v>0</v>
      </c>
      <c r="Q20" s="2003"/>
      <c r="R20" s="2354">
        <f t="shared" si="7"/>
        <v>0</v>
      </c>
      <c r="S20" s="2005"/>
      <c r="T20" s="139">
        <f t="shared" si="8"/>
        <v>0</v>
      </c>
      <c r="U20" s="139"/>
      <c r="V20" s="1999">
        <f t="shared" si="3"/>
        <v>0</v>
      </c>
      <c r="W20" s="2001">
        <f t="shared" si="4"/>
        <v>0</v>
      </c>
      <c r="Y20" s="2003">
        <f>SUM('3. a. sz. mell'!F20+'3.b. sz. mell'!F20+'3.c. sz. mell '!F20)</f>
        <v>0</v>
      </c>
      <c r="Z20" s="2003"/>
      <c r="AA20" s="2354">
        <f>SUM('3. a. sz. mell'!H20+'3.b. sz. mell'!H20+'3.c. sz. mell '!H20)</f>
        <v>0</v>
      </c>
      <c r="AB20" s="2005"/>
      <c r="AC20" s="139">
        <f>SUM('3. a. sz. mell'!J20+'3.b. sz. mell'!J20+'3.c. sz. mell '!J20)</f>
        <v>0</v>
      </c>
      <c r="AD20" s="139"/>
      <c r="AE20" s="1999">
        <f>SUM('3. a. sz. mell'!L20+'3.b. sz. mell'!L20+'3.c. sz. mell '!L20)</f>
        <v>0</v>
      </c>
      <c r="AF20" s="2002">
        <f>SUM('3. a. sz. mell'!M20+'3.b. sz. mell'!M20+'3.c. sz. mell '!M20)</f>
        <v>0</v>
      </c>
    </row>
    <row r="21" spans="1:32" s="141" customFormat="1" ht="12.75" hidden="1" customHeight="1" thickBot="1" x14ac:dyDescent="0.25">
      <c r="A21" s="142"/>
      <c r="B21" s="143"/>
      <c r="C21" s="27"/>
      <c r="D21" s="144"/>
      <c r="E21" s="144"/>
      <c r="F21" s="144"/>
      <c r="G21" s="1382">
        <f t="shared" si="0"/>
        <v>0</v>
      </c>
      <c r="H21" s="144"/>
      <c r="I21" s="2719">
        <f t="shared" si="9"/>
        <v>0</v>
      </c>
      <c r="J21" s="144"/>
      <c r="K21" s="3364">
        <f t="shared" si="5"/>
        <v>0</v>
      </c>
      <c r="L21" s="144"/>
      <c r="M21" s="144"/>
      <c r="N21" s="540" t="e">
        <f t="shared" si="6"/>
        <v>#DIV/0!</v>
      </c>
      <c r="O21" s="463"/>
      <c r="P21" s="2003">
        <f t="shared" si="2"/>
        <v>0</v>
      </c>
      <c r="Q21" s="2003"/>
      <c r="R21" s="2354">
        <f t="shared" si="7"/>
        <v>0</v>
      </c>
      <c r="S21" s="2005"/>
      <c r="T21" s="139">
        <f t="shared" si="8"/>
        <v>0</v>
      </c>
      <c r="U21" s="139"/>
      <c r="V21" s="1999">
        <f t="shared" si="3"/>
        <v>0</v>
      </c>
      <c r="W21" s="2001">
        <f t="shared" si="4"/>
        <v>0</v>
      </c>
      <c r="Y21" s="2003">
        <f>SUM('3. a. sz. mell'!F21+'3.b. sz. mell'!F21+'3.c. sz. mell '!F21)</f>
        <v>0</v>
      </c>
      <c r="Z21" s="2003"/>
      <c r="AA21" s="2354">
        <f>SUM('3. a. sz. mell'!H21+'3.b. sz. mell'!H21+'3.c. sz. mell '!H21)</f>
        <v>0</v>
      </c>
      <c r="AB21" s="2005"/>
      <c r="AC21" s="139">
        <f>SUM('3. a. sz. mell'!J21+'3.b. sz. mell'!J21+'3.c. sz. mell '!J21)</f>
        <v>0</v>
      </c>
      <c r="AD21" s="139"/>
      <c r="AE21" s="1999">
        <f>SUM('3. a. sz. mell'!L21+'3.b. sz. mell'!L21+'3.c. sz. mell '!L21)</f>
        <v>0</v>
      </c>
      <c r="AF21" s="2002">
        <f>SUM('3. a. sz. mell'!M21+'3.b. sz. mell'!M21+'3.c. sz. mell '!M21)</f>
        <v>0</v>
      </c>
    </row>
    <row r="22" spans="1:32" s="141" customFormat="1" ht="12.75" hidden="1" customHeight="1" thickBot="1" x14ac:dyDescent="0.25">
      <c r="A22" s="146"/>
      <c r="B22" s="143"/>
      <c r="C22" s="27"/>
      <c r="D22" s="147" t="e">
        <f>SUM(#REF!)</f>
        <v>#REF!</v>
      </c>
      <c r="E22" s="147" t="e">
        <f>SUM(#REF!)</f>
        <v>#REF!</v>
      </c>
      <c r="F22" s="147"/>
      <c r="G22" s="1382">
        <f t="shared" si="0"/>
        <v>0</v>
      </c>
      <c r="H22" s="147"/>
      <c r="I22" s="2719">
        <f t="shared" si="9"/>
        <v>0</v>
      </c>
      <c r="J22" s="147"/>
      <c r="K22" s="3364">
        <f t="shared" si="5"/>
        <v>0</v>
      </c>
      <c r="L22" s="147"/>
      <c r="M22" s="147"/>
      <c r="N22" s="540" t="e">
        <f t="shared" si="6"/>
        <v>#DIV/0!</v>
      </c>
      <c r="O22" s="463"/>
      <c r="P22" s="2003">
        <f t="shared" si="2"/>
        <v>0</v>
      </c>
      <c r="Q22" s="2003"/>
      <c r="R22" s="2354">
        <f t="shared" si="7"/>
        <v>0</v>
      </c>
      <c r="S22" s="2005"/>
      <c r="T22" s="139">
        <f t="shared" si="8"/>
        <v>0</v>
      </c>
      <c r="U22" s="139"/>
      <c r="V22" s="1999">
        <f t="shared" si="3"/>
        <v>0</v>
      </c>
      <c r="W22" s="2001">
        <f t="shared" si="4"/>
        <v>0</v>
      </c>
      <c r="Y22" s="2003">
        <f>SUM('3. a. sz. mell'!F22+'3.b. sz. mell'!F22+'3.c. sz. mell '!F22)</f>
        <v>0</v>
      </c>
      <c r="Z22" s="2003"/>
      <c r="AA22" s="2354">
        <f>SUM('3. a. sz. mell'!H22+'3.b. sz. mell'!H22+'3.c. sz. mell '!H22)</f>
        <v>0</v>
      </c>
      <c r="AB22" s="2005"/>
      <c r="AC22" s="139">
        <f>SUM('3. a. sz. mell'!J22+'3.b. sz. mell'!J22+'3.c. sz. mell '!J22)</f>
        <v>0</v>
      </c>
      <c r="AD22" s="139"/>
      <c r="AE22" s="1999">
        <f>SUM('3. a. sz. mell'!L22+'3.b. sz. mell'!L22+'3.c. sz. mell '!L22)</f>
        <v>0</v>
      </c>
      <c r="AF22" s="2002">
        <f>SUM('3. a. sz. mell'!M22+'3.b. sz. mell'!M22+'3.c. sz. mell '!M22)</f>
        <v>0</v>
      </c>
    </row>
    <row r="23" spans="1:32" s="145" customFormat="1" ht="12.75" hidden="1" customHeight="1" thickBot="1" x14ac:dyDescent="0.25">
      <c r="A23" s="142"/>
      <c r="B23" s="143"/>
      <c r="C23" s="27"/>
      <c r="D23" s="144" t="e">
        <f>SUM(#REF!)</f>
        <v>#REF!</v>
      </c>
      <c r="E23" s="144" t="e">
        <f>SUM(#REF!)</f>
        <v>#REF!</v>
      </c>
      <c r="F23" s="144"/>
      <c r="G23" s="1382">
        <f t="shared" si="0"/>
        <v>0</v>
      </c>
      <c r="H23" s="144"/>
      <c r="I23" s="2719">
        <f t="shared" si="9"/>
        <v>0</v>
      </c>
      <c r="J23" s="144"/>
      <c r="K23" s="3364">
        <f t="shared" si="5"/>
        <v>0</v>
      </c>
      <c r="L23" s="144"/>
      <c r="M23" s="144"/>
      <c r="N23" s="540" t="e">
        <f t="shared" si="6"/>
        <v>#DIV/0!</v>
      </c>
      <c r="O23" s="463"/>
      <c r="P23" s="2003">
        <f t="shared" si="2"/>
        <v>0</v>
      </c>
      <c r="Q23" s="2003"/>
      <c r="R23" s="2354">
        <f t="shared" si="7"/>
        <v>0</v>
      </c>
      <c r="S23" s="2005"/>
      <c r="T23" s="139">
        <f t="shared" si="8"/>
        <v>0</v>
      </c>
      <c r="U23" s="139"/>
      <c r="V23" s="1999">
        <f t="shared" ref="V23:V79" si="10">SUM(L23-AE23)</f>
        <v>0</v>
      </c>
      <c r="W23" s="2001">
        <f t="shared" si="4"/>
        <v>0</v>
      </c>
      <c r="Y23" s="2003">
        <f>SUM('3. a. sz. mell'!F23+'3.b. sz. mell'!F23+'3.c. sz. mell '!F23)</f>
        <v>0</v>
      </c>
      <c r="Z23" s="2003"/>
      <c r="AA23" s="2354">
        <f>SUM('3. a. sz. mell'!H23+'3.b. sz. mell'!H23+'3.c. sz. mell '!H23)</f>
        <v>0</v>
      </c>
      <c r="AB23" s="2005"/>
      <c r="AC23" s="139">
        <f>SUM('3. a. sz. mell'!J23+'3.b. sz. mell'!J23+'3.c. sz. mell '!J23)</f>
        <v>0</v>
      </c>
      <c r="AD23" s="139"/>
      <c r="AE23" s="1999">
        <f>SUM('3. a. sz. mell'!L23+'3.b. sz. mell'!L23+'3.c. sz. mell '!L23)</f>
        <v>0</v>
      </c>
      <c r="AF23" s="2002">
        <f>SUM('3. a. sz. mell'!M23+'3.b. sz. mell'!M23+'3.c. sz. mell '!M23)</f>
        <v>0</v>
      </c>
    </row>
    <row r="24" spans="1:32" s="145" customFormat="1" ht="12.75" hidden="1" customHeight="1" thickBot="1" x14ac:dyDescent="0.25">
      <c r="A24" s="151"/>
      <c r="B24" s="152"/>
      <c r="C24" s="27"/>
      <c r="D24" s="153"/>
      <c r="E24" s="153"/>
      <c r="F24" s="153"/>
      <c r="G24" s="1382">
        <f t="shared" si="0"/>
        <v>0</v>
      </c>
      <c r="H24" s="153"/>
      <c r="I24" s="2719">
        <f t="shared" si="9"/>
        <v>0</v>
      </c>
      <c r="J24" s="153"/>
      <c r="K24" s="3364">
        <f t="shared" si="5"/>
        <v>0</v>
      </c>
      <c r="L24" s="153"/>
      <c r="M24" s="153"/>
      <c r="N24" s="540" t="e">
        <f t="shared" si="6"/>
        <v>#DIV/0!</v>
      </c>
      <c r="O24" s="463"/>
      <c r="P24" s="2003">
        <f t="shared" si="2"/>
        <v>0</v>
      </c>
      <c r="Q24" s="2003"/>
      <c r="R24" s="2354">
        <f t="shared" si="7"/>
        <v>0</v>
      </c>
      <c r="S24" s="2005"/>
      <c r="T24" s="139">
        <f t="shared" si="8"/>
        <v>0</v>
      </c>
      <c r="U24" s="139"/>
      <c r="V24" s="1999">
        <f t="shared" si="10"/>
        <v>0</v>
      </c>
      <c r="W24" s="2001">
        <f t="shared" si="4"/>
        <v>0</v>
      </c>
      <c r="Y24" s="2003">
        <f>SUM('3. a. sz. mell'!F24+'3.b. sz. mell'!F24+'3.c. sz. mell '!F24)</f>
        <v>0</v>
      </c>
      <c r="Z24" s="2003"/>
      <c r="AA24" s="2354">
        <f>SUM('3. a. sz. mell'!H24+'3.b. sz. mell'!H24+'3.c. sz. mell '!H24)</f>
        <v>0</v>
      </c>
      <c r="AB24" s="2005"/>
      <c r="AC24" s="139">
        <f>SUM('3. a. sz. mell'!J24+'3.b. sz. mell'!J24+'3.c. sz. mell '!J24)</f>
        <v>0</v>
      </c>
      <c r="AD24" s="139"/>
      <c r="AE24" s="1999">
        <f>SUM('3. a. sz. mell'!L24+'3.b. sz. mell'!L24+'3.c. sz. mell '!L24)</f>
        <v>0</v>
      </c>
      <c r="AF24" s="2002">
        <f>SUM('3. a. sz. mell'!M24+'3.b. sz. mell'!M24+'3.c. sz. mell '!M24)</f>
        <v>0</v>
      </c>
    </row>
    <row r="25" spans="1:32" s="145" customFormat="1" ht="12.75" hidden="1" customHeight="1" thickBot="1" x14ac:dyDescent="0.25">
      <c r="A25" s="134"/>
      <c r="B25" s="154"/>
      <c r="C25" s="30"/>
      <c r="D25" s="155"/>
      <c r="E25" s="155"/>
      <c r="F25" s="155"/>
      <c r="G25" s="1382">
        <f t="shared" si="0"/>
        <v>0</v>
      </c>
      <c r="H25" s="155"/>
      <c r="I25" s="2719">
        <f t="shared" si="9"/>
        <v>0</v>
      </c>
      <c r="J25" s="155"/>
      <c r="K25" s="3364">
        <f t="shared" si="5"/>
        <v>0</v>
      </c>
      <c r="L25" s="155"/>
      <c r="M25" s="155"/>
      <c r="N25" s="540" t="e">
        <f t="shared" si="6"/>
        <v>#DIV/0!</v>
      </c>
      <c r="O25" s="465"/>
      <c r="P25" s="2003">
        <f t="shared" si="2"/>
        <v>0</v>
      </c>
      <c r="Q25" s="2003"/>
      <c r="R25" s="2354">
        <f t="shared" si="7"/>
        <v>0</v>
      </c>
      <c r="S25" s="2005"/>
      <c r="T25" s="139">
        <f t="shared" si="8"/>
        <v>0</v>
      </c>
      <c r="U25" s="139"/>
      <c r="V25" s="1999">
        <f t="shared" si="10"/>
        <v>0</v>
      </c>
      <c r="W25" s="2001">
        <f t="shared" si="4"/>
        <v>0</v>
      </c>
      <c r="Y25" s="2003">
        <f>SUM('3. a. sz. mell'!F25+'3.b. sz. mell'!F25+'3.c. sz. mell '!F25)</f>
        <v>0</v>
      </c>
      <c r="Z25" s="2003"/>
      <c r="AA25" s="2354">
        <f>SUM('3. a. sz. mell'!H25+'3.b. sz. mell'!H25+'3.c. sz. mell '!H25)</f>
        <v>0</v>
      </c>
      <c r="AB25" s="2005"/>
      <c r="AC25" s="139">
        <f>SUM('3. a. sz. mell'!J25+'3.b. sz. mell'!J25+'3.c. sz. mell '!J25)</f>
        <v>0</v>
      </c>
      <c r="AD25" s="139"/>
      <c r="AE25" s="1999">
        <f>SUM('3. a. sz. mell'!L25+'3.b. sz. mell'!L25+'3.c. sz. mell '!L25)</f>
        <v>0</v>
      </c>
      <c r="AF25" s="2002">
        <f>SUM('3. a. sz. mell'!M25+'3.b. sz. mell'!M25+'3.c. sz. mell '!M25)</f>
        <v>0</v>
      </c>
    </row>
    <row r="26" spans="1:32" s="141" customFormat="1" ht="21" customHeight="1" thickBot="1" x14ac:dyDescent="0.25">
      <c r="A26" s="134" t="s">
        <v>45</v>
      </c>
      <c r="B26" s="148"/>
      <c r="C26" s="30" t="s">
        <v>237</v>
      </c>
      <c r="D26" s="137">
        <f>SUM(D28:D33)</f>
        <v>0</v>
      </c>
      <c r="E26" s="137">
        <f>SUM(E28:E33)</f>
        <v>0</v>
      </c>
      <c r="F26" s="137">
        <f>SUM('3.1. Cofog'!L17)</f>
        <v>605278130</v>
      </c>
      <c r="G26" s="1382">
        <f t="shared" si="0"/>
        <v>42434189</v>
      </c>
      <c r="H26" s="137">
        <f>SUM('3.1. Cofog'!N19)+'3.1. Cofog'!N30</f>
        <v>647712319</v>
      </c>
      <c r="I26" s="2719">
        <f t="shared" si="9"/>
        <v>66639001</v>
      </c>
      <c r="J26" s="137">
        <f>SUM('3.1. Cofog'!P19)+'3.1. Cofog'!P30</f>
        <v>714351320</v>
      </c>
      <c r="K26" s="3364">
        <f t="shared" si="5"/>
        <v>0</v>
      </c>
      <c r="L26" s="137">
        <f>SUM('3.1. Cofog'!R19)+'3.1. Cofog'!R30</f>
        <v>714351320</v>
      </c>
      <c r="M26" s="137">
        <f>SUM('3.1. Cofog'!S19)+'3.1. Cofog'!S30</f>
        <v>714351320</v>
      </c>
      <c r="N26" s="540">
        <f t="shared" si="6"/>
        <v>110.28836399203949</v>
      </c>
      <c r="O26" s="286"/>
      <c r="P26" s="2003">
        <f t="shared" si="2"/>
        <v>0</v>
      </c>
      <c r="Q26" s="2003"/>
      <c r="R26" s="2354">
        <f t="shared" si="7"/>
        <v>0</v>
      </c>
      <c r="S26" s="2005"/>
      <c r="T26" s="139">
        <f t="shared" si="8"/>
        <v>0</v>
      </c>
      <c r="U26" s="139"/>
      <c r="V26" s="1999">
        <f t="shared" si="10"/>
        <v>0</v>
      </c>
      <c r="W26" s="2001">
        <f t="shared" si="4"/>
        <v>0</v>
      </c>
      <c r="Y26" s="2003">
        <f>SUM('3. a. sz. mell'!F26+'3.b. sz. mell'!F26+'3.c. sz. mell '!F26)</f>
        <v>605278130</v>
      </c>
      <c r="Z26" s="2003"/>
      <c r="AA26" s="2354">
        <f>SUM('3. a. sz. mell'!H26+'3.b. sz. mell'!H26+'3.c. sz. mell '!H26)</f>
        <v>647712319</v>
      </c>
      <c r="AB26" s="2005"/>
      <c r="AC26" s="139">
        <f>SUM('3. a. sz. mell'!J26+'3.b. sz. mell'!J26+'3.c. sz. mell '!J26)</f>
        <v>714351320</v>
      </c>
      <c r="AD26" s="139"/>
      <c r="AE26" s="1999">
        <f>SUM('3. a. sz. mell'!L26+'3.b. sz. mell'!L26+'3.c. sz. mell '!L26)</f>
        <v>714351320</v>
      </c>
      <c r="AF26" s="2002">
        <f>SUM('3. a. sz. mell'!M26+'3.b. sz. mell'!M26+'3.c. sz. mell '!M26)</f>
        <v>714351320</v>
      </c>
    </row>
    <row r="27" spans="1:32" s="141" customFormat="1" ht="21" customHeight="1" thickBot="1" x14ac:dyDescent="0.25">
      <c r="A27" s="134" t="s">
        <v>67</v>
      </c>
      <c r="B27" s="148"/>
      <c r="C27" s="30" t="s">
        <v>293</v>
      </c>
      <c r="D27" s="137"/>
      <c r="E27" s="137"/>
      <c r="F27" s="137"/>
      <c r="G27" s="1382">
        <f t="shared" si="0"/>
        <v>2000000</v>
      </c>
      <c r="H27" s="137">
        <f>'3.1. Cofog'!N34+'3.1. Cofog'!N72</f>
        <v>2000000</v>
      </c>
      <c r="I27" s="2719">
        <f t="shared" si="9"/>
        <v>4450000</v>
      </c>
      <c r="J27" s="137">
        <f>'3.1. Cofog'!P34+'3.1. Cofog'!P72</f>
        <v>6450000</v>
      </c>
      <c r="K27" s="3364">
        <f t="shared" si="5"/>
        <v>0</v>
      </c>
      <c r="L27" s="137">
        <f>'3.1. Cofog'!R34+'3.1. Cofog'!R72</f>
        <v>6450000</v>
      </c>
      <c r="M27" s="137">
        <f>'3.1. Cofog'!S34+'3.1. Cofog'!S72</f>
        <v>6500000</v>
      </c>
      <c r="N27" s="540"/>
      <c r="O27" s="286"/>
      <c r="P27" s="2003">
        <f>SUM(F27-Y27)</f>
        <v>0</v>
      </c>
      <c r="Q27" s="2003"/>
      <c r="R27" s="2354">
        <f>SUM(H27-AA27)</f>
        <v>0</v>
      </c>
      <c r="S27" s="2005"/>
      <c r="T27" s="139">
        <f t="shared" si="8"/>
        <v>0</v>
      </c>
      <c r="U27" s="139"/>
      <c r="V27" s="1999">
        <f t="shared" si="10"/>
        <v>0</v>
      </c>
      <c r="W27" s="2001">
        <f>SUM(M27-AF27)</f>
        <v>0</v>
      </c>
      <c r="Y27" s="2003">
        <f>SUM('3. a. sz. mell'!F27)</f>
        <v>0</v>
      </c>
      <c r="Z27" s="2003"/>
      <c r="AA27" s="2354">
        <f>SUM('3. a. sz. mell'!H27)+'3.b. sz. mell'!H27</f>
        <v>2000000</v>
      </c>
      <c r="AB27" s="2354">
        <f>SUM('3. a. sz. mell'!I27)+'3.b. sz. mell'!I27</f>
        <v>4450000</v>
      </c>
      <c r="AC27" s="139">
        <f>SUM('3. a. sz. mell'!J27)+'3.b. sz. mell'!J27</f>
        <v>6450000</v>
      </c>
      <c r="AD27" s="2354">
        <f>SUM('3. a. sz. mell'!K27)+'3.b. sz. mell'!K27</f>
        <v>0</v>
      </c>
      <c r="AE27" s="1999">
        <f>SUM('3. a. sz. mell'!L27)+'3.b. sz. mell'!L27</f>
        <v>6450000</v>
      </c>
      <c r="AF27" s="2002">
        <f>SUM('3. a. sz. mell'!M27)+'3.b. sz. mell'!M27</f>
        <v>6500000</v>
      </c>
    </row>
    <row r="28" spans="1:32" s="145" customFormat="1" ht="21.75" customHeight="1" thickBot="1" x14ac:dyDescent="0.25">
      <c r="A28" s="134" t="s">
        <v>79</v>
      </c>
      <c r="B28" s="154"/>
      <c r="C28" s="136" t="s">
        <v>294</v>
      </c>
      <c r="D28" s="252"/>
      <c r="E28" s="252"/>
      <c r="F28" s="138">
        <f>SUM(F29:F31)</f>
        <v>200000000</v>
      </c>
      <c r="G28" s="2445">
        <f t="shared" si="0"/>
        <v>-200000000</v>
      </c>
      <c r="H28" s="138">
        <f t="shared" ref="H28:M28" si="11">SUM(H29:H31)</f>
        <v>0</v>
      </c>
      <c r="I28" s="2719">
        <f t="shared" si="11"/>
        <v>71704828</v>
      </c>
      <c r="J28" s="138">
        <f t="shared" si="11"/>
        <v>71704828</v>
      </c>
      <c r="K28" s="3364">
        <f t="shared" si="5"/>
        <v>0</v>
      </c>
      <c r="L28" s="138">
        <f t="shared" si="11"/>
        <v>71704828</v>
      </c>
      <c r="M28" s="138">
        <f t="shared" si="11"/>
        <v>71944954</v>
      </c>
      <c r="N28" s="540" t="e">
        <f t="shared" si="6"/>
        <v>#DIV/0!</v>
      </c>
      <c r="O28" s="494"/>
      <c r="P28" s="2003">
        <f t="shared" si="2"/>
        <v>0</v>
      </c>
      <c r="Q28" s="2003"/>
      <c r="R28" s="2354">
        <f t="shared" si="7"/>
        <v>0</v>
      </c>
      <c r="S28" s="2005"/>
      <c r="T28" s="139">
        <f t="shared" si="8"/>
        <v>0</v>
      </c>
      <c r="U28" s="139"/>
      <c r="V28" s="1999">
        <f t="shared" si="10"/>
        <v>0</v>
      </c>
      <c r="W28" s="2001">
        <f t="shared" si="4"/>
        <v>0</v>
      </c>
      <c r="Y28" s="2003">
        <f>SUM('3. a. sz. mell'!F28+'3.b. sz. mell'!F28+'3.c. sz. mell '!F27)</f>
        <v>200000000</v>
      </c>
      <c r="Z28" s="2003"/>
      <c r="AA28" s="2354">
        <f>SUM('3. a. sz. mell'!H28+'3.b. sz. mell'!H28+'3.c. sz. mell '!H27)</f>
        <v>0</v>
      </c>
      <c r="AB28" s="2005"/>
      <c r="AC28" s="139">
        <f>SUM('3. a. sz. mell'!J28+'3.b. sz. mell'!J28+'3.c. sz. mell '!J28)</f>
        <v>71704828</v>
      </c>
      <c r="AD28" s="139"/>
      <c r="AE28" s="1999">
        <f>SUM('3. a. sz. mell'!L28+'3.b. sz. mell'!L28+'3.c. sz. mell '!L28)</f>
        <v>71704828</v>
      </c>
      <c r="AF28" s="2002">
        <f>SUM('3. a. sz. mell'!M28+'3.b. sz. mell'!M28+'3.c. sz. mell '!M27)</f>
        <v>71944954</v>
      </c>
    </row>
    <row r="29" spans="1:32" s="145" customFormat="1" ht="18.75" customHeight="1" thickBot="1" x14ac:dyDescent="0.25">
      <c r="A29" s="134" t="s">
        <v>89</v>
      </c>
      <c r="B29" s="154"/>
      <c r="C29" s="30" t="s">
        <v>271</v>
      </c>
      <c r="D29" s="252"/>
      <c r="E29" s="252"/>
      <c r="F29" s="137">
        <f>SUM('3.1. Cofog'!L12)</f>
        <v>200000000</v>
      </c>
      <c r="G29" s="1382">
        <f t="shared" si="0"/>
        <v>-200000000</v>
      </c>
      <c r="H29" s="137">
        <f>SUM('3.1. Cofog'!N12)</f>
        <v>0</v>
      </c>
      <c r="I29" s="1382">
        <f>J29-H29</f>
        <v>0</v>
      </c>
      <c r="J29" s="137">
        <f>SUM('3.1. Cofog'!P12)</f>
        <v>0</v>
      </c>
      <c r="K29" s="3364">
        <f t="shared" si="5"/>
        <v>0</v>
      </c>
      <c r="L29" s="137">
        <f>SUM('3.1. Cofog'!R12)</f>
        <v>0</v>
      </c>
      <c r="M29" s="137">
        <f>SUM('3.1. Cofog'!S12)</f>
        <v>0</v>
      </c>
      <c r="N29" s="540" t="e">
        <f t="shared" si="6"/>
        <v>#DIV/0!</v>
      </c>
      <c r="O29" s="286"/>
      <c r="P29" s="2003">
        <f t="shared" si="2"/>
        <v>0</v>
      </c>
      <c r="Q29" s="2003"/>
      <c r="R29" s="2354">
        <f t="shared" si="7"/>
        <v>0</v>
      </c>
      <c r="S29" s="2005"/>
      <c r="T29" s="139">
        <f t="shared" si="8"/>
        <v>0</v>
      </c>
      <c r="U29" s="139"/>
      <c r="V29" s="1999">
        <f t="shared" si="10"/>
        <v>0</v>
      </c>
      <c r="W29" s="2001">
        <f t="shared" si="4"/>
        <v>0</v>
      </c>
      <c r="Y29" s="2003">
        <f>SUM('3. a. sz. mell'!F29+'3.b. sz. mell'!F29+'3.c. sz. mell '!F28)</f>
        <v>200000000</v>
      </c>
      <c r="Z29" s="2003"/>
      <c r="AA29" s="2354">
        <f>SUM('3. a. sz. mell'!H29+'3.b. sz. mell'!H29+'3.c. sz. mell '!H28)</f>
        <v>0</v>
      </c>
      <c r="AB29" s="2005"/>
      <c r="AC29" s="139">
        <f>SUM('3. a. sz. mell'!J29+'3.b. sz. mell'!J29+'3.c. sz. mell '!J29)</f>
        <v>0</v>
      </c>
      <c r="AD29" s="139"/>
      <c r="AE29" s="1999">
        <f>SUM('3. a. sz. mell'!L29+'3.b. sz. mell'!L29+'3.c. sz. mell '!L29)</f>
        <v>0</v>
      </c>
      <c r="AF29" s="2002">
        <f>SUM('3. a. sz. mell'!M29+'3.b. sz. mell'!M29+'3.c. sz. mell '!M28)</f>
        <v>0</v>
      </c>
    </row>
    <row r="30" spans="1:32" s="145" customFormat="1" ht="18.75" customHeight="1" thickBot="1" x14ac:dyDescent="0.25">
      <c r="A30" s="134" t="s">
        <v>99</v>
      </c>
      <c r="B30" s="154"/>
      <c r="C30" s="30" t="s">
        <v>295</v>
      </c>
      <c r="D30" s="252"/>
      <c r="E30" s="252"/>
      <c r="F30" s="137"/>
      <c r="G30" s="1382">
        <f t="shared" si="0"/>
        <v>0</v>
      </c>
      <c r="H30" s="137"/>
      <c r="I30" s="1382">
        <f>J30-H30</f>
        <v>71704828</v>
      </c>
      <c r="J30" s="137">
        <f>'3.1. Cofog'!P22+'3.1. Cofog'!P35</f>
        <v>71704828</v>
      </c>
      <c r="K30" s="3364">
        <f t="shared" si="5"/>
        <v>0</v>
      </c>
      <c r="L30" s="137">
        <f>'3.1. Cofog'!R22+'3.1. Cofog'!R35</f>
        <v>71704828</v>
      </c>
      <c r="M30" s="137">
        <f>'3.1. Cofog'!S22+'3.1. Cofog'!S35</f>
        <v>71704828</v>
      </c>
      <c r="N30" s="540" t="e">
        <f t="shared" si="6"/>
        <v>#DIV/0!</v>
      </c>
      <c r="O30" s="286"/>
      <c r="P30" s="2003">
        <f t="shared" si="2"/>
        <v>0</v>
      </c>
      <c r="Q30" s="2003"/>
      <c r="R30" s="2354">
        <f t="shared" si="7"/>
        <v>0</v>
      </c>
      <c r="S30" s="2005"/>
      <c r="T30" s="139">
        <f t="shared" si="8"/>
        <v>0</v>
      </c>
      <c r="U30" s="139"/>
      <c r="V30" s="1999">
        <f t="shared" si="10"/>
        <v>0</v>
      </c>
      <c r="W30" s="2001">
        <f t="shared" si="4"/>
        <v>0</v>
      </c>
      <c r="Y30" s="2003">
        <f>SUM('3. a. sz. mell'!F30+'3.b. sz. mell'!F30+'3.c. sz. mell '!F29)</f>
        <v>0</v>
      </c>
      <c r="Z30" s="2003"/>
      <c r="AA30" s="2354">
        <f>SUM('3. a. sz. mell'!H30+'3.b. sz. mell'!H30+'3.c. sz. mell '!H29)</f>
        <v>0</v>
      </c>
      <c r="AB30" s="2005"/>
      <c r="AC30" s="139">
        <f>SUM('3. a. sz. mell'!J30+'3.b. sz. mell'!J30+'3.c. sz. mell '!J30)</f>
        <v>71704828</v>
      </c>
      <c r="AD30" s="139"/>
      <c r="AE30" s="1999">
        <f>SUM('3. a. sz. mell'!L30+'3.b. sz. mell'!L30+'3.c. sz. mell '!L30)</f>
        <v>71704828</v>
      </c>
      <c r="AF30" s="2002">
        <f>SUM('3. a. sz. mell'!M30+'3.b. sz. mell'!M30+'3.c. sz. mell '!M29)</f>
        <v>71704828</v>
      </c>
    </row>
    <row r="31" spans="1:32" s="145" customFormat="1" ht="18.75" customHeight="1" thickBot="1" x14ac:dyDescent="0.25">
      <c r="A31" s="134" t="s">
        <v>101</v>
      </c>
      <c r="B31" s="154"/>
      <c r="C31" s="30" t="s">
        <v>296</v>
      </c>
      <c r="D31" s="252"/>
      <c r="E31" s="252"/>
      <c r="F31" s="137"/>
      <c r="G31" s="1382">
        <f t="shared" si="0"/>
        <v>0</v>
      </c>
      <c r="H31" s="137">
        <f>'3.1. Cofog'!N50</f>
        <v>0</v>
      </c>
      <c r="I31" s="1382">
        <f>J31-H31</f>
        <v>0</v>
      </c>
      <c r="J31" s="137">
        <f>'3.1. Cofog'!P50</f>
        <v>0</v>
      </c>
      <c r="K31" s="3364">
        <f t="shared" si="5"/>
        <v>0</v>
      </c>
      <c r="L31" s="137">
        <f>'3.1. Cofog'!R50</f>
        <v>0</v>
      </c>
      <c r="M31" s="137">
        <f>'3.1. Cofog'!S50</f>
        <v>240126</v>
      </c>
      <c r="N31" s="540" t="e">
        <f t="shared" si="6"/>
        <v>#DIV/0!</v>
      </c>
      <c r="O31" s="286"/>
      <c r="P31" s="2003">
        <f t="shared" si="2"/>
        <v>0</v>
      </c>
      <c r="Q31" s="2003"/>
      <c r="R31" s="2354">
        <f t="shared" si="7"/>
        <v>0</v>
      </c>
      <c r="S31" s="2005"/>
      <c r="T31" s="139">
        <f t="shared" si="8"/>
        <v>0</v>
      </c>
      <c r="U31" s="139"/>
      <c r="V31" s="1999">
        <f t="shared" si="10"/>
        <v>0</v>
      </c>
      <c r="W31" s="2001">
        <f t="shared" si="4"/>
        <v>0</v>
      </c>
      <c r="Y31" s="2003">
        <f>SUM('3. a. sz. mell'!F31+'3.b. sz. mell'!F31+'3.c. sz. mell '!F30)</f>
        <v>0</v>
      </c>
      <c r="Z31" s="2003"/>
      <c r="AA31" s="2354">
        <f>SUM('3. a. sz. mell'!H31+'3.b. sz. mell'!H31+'3.c. sz. mell '!H30)</f>
        <v>0</v>
      </c>
      <c r="AB31" s="2005"/>
      <c r="AC31" s="139">
        <f>SUM('3. a. sz. mell'!J31+'3.b. sz. mell'!J31+'3.c. sz. mell '!J31)</f>
        <v>0</v>
      </c>
      <c r="AD31" s="139"/>
      <c r="AE31" s="1999">
        <f>SUM('3. a. sz. mell'!L31+'3.b. sz. mell'!L31+'3.c. sz. mell '!L31)</f>
        <v>0</v>
      </c>
      <c r="AF31" s="2002">
        <f>SUM('3. a. sz. mell'!M31+'3.b. sz. mell'!M31+'3.c. sz. mell '!M30)</f>
        <v>240126</v>
      </c>
    </row>
    <row r="32" spans="1:32" s="145" customFormat="1" ht="22.5" customHeight="1" thickBot="1" x14ac:dyDescent="0.25">
      <c r="A32" s="134" t="s">
        <v>109</v>
      </c>
      <c r="B32" s="154"/>
      <c r="C32" s="30" t="s">
        <v>297</v>
      </c>
      <c r="D32" s="779"/>
      <c r="E32" s="779"/>
      <c r="F32" s="432">
        <f>SUM(F33)</f>
        <v>1361850000</v>
      </c>
      <c r="G32" s="1382">
        <f t="shared" si="0"/>
        <v>2802989030</v>
      </c>
      <c r="H32" s="432">
        <f t="shared" ref="H32:M32" si="12">SUM(H33)</f>
        <v>4164839030</v>
      </c>
      <c r="I32" s="1382">
        <f t="shared" si="12"/>
        <v>-726189773</v>
      </c>
      <c r="J32" s="432">
        <f t="shared" si="12"/>
        <v>3438649257</v>
      </c>
      <c r="K32" s="3364">
        <f t="shared" si="5"/>
        <v>1747959</v>
      </c>
      <c r="L32" s="432">
        <f t="shared" si="12"/>
        <v>3440397216</v>
      </c>
      <c r="M32" s="432">
        <f t="shared" si="12"/>
        <v>3438649257</v>
      </c>
      <c r="N32" s="540">
        <f t="shared" si="6"/>
        <v>82.563797357613595</v>
      </c>
      <c r="O32" s="494"/>
      <c r="P32" s="2003">
        <f t="shared" si="2"/>
        <v>0</v>
      </c>
      <c r="Q32" s="2003"/>
      <c r="R32" s="2354">
        <f t="shared" si="7"/>
        <v>0</v>
      </c>
      <c r="S32" s="2005"/>
      <c r="T32" s="139">
        <f t="shared" si="8"/>
        <v>0</v>
      </c>
      <c r="U32" s="139"/>
      <c r="V32" s="1999">
        <f t="shared" si="10"/>
        <v>0</v>
      </c>
      <c r="W32" s="2001">
        <f t="shared" si="4"/>
        <v>0</v>
      </c>
      <c r="Y32" s="2003">
        <f>SUM('3. a. sz. mell'!F32+'3.b. sz. mell'!F32+'3.c. sz. mell '!F31)</f>
        <v>1361850000</v>
      </c>
      <c r="Z32" s="2003"/>
      <c r="AA32" s="2354">
        <f>SUM('3. a. sz. mell'!H32+'3.b. sz. mell'!H32+'3.c. sz. mell '!H31)</f>
        <v>4164839030</v>
      </c>
      <c r="AB32" s="2005"/>
      <c r="AC32" s="139">
        <f>SUM('3. a. sz. mell'!J32+'3.b. sz. mell'!J32+'3.c. sz. mell '!J32)</f>
        <v>3438649257</v>
      </c>
      <c r="AD32" s="139"/>
      <c r="AE32" s="1999">
        <f>SUM('3. a. sz. mell'!L32+'3.b. sz. mell'!L32+'3.c. sz. mell '!L32)</f>
        <v>3440397216</v>
      </c>
      <c r="AF32" s="2002">
        <f>SUM('3. a. sz. mell'!M32+'3.b. sz. mell'!M32+'3.c. sz. mell '!M31)</f>
        <v>3438649257</v>
      </c>
    </row>
    <row r="33" spans="1:32" s="145" customFormat="1" ht="16.5" customHeight="1" thickBot="1" x14ac:dyDescent="0.25">
      <c r="A33" s="134" t="s">
        <v>119</v>
      </c>
      <c r="B33" s="154"/>
      <c r="C33" s="30" t="s">
        <v>298</v>
      </c>
      <c r="D33" s="252"/>
      <c r="E33" s="252"/>
      <c r="F33" s="252">
        <f>SUM('3.1. Cofog'!L107)</f>
        <v>1361850000</v>
      </c>
      <c r="G33" s="1382">
        <f t="shared" si="0"/>
        <v>2802989030</v>
      </c>
      <c r="H33" s="252">
        <f>SUM('3.1. Cofog'!N107)+'3.1. Cofog'!N23+'3.1. Cofog'!N36</f>
        <v>4164839030</v>
      </c>
      <c r="I33" s="1382">
        <f>J33-H33</f>
        <v>-726189773</v>
      </c>
      <c r="J33" s="252">
        <f>SUM('3.1. Cofog'!P107)+'3.1. Cofog'!P23+'3.1. Cofog'!P36</f>
        <v>3438649257</v>
      </c>
      <c r="K33" s="3345">
        <f t="shared" si="5"/>
        <v>1747959</v>
      </c>
      <c r="L33" s="252">
        <f>SUM('3.1. Cofog'!R107)+'3.1. Cofog'!R23+'3.1. Cofog'!R36</f>
        <v>3440397216</v>
      </c>
      <c r="M33" s="252">
        <f>SUM('3.1. Cofog'!S107)+'3.1. Cofog'!S23+'3.1. Cofog'!S36</f>
        <v>3438649257</v>
      </c>
      <c r="N33" s="540">
        <f t="shared" si="6"/>
        <v>82.563797357613595</v>
      </c>
      <c r="O33" s="463"/>
      <c r="P33" s="2003">
        <f t="shared" si="2"/>
        <v>0</v>
      </c>
      <c r="Q33" s="2003"/>
      <c r="R33" s="2354">
        <f t="shared" si="7"/>
        <v>0</v>
      </c>
      <c r="S33" s="2005"/>
      <c r="T33" s="139">
        <f t="shared" si="8"/>
        <v>0</v>
      </c>
      <c r="U33" s="139"/>
      <c r="V33" s="1999">
        <f t="shared" si="10"/>
        <v>0</v>
      </c>
      <c r="W33" s="2001">
        <f t="shared" si="4"/>
        <v>0</v>
      </c>
      <c r="Y33" s="2003">
        <f>SUM('3.b. sz. mell'!F33+'3.c. sz. mell '!F32)</f>
        <v>1361850000</v>
      </c>
      <c r="Z33" s="2003"/>
      <c r="AA33" s="2354">
        <f>SUM('3. a. sz. mell'!H32+'3.b. sz. mell'!H33+'3.c. sz. mell '!H32)</f>
        <v>4164839030</v>
      </c>
      <c r="AB33" s="2005"/>
      <c r="AC33" s="139">
        <f>SUM('3. a. sz. mell'!J32+'3.b. sz. mell'!J32+'3.c. sz. mell '!J31)</f>
        <v>3438649257</v>
      </c>
      <c r="AD33" s="139"/>
      <c r="AE33" s="1999">
        <f>SUM('3. a. sz. mell'!L32+'3.b. sz. mell'!L32+'3.c. sz. mell '!L31)</f>
        <v>3440397216</v>
      </c>
      <c r="AF33" s="2002">
        <f>SUM('3. a. sz. mell'!M32+'3.b. sz. mell'!M33+'3.c. sz. mell '!M32)</f>
        <v>3438649257</v>
      </c>
    </row>
    <row r="34" spans="1:32" s="145" customFormat="1" ht="21" customHeight="1" thickBot="1" x14ac:dyDescent="0.25">
      <c r="A34" s="192" t="s">
        <v>125</v>
      </c>
      <c r="B34" s="160"/>
      <c r="C34" s="161" t="s">
        <v>331</v>
      </c>
      <c r="D34" s="162" t="e">
        <f>+#REF!+#REF!+#REF!</f>
        <v>#REF!</v>
      </c>
      <c r="E34" s="162" t="e">
        <f>+#REF!+#REF!+#REF!</f>
        <v>#REF!</v>
      </c>
      <c r="F34" s="162">
        <f>SUM(F7+F28+F32)</f>
        <v>4890832130</v>
      </c>
      <c r="G34" s="1437">
        <f t="shared" si="0"/>
        <v>2949552131</v>
      </c>
      <c r="H34" s="162">
        <f t="shared" ref="H34:M34" si="13">SUM(H7+H28+H32)</f>
        <v>7840384261</v>
      </c>
      <c r="I34" s="2719">
        <f t="shared" si="13"/>
        <v>175823428</v>
      </c>
      <c r="J34" s="162">
        <f t="shared" si="13"/>
        <v>8016207689</v>
      </c>
      <c r="K34" s="3343">
        <f>SUM(L34-J34)</f>
        <v>1747959</v>
      </c>
      <c r="L34" s="162">
        <f t="shared" si="13"/>
        <v>8017955648</v>
      </c>
      <c r="M34" s="162">
        <f t="shared" si="13"/>
        <v>8027848167</v>
      </c>
      <c r="N34" s="540">
        <f t="shared" si="6"/>
        <v>102.39100405999859</v>
      </c>
      <c r="O34" s="195"/>
      <c r="P34" s="2003">
        <f t="shared" si="2"/>
        <v>0</v>
      </c>
      <c r="Q34" s="2003"/>
      <c r="R34" s="2354">
        <f t="shared" si="7"/>
        <v>0</v>
      </c>
      <c r="S34" s="2005"/>
      <c r="T34" s="139">
        <f t="shared" si="8"/>
        <v>0</v>
      </c>
      <c r="U34" s="139"/>
      <c r="V34" s="1999">
        <f t="shared" si="10"/>
        <v>0</v>
      </c>
      <c r="W34" s="2001">
        <f t="shared" si="4"/>
        <v>0</v>
      </c>
      <c r="Y34" s="2003">
        <f>SUM('3. a. sz. mell'!F37+'3.b. sz. mell'!F34+'3.c. sz. mell '!F33)</f>
        <v>4890832130</v>
      </c>
      <c r="Z34" s="2003"/>
      <c r="AA34" s="2354">
        <f>SUM('3. a. sz. mell'!H37+'3.b. sz. mell'!H34+'3.c. sz. mell '!H33)</f>
        <v>7840384261</v>
      </c>
      <c r="AB34" s="2005"/>
      <c r="AC34" s="139">
        <f>SUM('3. a. sz. mell'!J37+'3.b. sz. mell'!J34+'3.c. sz. mell '!J33)</f>
        <v>8016207689</v>
      </c>
      <c r="AD34" s="139"/>
      <c r="AE34" s="1999">
        <f>SUM('3. a. sz. mell'!L37+'3.b. sz. mell'!L34+'3.c. sz. mell '!L33)</f>
        <v>8017955648</v>
      </c>
      <c r="AF34" s="2002">
        <f>SUM('3. a. sz. mell'!M37+'3.b. sz. mell'!M34+'3.c. sz. mell '!M33)</f>
        <v>8027848167</v>
      </c>
    </row>
    <row r="35" spans="1:32" s="145" customFormat="1" ht="15" customHeight="1" thickBot="1" x14ac:dyDescent="0.25">
      <c r="A35" s="880"/>
      <c r="B35" s="163"/>
      <c r="C35" s="164"/>
      <c r="D35" s="165"/>
      <c r="E35" s="165"/>
      <c r="F35" s="2452"/>
      <c r="G35" s="1532"/>
      <c r="H35" s="1532"/>
      <c r="I35" s="1532"/>
      <c r="J35" s="1532"/>
      <c r="K35" s="1532"/>
      <c r="L35" s="1532"/>
      <c r="M35" s="881"/>
      <c r="N35" s="540" t="e">
        <f t="shared" si="6"/>
        <v>#DIV/0!</v>
      </c>
      <c r="O35" s="165"/>
      <c r="P35" s="2003">
        <f t="shared" si="2"/>
        <v>0</v>
      </c>
      <c r="Q35" s="2003"/>
      <c r="R35" s="2354">
        <f t="shared" si="7"/>
        <v>0</v>
      </c>
      <c r="S35" s="2005"/>
      <c r="T35" s="139">
        <f t="shared" si="8"/>
        <v>0</v>
      </c>
      <c r="U35" s="139"/>
      <c r="V35" s="1999">
        <f t="shared" si="10"/>
        <v>0</v>
      </c>
      <c r="W35" s="2001">
        <f t="shared" si="4"/>
        <v>0</v>
      </c>
      <c r="Y35" s="2003">
        <f>SUM('3. a. sz. mell'!F38+'3.b. sz. mell'!F35+'3.c. sz. mell '!F34)</f>
        <v>0</v>
      </c>
      <c r="Z35" s="2003"/>
      <c r="AA35" s="2354">
        <f>SUM('3. a. sz. mell'!H38+'3.b. sz. mell'!H35+'3.c. sz. mell '!H34)</f>
        <v>0</v>
      </c>
      <c r="AB35" s="2005"/>
      <c r="AC35" s="139">
        <f>SUM('3. a. sz. mell'!J38+'3.b. sz. mell'!J35+'3.c. sz. mell '!J34)</f>
        <v>0</v>
      </c>
      <c r="AD35" s="139"/>
      <c r="AE35" s="1999">
        <f>SUM('3. a. sz. mell'!L38+'3.b. sz. mell'!L35+'3.c. sz. mell '!L34)</f>
        <v>0</v>
      </c>
      <c r="AF35" s="2002">
        <f>SUM('3. a. sz. mell'!M38+'3.b. sz. mell'!M35+'3.c. sz. mell '!M34)</f>
        <v>0</v>
      </c>
    </row>
    <row r="36" spans="1:32" s="129" customFormat="1" ht="20.25" customHeight="1" thickBot="1" x14ac:dyDescent="0.25">
      <c r="A36" s="166"/>
      <c r="B36" s="167"/>
      <c r="C36" s="168" t="s">
        <v>231</v>
      </c>
      <c r="D36" s="169"/>
      <c r="E36" s="169"/>
      <c r="F36" s="169"/>
      <c r="G36" s="1591"/>
      <c r="H36" s="169"/>
      <c r="I36" s="1591"/>
      <c r="J36" s="169"/>
      <c r="K36" s="3445"/>
      <c r="L36" s="169"/>
      <c r="M36" s="169"/>
      <c r="N36" s="540" t="e">
        <f t="shared" si="6"/>
        <v>#DIV/0!</v>
      </c>
      <c r="O36" s="495"/>
      <c r="P36" s="2003">
        <f t="shared" si="2"/>
        <v>0</v>
      </c>
      <c r="Q36" s="2003"/>
      <c r="R36" s="2354">
        <f t="shared" si="7"/>
        <v>0</v>
      </c>
      <c r="S36" s="2005"/>
      <c r="T36" s="139">
        <f t="shared" si="8"/>
        <v>0</v>
      </c>
      <c r="U36" s="139"/>
      <c r="V36" s="1999">
        <f t="shared" si="10"/>
        <v>0</v>
      </c>
      <c r="W36" s="2001">
        <f t="shared" si="4"/>
        <v>0</v>
      </c>
      <c r="Y36" s="2003">
        <f>SUM('3. a. sz. mell'!F39+'3.b. sz. mell'!F36+'3.c. sz. mell '!F35)</f>
        <v>0</v>
      </c>
      <c r="Z36" s="2003"/>
      <c r="AA36" s="2354">
        <f>SUM('3. a. sz. mell'!H39+'3.b. sz. mell'!H36+'3.c. sz. mell '!H35)</f>
        <v>0</v>
      </c>
      <c r="AB36" s="2005"/>
      <c r="AC36" s="139">
        <f>SUM('3. a. sz. mell'!J39+'3.b. sz. mell'!J36+'3.c. sz. mell '!J35)</f>
        <v>0</v>
      </c>
      <c r="AD36" s="139"/>
      <c r="AE36" s="1999">
        <f>SUM('3. a. sz. mell'!L39+'3.b. sz. mell'!L36+'3.c. sz. mell '!L35)</f>
        <v>0</v>
      </c>
      <c r="AF36" s="2002">
        <f>SUM('3. a. sz. mell'!M39+'3.b. sz. mell'!M36+'3.c. sz. mell '!M35)</f>
        <v>0</v>
      </c>
    </row>
    <row r="37" spans="1:32" s="172" customFormat="1" ht="15" customHeight="1" thickBot="1" x14ac:dyDescent="0.25">
      <c r="A37" s="134" t="s">
        <v>3</v>
      </c>
      <c r="B37" s="170"/>
      <c r="C37" s="171" t="s">
        <v>1161</v>
      </c>
      <c r="D37" s="137" t="e">
        <f>SUM(D38:D42)+D52</f>
        <v>#REF!</v>
      </c>
      <c r="E37" s="137" t="e">
        <f>SUM(E38:E42)+E52</f>
        <v>#REF!</v>
      </c>
      <c r="F37" s="137">
        <f>SUM(F38:F42)</f>
        <v>1354252869</v>
      </c>
      <c r="G37" s="1382">
        <f>SUM(H37-F37)</f>
        <v>675921643</v>
      </c>
      <c r="H37" s="137">
        <f t="shared" ref="H37:M37" si="14">SUM(H38:H42)</f>
        <v>2030174512</v>
      </c>
      <c r="I37" s="1382">
        <f t="shared" si="14"/>
        <v>145078900</v>
      </c>
      <c r="J37" s="137">
        <f>SUM(J38:J42)</f>
        <v>2175253412</v>
      </c>
      <c r="K37" s="3332">
        <f>SUM(L37-J37)</f>
        <v>1747959</v>
      </c>
      <c r="L37" s="137">
        <f t="shared" si="14"/>
        <v>2177001371</v>
      </c>
      <c r="M37" s="137">
        <f t="shared" si="14"/>
        <v>1737754804</v>
      </c>
      <c r="N37" s="540">
        <f t="shared" si="6"/>
        <v>85.596326509294684</v>
      </c>
      <c r="O37" s="286"/>
      <c r="P37" s="2003">
        <f t="shared" si="2"/>
        <v>0</v>
      </c>
      <c r="Q37" s="2003"/>
      <c r="R37" s="2354">
        <f t="shared" si="7"/>
        <v>0</v>
      </c>
      <c r="S37" s="2005"/>
      <c r="T37" s="139">
        <f t="shared" si="8"/>
        <v>0</v>
      </c>
      <c r="U37" s="139"/>
      <c r="V37" s="1999">
        <f t="shared" si="10"/>
        <v>0</v>
      </c>
      <c r="W37" s="2001">
        <f t="shared" si="4"/>
        <v>0</v>
      </c>
      <c r="Y37" s="2003">
        <f>SUM('3. a. sz. mell'!F40+'3.b. sz. mell'!F37+'3.c. sz. mell '!F36)</f>
        <v>1354252869</v>
      </c>
      <c r="Z37" s="2003"/>
      <c r="AA37" s="2354">
        <f>SUM('3. a. sz. mell'!H40+'3.b. sz. mell'!H37+'3.c. sz. mell '!H36)</f>
        <v>2030174512</v>
      </c>
      <c r="AB37" s="2005"/>
      <c r="AC37" s="139">
        <f>SUM('3. a. sz. mell'!J40+'3.b. sz. mell'!J37+'3.c. sz. mell '!J36)</f>
        <v>2175253412</v>
      </c>
      <c r="AD37" s="139"/>
      <c r="AE37" s="1999">
        <f>SUM('3. a. sz. mell'!L40+'3.b. sz. mell'!L37+'3.c. sz. mell '!L36)</f>
        <v>2177001371</v>
      </c>
      <c r="AF37" s="2002">
        <f>SUM('3. a. sz. mell'!M40+'3.b. sz. mell'!M37+'3.c. sz. mell '!M36)</f>
        <v>1737754804</v>
      </c>
    </row>
    <row r="38" spans="1:32" ht="15" customHeight="1" thickBot="1" x14ac:dyDescent="0.25">
      <c r="A38" s="173"/>
      <c r="B38" s="174" t="s">
        <v>152</v>
      </c>
      <c r="C38" s="55" t="s">
        <v>153</v>
      </c>
      <c r="D38" s="175" t="e">
        <f>SUM(#REF!+#REF!+#REF!+#REF!)</f>
        <v>#REF!</v>
      </c>
      <c r="E38" s="175" t="e">
        <f>SUM(#REF!+#REF!+#REF!+#REF!)</f>
        <v>#REF!</v>
      </c>
      <c r="F38" s="175">
        <f>SUM('3.2 Cofogos'!E5+'3.2 Cofogos'!E61+'3.2 Cofogos'!E95+'3.2 Cofogos'!E107)</f>
        <v>130762549</v>
      </c>
      <c r="G38" s="1432">
        <f>SUM(H38-F38)</f>
        <v>24713486</v>
      </c>
      <c r="H38" s="175">
        <f>SUM('3.2 Cofogos'!G5+'3.2 Cofogos'!G61+'3.2 Cofogos'!G95+'3.2 Cofogos'!G107)</f>
        <v>155476035</v>
      </c>
      <c r="I38" s="1432">
        <f>J38-H38</f>
        <v>45829609</v>
      </c>
      <c r="J38" s="175">
        <f>SUM('3.2 Cofogos'!I5+'3.2 Cofogos'!I61+'3.2 Cofogos'!I95+'3.2 Cofogos'!I107)</f>
        <v>201305644</v>
      </c>
      <c r="K38" s="3345">
        <f>SUM(L38-J38)</f>
        <v>0</v>
      </c>
      <c r="L38" s="175">
        <f>SUM('3.2 Cofogos'!K5+'3.2 Cofogos'!K61+'3.2 Cofogos'!K95+'3.2 Cofogos'!K107)</f>
        <v>201305644</v>
      </c>
      <c r="M38" s="175">
        <f>SUM('3.2 Cofogos'!L5+'3.2 Cofogos'!L61+'3.2 Cofogos'!L95+'3.2 Cofogos'!L107)</f>
        <v>171187995</v>
      </c>
      <c r="N38" s="540">
        <f t="shared" si="6"/>
        <v>110.10571179024471</v>
      </c>
      <c r="O38" s="463"/>
      <c r="P38" s="2003">
        <f t="shared" si="2"/>
        <v>0</v>
      </c>
      <c r="Q38" s="2003"/>
      <c r="R38" s="2354">
        <f t="shared" si="7"/>
        <v>0</v>
      </c>
      <c r="S38" s="2005"/>
      <c r="T38" s="139">
        <f t="shared" si="8"/>
        <v>0</v>
      </c>
      <c r="U38" s="139"/>
      <c r="V38" s="1999">
        <f t="shared" si="10"/>
        <v>0</v>
      </c>
      <c r="W38" s="2001">
        <f t="shared" si="4"/>
        <v>0</v>
      </c>
      <c r="Y38" s="2003">
        <f>SUM('3. a. sz. mell'!F41+'3.b. sz. mell'!F38+'3.c. sz. mell '!F37)</f>
        <v>130762549</v>
      </c>
      <c r="Z38" s="2003"/>
      <c r="AA38" s="2354">
        <f>SUM('3. a. sz. mell'!H41+'3.b. sz. mell'!H38+'3.c. sz. mell '!H37)</f>
        <v>155476035</v>
      </c>
      <c r="AB38" s="2005"/>
      <c r="AC38" s="139">
        <f>SUM('3. a. sz. mell'!J41+'3.b. sz. mell'!J38+'3.c. sz. mell '!J37)</f>
        <v>201305644</v>
      </c>
      <c r="AD38" s="139"/>
      <c r="AE38" s="1999">
        <f>SUM('3. a. sz. mell'!L41+'3.b. sz. mell'!L38+'3.c. sz. mell '!L37)</f>
        <v>201305644</v>
      </c>
      <c r="AF38" s="2002">
        <f>SUM('3. a. sz. mell'!M41+'3.b. sz. mell'!M38+'3.c. sz. mell '!M37)</f>
        <v>171187995</v>
      </c>
    </row>
    <row r="39" spans="1:32" ht="15" customHeight="1" thickBot="1" x14ac:dyDescent="0.25">
      <c r="A39" s="142"/>
      <c r="B39" s="176" t="s">
        <v>154</v>
      </c>
      <c r="C39" s="55" t="s">
        <v>155</v>
      </c>
      <c r="D39" s="144" t="e">
        <f>SUM(#REF!+#REF!+#REF!+#REF!+#REF!)</f>
        <v>#REF!</v>
      </c>
      <c r="E39" s="144" t="e">
        <f>SUM(#REF!+#REF!+#REF!+#REF!+#REF!)</f>
        <v>#REF!</v>
      </c>
      <c r="F39" s="175">
        <f>SUM('3.2 Cofogos'!E6+'3.2 Cofogos'!E62+'3.2 Cofogos'!E96+'3.2 Cofogos'!E108)</f>
        <v>26147869</v>
      </c>
      <c r="G39" s="1432">
        <f t="shared" ref="G39:G75" si="15">SUM(H39-F39)</f>
        <v>5863487</v>
      </c>
      <c r="H39" s="175">
        <f>SUM('3.2 Cofogos'!G6+'3.2 Cofogos'!G62+'3.2 Cofogos'!G96+'3.2 Cofogos'!G108)</f>
        <v>32011356</v>
      </c>
      <c r="I39" s="1432">
        <f t="shared" ref="I39:I53" si="16">J39-H39</f>
        <v>7361304</v>
      </c>
      <c r="J39" s="175">
        <f>SUM('3.2 Cofogos'!I6+'3.2 Cofogos'!I62+'3.2 Cofogos'!I96+'3.2 Cofogos'!I108)</f>
        <v>39372660</v>
      </c>
      <c r="K39" s="3345">
        <f t="shared" ref="K39:K79" si="17">SUM(L39-J39)</f>
        <v>0</v>
      </c>
      <c r="L39" s="175">
        <f>SUM('3.2 Cofogos'!K6+'3.2 Cofogos'!K62+'3.2 Cofogos'!K96+'3.2 Cofogos'!K108)</f>
        <v>39372660</v>
      </c>
      <c r="M39" s="175">
        <f>SUM('3.2 Cofogos'!L6+'3.2 Cofogos'!L62+'3.2 Cofogos'!L96+'3.2 Cofogos'!L108)</f>
        <v>30559295</v>
      </c>
      <c r="N39" s="540">
        <f t="shared" si="6"/>
        <v>95.463919116703451</v>
      </c>
      <c r="O39" s="463"/>
      <c r="P39" s="2003">
        <f t="shared" si="2"/>
        <v>0</v>
      </c>
      <c r="Q39" s="2003"/>
      <c r="R39" s="2354">
        <f t="shared" si="7"/>
        <v>0</v>
      </c>
      <c r="S39" s="2005"/>
      <c r="T39" s="139">
        <f t="shared" si="8"/>
        <v>0</v>
      </c>
      <c r="U39" s="139"/>
      <c r="V39" s="1999">
        <f t="shared" si="10"/>
        <v>0</v>
      </c>
      <c r="W39" s="2001">
        <f t="shared" si="4"/>
        <v>0</v>
      </c>
      <c r="Y39" s="2003">
        <f>SUM('3. a. sz. mell'!F42+'3.b. sz. mell'!F39+'3.c. sz. mell '!F38)</f>
        <v>26147869</v>
      </c>
      <c r="Z39" s="2003"/>
      <c r="AA39" s="2354">
        <f>SUM('3. a. sz. mell'!H42+'3.b. sz. mell'!H39+'3.c. sz. mell '!H38)</f>
        <v>32011356</v>
      </c>
      <c r="AB39" s="2005"/>
      <c r="AC39" s="139">
        <f>SUM('3. a. sz. mell'!J42+'3.b. sz. mell'!J39+'3.c. sz. mell '!J38)</f>
        <v>39372660</v>
      </c>
      <c r="AD39" s="139"/>
      <c r="AE39" s="1999">
        <f>SUM('3. a. sz. mell'!L42+'3.b. sz. mell'!L39+'3.c. sz. mell '!L38)</f>
        <v>39372660</v>
      </c>
      <c r="AF39" s="2002">
        <f>SUM('3. a. sz. mell'!M42+'3.b. sz. mell'!M39+'3.c. sz. mell '!M38)</f>
        <v>30559295</v>
      </c>
    </row>
    <row r="40" spans="1:32" ht="15" customHeight="1" thickBot="1" x14ac:dyDescent="0.25">
      <c r="A40" s="142"/>
      <c r="B40" s="176" t="s">
        <v>156</v>
      </c>
      <c r="C40" s="55" t="s">
        <v>157</v>
      </c>
      <c r="D40" s="144" t="e">
        <f>SUM(#REF!+#REF!+#REF!+#REF!+#REF!+#REF!+#REF!+#REF!+#REF!+#REF!+#REF!+#REF!+#REF!)</f>
        <v>#REF!</v>
      </c>
      <c r="E40" s="144" t="e">
        <f>SUM(#REF!+#REF!+#REF!+#REF!+#REF!+#REF!+#REF!+#REF!+#REF!+#REF!+#REF!+#REF!+#REF!)</f>
        <v>#REF!</v>
      </c>
      <c r="F40" s="610">
        <f>SUM('3.2 Cofogos'!E7+'3.2 Cofogos'!E20+'3.2 Cofogos'!E35+'3.2 Cofogos'!E63+'3.2 Cofogos'!E76+'3.2 Cofogos'!E81+'3.2 Cofogos'!E89+'3.2 Cofogos'!E97+'3.2 Cofogos'!E109+'3.2 Cofogos'!E207+'3.2 Cofogos'!E276)+'3.2 Cofogos'!E261+'3.2 Cofogos'!E221+'3.2 Cofogos'!E211+'3.2 Cofogos'!E257</f>
        <v>513845793</v>
      </c>
      <c r="G40" s="1432">
        <f t="shared" si="15"/>
        <v>502250430</v>
      </c>
      <c r="H40" s="610">
        <f>SUM('3.2 Cofogos'!G7+'3.2 Cofogos'!G20+'3.2 Cofogos'!G35+'3.2 Cofogos'!G63+'3.2 Cofogos'!G76+'3.2 Cofogos'!G81+'3.2 Cofogos'!G89+'3.2 Cofogos'!G97+'3.2 Cofogos'!G109+'3.2 Cofogos'!G207+'3.2 Cofogos'!G276)+'3.2 Cofogos'!G261+'3.2 Cofogos'!G221+'3.2 Cofogos'!G211+'3.2 Cofogos'!G257</f>
        <v>1016096223</v>
      </c>
      <c r="I40" s="1432">
        <f t="shared" si="16"/>
        <v>81058620</v>
      </c>
      <c r="J40" s="610">
        <f>SUM('3.2 Cofogos'!I7+'3.2 Cofogos'!I20+'3.2 Cofogos'!I35+'3.2 Cofogos'!I63+'3.2 Cofogos'!I76+'3.2 Cofogos'!I81+'3.2 Cofogos'!I89+'3.2 Cofogos'!I97+'3.2 Cofogos'!I109+'3.2 Cofogos'!I207+'3.2 Cofogos'!I276)+'3.2 Cofogos'!I257+'3.2 Cofogos'!I221+'3.2 Cofogos'!I211</f>
        <v>1097154843</v>
      </c>
      <c r="K40" s="3345">
        <f t="shared" si="17"/>
        <v>0</v>
      </c>
      <c r="L40" s="610">
        <f>SUM('3.2 Cofogos'!K7+'3.2 Cofogos'!K20+'3.2 Cofogos'!K35+'3.2 Cofogos'!K63+'3.2 Cofogos'!K76+'3.2 Cofogos'!K81+'3.2 Cofogos'!K89+'3.2 Cofogos'!K97+'3.2 Cofogos'!K109+'3.2 Cofogos'!K207+'3.2 Cofogos'!K276)+'3.2 Cofogos'!K257+'3.2 Cofogos'!K221+'3.2 Cofogos'!K211</f>
        <v>1097154843</v>
      </c>
      <c r="M40" s="610">
        <f>SUM('3.2 Cofogos'!L7+'3.2 Cofogos'!L20+'3.2 Cofogos'!L35+'3.2 Cofogos'!L63+'3.2 Cofogos'!L76+'3.2 Cofogos'!L81+'3.2 Cofogos'!L89+'3.2 Cofogos'!L97+'3.2 Cofogos'!L109+'3.2 Cofogos'!L207+'3.2 Cofogos'!L276)+'3.2 Cofogos'!L257+'3.2 Cofogos'!L221+'3.2 Cofogos'!L211</f>
        <v>833803101</v>
      </c>
      <c r="N40" s="540">
        <f t="shared" si="6"/>
        <v>82.059462689292957</v>
      </c>
      <c r="O40" s="463"/>
      <c r="P40" s="2003">
        <f t="shared" ref="P40:P73" si="18">SUM(F40-Y40)</f>
        <v>0</v>
      </c>
      <c r="Q40" s="2003"/>
      <c r="R40" s="2354">
        <f t="shared" ref="R40:R73" si="19">SUM(H40-AA40)</f>
        <v>0</v>
      </c>
      <c r="S40" s="2005"/>
      <c r="T40" s="139">
        <f t="shared" si="8"/>
        <v>0</v>
      </c>
      <c r="U40" s="139"/>
      <c r="V40" s="1999">
        <f t="shared" si="10"/>
        <v>0</v>
      </c>
      <c r="W40" s="2001">
        <f t="shared" ref="W40:W73" si="20">SUM(M40-AF40)</f>
        <v>0</v>
      </c>
      <c r="Y40" s="2003">
        <f>SUM('3. a. sz. mell'!F43+'3.b. sz. mell'!F40+'3.c. sz. mell '!F39)</f>
        <v>513845793</v>
      </c>
      <c r="Z40" s="2003"/>
      <c r="AA40" s="2354">
        <f>SUM('3. a. sz. mell'!H43+'3.b. sz. mell'!H40+'3.c. sz. mell '!H39)</f>
        <v>1016096223</v>
      </c>
      <c r="AB40" s="2005"/>
      <c r="AC40" s="139">
        <f>SUM('3. a. sz. mell'!J43+'3.b. sz. mell'!J40+'3.c. sz. mell '!J39)</f>
        <v>1097154843</v>
      </c>
      <c r="AD40" s="139"/>
      <c r="AE40" s="1999">
        <f>SUM('3. a. sz. mell'!L43+'3.b. sz. mell'!L40+'3.c. sz. mell '!L39)</f>
        <v>1097154843</v>
      </c>
      <c r="AF40" s="2002">
        <f>SUM('3. a. sz. mell'!M43+'3.b. sz. mell'!M40+'3.c. sz. mell '!M39)</f>
        <v>833803101</v>
      </c>
    </row>
    <row r="41" spans="1:32" ht="15" customHeight="1" thickBot="1" x14ac:dyDescent="0.25">
      <c r="A41" s="142"/>
      <c r="B41" s="176" t="s">
        <v>158</v>
      </c>
      <c r="C41" s="55" t="s">
        <v>159</v>
      </c>
      <c r="D41" s="144" t="e">
        <f>SUM(#REF!)</f>
        <v>#REF!</v>
      </c>
      <c r="E41" s="144" t="e">
        <f>SUM(#REF!)</f>
        <v>#REF!</v>
      </c>
      <c r="F41" s="144">
        <f>SUM('3.2 Cofogos'!E266)</f>
        <v>32000000</v>
      </c>
      <c r="G41" s="1432">
        <f t="shared" si="15"/>
        <v>22465500</v>
      </c>
      <c r="H41" s="144">
        <f>SUM('3.2 Cofogos'!G266)</f>
        <v>54465500</v>
      </c>
      <c r="I41" s="1432">
        <f t="shared" si="16"/>
        <v>3165000</v>
      </c>
      <c r="J41" s="144">
        <f>SUM('3.2 Cofogos'!I266+'3.2 Cofogos'!I261)</f>
        <v>57630500</v>
      </c>
      <c r="K41" s="3345">
        <f t="shared" si="17"/>
        <v>0</v>
      </c>
      <c r="L41" s="144">
        <f>SUM('3.2 Cofogos'!K266+'3.2 Cofogos'!K261)</f>
        <v>57630500</v>
      </c>
      <c r="M41" s="144">
        <f>SUM('3.2 Cofogos'!L266+'3.2 Cofogos'!L261)</f>
        <v>54870140</v>
      </c>
      <c r="N41" s="540">
        <f t="shared" si="6"/>
        <v>100.7429290101073</v>
      </c>
      <c r="O41" s="463"/>
      <c r="P41" s="2003">
        <f t="shared" si="18"/>
        <v>0</v>
      </c>
      <c r="Q41" s="2003"/>
      <c r="R41" s="2354">
        <f t="shared" si="19"/>
        <v>0</v>
      </c>
      <c r="S41" s="2005"/>
      <c r="T41" s="139">
        <f t="shared" si="8"/>
        <v>0</v>
      </c>
      <c r="U41" s="139"/>
      <c r="V41" s="1999">
        <f t="shared" si="10"/>
        <v>0</v>
      </c>
      <c r="W41" s="2001">
        <f t="shared" si="20"/>
        <v>0</v>
      </c>
      <c r="Y41" s="2003">
        <f>SUM('3. a. sz. mell'!F44+'3.b. sz. mell'!F41+'3.c. sz. mell '!F40)</f>
        <v>32000000</v>
      </c>
      <c r="Z41" s="2003"/>
      <c r="AA41" s="2354">
        <f>SUM('3. a. sz. mell'!H44+'3.b. sz. mell'!H41+'3.c. sz. mell '!H40)</f>
        <v>54465500</v>
      </c>
      <c r="AB41" s="2005"/>
      <c r="AC41" s="139">
        <f>SUM('3. a. sz. mell'!J44+'3.b. sz. mell'!J41+'3.c. sz. mell '!J40)</f>
        <v>57630500</v>
      </c>
      <c r="AD41" s="139"/>
      <c r="AE41" s="1999">
        <f>SUM('3. a. sz. mell'!L44+'3.b. sz. mell'!L41+'3.c. sz. mell '!L40)</f>
        <v>57630500</v>
      </c>
      <c r="AF41" s="2002">
        <f>SUM('3. a. sz. mell'!M44+'3.b. sz. mell'!M41+'3.c. sz. mell '!M40)</f>
        <v>54870140</v>
      </c>
    </row>
    <row r="42" spans="1:32" ht="15" customHeight="1" thickBot="1" x14ac:dyDescent="0.25">
      <c r="A42" s="142"/>
      <c r="B42" s="176" t="s">
        <v>160</v>
      </c>
      <c r="C42" s="55" t="s">
        <v>161</v>
      </c>
      <c r="D42" s="144" t="e">
        <f>SUM(D43:D51)</f>
        <v>#REF!</v>
      </c>
      <c r="E42" s="144" t="e">
        <f>SUM(E43:E51)</f>
        <v>#REF!</v>
      </c>
      <c r="F42" s="144">
        <f>SUM(F43:F53)</f>
        <v>651496658</v>
      </c>
      <c r="G42" s="1432">
        <f t="shared" si="15"/>
        <v>120628740</v>
      </c>
      <c r="H42" s="144">
        <f t="shared" ref="H42:M42" si="21">SUM(H43:H53)</f>
        <v>772125398</v>
      </c>
      <c r="I42" s="1432">
        <f t="shared" si="16"/>
        <v>7664367</v>
      </c>
      <c r="J42" s="144">
        <f>SUM(J43:J53)</f>
        <v>779789765</v>
      </c>
      <c r="K42" s="3345">
        <f t="shared" si="17"/>
        <v>1747959</v>
      </c>
      <c r="L42" s="610">
        <f>SUM(L43:L53)</f>
        <v>781537724</v>
      </c>
      <c r="M42" s="144">
        <f t="shared" si="21"/>
        <v>647334273</v>
      </c>
      <c r="N42" s="540">
        <f t="shared" si="6"/>
        <v>83.837971743548323</v>
      </c>
      <c r="O42" s="463"/>
      <c r="P42" s="2003">
        <f t="shared" si="18"/>
        <v>0</v>
      </c>
      <c r="Q42" s="2003"/>
      <c r="R42" s="2354">
        <f t="shared" si="19"/>
        <v>0</v>
      </c>
      <c r="S42" s="2005"/>
      <c r="T42" s="139">
        <f t="shared" si="8"/>
        <v>0</v>
      </c>
      <c r="U42" s="139"/>
      <c r="V42" s="1999">
        <f t="shared" si="10"/>
        <v>0</v>
      </c>
      <c r="W42" s="2001">
        <f t="shared" si="20"/>
        <v>0</v>
      </c>
      <c r="Y42" s="2003">
        <f>SUM('3. a. sz. mell'!F45+'3.b. sz. mell'!F42+'3.c. sz. mell '!F41)</f>
        <v>651496658</v>
      </c>
      <c r="Z42" s="2003"/>
      <c r="AA42" s="2354">
        <f>SUM('3. a. sz. mell'!H45+'3.b. sz. mell'!H42+'3.c. sz. mell '!H41)</f>
        <v>772125398</v>
      </c>
      <c r="AB42" s="2005"/>
      <c r="AC42" s="139">
        <f>SUM('3. a. sz. mell'!J45+'3.b. sz. mell'!J42+'3.c. sz. mell '!J41)</f>
        <v>779789765</v>
      </c>
      <c r="AD42" s="139"/>
      <c r="AE42" s="1999">
        <f>SUM('3. a. sz. mell'!L45+'3.b. sz. mell'!L42+'3.c. sz. mell '!L41)</f>
        <v>781537724</v>
      </c>
      <c r="AF42" s="2002">
        <f>SUM('3. a. sz. mell'!M45+'3.b. sz. mell'!M42+'3.c. sz. mell '!M41)</f>
        <v>647334273</v>
      </c>
    </row>
    <row r="43" spans="1:32" ht="31.5" customHeight="1" thickBot="1" x14ac:dyDescent="0.25">
      <c r="A43" s="142"/>
      <c r="B43" s="176" t="s">
        <v>302</v>
      </c>
      <c r="C43" s="177" t="s">
        <v>1440</v>
      </c>
      <c r="D43" s="144"/>
      <c r="E43" s="144"/>
      <c r="F43" s="144">
        <f>SUM('3.2 Cofogos'!E45+'3.2 Cofogos'!E231+'3.2 Cofogos'!E237+'3.2 Cofogos'!E247)</f>
        <v>102173234</v>
      </c>
      <c r="G43" s="1432">
        <f t="shared" si="15"/>
        <v>13018278</v>
      </c>
      <c r="H43" s="144">
        <f>SUM('3.2 Cofogos'!G45+'3.2 Cofogos'!G231+'3.2 Cofogos'!G237+'3.2 Cofogos'!G247)+'3.2 Cofogos'!G27+'3.2 Cofogos'!G272</f>
        <v>115191512</v>
      </c>
      <c r="I43" s="1432">
        <f t="shared" si="16"/>
        <v>16333100</v>
      </c>
      <c r="J43" s="144">
        <f>SUM('3.2 Cofogos'!I45+'3.2 Cofogos'!I231+'3.2 Cofogos'!I237+'3.2 Cofogos'!I247)+'3.2 Cofogos'!I27+'3.2 Cofogos'!I272</f>
        <v>131524612</v>
      </c>
      <c r="K43" s="3345">
        <f t="shared" si="17"/>
        <v>0</v>
      </c>
      <c r="L43" s="610">
        <f>SUM('3.2 Cofogos'!K45+'3.2 Cofogos'!K231+'3.2 Cofogos'!K237+'3.2 Cofogos'!K247)+'3.2 Cofogos'!K27+'3.2 Cofogos'!K272</f>
        <v>131524612</v>
      </c>
      <c r="M43" s="144">
        <f>SUM('3.2 Cofogos'!L45+'3.2 Cofogos'!L231+'3.2 Cofogos'!L237+'3.2 Cofogos'!L247)+'3.2 Cofogos'!L27+'3.2 Cofogos'!L272</f>
        <v>125251032</v>
      </c>
      <c r="N43" s="540">
        <f t="shared" si="6"/>
        <v>108.73286566461597</v>
      </c>
      <c r="O43" s="463"/>
      <c r="P43" s="2003">
        <f t="shared" si="18"/>
        <v>0</v>
      </c>
      <c r="Q43" s="2003"/>
      <c r="R43" s="2354">
        <f t="shared" si="19"/>
        <v>0</v>
      </c>
      <c r="S43" s="2005"/>
      <c r="T43" s="139">
        <f t="shared" si="8"/>
        <v>0</v>
      </c>
      <c r="U43" s="139"/>
      <c r="V43" s="1999">
        <f t="shared" si="10"/>
        <v>0</v>
      </c>
      <c r="W43" s="2001">
        <f t="shared" si="20"/>
        <v>0</v>
      </c>
      <c r="Y43" s="2003">
        <f>SUM('3. a. sz. mell'!F46+'3.b. sz. mell'!F43+'3.c. sz. mell '!F42)</f>
        <v>102173234</v>
      </c>
      <c r="Z43" s="2003"/>
      <c r="AA43" s="2354">
        <f>SUM('3. a. sz. mell'!H46+'3.b. sz. mell'!H43+'3.c. sz. mell '!H42)</f>
        <v>115191512</v>
      </c>
      <c r="AB43" s="2005"/>
      <c r="AC43" s="139">
        <f>SUM('3. a. sz. mell'!J46+'3.b. sz. mell'!J43+'3.c. sz. mell '!J42)</f>
        <v>131524612</v>
      </c>
      <c r="AD43" s="139"/>
      <c r="AE43" s="1999">
        <f>SUM('3. a. sz. mell'!L46+'3.b. sz. mell'!L43+'3.c. sz. mell '!L42)</f>
        <v>131524612</v>
      </c>
      <c r="AF43" s="2002">
        <f>SUM('3. a. sz. mell'!M46+'3.b. sz. mell'!M43+'3.c. sz. mell '!M42)</f>
        <v>125251032</v>
      </c>
    </row>
    <row r="44" spans="1:32" ht="15" customHeight="1" thickBot="1" x14ac:dyDescent="0.25">
      <c r="A44" s="142"/>
      <c r="B44" s="176" t="s">
        <v>304</v>
      </c>
      <c r="C44" s="177" t="s">
        <v>305</v>
      </c>
      <c r="D44" s="144"/>
      <c r="E44" s="144"/>
      <c r="F44" s="144">
        <f>SUM('3.2 Cofogos'!E117)</f>
        <v>75887000</v>
      </c>
      <c r="G44" s="1432">
        <f t="shared" si="15"/>
        <v>90320773</v>
      </c>
      <c r="H44" s="144">
        <f>SUM('3.2 Cofogos'!G117)</f>
        <v>166207773</v>
      </c>
      <c r="I44" s="1432">
        <f t="shared" si="16"/>
        <v>58856050</v>
      </c>
      <c r="J44" s="144">
        <f>SUM('3.2 Cofogos'!I117)</f>
        <v>225063823</v>
      </c>
      <c r="K44" s="3345">
        <f t="shared" si="17"/>
        <v>0</v>
      </c>
      <c r="L44" s="610">
        <f>SUM('3.2 Cofogos'!K117)</f>
        <v>225063823</v>
      </c>
      <c r="M44" s="144">
        <f>SUM('3.2 Cofogos'!L117)</f>
        <v>166102019</v>
      </c>
      <c r="N44" s="540">
        <f t="shared" si="6"/>
        <v>99.93637241021213</v>
      </c>
      <c r="O44" s="463"/>
      <c r="P44" s="2003">
        <f t="shared" si="18"/>
        <v>0</v>
      </c>
      <c r="Q44" s="2003"/>
      <c r="R44" s="2354">
        <f t="shared" si="19"/>
        <v>0</v>
      </c>
      <c r="S44" s="2005"/>
      <c r="T44" s="139">
        <f t="shared" si="8"/>
        <v>0</v>
      </c>
      <c r="U44" s="139"/>
      <c r="V44" s="1999">
        <f t="shared" si="10"/>
        <v>0</v>
      </c>
      <c r="W44" s="2001">
        <f t="shared" si="20"/>
        <v>0</v>
      </c>
      <c r="Y44" s="2003">
        <f>SUM('3. a. sz. mell'!F47+'3.b. sz. mell'!F44+'3.c. sz. mell '!F43)</f>
        <v>75887000</v>
      </c>
      <c r="Z44" s="2003"/>
      <c r="AA44" s="2354">
        <f>SUM('3. a. sz. mell'!H47+'3.b. sz. mell'!H44+'3.c. sz. mell '!H43)</f>
        <v>166207773</v>
      </c>
      <c r="AB44" s="2005"/>
      <c r="AC44" s="139">
        <f>SUM('3. a. sz. mell'!J47+'3.b. sz. mell'!J44+'3.c. sz. mell '!J43)</f>
        <v>225063823</v>
      </c>
      <c r="AD44" s="139"/>
      <c r="AE44" s="1999">
        <f>SUM('3. a. sz. mell'!L47+'3.b. sz. mell'!L44+'3.c. sz. mell '!L43)</f>
        <v>225063823</v>
      </c>
      <c r="AF44" s="2002">
        <f>SUM('3. a. sz. mell'!M47+'3.b. sz. mell'!M44+'3.c. sz. mell '!M43)</f>
        <v>166102019</v>
      </c>
    </row>
    <row r="45" spans="1:32" ht="15" customHeight="1" thickBot="1" x14ac:dyDescent="0.25">
      <c r="A45" s="142"/>
      <c r="B45" s="176" t="s">
        <v>306</v>
      </c>
      <c r="C45" s="177" t="s">
        <v>763</v>
      </c>
      <c r="D45" s="144"/>
      <c r="E45" s="144"/>
      <c r="F45" s="144"/>
      <c r="G45" s="1432">
        <f t="shared" si="15"/>
        <v>0</v>
      </c>
      <c r="H45" s="144"/>
      <c r="I45" s="1432">
        <f t="shared" si="16"/>
        <v>0</v>
      </c>
      <c r="J45" s="144"/>
      <c r="K45" s="3345">
        <f t="shared" si="17"/>
        <v>0</v>
      </c>
      <c r="L45" s="610"/>
      <c r="M45" s="144"/>
      <c r="N45" s="540"/>
      <c r="O45" s="463"/>
      <c r="P45" s="2003"/>
      <c r="Q45" s="2003"/>
      <c r="R45" s="2354"/>
      <c r="S45" s="2005"/>
      <c r="T45" s="139">
        <f t="shared" si="8"/>
        <v>0</v>
      </c>
      <c r="U45" s="139"/>
      <c r="V45" s="1999">
        <f t="shared" si="10"/>
        <v>0</v>
      </c>
      <c r="W45" s="2001"/>
      <c r="Y45" s="2003"/>
      <c r="Z45" s="2003"/>
      <c r="AA45" s="2354"/>
      <c r="AB45" s="2005"/>
      <c r="AC45" s="139">
        <f>SUM('3. a. sz. mell'!J48+'3.b. sz. mell'!J45+'3.c. sz. mell '!J44)</f>
        <v>0</v>
      </c>
      <c r="AD45" s="139"/>
      <c r="AE45" s="1999">
        <f>SUM('3. a. sz. mell'!L48+'3.b. sz. mell'!L45+'3.c. sz. mell '!L44)</f>
        <v>0</v>
      </c>
      <c r="AF45" s="2002"/>
    </row>
    <row r="46" spans="1:32" ht="17.25" thickBot="1" x14ac:dyDescent="0.25">
      <c r="A46" s="142"/>
      <c r="B46" s="176" t="s">
        <v>829</v>
      </c>
      <c r="C46" s="177" t="s">
        <v>307</v>
      </c>
      <c r="D46" s="144"/>
      <c r="E46" s="144"/>
      <c r="F46" s="144">
        <f>SUM('3.2 Cofogos'!E9)</f>
        <v>128973000</v>
      </c>
      <c r="G46" s="1432">
        <f t="shared" si="15"/>
        <v>15771891</v>
      </c>
      <c r="H46" s="144">
        <f>SUM('3.2 Cofogos'!G9)</f>
        <v>144744891</v>
      </c>
      <c r="I46" s="1432">
        <f t="shared" si="16"/>
        <v>-77524783</v>
      </c>
      <c r="J46" s="144">
        <f>SUM('3.2 Cofogos'!I9)</f>
        <v>67220108</v>
      </c>
      <c r="K46" s="3345">
        <f t="shared" si="17"/>
        <v>0</v>
      </c>
      <c r="L46" s="610">
        <f>SUM('3.2 Cofogos'!K9)</f>
        <v>67220108</v>
      </c>
      <c r="M46" s="144">
        <f>SUM('3.2 Cofogos'!L9)</f>
        <v>0</v>
      </c>
      <c r="N46" s="540">
        <f t="shared" si="6"/>
        <v>0</v>
      </c>
      <c r="O46" s="463"/>
      <c r="P46" s="2003">
        <f t="shared" si="18"/>
        <v>0</v>
      </c>
      <c r="Q46" s="2003"/>
      <c r="R46" s="2354">
        <f t="shared" si="19"/>
        <v>0</v>
      </c>
      <c r="S46" s="2005"/>
      <c r="T46" s="139">
        <f t="shared" si="8"/>
        <v>0</v>
      </c>
      <c r="U46" s="139"/>
      <c r="V46" s="1999">
        <f t="shared" si="10"/>
        <v>0</v>
      </c>
      <c r="W46" s="2001">
        <f t="shared" si="20"/>
        <v>0</v>
      </c>
      <c r="Y46" s="2003">
        <f>SUM('3. a. sz. mell'!F50+'3.b. sz. mell'!F46+'3.c. sz. mell '!F45)</f>
        <v>128973000</v>
      </c>
      <c r="Z46" s="2003"/>
      <c r="AA46" s="2354">
        <f>SUM('3. a. sz. mell'!H50+'3.b. sz. mell'!H46+'3.c. sz. mell '!H45)</f>
        <v>144744891</v>
      </c>
      <c r="AB46" s="2005"/>
      <c r="AC46" s="139">
        <f>SUM('3. a. sz. mell'!J50+'3.b. sz. mell'!J46+'3.c. sz. mell '!J45)</f>
        <v>67220108</v>
      </c>
      <c r="AD46" s="139"/>
      <c r="AE46" s="1999">
        <f>SUM('3. a. sz. mell'!L50+'3.b. sz. mell'!L46+'3.c. sz. mell '!L45)</f>
        <v>67220108</v>
      </c>
      <c r="AF46" s="2002">
        <f>SUM('3. a. sz. mell'!M50+'3.b. sz. mell'!M46+'3.c. sz. mell '!M45)</f>
        <v>0</v>
      </c>
    </row>
    <row r="47" spans="1:32" ht="30.75" thickBot="1" x14ac:dyDescent="0.25">
      <c r="A47" s="142"/>
      <c r="B47" s="176" t="s">
        <v>937</v>
      </c>
      <c r="C47" s="177" t="s">
        <v>2012</v>
      </c>
      <c r="D47" s="144" t="e">
        <f>SUM(#REF!)</f>
        <v>#REF!</v>
      </c>
      <c r="E47" s="144" t="e">
        <f>SUM(#REF!)-#REF!-#REF!</f>
        <v>#REF!</v>
      </c>
      <c r="F47" s="144"/>
      <c r="G47" s="1432">
        <f t="shared" si="15"/>
        <v>0</v>
      </c>
      <c r="H47" s="144"/>
      <c r="I47" s="1432">
        <f t="shared" si="16"/>
        <v>10000000</v>
      </c>
      <c r="J47" s="610">
        <f>'3.2 Cofogos'!I53</f>
        <v>10000000</v>
      </c>
      <c r="K47" s="3345">
        <f t="shared" si="17"/>
        <v>0</v>
      </c>
      <c r="L47" s="610">
        <f>'3.2 Cofogos'!K53</f>
        <v>10000000</v>
      </c>
      <c r="M47" s="144">
        <f>'3.2 Cofogos'!L53</f>
        <v>10000000</v>
      </c>
      <c r="N47" s="540" t="e">
        <f t="shared" si="6"/>
        <v>#DIV/0!</v>
      </c>
      <c r="O47" s="463"/>
      <c r="P47" s="2003">
        <f t="shared" si="18"/>
        <v>0</v>
      </c>
      <c r="Q47" s="2003"/>
      <c r="R47" s="2354">
        <f t="shared" si="19"/>
        <v>0</v>
      </c>
      <c r="S47" s="2005"/>
      <c r="T47" s="139">
        <f t="shared" si="8"/>
        <v>0</v>
      </c>
      <c r="U47" s="139"/>
      <c r="V47" s="1999">
        <f t="shared" si="10"/>
        <v>0</v>
      </c>
      <c r="W47" s="2001">
        <f t="shared" si="20"/>
        <v>0</v>
      </c>
      <c r="Y47" s="2003">
        <f>SUM('3. a. sz. mell'!F51+'3.b. sz. mell'!F47+'3.c. sz. mell '!F46)</f>
        <v>0</v>
      </c>
      <c r="Z47" s="2003"/>
      <c r="AA47" s="2354">
        <f>SUM('3. a. sz. mell'!H51+'3.b. sz. mell'!H47+'3.c. sz. mell '!H46)</f>
        <v>0</v>
      </c>
      <c r="AB47" s="2005"/>
      <c r="AC47" s="2002">
        <f>SUM('3. a. sz. mell'!J51+'3.b. sz. mell'!J47+'3.c. sz. mell '!J46)</f>
        <v>10000000</v>
      </c>
      <c r="AD47" s="2002"/>
      <c r="AE47" s="1999">
        <f>SUM('3. a. sz. mell'!L51+'3.b. sz. mell'!L47+'3.c. sz. mell '!L46)</f>
        <v>10000000</v>
      </c>
      <c r="AF47" s="2002">
        <f>SUM('3. a. sz. mell'!M51+'3.b. sz. mell'!M47+'3.c. sz. mell '!M46)</f>
        <v>10000000</v>
      </c>
    </row>
    <row r="48" spans="1:32" ht="17.25" hidden="1" thickBot="1" x14ac:dyDescent="0.25">
      <c r="A48" s="142"/>
      <c r="B48" s="176" t="s">
        <v>2018</v>
      </c>
      <c r="C48" s="177"/>
      <c r="D48" s="144"/>
      <c r="E48" s="144" t="e">
        <f>#REF!+#REF!+#REF!</f>
        <v>#REF!</v>
      </c>
      <c r="F48" s="144"/>
      <c r="G48" s="1432">
        <f t="shared" si="15"/>
        <v>0</v>
      </c>
      <c r="H48" s="144"/>
      <c r="I48" s="1432">
        <f t="shared" si="16"/>
        <v>0</v>
      </c>
      <c r="J48" s="144"/>
      <c r="K48" s="3345">
        <f t="shared" si="17"/>
        <v>0</v>
      </c>
      <c r="L48" s="4219"/>
      <c r="M48" s="144"/>
      <c r="N48" s="540" t="e">
        <f t="shared" si="6"/>
        <v>#DIV/0!</v>
      </c>
      <c r="O48" s="463"/>
      <c r="P48" s="2003">
        <f t="shared" si="18"/>
        <v>0</v>
      </c>
      <c r="Q48" s="2003"/>
      <c r="R48" s="2354">
        <f t="shared" si="19"/>
        <v>0</v>
      </c>
      <c r="S48" s="2005"/>
      <c r="T48" s="139">
        <f t="shared" si="8"/>
        <v>0</v>
      </c>
      <c r="U48" s="139"/>
      <c r="V48" s="1999">
        <f t="shared" si="10"/>
        <v>0</v>
      </c>
      <c r="W48" s="2001">
        <f t="shared" si="20"/>
        <v>0</v>
      </c>
      <c r="Y48" s="2003">
        <f>SUM('3. a. sz. mell'!F52+'3.b. sz. mell'!F48+'3.c. sz. mell '!F47)</f>
        <v>0</v>
      </c>
      <c r="Z48" s="2003"/>
      <c r="AA48" s="2354">
        <f>SUM('3. a. sz. mell'!H52+'3.b. sz. mell'!H48+'3.c. sz. mell '!H47)</f>
        <v>0</v>
      </c>
      <c r="AB48" s="2005"/>
      <c r="AC48" s="139">
        <f>SUM('3. a. sz. mell'!J51+'3.b. sz. mell'!J48+'3.c. sz. mell '!J47)</f>
        <v>0</v>
      </c>
      <c r="AD48" s="139"/>
      <c r="AE48" s="1999">
        <f>SUM('3. a. sz. mell'!L51+'3.b. sz. mell'!L48+'3.c. sz. mell '!L47)</f>
        <v>0</v>
      </c>
      <c r="AF48" s="2002">
        <f>SUM('3. a. sz. mell'!M52+'3.b. sz. mell'!M48+'3.c. sz. mell '!M47)</f>
        <v>0</v>
      </c>
    </row>
    <row r="49" spans="1:32" ht="17.25" hidden="1" thickBot="1" x14ac:dyDescent="0.25">
      <c r="A49" s="142"/>
      <c r="B49" s="176" t="s">
        <v>2019</v>
      </c>
      <c r="C49" s="177"/>
      <c r="D49" s="144"/>
      <c r="E49" s="144"/>
      <c r="F49" s="144"/>
      <c r="G49" s="1432">
        <f t="shared" si="15"/>
        <v>0</v>
      </c>
      <c r="H49" s="144"/>
      <c r="I49" s="1432">
        <f t="shared" si="16"/>
        <v>0</v>
      </c>
      <c r="J49" s="144"/>
      <c r="K49" s="3345">
        <f t="shared" si="17"/>
        <v>0</v>
      </c>
      <c r="L49" s="4219"/>
      <c r="M49" s="144"/>
      <c r="N49" s="540" t="e">
        <f t="shared" si="6"/>
        <v>#DIV/0!</v>
      </c>
      <c r="O49" s="463"/>
      <c r="P49" s="2003">
        <f t="shared" si="18"/>
        <v>0</v>
      </c>
      <c r="Q49" s="2003"/>
      <c r="R49" s="2354">
        <f t="shared" si="19"/>
        <v>0</v>
      </c>
      <c r="S49" s="2005"/>
      <c r="T49" s="139">
        <f t="shared" si="8"/>
        <v>0</v>
      </c>
      <c r="U49" s="139"/>
      <c r="V49" s="1999">
        <f t="shared" si="10"/>
        <v>0</v>
      </c>
      <c r="W49" s="2001">
        <f t="shared" si="20"/>
        <v>0</v>
      </c>
      <c r="Y49" s="2003">
        <f>SUM('3. a. sz. mell'!F53+'3.b. sz. mell'!F49+'3.c. sz. mell '!F48)</f>
        <v>0</v>
      </c>
      <c r="Z49" s="2003"/>
      <c r="AA49" s="2354">
        <f>SUM('3. a. sz. mell'!H53+'3.b. sz. mell'!H49+'3.c. sz. mell '!H48)</f>
        <v>0</v>
      </c>
      <c r="AB49" s="2005"/>
      <c r="AC49" s="139">
        <f>SUM('3. a. sz. mell'!J52+'3.b. sz. mell'!J49+'3.c. sz. mell '!J48)</f>
        <v>0</v>
      </c>
      <c r="AD49" s="139"/>
      <c r="AE49" s="1999">
        <f>SUM('3. a. sz. mell'!L52+'3.b. sz. mell'!L49+'3.c. sz. mell '!L48)</f>
        <v>0</v>
      </c>
      <c r="AF49" s="2002">
        <f>SUM('3. a. sz. mell'!M53+'3.b. sz. mell'!M49+'3.c. sz. mell '!M48)</f>
        <v>0</v>
      </c>
    </row>
    <row r="50" spans="1:32" ht="17.25" hidden="1" thickBot="1" x14ac:dyDescent="0.25">
      <c r="A50" s="142"/>
      <c r="B50" s="176" t="s">
        <v>2020</v>
      </c>
      <c r="C50" s="177"/>
      <c r="D50" s="144" t="e">
        <f>SUM(#REF!)</f>
        <v>#REF!</v>
      </c>
      <c r="E50" s="144" t="e">
        <f>SUM(#REF!)</f>
        <v>#REF!</v>
      </c>
      <c r="F50" s="144"/>
      <c r="G50" s="1432">
        <f t="shared" si="15"/>
        <v>0</v>
      </c>
      <c r="H50" s="144"/>
      <c r="I50" s="1432">
        <f t="shared" si="16"/>
        <v>0</v>
      </c>
      <c r="J50" s="144"/>
      <c r="K50" s="3345">
        <f t="shared" si="17"/>
        <v>0</v>
      </c>
      <c r="L50" s="4219"/>
      <c r="M50" s="144"/>
      <c r="N50" s="540" t="e">
        <f t="shared" si="6"/>
        <v>#DIV/0!</v>
      </c>
      <c r="O50" s="463"/>
      <c r="P50" s="2003">
        <f t="shared" si="18"/>
        <v>0</v>
      </c>
      <c r="Q50" s="2003"/>
      <c r="R50" s="2354">
        <f t="shared" si="19"/>
        <v>0</v>
      </c>
      <c r="S50" s="2005"/>
      <c r="T50" s="139">
        <f t="shared" si="8"/>
        <v>0</v>
      </c>
      <c r="U50" s="139"/>
      <c r="V50" s="1999">
        <f t="shared" si="10"/>
        <v>0</v>
      </c>
      <c r="W50" s="2001">
        <f t="shared" si="20"/>
        <v>0</v>
      </c>
      <c r="Y50" s="2003">
        <f>SUM('3. a. sz. mell'!F54+'3.b. sz. mell'!F50+'3.c. sz. mell '!F49)</f>
        <v>0</v>
      </c>
      <c r="Z50" s="2003"/>
      <c r="AA50" s="2354">
        <f>SUM('3. a. sz. mell'!H54+'3.b. sz. mell'!H50+'3.c. sz. mell '!H49)</f>
        <v>0</v>
      </c>
      <c r="AB50" s="2005"/>
      <c r="AC50" s="139">
        <f>SUM('3. a. sz. mell'!J53+'3.b. sz. mell'!J50+'3.c. sz. mell '!J49)</f>
        <v>0</v>
      </c>
      <c r="AD50" s="139"/>
      <c r="AE50" s="1999">
        <f>SUM('3. a. sz. mell'!L53+'3.b. sz. mell'!L50+'3.c. sz. mell '!L49)</f>
        <v>0</v>
      </c>
      <c r="AF50" s="2002">
        <f>SUM('3. a. sz. mell'!M54+'3.b. sz. mell'!M50+'3.c. sz. mell '!M49)</f>
        <v>0</v>
      </c>
    </row>
    <row r="51" spans="1:32" ht="17.25" hidden="1" thickBot="1" x14ac:dyDescent="0.25">
      <c r="A51" s="151"/>
      <c r="B51" s="176" t="s">
        <v>2021</v>
      </c>
      <c r="C51" s="177"/>
      <c r="D51" s="153"/>
      <c r="E51" s="153"/>
      <c r="F51" s="153"/>
      <c r="G51" s="1432">
        <f t="shared" si="15"/>
        <v>0</v>
      </c>
      <c r="H51" s="153"/>
      <c r="I51" s="1432">
        <f t="shared" si="16"/>
        <v>0</v>
      </c>
      <c r="J51" s="153"/>
      <c r="K51" s="3345">
        <f t="shared" si="17"/>
        <v>0</v>
      </c>
      <c r="L51" s="4220"/>
      <c r="M51" s="153"/>
      <c r="N51" s="540" t="e">
        <f t="shared" si="6"/>
        <v>#DIV/0!</v>
      </c>
      <c r="O51" s="463"/>
      <c r="P51" s="2003">
        <f t="shared" si="18"/>
        <v>0</v>
      </c>
      <c r="Q51" s="2003"/>
      <c r="R51" s="2354">
        <f t="shared" si="19"/>
        <v>0</v>
      </c>
      <c r="S51" s="2005"/>
      <c r="T51" s="139">
        <f t="shared" si="8"/>
        <v>0</v>
      </c>
      <c r="U51" s="139"/>
      <c r="V51" s="1999">
        <f t="shared" si="10"/>
        <v>0</v>
      </c>
      <c r="W51" s="2001">
        <f t="shared" si="20"/>
        <v>0</v>
      </c>
      <c r="Y51" s="2003">
        <f>SUM('3. a. sz. mell'!F55+'3.b. sz. mell'!F51+'3.c. sz. mell '!F50)</f>
        <v>0</v>
      </c>
      <c r="Z51" s="2003"/>
      <c r="AA51" s="2354">
        <f>SUM('3. a. sz. mell'!H55+'3.b. sz. mell'!H51+'3.c. sz. mell '!H50)</f>
        <v>0</v>
      </c>
      <c r="AB51" s="2005"/>
      <c r="AC51" s="139">
        <f>SUM('3. a. sz. mell'!J54+'3.b. sz. mell'!J51+'3.c. sz. mell '!J50)</f>
        <v>0</v>
      </c>
      <c r="AD51" s="139"/>
      <c r="AE51" s="1999">
        <f>SUM('3. a. sz. mell'!L54+'3.b. sz. mell'!L51+'3.c. sz. mell '!L50)</f>
        <v>0</v>
      </c>
      <c r="AF51" s="2002">
        <f>SUM('3. a. sz. mell'!M55+'3.b. sz. mell'!M51+'3.c. sz. mell '!M50)</f>
        <v>0</v>
      </c>
    </row>
    <row r="52" spans="1:32" ht="17.25" hidden="1" thickBot="1" x14ac:dyDescent="0.25">
      <c r="A52" s="178"/>
      <c r="B52" s="176" t="s">
        <v>2022</v>
      </c>
      <c r="C52" s="180"/>
      <c r="D52" s="181" t="e">
        <f>SUM(#REF!)</f>
        <v>#REF!</v>
      </c>
      <c r="E52" s="181" t="e">
        <f>#REF!</f>
        <v>#REF!</v>
      </c>
      <c r="F52" s="181"/>
      <c r="G52" s="1432">
        <f t="shared" si="15"/>
        <v>0</v>
      </c>
      <c r="H52" s="181"/>
      <c r="I52" s="1432">
        <f t="shared" si="16"/>
        <v>0</v>
      </c>
      <c r="J52" s="181"/>
      <c r="K52" s="3345">
        <f t="shared" si="17"/>
        <v>0</v>
      </c>
      <c r="L52" s="4221"/>
      <c r="M52" s="181"/>
      <c r="N52" s="540" t="e">
        <f t="shared" si="6"/>
        <v>#DIV/0!</v>
      </c>
      <c r="O52" s="466"/>
      <c r="P52" s="2003">
        <f t="shared" si="18"/>
        <v>0</v>
      </c>
      <c r="Q52" s="2003"/>
      <c r="R52" s="2354">
        <f t="shared" si="19"/>
        <v>0</v>
      </c>
      <c r="S52" s="2005"/>
      <c r="T52" s="139">
        <f t="shared" si="8"/>
        <v>0</v>
      </c>
      <c r="U52" s="139"/>
      <c r="V52" s="1999">
        <f t="shared" si="10"/>
        <v>0</v>
      </c>
      <c r="W52" s="2001">
        <f t="shared" si="20"/>
        <v>0</v>
      </c>
      <c r="Y52" s="2003">
        <f>SUM('3. a. sz. mell'!F56+'3.b. sz. mell'!F52+'3.c. sz. mell '!F51)</f>
        <v>0</v>
      </c>
      <c r="Z52" s="2003"/>
      <c r="AA52" s="2354">
        <f>SUM('3. a. sz. mell'!H56+'3.b. sz. mell'!H52+'3.c. sz. mell '!H51)</f>
        <v>0</v>
      </c>
      <c r="AB52" s="2005"/>
      <c r="AC52" s="139">
        <f>SUM('3. a. sz. mell'!J55+'3.b. sz. mell'!J52+'3.c. sz. mell '!J51)</f>
        <v>0</v>
      </c>
      <c r="AD52" s="139"/>
      <c r="AE52" s="1999">
        <f>SUM('3. a. sz. mell'!L55+'3.b. sz. mell'!L52+'3.c. sz. mell '!L51)</f>
        <v>0</v>
      </c>
      <c r="AF52" s="2002">
        <f>SUM('3. a. sz. mell'!M56+'3.b. sz. mell'!M52+'3.c. sz. mell '!M51)</f>
        <v>0</v>
      </c>
    </row>
    <row r="53" spans="1:32" ht="17.25" thickBot="1" x14ac:dyDescent="0.25">
      <c r="A53" s="314"/>
      <c r="B53" s="176" t="s">
        <v>2023</v>
      </c>
      <c r="C53" s="177" t="s">
        <v>938</v>
      </c>
      <c r="D53" s="774"/>
      <c r="E53" s="774"/>
      <c r="F53" s="144">
        <f>SUM('3.2 Cofogos'!E38)</f>
        <v>344463424</v>
      </c>
      <c r="G53" s="1432">
        <f t="shared" si="15"/>
        <v>1517798</v>
      </c>
      <c r="H53" s="144">
        <f>SUM('3.2 Cofogos'!G38)+'3.2 Cofogos'!G25</f>
        <v>345981222</v>
      </c>
      <c r="I53" s="1432">
        <f t="shared" si="16"/>
        <v>0</v>
      </c>
      <c r="J53" s="144">
        <f>SUM('3.2 Cofogos'!I38)+'3.2 Cofogos'!I25</f>
        <v>345981222</v>
      </c>
      <c r="K53" s="3345">
        <f t="shared" si="17"/>
        <v>1747959</v>
      </c>
      <c r="L53" s="610">
        <f>SUM('3.2 Cofogos'!K38)+'3.2 Cofogos'!K25</f>
        <v>347729181</v>
      </c>
      <c r="M53" s="144">
        <f>SUM('3.2 Cofogos'!L38)+'3.2 Cofogos'!L25</f>
        <v>345981222</v>
      </c>
      <c r="N53" s="540"/>
      <c r="O53" s="466"/>
      <c r="P53" s="2003"/>
      <c r="Q53" s="2003"/>
      <c r="R53" s="2354">
        <f t="shared" si="19"/>
        <v>0</v>
      </c>
      <c r="S53" s="2005"/>
      <c r="T53" s="139">
        <f t="shared" si="8"/>
        <v>0</v>
      </c>
      <c r="U53" s="139"/>
      <c r="V53" s="1999">
        <f t="shared" si="10"/>
        <v>0</v>
      </c>
      <c r="W53" s="2001">
        <f t="shared" si="20"/>
        <v>0</v>
      </c>
      <c r="Y53" s="2003"/>
      <c r="Z53" s="2003"/>
      <c r="AA53" s="2354">
        <f>SUM('3. a. sz. mell'!H49)</f>
        <v>345981222</v>
      </c>
      <c r="AB53" s="2005"/>
      <c r="AC53" s="139">
        <f>SUM('3. a. sz. mell'!J49)</f>
        <v>345981222</v>
      </c>
      <c r="AD53" s="139"/>
      <c r="AE53" s="1999">
        <f>SUM('3. a. sz. mell'!L49)</f>
        <v>347729181</v>
      </c>
      <c r="AF53" s="2002">
        <f>SUM('3. a. sz. mell'!M49)</f>
        <v>345981222</v>
      </c>
    </row>
    <row r="54" spans="1:32" ht="15" customHeight="1" thickBot="1" x14ac:dyDescent="0.25">
      <c r="A54" s="134" t="s">
        <v>17</v>
      </c>
      <c r="B54" s="170"/>
      <c r="C54" s="171" t="s">
        <v>308</v>
      </c>
      <c r="D54" s="137" t="e">
        <f>SUM(D55:D57)</f>
        <v>#REF!</v>
      </c>
      <c r="E54" s="137" t="e">
        <f>SUM(E55:E57)</f>
        <v>#REF!</v>
      </c>
      <c r="F54" s="137">
        <f>SUM(F55:F57)</f>
        <v>1481639300</v>
      </c>
      <c r="G54" s="1382">
        <f t="shared" si="15"/>
        <v>806940376</v>
      </c>
      <c r="H54" s="137">
        <f t="shared" ref="H54:M54" si="22">SUM(H55:H57)</f>
        <v>2288579676</v>
      </c>
      <c r="I54" s="1382">
        <f t="shared" si="22"/>
        <v>-109554771</v>
      </c>
      <c r="J54" s="137">
        <f t="shared" si="22"/>
        <v>2179024905</v>
      </c>
      <c r="K54" s="3332">
        <f t="shared" si="17"/>
        <v>0</v>
      </c>
      <c r="L54" s="137">
        <f t="shared" si="22"/>
        <v>2179024905</v>
      </c>
      <c r="M54" s="137">
        <f t="shared" si="22"/>
        <v>1226631020</v>
      </c>
      <c r="N54" s="540">
        <f t="shared" si="6"/>
        <v>53.597916334899764</v>
      </c>
      <c r="O54" s="286"/>
      <c r="P54" s="2003">
        <f t="shared" si="18"/>
        <v>0</v>
      </c>
      <c r="Q54" s="2003"/>
      <c r="R54" s="2354">
        <f t="shared" si="19"/>
        <v>0</v>
      </c>
      <c r="S54" s="2005"/>
      <c r="T54" s="139">
        <f t="shared" si="8"/>
        <v>0</v>
      </c>
      <c r="U54" s="139"/>
      <c r="V54" s="1999">
        <f t="shared" si="10"/>
        <v>0</v>
      </c>
      <c r="W54" s="2001">
        <f t="shared" si="20"/>
        <v>0</v>
      </c>
      <c r="Y54" s="2003">
        <f>SUM('3. a. sz. mell'!F57+'3.b. sz. mell'!F53+'3.c. sz. mell '!F52)</f>
        <v>1481639300</v>
      </c>
      <c r="Z54" s="2003"/>
      <c r="AA54" s="2354">
        <f>SUM('3. a. sz. mell'!H57+'3.b. sz. mell'!H53+'3.c. sz. mell '!H52)</f>
        <v>2288579676</v>
      </c>
      <c r="AB54" s="2005"/>
      <c r="AC54" s="139">
        <f>SUM('3. a. sz. mell'!J57+'3.b. sz. mell'!J53+'3.c. sz. mell '!J52)</f>
        <v>2179024905</v>
      </c>
      <c r="AD54" s="139"/>
      <c r="AE54" s="1999">
        <f>SUM('3. a. sz. mell'!L57+'3.b. sz. mell'!L53+'3.c. sz. mell '!L52)</f>
        <v>2179024905</v>
      </c>
      <c r="AF54" s="2002">
        <f>SUM('3. a. sz. mell'!M57+'3.b. sz. mell'!M53+'3.c. sz. mell '!M52)</f>
        <v>1226631020</v>
      </c>
    </row>
    <row r="55" spans="1:32" s="172" customFormat="1" ht="15" customHeight="1" thickBot="1" x14ac:dyDescent="0.25">
      <c r="A55" s="173"/>
      <c r="B55" s="176" t="s">
        <v>309</v>
      </c>
      <c r="C55" s="55" t="s">
        <v>310</v>
      </c>
      <c r="D55" s="175" t="e">
        <f>SUM(#REF!)</f>
        <v>#REF!</v>
      </c>
      <c r="E55" s="175" t="e">
        <f>SUM(#REF!)</f>
        <v>#REF!</v>
      </c>
      <c r="F55" s="175">
        <f>SUM('3.2 Cofogos'!E70+'3.2 Cofogos'!E101)+'3.2 Cofogos'!E84</f>
        <v>1159840300</v>
      </c>
      <c r="G55" s="1432">
        <f t="shared" si="15"/>
        <v>309246634</v>
      </c>
      <c r="H55" s="175">
        <f>SUM('3.2 Cofogos'!G70+'3.2 Cofogos'!G101)+'3.2 Cofogos'!G84+'3.2 Cofogos'!G112+'3.2 Cofogos'!G216+'3.2 Cofogos'!G226</f>
        <v>1469086934</v>
      </c>
      <c r="I55" s="1432">
        <f t="shared" ref="I55:I60" si="23">J55-H55</f>
        <v>253446172</v>
      </c>
      <c r="J55" s="175">
        <f>SUM('3.2 Cofogos'!I70+'3.2 Cofogos'!I101)+'3.2 Cofogos'!I84+'3.2 Cofogos'!I112+'3.2 Cofogos'!I216+'3.2 Cofogos'!I226</f>
        <v>1722533106</v>
      </c>
      <c r="K55" s="3345">
        <f t="shared" si="17"/>
        <v>0</v>
      </c>
      <c r="L55" s="175">
        <f>SUM('3.2 Cofogos'!K70+'3.2 Cofogos'!K101)+'3.2 Cofogos'!K84+'3.2 Cofogos'!K112+'3.2 Cofogos'!K216+'3.2 Cofogos'!K226</f>
        <v>1722533106</v>
      </c>
      <c r="M55" s="175">
        <f>SUM('3.2 Cofogos'!L70+'3.2 Cofogos'!L101)+'3.2 Cofogos'!L84+'3.2 Cofogos'!L112+'3.2 Cofogos'!L216+'3.2 Cofogos'!L226</f>
        <v>928013419</v>
      </c>
      <c r="N55" s="540">
        <f t="shared" si="6"/>
        <v>63.169401178541825</v>
      </c>
      <c r="O55" s="463"/>
      <c r="P55" s="2003">
        <f t="shared" si="18"/>
        <v>0</v>
      </c>
      <c r="Q55" s="2003"/>
      <c r="R55" s="2354">
        <f t="shared" si="19"/>
        <v>0</v>
      </c>
      <c r="S55" s="2005"/>
      <c r="T55" s="139">
        <f t="shared" si="8"/>
        <v>0</v>
      </c>
      <c r="U55" s="139"/>
      <c r="V55" s="1999">
        <f t="shared" si="10"/>
        <v>0</v>
      </c>
      <c r="W55" s="2001">
        <f t="shared" si="20"/>
        <v>0</v>
      </c>
      <c r="Y55" s="2003">
        <f>SUM('3. a. sz. mell'!F58+'3.b. sz. mell'!F54+'3.c. sz. mell '!F53)</f>
        <v>1159840300</v>
      </c>
      <c r="Z55" s="2003"/>
      <c r="AA55" s="2354">
        <f>SUM('3. a. sz. mell'!H58+'3.b. sz. mell'!H54+'3.c. sz. mell '!H53)</f>
        <v>1469086934</v>
      </c>
      <c r="AB55" s="2005"/>
      <c r="AC55" s="139">
        <f>SUM('3. a. sz. mell'!J58+'3.b. sz. mell'!J54+'3.c. sz. mell '!J53)</f>
        <v>1722533106</v>
      </c>
      <c r="AD55" s="139"/>
      <c r="AE55" s="1999">
        <f>SUM('3. a. sz. mell'!L58+'3.b. sz. mell'!L54+'3.c. sz. mell '!L53)</f>
        <v>1722533106</v>
      </c>
      <c r="AF55" s="2002">
        <f>SUM('3. a. sz. mell'!M58+'3.b. sz. mell'!M54+'3.c. sz. mell '!M53)</f>
        <v>928013419</v>
      </c>
    </row>
    <row r="56" spans="1:32" ht="15" customHeight="1" thickBot="1" x14ac:dyDescent="0.25">
      <c r="A56" s="142"/>
      <c r="B56" s="176" t="s">
        <v>311</v>
      </c>
      <c r="C56" s="55" t="s">
        <v>185</v>
      </c>
      <c r="D56" s="144" t="e">
        <f>SUM(#REF!)</f>
        <v>#REF!</v>
      </c>
      <c r="E56" s="144" t="e">
        <f>SUM(#REF!)</f>
        <v>#REF!</v>
      </c>
      <c r="F56" s="144">
        <f>SUM('3.2 Cofogos'!E100+'3.2 Cofogos'!E69)</f>
        <v>29310000</v>
      </c>
      <c r="G56" s="1432">
        <f t="shared" si="15"/>
        <v>183049717</v>
      </c>
      <c r="H56" s="144">
        <f>SUM('3.2 Cofogos'!G100+'3.2 Cofogos'!G69)</f>
        <v>212359717</v>
      </c>
      <c r="I56" s="1432">
        <f t="shared" si="23"/>
        <v>166872746</v>
      </c>
      <c r="J56" s="144">
        <f>SUM('3.2 Cofogos'!I100+'3.2 Cofogos'!I69)</f>
        <v>379232463</v>
      </c>
      <c r="K56" s="3345">
        <f t="shared" si="17"/>
        <v>0</v>
      </c>
      <c r="L56" s="144">
        <f>SUM('3.2 Cofogos'!K100+'3.2 Cofogos'!K69)</f>
        <v>379232463</v>
      </c>
      <c r="M56" s="144">
        <f>SUM('3.2 Cofogos'!L100+'3.2 Cofogos'!L69)</f>
        <v>283061837</v>
      </c>
      <c r="N56" s="540">
        <f t="shared" si="6"/>
        <v>133.29356480541929</v>
      </c>
      <c r="O56" s="463"/>
      <c r="P56" s="2003">
        <f t="shared" si="18"/>
        <v>0</v>
      </c>
      <c r="Q56" s="2003"/>
      <c r="R56" s="2354">
        <f t="shared" si="19"/>
        <v>0</v>
      </c>
      <c r="S56" s="2005"/>
      <c r="T56" s="139">
        <f t="shared" si="8"/>
        <v>0</v>
      </c>
      <c r="U56" s="139"/>
      <c r="V56" s="1999">
        <f t="shared" si="10"/>
        <v>0</v>
      </c>
      <c r="W56" s="2001">
        <f t="shared" si="20"/>
        <v>0</v>
      </c>
      <c r="Y56" s="2003">
        <f>SUM('3. a. sz. mell'!F59+'3.b. sz. mell'!F55+'3.c. sz. mell '!F54)</f>
        <v>29310000</v>
      </c>
      <c r="Z56" s="2003"/>
      <c r="AA56" s="2354">
        <f>SUM('3. a. sz. mell'!H59+'3.b. sz. mell'!H55+'3.c. sz. mell '!H54)</f>
        <v>212359717</v>
      </c>
      <c r="AB56" s="2005"/>
      <c r="AC56" s="139">
        <f>SUM('3. a. sz. mell'!J59+'3.b. sz. mell'!J55+'3.c. sz. mell '!J54)</f>
        <v>379232463</v>
      </c>
      <c r="AD56" s="139"/>
      <c r="AE56" s="1999">
        <f>SUM('3. a. sz. mell'!L59+'3.b. sz. mell'!L55+'3.c. sz. mell '!L54)</f>
        <v>379232463</v>
      </c>
      <c r="AF56" s="2002">
        <f>SUM('3. a. sz. mell'!M59+'3.b. sz. mell'!M55+'3.c. sz. mell '!M54)</f>
        <v>283061837</v>
      </c>
    </row>
    <row r="57" spans="1:32" ht="15" customHeight="1" thickBot="1" x14ac:dyDescent="0.25">
      <c r="A57" s="142"/>
      <c r="B57" s="176" t="s">
        <v>312</v>
      </c>
      <c r="C57" s="55" t="s">
        <v>273</v>
      </c>
      <c r="D57" s="144" t="e">
        <f>SUM(D60+D59)</f>
        <v>#REF!</v>
      </c>
      <c r="E57" s="144" t="e">
        <f>SUM(E60+E59)</f>
        <v>#REF!</v>
      </c>
      <c r="F57" s="144">
        <f>SUM(F58:F60)</f>
        <v>292489000</v>
      </c>
      <c r="G57" s="1432">
        <f t="shared" si="15"/>
        <v>314644025</v>
      </c>
      <c r="H57" s="144">
        <f>SUM(H58:H60)</f>
        <v>607133025</v>
      </c>
      <c r="I57" s="1432">
        <f t="shared" si="23"/>
        <v>-529873689</v>
      </c>
      <c r="J57" s="144">
        <f>SUM(J58:J61)</f>
        <v>77259336</v>
      </c>
      <c r="K57" s="3345">
        <f t="shared" si="17"/>
        <v>0</v>
      </c>
      <c r="L57" s="144">
        <f>SUM(L58:L61)</f>
        <v>77259336</v>
      </c>
      <c r="M57" s="144">
        <f>SUM(M58:M61)</f>
        <v>15555764</v>
      </c>
      <c r="N57" s="540">
        <f t="shared" si="6"/>
        <v>2.5621673273332481</v>
      </c>
      <c r="O57" s="463"/>
      <c r="P57" s="2003">
        <f t="shared" si="18"/>
        <v>0</v>
      </c>
      <c r="Q57" s="2003"/>
      <c r="R57" s="2354">
        <f t="shared" si="19"/>
        <v>0</v>
      </c>
      <c r="S57" s="2005"/>
      <c r="T57" s="139">
        <f t="shared" si="8"/>
        <v>0</v>
      </c>
      <c r="U57" s="139"/>
      <c r="V57" s="1999">
        <f t="shared" si="10"/>
        <v>0</v>
      </c>
      <c r="W57" s="2001">
        <f t="shared" si="20"/>
        <v>0</v>
      </c>
      <c r="Y57" s="2003">
        <f>SUM('3. a. sz. mell'!F60+'3.b. sz. mell'!F56+'3.c. sz. mell '!F55)</f>
        <v>292489000</v>
      </c>
      <c r="Z57" s="2003"/>
      <c r="AA57" s="2354">
        <f>SUM('3. a. sz. mell'!H60+'3.b. sz. mell'!H56+'3.c. sz. mell '!H55)</f>
        <v>607133025</v>
      </c>
      <c r="AB57" s="2005"/>
      <c r="AC57" s="139">
        <f>SUM('3. a. sz. mell'!J60+'3.b. sz. mell'!J56+'3.c. sz. mell '!J55)</f>
        <v>77259336</v>
      </c>
      <c r="AD57" s="139"/>
      <c r="AE57" s="1999">
        <f>SUM('3. a. sz. mell'!L60+'3.b. sz. mell'!L56+'3.c. sz. mell '!L55)</f>
        <v>77259336</v>
      </c>
      <c r="AF57" s="2002">
        <f>SUM('3. a. sz. mell'!M60+'3.b. sz. mell'!M56+'3.c. sz. mell '!M55)</f>
        <v>15555764</v>
      </c>
    </row>
    <row r="58" spans="1:32" ht="15" customHeight="1" thickBot="1" x14ac:dyDescent="0.25">
      <c r="A58" s="142"/>
      <c r="B58" s="176" t="s">
        <v>313</v>
      </c>
      <c r="C58" s="177" t="s">
        <v>314</v>
      </c>
      <c r="D58" s="144"/>
      <c r="E58" s="144"/>
      <c r="F58" s="144">
        <f>SUM('3.2 Cofogos'!E199)</f>
        <v>73914000</v>
      </c>
      <c r="G58" s="1432">
        <f t="shared" si="15"/>
        <v>-21749448</v>
      </c>
      <c r="H58" s="144">
        <f>SUM('3.2 Cofogos'!G199)</f>
        <v>52164552</v>
      </c>
      <c r="I58" s="1432">
        <f t="shared" si="23"/>
        <v>-42164552</v>
      </c>
      <c r="J58" s="144">
        <f>SUM('3.2 Cofogos'!I199)</f>
        <v>10000000</v>
      </c>
      <c r="K58" s="3345">
        <f t="shared" si="17"/>
        <v>0</v>
      </c>
      <c r="L58" s="144">
        <f>SUM('3.2 Cofogos'!K199)</f>
        <v>10000000</v>
      </c>
      <c r="M58" s="144">
        <f>SUM('3.2 Cofogos'!L199)</f>
        <v>10000000</v>
      </c>
      <c r="N58" s="540">
        <f t="shared" si="6"/>
        <v>19.170106167115168</v>
      </c>
      <c r="O58" s="463"/>
      <c r="P58" s="2003">
        <f t="shared" si="18"/>
        <v>0</v>
      </c>
      <c r="Q58" s="2003"/>
      <c r="R58" s="2354">
        <f t="shared" si="19"/>
        <v>0</v>
      </c>
      <c r="S58" s="2005"/>
      <c r="T58" s="139">
        <f t="shared" si="8"/>
        <v>0</v>
      </c>
      <c r="U58" s="139"/>
      <c r="V58" s="1999">
        <f t="shared" si="10"/>
        <v>0</v>
      </c>
      <c r="W58" s="2001">
        <f t="shared" si="20"/>
        <v>0</v>
      </c>
      <c r="Y58" s="2003">
        <f>SUM('3. a. sz. mell'!F61+'3.b. sz. mell'!F57+'3.c. sz. mell '!F56)</f>
        <v>73914000</v>
      </c>
      <c r="Z58" s="2003"/>
      <c r="AA58" s="2354">
        <f>SUM('3. a. sz. mell'!H61+'3.b. sz. mell'!H57+'3.c. sz. mell '!H56)</f>
        <v>52164552</v>
      </c>
      <c r="AB58" s="2005"/>
      <c r="AC58" s="139">
        <f>SUM('3. a. sz. mell'!J61+'3.b. sz. mell'!J57+'3.c. sz. mell '!J56)</f>
        <v>10000000</v>
      </c>
      <c r="AD58" s="139"/>
      <c r="AE58" s="1999">
        <f>SUM('3. a. sz. mell'!L61+'3.b. sz. mell'!L57+'3.c. sz. mell '!L56)</f>
        <v>10000000</v>
      </c>
      <c r="AF58" s="2002">
        <f>SUM('3. a. sz. mell'!M61+'3.b. sz. mell'!M57+'3.c. sz. mell '!M56)</f>
        <v>10000000</v>
      </c>
    </row>
    <row r="59" spans="1:32" ht="15" customHeight="1" thickBot="1" x14ac:dyDescent="0.25">
      <c r="A59" s="142"/>
      <c r="B59" s="176" t="s">
        <v>315</v>
      </c>
      <c r="C59" s="177" t="s">
        <v>316</v>
      </c>
      <c r="D59" s="144" t="e">
        <f>SUM(#REF!+#REF!)</f>
        <v>#REF!</v>
      </c>
      <c r="E59" s="144" t="e">
        <f>SUM(#REF!+#REF!)</f>
        <v>#REF!</v>
      </c>
      <c r="F59" s="144"/>
      <c r="G59" s="1432">
        <f t="shared" si="15"/>
        <v>0</v>
      </c>
      <c r="H59" s="144"/>
      <c r="I59" s="1432">
        <f t="shared" si="23"/>
        <v>0</v>
      </c>
      <c r="J59" s="144"/>
      <c r="K59" s="3345">
        <f t="shared" si="17"/>
        <v>0</v>
      </c>
      <c r="L59" s="144"/>
      <c r="M59" s="144"/>
      <c r="N59" s="540"/>
      <c r="O59" s="463"/>
      <c r="P59" s="2003">
        <f t="shared" si="18"/>
        <v>0</v>
      </c>
      <c r="Q59" s="2003"/>
      <c r="R59" s="2354">
        <f t="shared" si="19"/>
        <v>0</v>
      </c>
      <c r="S59" s="2005"/>
      <c r="T59" s="139">
        <f t="shared" si="8"/>
        <v>0</v>
      </c>
      <c r="U59" s="139"/>
      <c r="V59" s="1999">
        <f t="shared" si="10"/>
        <v>0</v>
      </c>
      <c r="W59" s="2001">
        <f t="shared" si="20"/>
        <v>0</v>
      </c>
      <c r="Y59" s="2003">
        <f>SUM('3. a. sz. mell'!F62+'3.b. sz. mell'!F58+'3.c. sz. mell '!F57)</f>
        <v>0</v>
      </c>
      <c r="Z59" s="2003"/>
      <c r="AA59" s="2354">
        <f>SUM('3. a. sz. mell'!H62+'3.b. sz. mell'!H58+'3.c. sz. mell '!H57)</f>
        <v>0</v>
      </c>
      <c r="AB59" s="2005"/>
      <c r="AC59" s="139">
        <f>SUM('3. a. sz. mell'!J62+'3.b. sz. mell'!J58+'3.c. sz. mell '!J57)</f>
        <v>0</v>
      </c>
      <c r="AD59" s="139"/>
      <c r="AE59" s="1999">
        <f>SUM('3. a. sz. mell'!L62+'3.b. sz. mell'!L58+'3.c. sz. mell '!L57)</f>
        <v>0</v>
      </c>
      <c r="AF59" s="2002">
        <f>SUM('3. a. sz. mell'!M62+'3.b. sz. mell'!M58+'3.c. sz. mell '!M57)</f>
        <v>0</v>
      </c>
    </row>
    <row r="60" spans="1:32" s="172" customFormat="1" ht="15" customHeight="1" thickBot="1" x14ac:dyDescent="0.25">
      <c r="A60" s="142"/>
      <c r="B60" s="176" t="s">
        <v>317</v>
      </c>
      <c r="C60" s="177" t="s">
        <v>307</v>
      </c>
      <c r="D60" s="144" t="e">
        <f>SUM(D61:D63)</f>
        <v>#REF!</v>
      </c>
      <c r="E60" s="144" t="e">
        <f>SUM(E61:E63)</f>
        <v>#REF!</v>
      </c>
      <c r="F60" s="144">
        <f>SUM('3.2 Cofogos'!E14)</f>
        <v>218575000</v>
      </c>
      <c r="G60" s="1432">
        <f t="shared" si="15"/>
        <v>336393473</v>
      </c>
      <c r="H60" s="144">
        <f>SUM('3.2 Cofogos'!G14)</f>
        <v>554968473</v>
      </c>
      <c r="I60" s="1432">
        <f t="shared" si="23"/>
        <v>-493264901</v>
      </c>
      <c r="J60" s="144">
        <f>SUM('3.2 Cofogos'!I14)</f>
        <v>61703572</v>
      </c>
      <c r="K60" s="3345">
        <f t="shared" si="17"/>
        <v>0</v>
      </c>
      <c r="L60" s="144">
        <f>SUM('3.2 Cofogos'!K14)</f>
        <v>61703572</v>
      </c>
      <c r="M60" s="144">
        <f>SUM('3.2 Cofogos'!L14)</f>
        <v>0</v>
      </c>
      <c r="N60" s="540">
        <f t="shared" si="6"/>
        <v>0</v>
      </c>
      <c r="O60" s="463"/>
      <c r="P60" s="2003">
        <f t="shared" si="18"/>
        <v>0</v>
      </c>
      <c r="Q60" s="2003"/>
      <c r="R60" s="2354">
        <f t="shared" si="19"/>
        <v>0</v>
      </c>
      <c r="S60" s="2005"/>
      <c r="T60" s="139">
        <f t="shared" si="8"/>
        <v>0</v>
      </c>
      <c r="U60" s="139"/>
      <c r="V60" s="1999">
        <f t="shared" si="10"/>
        <v>0</v>
      </c>
      <c r="W60" s="2001">
        <f t="shared" si="20"/>
        <v>0</v>
      </c>
      <c r="Y60" s="2003">
        <f>SUM('3. a. sz. mell'!F63+'3.b. sz. mell'!F59+'3.c. sz. mell '!F58)</f>
        <v>218575000</v>
      </c>
      <c r="Z60" s="2003"/>
      <c r="AA60" s="2354">
        <f>SUM('3. a. sz. mell'!H63+'3.b. sz. mell'!H59+'3.c. sz. mell '!H58)</f>
        <v>554968473</v>
      </c>
      <c r="AB60" s="2005"/>
      <c r="AC60" s="139">
        <f>SUM('3. a. sz. mell'!J63+'3.b. sz. mell'!J59+'3.c. sz. mell '!J58)</f>
        <v>61703572</v>
      </c>
      <c r="AD60" s="139"/>
      <c r="AE60" s="1999">
        <f>SUM('3. a. sz. mell'!L63+'3.b. sz. mell'!L59+'3.c. sz. mell '!L58)</f>
        <v>61703572</v>
      </c>
      <c r="AF60" s="2002">
        <f>SUM('3. a. sz. mell'!M63+'3.b. sz. mell'!M59+'3.c. sz. mell '!M58)</f>
        <v>0</v>
      </c>
    </row>
    <row r="61" spans="1:32" ht="12.75" customHeight="1" thickBot="1" x14ac:dyDescent="0.25">
      <c r="A61" s="142"/>
      <c r="B61" s="176" t="s">
        <v>2017</v>
      </c>
      <c r="C61" s="177" t="s">
        <v>2001</v>
      </c>
      <c r="D61" s="183" t="e">
        <f>SUM(#REF!)</f>
        <v>#REF!</v>
      </c>
      <c r="E61" s="183" t="e">
        <f>SUM(#REF!)</f>
        <v>#REF!</v>
      </c>
      <c r="F61" s="183"/>
      <c r="G61" s="1432">
        <f t="shared" si="15"/>
        <v>0</v>
      </c>
      <c r="H61" s="183"/>
      <c r="I61" s="1432"/>
      <c r="J61" s="183">
        <f>'3.2 Cofogos'!I253+'3.2 Cofogos'!I243</f>
        <v>5555764</v>
      </c>
      <c r="K61" s="3345">
        <f t="shared" si="17"/>
        <v>0</v>
      </c>
      <c r="L61" s="183">
        <f>'3.2 Cofogos'!K253+'3.2 Cofogos'!K243</f>
        <v>5555764</v>
      </c>
      <c r="M61" s="183">
        <f>'3.2 Cofogos'!L253+'3.2 Cofogos'!L243</f>
        <v>5555764</v>
      </c>
      <c r="N61" s="540" t="e">
        <f t="shared" si="6"/>
        <v>#DIV/0!</v>
      </c>
      <c r="O61" s="466"/>
      <c r="P61" s="2003">
        <f t="shared" si="18"/>
        <v>0</v>
      </c>
      <c r="Q61" s="2003"/>
      <c r="R61" s="2354">
        <f t="shared" si="19"/>
        <v>0</v>
      </c>
      <c r="S61" s="2005"/>
      <c r="T61" s="139">
        <f t="shared" si="8"/>
        <v>0</v>
      </c>
      <c r="U61" s="139"/>
      <c r="V61" s="1999">
        <f t="shared" si="10"/>
        <v>0</v>
      </c>
      <c r="W61" s="2001">
        <f t="shared" si="20"/>
        <v>0</v>
      </c>
      <c r="Y61" s="2003">
        <f>SUM('3. a. sz. mell'!F64+'3.b. sz. mell'!F60+'3.c. sz. mell '!F59)</f>
        <v>0</v>
      </c>
      <c r="Z61" s="2003"/>
      <c r="AA61" s="2354">
        <f>SUM('3. a. sz. mell'!H64+'3.b. sz. mell'!H60+'3.c. sz. mell '!H59)</f>
        <v>0</v>
      </c>
      <c r="AB61" s="2005"/>
      <c r="AC61" s="139">
        <f>SUM('3. a. sz. mell'!J64+'3.b. sz. mell'!J60+'3.c. sz. mell '!J59)</f>
        <v>5555764</v>
      </c>
      <c r="AD61" s="139"/>
      <c r="AE61" s="1999">
        <f>SUM('3. a. sz. mell'!L64+'3.b. sz. mell'!L60+'3.c. sz. mell '!L59)</f>
        <v>5555764</v>
      </c>
      <c r="AF61" s="2002">
        <f>SUM('3. a. sz. mell'!M64+'3.b. sz. mell'!M60+'3.c. sz. mell '!M59)</f>
        <v>5555764</v>
      </c>
    </row>
    <row r="62" spans="1:32" ht="12.75" hidden="1" customHeight="1" thickBot="1" x14ac:dyDescent="0.3">
      <c r="A62" s="142"/>
      <c r="B62" s="176" t="s">
        <v>2627</v>
      </c>
      <c r="C62" s="182"/>
      <c r="D62" s="183"/>
      <c r="E62" s="183"/>
      <c r="F62" s="183"/>
      <c r="G62" s="1432">
        <f t="shared" si="15"/>
        <v>0</v>
      </c>
      <c r="H62" s="183"/>
      <c r="I62" s="1432"/>
      <c r="J62" s="183"/>
      <c r="K62" s="3345">
        <f t="shared" si="17"/>
        <v>0</v>
      </c>
      <c r="L62" s="183"/>
      <c r="M62" s="183"/>
      <c r="N62" s="540" t="e">
        <f t="shared" si="6"/>
        <v>#DIV/0!</v>
      </c>
      <c r="O62" s="466"/>
      <c r="P62" s="2003">
        <f t="shared" si="18"/>
        <v>0</v>
      </c>
      <c r="Q62" s="2003"/>
      <c r="R62" s="2354">
        <f t="shared" si="19"/>
        <v>0</v>
      </c>
      <c r="S62" s="2005"/>
      <c r="T62" s="139">
        <f t="shared" si="8"/>
        <v>0</v>
      </c>
      <c r="U62" s="139"/>
      <c r="V62" s="1999">
        <f t="shared" si="10"/>
        <v>0</v>
      </c>
      <c r="W62" s="2001">
        <f t="shared" si="20"/>
        <v>0</v>
      </c>
      <c r="Y62" s="2003">
        <f>SUM('3. a. sz. mell'!F65+'3.b. sz. mell'!F61+'3.c. sz. mell '!F60)</f>
        <v>0</v>
      </c>
      <c r="Z62" s="2003"/>
      <c r="AA62" s="2354">
        <f>SUM('3. a. sz. mell'!H65+'3.b. sz. mell'!H61+'3.c. sz. mell '!H60)</f>
        <v>0</v>
      </c>
      <c r="AB62" s="2005"/>
      <c r="AC62" s="139">
        <f>SUM('3. a. sz. mell'!J65+'3.b. sz. mell'!J61+'3.c. sz. mell '!J60)</f>
        <v>0</v>
      </c>
      <c r="AD62" s="139"/>
      <c r="AE62" s="1999">
        <f>SUM('3. a. sz. mell'!L65+'3.b. sz. mell'!L61+'3.c. sz. mell '!L60)</f>
        <v>0</v>
      </c>
      <c r="AF62" s="2002">
        <f>SUM('3. a. sz. mell'!M65+'3.b. sz. mell'!M61+'3.c. sz. mell '!M60)</f>
        <v>0</v>
      </c>
    </row>
    <row r="63" spans="1:32" ht="12.75" hidden="1" customHeight="1" thickBot="1" x14ac:dyDescent="0.3">
      <c r="A63" s="151"/>
      <c r="B63" s="176" t="s">
        <v>2628</v>
      </c>
      <c r="C63" s="185"/>
      <c r="D63" s="186"/>
      <c r="E63" s="186"/>
      <c r="F63" s="186" t="e">
        <f>#REF!</f>
        <v>#REF!</v>
      </c>
      <c r="G63" s="1432" t="e">
        <f t="shared" si="15"/>
        <v>#REF!</v>
      </c>
      <c r="H63" s="186" t="e">
        <f>#REF!</f>
        <v>#REF!</v>
      </c>
      <c r="I63" s="1432" t="e">
        <f>#REF!</f>
        <v>#REF!</v>
      </c>
      <c r="J63" s="186" t="e">
        <f>#REF!</f>
        <v>#REF!</v>
      </c>
      <c r="K63" s="3345" t="e">
        <f t="shared" si="17"/>
        <v>#REF!</v>
      </c>
      <c r="L63" s="186" t="e">
        <f>#REF!</f>
        <v>#REF!</v>
      </c>
      <c r="M63" s="186" t="e">
        <f>#REF!</f>
        <v>#REF!</v>
      </c>
      <c r="N63" s="540" t="e">
        <f t="shared" si="6"/>
        <v>#REF!</v>
      </c>
      <c r="O63" s="466"/>
      <c r="P63" s="2003" t="e">
        <f t="shared" si="18"/>
        <v>#REF!</v>
      </c>
      <c r="Q63" s="2003"/>
      <c r="R63" s="2354" t="e">
        <f t="shared" si="19"/>
        <v>#REF!</v>
      </c>
      <c r="S63" s="2005"/>
      <c r="T63" s="139" t="e">
        <f t="shared" si="8"/>
        <v>#REF!</v>
      </c>
      <c r="U63" s="139"/>
      <c r="V63" s="1999" t="e">
        <f t="shared" si="10"/>
        <v>#REF!</v>
      </c>
      <c r="W63" s="2001" t="e">
        <f t="shared" si="20"/>
        <v>#REF!</v>
      </c>
      <c r="Y63" s="2003" t="e">
        <f>SUM('3. a. sz. mell'!F66+'3.b. sz. mell'!F62+'3.c. sz. mell '!F61)</f>
        <v>#REF!</v>
      </c>
      <c r="Z63" s="2003"/>
      <c r="AA63" s="2354" t="e">
        <f>SUM('3. a. sz. mell'!H66+'3.b. sz. mell'!H62+'3.c. sz. mell '!H61)</f>
        <v>#REF!</v>
      </c>
      <c r="AB63" s="2005"/>
      <c r="AC63" s="139" t="e">
        <f>SUM('3. a. sz. mell'!J66+'3.b. sz. mell'!J62+'3.c. sz. mell '!J61)</f>
        <v>#REF!</v>
      </c>
      <c r="AD63" s="139"/>
      <c r="AE63" s="1999" t="e">
        <f>SUM('3. a. sz. mell'!L66+'3.b. sz. mell'!L62+'3.c. sz. mell '!L61)</f>
        <v>#REF!</v>
      </c>
      <c r="AF63" s="2002" t="e">
        <f>SUM('3. a. sz. mell'!M66+'3.b. sz. mell'!M62+'3.c. sz. mell '!M61)</f>
        <v>#REF!</v>
      </c>
    </row>
    <row r="64" spans="1:32" ht="12.75" hidden="1" customHeight="1" thickBot="1" x14ac:dyDescent="0.25">
      <c r="A64" s="134"/>
      <c r="B64" s="176" t="s">
        <v>2629</v>
      </c>
      <c r="C64" s="171"/>
      <c r="D64" s="155"/>
      <c r="E64" s="155" t="e">
        <f>#REF!</f>
        <v>#REF!</v>
      </c>
      <c r="F64" s="155"/>
      <c r="G64" s="1432">
        <f t="shared" si="15"/>
        <v>0</v>
      </c>
      <c r="H64" s="155"/>
      <c r="I64" s="1432"/>
      <c r="J64" s="155"/>
      <c r="K64" s="3345">
        <f t="shared" si="17"/>
        <v>0</v>
      </c>
      <c r="L64" s="155"/>
      <c r="M64" s="155"/>
      <c r="N64" s="540" t="e">
        <f t="shared" si="6"/>
        <v>#DIV/0!</v>
      </c>
      <c r="O64" s="465"/>
      <c r="P64" s="2003">
        <f t="shared" si="18"/>
        <v>0</v>
      </c>
      <c r="Q64" s="2003"/>
      <c r="R64" s="2354">
        <f t="shared" si="19"/>
        <v>0</v>
      </c>
      <c r="S64" s="2005"/>
      <c r="T64" s="139">
        <f t="shared" si="8"/>
        <v>0</v>
      </c>
      <c r="U64" s="139"/>
      <c r="V64" s="1999">
        <f t="shared" si="10"/>
        <v>0</v>
      </c>
      <c r="W64" s="2001">
        <f t="shared" si="20"/>
        <v>0</v>
      </c>
      <c r="Y64" s="2003">
        <f>SUM('3. a. sz. mell'!F67+'3.b. sz. mell'!F63+'3.c. sz. mell '!F62)</f>
        <v>0</v>
      </c>
      <c r="Z64" s="2003"/>
      <c r="AA64" s="2354">
        <f>SUM('3. a. sz. mell'!H67+'3.b. sz. mell'!H63+'3.c. sz. mell '!H62)</f>
        <v>0</v>
      </c>
      <c r="AB64" s="2005"/>
      <c r="AC64" s="139">
        <f>SUM('3. a. sz. mell'!J67+'3.b. sz. mell'!J63+'3.c. sz. mell '!J62)</f>
        <v>0</v>
      </c>
      <c r="AD64" s="139"/>
      <c r="AE64" s="1999">
        <f>SUM('3. a. sz. mell'!L67+'3.b. sz. mell'!L63+'3.c. sz. mell '!L62)</f>
        <v>0</v>
      </c>
      <c r="AF64" s="2002">
        <f>SUM('3. a. sz. mell'!M67+'3.b. sz. mell'!M63+'3.c. sz. mell '!M62)</f>
        <v>0</v>
      </c>
    </row>
    <row r="65" spans="1:32" s="172" customFormat="1" ht="12.75" hidden="1" customHeight="1" thickBot="1" x14ac:dyDescent="0.25">
      <c r="A65" s="134"/>
      <c r="B65" s="176" t="s">
        <v>2630</v>
      </c>
      <c r="C65" s="171"/>
      <c r="D65" s="137" t="e">
        <f>+D66+D68</f>
        <v>#REF!</v>
      </c>
      <c r="E65" s="137" t="e">
        <f>+E66+E68</f>
        <v>#REF!</v>
      </c>
      <c r="F65" s="137" t="e">
        <f>+F66+F68</f>
        <v>#REF!</v>
      </c>
      <c r="G65" s="1432" t="e">
        <f t="shared" si="15"/>
        <v>#REF!</v>
      </c>
      <c r="H65" s="137" t="e">
        <f t="shared" ref="H65:M65" si="24">+H66+H68</f>
        <v>#REF!</v>
      </c>
      <c r="I65" s="1432" t="e">
        <f t="shared" si="24"/>
        <v>#REF!</v>
      </c>
      <c r="J65" s="137" t="e">
        <f t="shared" si="24"/>
        <v>#REF!</v>
      </c>
      <c r="K65" s="3345" t="e">
        <f t="shared" si="17"/>
        <v>#REF!</v>
      </c>
      <c r="L65" s="137" t="e">
        <f t="shared" si="24"/>
        <v>#REF!</v>
      </c>
      <c r="M65" s="137" t="e">
        <f t="shared" si="24"/>
        <v>#REF!</v>
      </c>
      <c r="N65" s="540" t="e">
        <f t="shared" si="6"/>
        <v>#REF!</v>
      </c>
      <c r="O65" s="286"/>
      <c r="P65" s="2003" t="e">
        <f t="shared" si="18"/>
        <v>#REF!</v>
      </c>
      <c r="Q65" s="2003"/>
      <c r="R65" s="2354" t="e">
        <f t="shared" si="19"/>
        <v>#REF!</v>
      </c>
      <c r="S65" s="2005"/>
      <c r="T65" s="139" t="e">
        <f t="shared" si="8"/>
        <v>#REF!</v>
      </c>
      <c r="U65" s="139"/>
      <c r="V65" s="1999" t="e">
        <f t="shared" si="10"/>
        <v>#REF!</v>
      </c>
      <c r="W65" s="2001" t="e">
        <f t="shared" si="20"/>
        <v>#REF!</v>
      </c>
      <c r="Y65" s="2003" t="e">
        <f>SUM('3. a. sz. mell'!F68+'3.b. sz. mell'!F64+'3.c. sz. mell '!F63)</f>
        <v>#REF!</v>
      </c>
      <c r="Z65" s="2003"/>
      <c r="AA65" s="2354" t="e">
        <f>SUM('3. a. sz. mell'!H68+'3.b. sz. mell'!H64+'3.c. sz. mell '!H63)</f>
        <v>#REF!</v>
      </c>
      <c r="AB65" s="2005"/>
      <c r="AC65" s="139" t="e">
        <f>SUM('3. a. sz. mell'!J68+'3.b. sz. mell'!J64+'3.c. sz. mell '!J63)</f>
        <v>#REF!</v>
      </c>
      <c r="AD65" s="139"/>
      <c r="AE65" s="1999" t="e">
        <f>SUM('3. a. sz. mell'!L68+'3.b. sz. mell'!L64+'3.c. sz. mell '!L63)</f>
        <v>#REF!</v>
      </c>
      <c r="AF65" s="2002" t="e">
        <f>SUM('3. a. sz. mell'!M68+'3.b. sz. mell'!M64+'3.c. sz. mell '!M63)</f>
        <v>#REF!</v>
      </c>
    </row>
    <row r="66" spans="1:32" s="172" customFormat="1" ht="12.75" hidden="1" customHeight="1" thickBot="1" x14ac:dyDescent="0.25">
      <c r="A66" s="173"/>
      <c r="B66" s="176" t="s">
        <v>2631</v>
      </c>
      <c r="C66" s="55"/>
      <c r="D66" s="175" t="e">
        <f>SUM(#REF!)</f>
        <v>#REF!</v>
      </c>
      <c r="E66" s="175"/>
      <c r="F66" s="175" t="e">
        <f>SUM(#REF!)</f>
        <v>#REF!</v>
      </c>
      <c r="G66" s="1432" t="e">
        <f t="shared" si="15"/>
        <v>#REF!</v>
      </c>
      <c r="H66" s="175" t="e">
        <f>SUM(#REF!)</f>
        <v>#REF!</v>
      </c>
      <c r="I66" s="1432" t="e">
        <f>SUM(#REF!)</f>
        <v>#REF!</v>
      </c>
      <c r="J66" s="175" t="e">
        <f>SUM(#REF!)</f>
        <v>#REF!</v>
      </c>
      <c r="K66" s="3345" t="e">
        <f t="shared" si="17"/>
        <v>#REF!</v>
      </c>
      <c r="L66" s="175" t="e">
        <f>SUM(#REF!)</f>
        <v>#REF!</v>
      </c>
      <c r="M66" s="175" t="e">
        <f>SUM(#REF!)</f>
        <v>#REF!</v>
      </c>
      <c r="N66" s="540" t="e">
        <f t="shared" si="6"/>
        <v>#REF!</v>
      </c>
      <c r="O66" s="463"/>
      <c r="P66" s="2003" t="e">
        <f t="shared" si="18"/>
        <v>#REF!</v>
      </c>
      <c r="Q66" s="2003"/>
      <c r="R66" s="2354" t="e">
        <f t="shared" si="19"/>
        <v>#REF!</v>
      </c>
      <c r="S66" s="2005"/>
      <c r="T66" s="139" t="e">
        <f t="shared" si="8"/>
        <v>#REF!</v>
      </c>
      <c r="U66" s="139"/>
      <c r="V66" s="1999" t="e">
        <f t="shared" si="10"/>
        <v>#REF!</v>
      </c>
      <c r="W66" s="2001" t="e">
        <f t="shared" si="20"/>
        <v>#REF!</v>
      </c>
      <c r="Y66" s="2003" t="e">
        <f>SUM('3. a. sz. mell'!F69+'3.b. sz. mell'!F65+'3.c. sz. mell '!F64)</f>
        <v>#REF!</v>
      </c>
      <c r="Z66" s="2003"/>
      <c r="AA66" s="2354" t="e">
        <f>SUM('3. a. sz. mell'!H69+'3.b. sz. mell'!H65+'3.c. sz. mell '!H64)</f>
        <v>#REF!</v>
      </c>
      <c r="AB66" s="2005"/>
      <c r="AC66" s="139" t="e">
        <f>SUM('3. a. sz. mell'!J69+'3.b. sz. mell'!J65+'3.c. sz. mell '!J64)</f>
        <v>#REF!</v>
      </c>
      <c r="AD66" s="139"/>
      <c r="AE66" s="1999" t="e">
        <f>SUM('3. a. sz. mell'!L69+'3.b. sz. mell'!L65+'3.c. sz. mell '!L64)</f>
        <v>#REF!</v>
      </c>
      <c r="AF66" s="2002" t="e">
        <f>SUM('3. a. sz. mell'!M69+'3.b. sz. mell'!M65+'3.c. sz. mell '!M64)</f>
        <v>#REF!</v>
      </c>
    </row>
    <row r="67" spans="1:32" s="172" customFormat="1" ht="12.75" hidden="1" customHeight="1" thickBot="1" x14ac:dyDescent="0.25">
      <c r="A67" s="146"/>
      <c r="B67" s="176" t="s">
        <v>2632</v>
      </c>
      <c r="C67" s="55"/>
      <c r="D67" s="147"/>
      <c r="E67" s="175"/>
      <c r="F67" s="147"/>
      <c r="G67" s="1432">
        <f t="shared" si="15"/>
        <v>0</v>
      </c>
      <c r="H67" s="147"/>
      <c r="I67" s="1432"/>
      <c r="J67" s="147"/>
      <c r="K67" s="3345">
        <f t="shared" si="17"/>
        <v>0</v>
      </c>
      <c r="L67" s="147"/>
      <c r="M67" s="147"/>
      <c r="N67" s="540" t="e">
        <f t="shared" si="6"/>
        <v>#DIV/0!</v>
      </c>
      <c r="O67" s="463"/>
      <c r="P67" s="2003">
        <f t="shared" si="18"/>
        <v>0</v>
      </c>
      <c r="Q67" s="2003"/>
      <c r="R67" s="2354">
        <f t="shared" si="19"/>
        <v>0</v>
      </c>
      <c r="S67" s="2005"/>
      <c r="T67" s="139">
        <f t="shared" si="8"/>
        <v>0</v>
      </c>
      <c r="U67" s="139"/>
      <c r="V67" s="1999">
        <f t="shared" si="10"/>
        <v>0</v>
      </c>
      <c r="W67" s="2001">
        <f t="shared" si="20"/>
        <v>0</v>
      </c>
      <c r="Y67" s="2003">
        <f>SUM('3. a. sz. mell'!F70+'3.b. sz. mell'!F66+'3.c. sz. mell '!F65)</f>
        <v>0</v>
      </c>
      <c r="Z67" s="2003"/>
      <c r="AA67" s="2354">
        <f>SUM('3. a. sz. mell'!H70+'3.b. sz. mell'!H66+'3.c. sz. mell '!H65)</f>
        <v>0</v>
      </c>
      <c r="AB67" s="2005"/>
      <c r="AC67" s="139">
        <f>SUM('3. a. sz. mell'!J70+'3.b. sz. mell'!J66+'3.c. sz. mell '!J65)</f>
        <v>0</v>
      </c>
      <c r="AD67" s="139"/>
      <c r="AE67" s="1999">
        <f>SUM('3. a. sz. mell'!L70+'3.b. sz. mell'!L66+'3.c. sz. mell '!L65)</f>
        <v>0</v>
      </c>
      <c r="AF67" s="2002">
        <f>SUM('3. a. sz. mell'!M70+'3.b. sz. mell'!M66+'3.c. sz. mell '!M65)</f>
        <v>0</v>
      </c>
    </row>
    <row r="68" spans="1:32" s="172" customFormat="1" ht="12.75" hidden="1" customHeight="1" thickBot="1" x14ac:dyDescent="0.25">
      <c r="A68" s="151"/>
      <c r="B68" s="176" t="s">
        <v>2633</v>
      </c>
      <c r="C68" s="55"/>
      <c r="D68" s="153" t="e">
        <f>SUM(#REF!)</f>
        <v>#REF!</v>
      </c>
      <c r="E68" s="153" t="e">
        <f>SUM(#REF!)</f>
        <v>#REF!</v>
      </c>
      <c r="F68" s="153"/>
      <c r="G68" s="1432">
        <f t="shared" si="15"/>
        <v>0</v>
      </c>
      <c r="H68" s="153"/>
      <c r="I68" s="1432"/>
      <c r="J68" s="153"/>
      <c r="K68" s="3345">
        <f t="shared" si="17"/>
        <v>0</v>
      </c>
      <c r="L68" s="153"/>
      <c r="M68" s="153"/>
      <c r="N68" s="540" t="e">
        <f t="shared" si="6"/>
        <v>#DIV/0!</v>
      </c>
      <c r="O68" s="463"/>
      <c r="P68" s="2003">
        <f t="shared" si="18"/>
        <v>0</v>
      </c>
      <c r="Q68" s="2003"/>
      <c r="R68" s="2354">
        <f t="shared" si="19"/>
        <v>0</v>
      </c>
      <c r="S68" s="2005"/>
      <c r="T68" s="139">
        <f t="shared" si="8"/>
        <v>0</v>
      </c>
      <c r="U68" s="139"/>
      <c r="V68" s="1999">
        <f t="shared" si="10"/>
        <v>0</v>
      </c>
      <c r="W68" s="2001">
        <f t="shared" si="20"/>
        <v>0</v>
      </c>
      <c r="Y68" s="2003">
        <f>SUM('3. a. sz. mell'!F71+'3.b. sz. mell'!F67+'3.c. sz. mell '!F66)</f>
        <v>0</v>
      </c>
      <c r="Z68" s="2003"/>
      <c r="AA68" s="2354">
        <f>SUM('3. a. sz. mell'!H71+'3.b. sz. mell'!H67+'3.c. sz. mell '!H66)</f>
        <v>0</v>
      </c>
      <c r="AB68" s="2005"/>
      <c r="AC68" s="139">
        <f>SUM('3. a. sz. mell'!J71+'3.b. sz. mell'!J67+'3.c. sz. mell '!J66)</f>
        <v>0</v>
      </c>
      <c r="AD68" s="139"/>
      <c r="AE68" s="1999">
        <f>SUM('3. a. sz. mell'!L71+'3.b. sz. mell'!L67+'3.c. sz. mell '!L66)</f>
        <v>0</v>
      </c>
      <c r="AF68" s="2002">
        <f>SUM('3. a. sz. mell'!M71+'3.b. sz. mell'!M67+'3.c. sz. mell '!M66)</f>
        <v>0</v>
      </c>
    </row>
    <row r="69" spans="1:32" s="172" customFormat="1" ht="12.75" hidden="1" customHeight="1" thickBot="1" x14ac:dyDescent="0.25">
      <c r="A69" s="134"/>
      <c r="B69" s="176" t="s">
        <v>2634</v>
      </c>
      <c r="C69" s="171"/>
      <c r="D69" s="155" t="e">
        <f>SUM(#REF!)</f>
        <v>#REF!</v>
      </c>
      <c r="E69" s="155" t="e">
        <f>SUM(#REF!)</f>
        <v>#REF!</v>
      </c>
      <c r="F69" s="155"/>
      <c r="G69" s="1432">
        <f t="shared" si="15"/>
        <v>0</v>
      </c>
      <c r="H69" s="155"/>
      <c r="I69" s="1432"/>
      <c r="J69" s="155"/>
      <c r="K69" s="3345">
        <f t="shared" si="17"/>
        <v>0</v>
      </c>
      <c r="L69" s="155"/>
      <c r="M69" s="155"/>
      <c r="N69" s="540" t="e">
        <f t="shared" si="6"/>
        <v>#DIV/0!</v>
      </c>
      <c r="O69" s="465"/>
      <c r="P69" s="2003">
        <f t="shared" si="18"/>
        <v>0</v>
      </c>
      <c r="Q69" s="2003"/>
      <c r="R69" s="2354">
        <f t="shared" si="19"/>
        <v>0</v>
      </c>
      <c r="S69" s="2005"/>
      <c r="T69" s="139">
        <f t="shared" si="8"/>
        <v>0</v>
      </c>
      <c r="U69" s="139"/>
      <c r="V69" s="1999">
        <f t="shared" si="10"/>
        <v>0</v>
      </c>
      <c r="W69" s="2001">
        <f t="shared" si="20"/>
        <v>0</v>
      </c>
      <c r="Y69" s="2003">
        <f>SUM('3. a. sz. mell'!F72+'3.b. sz. mell'!F68+'3.c. sz. mell '!F67)</f>
        <v>0</v>
      </c>
      <c r="Z69" s="2003"/>
      <c r="AA69" s="2354">
        <f>SUM('3. a. sz. mell'!H72+'3.b. sz. mell'!H68+'3.c. sz. mell '!H67)</f>
        <v>0</v>
      </c>
      <c r="AB69" s="2005"/>
      <c r="AC69" s="139">
        <f>SUM('3. a. sz. mell'!J72+'3.b. sz. mell'!J68+'3.c. sz. mell '!J67)</f>
        <v>0</v>
      </c>
      <c r="AD69" s="139"/>
      <c r="AE69" s="1999">
        <f>SUM('3. a. sz. mell'!L72+'3.b. sz. mell'!L68+'3.c. sz. mell '!L67)</f>
        <v>0</v>
      </c>
      <c r="AF69" s="2002">
        <f>SUM('3. a. sz. mell'!M72+'3.b. sz. mell'!M68+'3.c. sz. mell '!M67)</f>
        <v>0</v>
      </c>
    </row>
    <row r="70" spans="1:32" s="172" customFormat="1" ht="15" hidden="1" customHeight="1" thickBot="1" x14ac:dyDescent="0.25">
      <c r="A70" s="134"/>
      <c r="B70" s="176" t="s">
        <v>2635</v>
      </c>
      <c r="C70" s="190"/>
      <c r="D70" s="191" t="e">
        <f>+D37+D54+D64+D65+D69</f>
        <v>#REF!</v>
      </c>
      <c r="E70" s="191" t="e">
        <f>+E37+E54+E64+E65+E69</f>
        <v>#REF!</v>
      </c>
      <c r="F70" s="191"/>
      <c r="G70" s="1432">
        <f t="shared" si="15"/>
        <v>0</v>
      </c>
      <c r="H70" s="191"/>
      <c r="I70" s="1432"/>
      <c r="J70" s="191"/>
      <c r="K70" s="3345">
        <f t="shared" si="17"/>
        <v>0</v>
      </c>
      <c r="L70" s="191"/>
      <c r="M70" s="191"/>
      <c r="N70" s="540" t="e">
        <f t="shared" si="6"/>
        <v>#DIV/0!</v>
      </c>
      <c r="O70" s="496"/>
      <c r="P70" s="2003">
        <f t="shared" si="18"/>
        <v>0</v>
      </c>
      <c r="Q70" s="2003"/>
      <c r="R70" s="2354">
        <f t="shared" si="19"/>
        <v>0</v>
      </c>
      <c r="S70" s="2005"/>
      <c r="T70" s="139">
        <f t="shared" si="8"/>
        <v>-5555764</v>
      </c>
      <c r="U70" s="139"/>
      <c r="V70" s="1999">
        <f t="shared" si="10"/>
        <v>-5555764</v>
      </c>
      <c r="W70" s="2001">
        <f t="shared" si="20"/>
        <v>-5555764</v>
      </c>
      <c r="Y70" s="2003">
        <f>SUM('3. a. sz. mell'!F73+'3.b. sz. mell'!F69+'3.c. sz. mell '!F68)</f>
        <v>0</v>
      </c>
      <c r="Z70" s="2003"/>
      <c r="AA70" s="2354">
        <f>SUM('3. a. sz. mell'!H73+'3.b. sz. mell'!H69+'3.c. sz. mell '!H68)</f>
        <v>0</v>
      </c>
      <c r="AB70" s="2005"/>
      <c r="AC70" s="139">
        <f>SUM('3. a. sz. mell'!J73+'3.b. sz. mell'!J69+'3.c. sz. mell '!J68)</f>
        <v>5555764</v>
      </c>
      <c r="AD70" s="139"/>
      <c r="AE70" s="1999">
        <f>SUM('3. a. sz. mell'!L73+'3.b. sz. mell'!L69+'3.c. sz. mell '!L68)</f>
        <v>5555764</v>
      </c>
      <c r="AF70" s="2002">
        <f>SUM('3. a. sz. mell'!M73+'3.b. sz. mell'!M69+'3.c. sz. mell '!M68)</f>
        <v>5555764</v>
      </c>
    </row>
    <row r="71" spans="1:32" s="172" customFormat="1" ht="15" customHeight="1" thickBot="1" x14ac:dyDescent="0.25">
      <c r="A71" s="134" t="s">
        <v>31</v>
      </c>
      <c r="B71" s="170"/>
      <c r="C71" s="171" t="s">
        <v>318</v>
      </c>
      <c r="D71" s="137" t="e">
        <f>+D72+D73</f>
        <v>#REF!</v>
      </c>
      <c r="E71" s="137" t="e">
        <f>+E72+E73</f>
        <v>#REF!</v>
      </c>
      <c r="F71" s="137">
        <f>+F72+F73</f>
        <v>2054939961</v>
      </c>
      <c r="G71" s="1382">
        <f t="shared" si="15"/>
        <v>1466690112</v>
      </c>
      <c r="H71" s="948">
        <f t="shared" ref="H71:M71" si="25">H72+H73</f>
        <v>3521630073</v>
      </c>
      <c r="I71" s="1382">
        <f t="shared" si="25"/>
        <v>140299299</v>
      </c>
      <c r="J71" s="948">
        <f t="shared" si="25"/>
        <v>3661929372</v>
      </c>
      <c r="K71" s="3332">
        <f t="shared" si="17"/>
        <v>0</v>
      </c>
      <c r="L71" s="948">
        <f t="shared" si="25"/>
        <v>3661929372</v>
      </c>
      <c r="M71" s="948">
        <f t="shared" si="25"/>
        <v>3500805617</v>
      </c>
      <c r="N71" s="540">
        <f t="shared" si="6"/>
        <v>99.408669974746672</v>
      </c>
      <c r="O71" s="286"/>
      <c r="P71" s="2003">
        <f t="shared" si="18"/>
        <v>0</v>
      </c>
      <c r="Q71" s="2003"/>
      <c r="R71" s="2354">
        <f>SUM(H71-AA71)</f>
        <v>0</v>
      </c>
      <c r="S71" s="2005"/>
      <c r="T71" s="139">
        <f t="shared" si="8"/>
        <v>0</v>
      </c>
      <c r="U71" s="139"/>
      <c r="V71" s="1999">
        <f t="shared" si="10"/>
        <v>0</v>
      </c>
      <c r="W71" s="2001">
        <f t="shared" si="20"/>
        <v>0</v>
      </c>
      <c r="Y71" s="2003">
        <f>SUM('3. a. sz. mell'!F74+'3.b. sz. mell'!F70+'3.c. sz. mell '!F69)</f>
        <v>2054939961</v>
      </c>
      <c r="Z71" s="2003"/>
      <c r="AA71" s="2354">
        <f>SUM('3. a. sz. mell'!H74+'3.b. sz. mell'!H70+'3.c. sz. mell '!H69)</f>
        <v>3521630073</v>
      </c>
      <c r="AB71" s="2005"/>
      <c r="AC71" s="139">
        <f>SUM('3. a. sz. mell'!J74+'3.b. sz. mell'!J70+'3.c. sz. mell '!J69)</f>
        <v>3661929372</v>
      </c>
      <c r="AD71" s="139"/>
      <c r="AE71" s="1999">
        <f>SUM('3. a. sz. mell'!L74+'3.b. sz. mell'!L70+'3.c. sz. mell '!L69)</f>
        <v>3661929372</v>
      </c>
      <c r="AF71" s="2002">
        <f>SUM('3. a. sz. mell'!M74+'3.b. sz. mell'!M70+'3.c. sz. mell '!M69)</f>
        <v>3500805617</v>
      </c>
    </row>
    <row r="72" spans="1:32" ht="15" customHeight="1" thickBot="1" x14ac:dyDescent="0.25">
      <c r="A72" s="173"/>
      <c r="B72" s="188" t="s">
        <v>319</v>
      </c>
      <c r="C72" s="55" t="s">
        <v>320</v>
      </c>
      <c r="D72" s="175"/>
      <c r="E72" s="175"/>
      <c r="F72" s="175">
        <f>SUM('3.2 Cofogos'!E54)</f>
        <v>1473618961</v>
      </c>
      <c r="G72" s="1432">
        <f t="shared" si="15"/>
        <v>145582651</v>
      </c>
      <c r="H72" s="175">
        <f>SUM('3.2 Cofogos'!G54)</f>
        <v>1619201612</v>
      </c>
      <c r="I72" s="1432">
        <f>J72-H72</f>
        <v>45592258</v>
      </c>
      <c r="J72" s="175">
        <f>SUM('3.2 Cofogos'!I54)</f>
        <v>1664793870</v>
      </c>
      <c r="K72" s="3345">
        <f t="shared" si="17"/>
        <v>0</v>
      </c>
      <c r="L72" s="175">
        <f>SUM('3.2 Cofogos'!K54)</f>
        <v>1664793870</v>
      </c>
      <c r="M72" s="175">
        <f>SUM('3.2 Cofogos'!L54)</f>
        <v>1664793870</v>
      </c>
      <c r="N72" s="540">
        <f t="shared" si="6"/>
        <v>102.81572459304098</v>
      </c>
      <c r="O72" s="463"/>
      <c r="P72" s="2003">
        <f t="shared" si="18"/>
        <v>0</v>
      </c>
      <c r="Q72" s="2003"/>
      <c r="R72" s="2354">
        <f t="shared" si="19"/>
        <v>0</v>
      </c>
      <c r="S72" s="2005"/>
      <c r="T72" s="139">
        <f t="shared" ref="T72:T79" si="26">SUM(J72-AC72)</f>
        <v>0</v>
      </c>
      <c r="U72" s="139"/>
      <c r="V72" s="1999">
        <f t="shared" si="10"/>
        <v>0</v>
      </c>
      <c r="W72" s="2001">
        <f t="shared" si="20"/>
        <v>0</v>
      </c>
      <c r="Y72" s="2003">
        <f>SUM('3. a. sz. mell'!F75+'3.b. sz. mell'!F71+'3.c. sz. mell '!F70)</f>
        <v>1473618961</v>
      </c>
      <c r="Z72" s="2003"/>
      <c r="AA72" s="2354">
        <f>SUM('3. a. sz. mell'!H75+'3.b. sz. mell'!H71+'3.c. sz. mell '!H70)</f>
        <v>1619201612</v>
      </c>
      <c r="AB72" s="2005"/>
      <c r="AC72" s="139">
        <f>SUM('3. a. sz. mell'!J75+'3.b. sz. mell'!J71+'3.c. sz. mell '!J70)</f>
        <v>1664793870</v>
      </c>
      <c r="AD72" s="139"/>
      <c r="AE72" s="1999">
        <f>SUM('3. a. sz. mell'!L75+'3.b. sz. mell'!L71+'3.c. sz. mell '!L70)</f>
        <v>1664793870</v>
      </c>
      <c r="AF72" s="2002">
        <f>SUM('3. a. sz. mell'!M75+'3.b. sz. mell'!M71+'3.c. sz. mell '!M70)</f>
        <v>1664793870</v>
      </c>
    </row>
    <row r="73" spans="1:32" ht="15" customHeight="1" thickBot="1" x14ac:dyDescent="0.25">
      <c r="A73" s="151"/>
      <c r="B73" s="188" t="s">
        <v>321</v>
      </c>
      <c r="C73" s="55" t="s">
        <v>274</v>
      </c>
      <c r="D73" s="153" t="e">
        <f>SUM(#REF!)</f>
        <v>#REF!</v>
      </c>
      <c r="E73" s="153" t="e">
        <f>SUM(#REF!)</f>
        <v>#REF!</v>
      </c>
      <c r="F73" s="153">
        <f>SUM('3.2 Cofogos'!E284)</f>
        <v>581321000</v>
      </c>
      <c r="G73" s="1432">
        <f t="shared" si="15"/>
        <v>1321107461</v>
      </c>
      <c r="H73" s="153">
        <f>SUM('3.2 Cofogos'!G284)+'3.2 Cofogos'!G31</f>
        <v>1902428461</v>
      </c>
      <c r="I73" s="1432">
        <f>J73-H73</f>
        <v>94707041</v>
      </c>
      <c r="J73" s="153">
        <f>SUM('3.2 Cofogos'!I284)+'3.2 Cofogos'!I31</f>
        <v>1997135502</v>
      </c>
      <c r="K73" s="3345">
        <f t="shared" si="17"/>
        <v>0</v>
      </c>
      <c r="L73" s="153">
        <f>SUM('3.2 Cofogos'!K284)+'3.2 Cofogos'!K31</f>
        <v>1997135502</v>
      </c>
      <c r="M73" s="153">
        <f>SUM('3.2 Cofogos'!L284)+'3.2 Cofogos'!L31</f>
        <v>1836011747</v>
      </c>
      <c r="N73" s="540">
        <f t="shared" si="6"/>
        <v>96.508845648519753</v>
      </c>
      <c r="O73" s="463"/>
      <c r="P73" s="2003">
        <f t="shared" si="18"/>
        <v>0</v>
      </c>
      <c r="Q73" s="2003"/>
      <c r="R73" s="2354">
        <f t="shared" si="19"/>
        <v>0</v>
      </c>
      <c r="S73" s="2005"/>
      <c r="T73" s="139">
        <f t="shared" si="26"/>
        <v>0</v>
      </c>
      <c r="U73" s="139"/>
      <c r="V73" s="1999">
        <f t="shared" si="10"/>
        <v>0</v>
      </c>
      <c r="W73" s="2001">
        <f t="shared" si="20"/>
        <v>0</v>
      </c>
      <c r="Y73" s="2003">
        <f>SUM('3. a. sz. mell'!F76+'3.b. sz. mell'!F72+'3.c. sz. mell '!F71)</f>
        <v>581321000</v>
      </c>
      <c r="Z73" s="2003"/>
      <c r="AA73" s="2354">
        <f>SUM('3. a. sz. mell'!H76+'3.b. sz. mell'!H72+'3.c. sz. mell '!H71)</f>
        <v>1902428461</v>
      </c>
      <c r="AB73" s="2005"/>
      <c r="AC73" s="139">
        <f>SUM('3. a. sz. mell'!J76+'3.b. sz. mell'!J72+'3.c. sz. mell '!J71)</f>
        <v>1997135502</v>
      </c>
      <c r="AD73" s="139"/>
      <c r="AE73" s="1999">
        <f>SUM('3. a. sz. mell'!L76+'3.b. sz. mell'!L72+'3.c. sz. mell '!L71)</f>
        <v>1997135502</v>
      </c>
      <c r="AF73" s="2002">
        <f>SUM('3. a. sz. mell'!M76+'3.b. sz. mell'!M72+'3.c. sz. mell '!M71)</f>
        <v>1836011747</v>
      </c>
    </row>
    <row r="74" spans="1:32" s="145" customFormat="1" ht="15" hidden="1" customHeight="1" thickBot="1" x14ac:dyDescent="0.25">
      <c r="A74" s="134"/>
      <c r="B74" s="170"/>
      <c r="C74" s="171"/>
      <c r="D74" s="155"/>
      <c r="E74" s="155"/>
      <c r="F74" s="155" t="e">
        <f>#REF!</f>
        <v>#REF!</v>
      </c>
      <c r="G74" s="1432" t="e">
        <f t="shared" si="15"/>
        <v>#REF!</v>
      </c>
      <c r="H74" s="155" t="e">
        <f>#REF!</f>
        <v>#REF!</v>
      </c>
      <c r="I74" s="1432" t="e">
        <f>J74-H74</f>
        <v>#REF!</v>
      </c>
      <c r="J74" s="155" t="e">
        <f>#REF!</f>
        <v>#REF!</v>
      </c>
      <c r="K74" s="3345" t="e">
        <f t="shared" si="17"/>
        <v>#REF!</v>
      </c>
      <c r="L74" s="155" t="e">
        <f>#REF!</f>
        <v>#REF!</v>
      </c>
      <c r="M74" s="155" t="e">
        <f>#REF!</f>
        <v>#REF!</v>
      </c>
      <c r="N74" s="540" t="e">
        <f t="shared" si="6"/>
        <v>#REF!</v>
      </c>
      <c r="O74" s="465"/>
      <c r="P74" s="2003" t="e">
        <f t="shared" ref="P74:P79" si="27">SUM(F74-Y74)</f>
        <v>#REF!</v>
      </c>
      <c r="Q74" s="2003"/>
      <c r="R74" s="2354" t="e">
        <f t="shared" ref="R74:R79" si="28">SUM(H74-AA74)</f>
        <v>#REF!</v>
      </c>
      <c r="S74" s="2005"/>
      <c r="T74" s="139" t="e">
        <f t="shared" si="26"/>
        <v>#REF!</v>
      </c>
      <c r="U74" s="139"/>
      <c r="V74" s="1999" t="e">
        <f t="shared" si="10"/>
        <v>#REF!</v>
      </c>
      <c r="W74" s="2001" t="e">
        <f t="shared" ref="W74:W79" si="29">SUM(M74-AF74)</f>
        <v>#REF!</v>
      </c>
      <c r="Y74" s="2003">
        <f>SUM('3. a. sz. mell'!F77+'3.b. sz. mell'!F73+'3.c. sz. mell '!F72)</f>
        <v>0</v>
      </c>
      <c r="Z74" s="2003"/>
      <c r="AA74" s="2354">
        <f>SUM('3. a. sz. mell'!H77+'3.b. sz. mell'!H73+'3.c. sz. mell '!H72)</f>
        <v>0</v>
      </c>
      <c r="AB74" s="2005"/>
      <c r="AC74" s="139">
        <f>SUM('3. a. sz. mell'!J77+'3.b. sz. mell'!J73+'3.c. sz. mell '!J72)</f>
        <v>0</v>
      </c>
      <c r="AD74" s="139"/>
      <c r="AE74" s="1999">
        <f>SUM('3. a. sz. mell'!L77+'3.b. sz. mell'!L73+'3.c. sz. mell '!L72)</f>
        <v>0</v>
      </c>
      <c r="AF74" s="2002">
        <f>SUM('3. a. sz. mell'!M77+'3.b. sz. mell'!M73+'3.c. sz. mell '!M72)</f>
        <v>0</v>
      </c>
    </row>
    <row r="75" spans="1:32" ht="15" customHeight="1" thickBot="1" x14ac:dyDescent="0.25">
      <c r="A75" s="192"/>
      <c r="B75" s="160"/>
      <c r="C75" s="161" t="s">
        <v>322</v>
      </c>
      <c r="D75" s="162" t="e">
        <f>+D70+D71</f>
        <v>#REF!</v>
      </c>
      <c r="E75" s="162" t="e">
        <f>+E70+E71</f>
        <v>#REF!</v>
      </c>
      <c r="F75" s="162">
        <f>SUM(F37+F54+F71)</f>
        <v>4890832130</v>
      </c>
      <c r="G75" s="1437">
        <f t="shared" si="15"/>
        <v>2949552131</v>
      </c>
      <c r="H75" s="162">
        <f t="shared" ref="H75:M75" si="30">SUM(H37+H54+H71)</f>
        <v>7840384261</v>
      </c>
      <c r="I75" s="1437">
        <f t="shared" si="30"/>
        <v>175823428</v>
      </c>
      <c r="J75" s="162">
        <f t="shared" si="30"/>
        <v>8016207689</v>
      </c>
      <c r="K75" s="3332">
        <f t="shared" si="17"/>
        <v>1747959</v>
      </c>
      <c r="L75" s="162">
        <f t="shared" si="30"/>
        <v>8017955648</v>
      </c>
      <c r="M75" s="162">
        <f t="shared" si="30"/>
        <v>6465191441</v>
      </c>
      <c r="N75" s="874"/>
      <c r="O75" s="195"/>
      <c r="P75" s="2003">
        <f t="shared" si="27"/>
        <v>0</v>
      </c>
      <c r="Q75" s="2003"/>
      <c r="R75" s="2354">
        <f t="shared" si="28"/>
        <v>0</v>
      </c>
      <c r="S75" s="2005"/>
      <c r="T75" s="139">
        <f t="shared" si="26"/>
        <v>0</v>
      </c>
      <c r="U75" s="139"/>
      <c r="V75" s="1999">
        <f t="shared" si="10"/>
        <v>0</v>
      </c>
      <c r="W75" s="2001">
        <f t="shared" si="29"/>
        <v>0</v>
      </c>
      <c r="Y75" s="2003">
        <f>SUM('3. a. sz. mell'!F78+'3.b. sz. mell'!F74+'3.c. sz. mell '!F73)</f>
        <v>4890832130</v>
      </c>
      <c r="Z75" s="2003"/>
      <c r="AA75" s="2354">
        <f>SUM('3. a. sz. mell'!H78+'3.b. sz. mell'!H74+'3.c. sz. mell '!H73)</f>
        <v>7840384261</v>
      </c>
      <c r="AB75" s="2005"/>
      <c r="AC75" s="139">
        <f>SUM('3. a. sz. mell'!J78+'3.b. sz. mell'!J74+'3.c. sz. mell '!J73)</f>
        <v>8016207689</v>
      </c>
      <c r="AD75" s="139"/>
      <c r="AE75" s="1999">
        <f>SUM('3. a. sz. mell'!L78+'3.b. sz. mell'!L74+'3.c. sz. mell '!L73)</f>
        <v>8017955648</v>
      </c>
      <c r="AF75" s="2002">
        <f>SUM('3. a. sz. mell'!M78+'3.b. sz. mell'!M74+'3.c. sz. mell '!M73)</f>
        <v>6465191441</v>
      </c>
    </row>
    <row r="76" spans="1:32" ht="12.75" hidden="1" customHeight="1" x14ac:dyDescent="0.2">
      <c r="A76" s="882"/>
      <c r="B76" s="193"/>
      <c r="C76" s="194" t="s">
        <v>300</v>
      </c>
      <c r="D76" s="195"/>
      <c r="E76" s="195"/>
      <c r="F76" s="883">
        <f>SUM(F72)</f>
        <v>1473618961</v>
      </c>
      <c r="G76" s="1596"/>
      <c r="H76" s="195">
        <f t="shared" ref="H76:M76" si="31">SUM(H72)</f>
        <v>1619201612</v>
      </c>
      <c r="I76" s="1432">
        <f t="shared" si="31"/>
        <v>45592258</v>
      </c>
      <c r="J76" s="195">
        <f t="shared" si="31"/>
        <v>1664793870</v>
      </c>
      <c r="K76" s="3345">
        <f t="shared" si="17"/>
        <v>0</v>
      </c>
      <c r="L76" s="195">
        <f t="shared" si="31"/>
        <v>1664793870</v>
      </c>
      <c r="M76" s="195">
        <f t="shared" si="31"/>
        <v>1664793870</v>
      </c>
      <c r="N76" s="515"/>
      <c r="O76" s="195"/>
      <c r="P76" s="2003">
        <f t="shared" si="27"/>
        <v>0</v>
      </c>
      <c r="Q76" s="2003"/>
      <c r="R76" s="2354">
        <f t="shared" si="28"/>
        <v>4714772243</v>
      </c>
      <c r="S76" s="2005"/>
      <c r="T76" s="139">
        <f t="shared" si="26"/>
        <v>1664793870</v>
      </c>
      <c r="U76" s="139"/>
      <c r="V76" s="1999">
        <f t="shared" si="10"/>
        <v>1664793870</v>
      </c>
      <c r="W76" s="2001">
        <f t="shared" si="29"/>
        <v>3632633283</v>
      </c>
      <c r="Y76" s="2003">
        <f>SUM('3. a. sz. mell'!F79+'3.b. sz. mell'!F75+'3.c. sz. mell '!F74)</f>
        <v>1473618961</v>
      </c>
      <c r="Z76" s="2003"/>
      <c r="AA76" s="2354">
        <f>SUM('3. a. sz. mell'!H79+'3.b. sz. mell'!H75+'3.c. sz. mell '!H74)</f>
        <v>-3095570631</v>
      </c>
      <c r="AB76" s="2005"/>
      <c r="AC76" s="139">
        <f>SUM('3. a. sz. mell'!J79+'3.b. sz. mell'!J75+'3.c. sz. mell '!J74)</f>
        <v>0</v>
      </c>
      <c r="AD76" s="139"/>
      <c r="AE76" s="1999">
        <f>SUM('3. a. sz. mell'!L79+'3.b. sz. mell'!L75+'3.c. sz. mell '!L74)</f>
        <v>0</v>
      </c>
      <c r="AF76" s="2002">
        <f>SUM('3. a. sz. mell'!M79+'3.b. sz. mell'!M75+'3.c. sz. mell '!M74)</f>
        <v>-1967839413</v>
      </c>
    </row>
    <row r="77" spans="1:32" ht="12.75" hidden="1" customHeight="1" x14ac:dyDescent="0.2">
      <c r="A77" s="884"/>
      <c r="B77" s="885"/>
      <c r="C77" s="197" t="s">
        <v>323</v>
      </c>
      <c r="D77" s="886"/>
      <c r="E77" s="886"/>
      <c r="F77" s="888">
        <f>SUM(F75-F76)</f>
        <v>3417213169</v>
      </c>
      <c r="G77" s="1600"/>
      <c r="H77" s="887">
        <f t="shared" ref="H77:M77" si="32">SUM(H75-H76)</f>
        <v>6221182649</v>
      </c>
      <c r="I77" s="1432">
        <f t="shared" si="32"/>
        <v>130231170</v>
      </c>
      <c r="J77" s="887">
        <f t="shared" si="32"/>
        <v>6351413819</v>
      </c>
      <c r="K77" s="3345">
        <f t="shared" si="17"/>
        <v>1747959</v>
      </c>
      <c r="L77" s="887">
        <f t="shared" si="32"/>
        <v>6353161778</v>
      </c>
      <c r="M77" s="887">
        <f t="shared" si="32"/>
        <v>4800397571</v>
      </c>
      <c r="N77" s="516"/>
      <c r="O77" s="199"/>
      <c r="P77" s="2003">
        <f t="shared" si="27"/>
        <v>0</v>
      </c>
      <c r="Q77" s="2003"/>
      <c r="R77" s="2354">
        <f t="shared" si="28"/>
        <v>4520199983</v>
      </c>
      <c r="S77" s="2005"/>
      <c r="T77" s="139">
        <f t="shared" si="26"/>
        <v>6351413819</v>
      </c>
      <c r="U77" s="139"/>
      <c r="V77" s="1999">
        <f t="shared" si="10"/>
        <v>6353161778</v>
      </c>
      <c r="W77" s="2001">
        <f t="shared" si="29"/>
        <v>3247427541</v>
      </c>
      <c r="Y77" s="2003">
        <f>SUM('3. a. sz. mell'!F80+'3.b. sz. mell'!F76+'3.c. sz. mell '!F75)</f>
        <v>3417213169</v>
      </c>
      <c r="Z77" s="2003"/>
      <c r="AA77" s="2354">
        <f>SUM('3. a. sz. mell'!H80+'3.b. sz. mell'!H76+'3.c. sz. mell '!H75)</f>
        <v>1700982666</v>
      </c>
      <c r="AB77" s="2005"/>
      <c r="AC77" s="139">
        <f>SUM('3. a. sz. mell'!J80+'3.b. sz. mell'!J76+'3.c. sz. mell '!J75)</f>
        <v>0</v>
      </c>
      <c r="AD77" s="139"/>
      <c r="AE77" s="1999">
        <f>SUM('3. a. sz. mell'!L80+'3.b. sz. mell'!L76+'3.c. sz. mell '!L75)</f>
        <v>0</v>
      </c>
      <c r="AF77" s="2002">
        <f>SUM('3. a. sz. mell'!M80+'3.b. sz. mell'!M76+'3.c. sz. mell '!M75)</f>
        <v>1552970030</v>
      </c>
    </row>
    <row r="78" spans="1:32" ht="20.25" customHeight="1" thickBot="1" x14ac:dyDescent="0.25">
      <c r="A78" s="4418" t="s">
        <v>324</v>
      </c>
      <c r="B78" s="4419"/>
      <c r="C78" s="4419"/>
      <c r="D78" s="200" t="e">
        <f>SUM(#REF!+#REF!)</f>
        <v>#REF!</v>
      </c>
      <c r="E78" s="200" t="e">
        <f>SUM(#REF!+#REF!)</f>
        <v>#REF!</v>
      </c>
      <c r="F78" s="200">
        <f>SUM('3.2 Cofogos'!E17+'3.2 Cofogos'!E104)+'3.2 Cofogos'!E115</f>
        <v>17</v>
      </c>
      <c r="G78" s="1559"/>
      <c r="H78" s="200">
        <f>SUM('3.2 Cofogos'!G17+'3.2 Cofogos'!G104)+'3.2 Cofogos'!G115</f>
        <v>17</v>
      </c>
      <c r="I78" s="1432"/>
      <c r="J78" s="200">
        <f>SUM('3.2 Cofogos'!I17+'3.2 Cofogos'!I104)+'3.2 Cofogos'!I115</f>
        <v>17</v>
      </c>
      <c r="K78" s="3509">
        <f t="shared" si="17"/>
        <v>0</v>
      </c>
      <c r="L78" s="200">
        <f>SUM('3.2 Cofogos'!K17+'3.2 Cofogos'!K104)+'3.2 Cofogos'!K115</f>
        <v>17</v>
      </c>
      <c r="M78" s="200">
        <f>SUM('3.2 Cofogos'!L17+'3.2 Cofogos'!L104)+'3.2 Cofogos'!L115</f>
        <v>17</v>
      </c>
      <c r="N78" s="875"/>
      <c r="O78" s="485"/>
      <c r="P78" s="2003">
        <f t="shared" si="27"/>
        <v>0</v>
      </c>
      <c r="Q78" s="2003"/>
      <c r="R78" s="2354">
        <f t="shared" si="28"/>
        <v>0</v>
      </c>
      <c r="S78" s="2005"/>
      <c r="T78" s="139">
        <f t="shared" si="26"/>
        <v>0</v>
      </c>
      <c r="U78" s="139"/>
      <c r="V78" s="1999">
        <f t="shared" si="10"/>
        <v>0</v>
      </c>
      <c r="W78" s="2001">
        <f t="shared" si="29"/>
        <v>0</v>
      </c>
      <c r="Y78" s="2003">
        <f>SUM('3. a. sz. mell'!F81+'3.b. sz. mell'!F77+'3.c. sz. mell '!F76)</f>
        <v>17</v>
      </c>
      <c r="Z78" s="2003"/>
      <c r="AA78" s="2354">
        <f>SUM('3. a. sz. mell'!H81+'3.b. sz. mell'!H77+'3.c. sz. mell '!H76)</f>
        <v>17</v>
      </c>
      <c r="AB78" s="2005"/>
      <c r="AC78" s="139">
        <f>SUM('3. a. sz. mell'!J81+'3.b. sz. mell'!J77+'3.c. sz. mell '!J76)</f>
        <v>17</v>
      </c>
      <c r="AD78" s="139"/>
      <c r="AE78" s="1999">
        <f>SUM('3. a. sz. mell'!L81+'3.b. sz. mell'!L77+'3.c. sz. mell '!L76)</f>
        <v>17</v>
      </c>
      <c r="AF78" s="2002">
        <f>SUM('3. a. sz. mell'!M81+'3.b. sz. mell'!M77+'3.c. sz. mell '!M76)</f>
        <v>17</v>
      </c>
    </row>
    <row r="79" spans="1:32" ht="15" customHeight="1" thickBot="1" x14ac:dyDescent="0.25">
      <c r="A79" s="4418" t="s">
        <v>325</v>
      </c>
      <c r="B79" s="4419"/>
      <c r="C79" s="4419"/>
      <c r="D79" s="202">
        <v>13.5</v>
      </c>
      <c r="E79" s="202">
        <v>13.5</v>
      </c>
      <c r="F79" s="202">
        <f>SUM('3.2 Cofogos'!E66)</f>
        <v>30</v>
      </c>
      <c r="G79" s="2451"/>
      <c r="H79" s="202">
        <f>SUM('3.2 Cofogos'!G66)</f>
        <v>30</v>
      </c>
      <c r="I79" s="1432"/>
      <c r="J79" s="202">
        <f>SUM('3.2 Cofogos'!I66)</f>
        <v>24</v>
      </c>
      <c r="K79" s="3509">
        <f t="shared" si="17"/>
        <v>0</v>
      </c>
      <c r="L79" s="202">
        <f>SUM('3.2 Cofogos'!K66)</f>
        <v>24</v>
      </c>
      <c r="M79" s="202">
        <f>SUM('3.2 Cofogos'!L66)</f>
        <v>24</v>
      </c>
      <c r="N79" s="517"/>
      <c r="O79" s="497"/>
      <c r="P79" s="2003">
        <f t="shared" si="27"/>
        <v>0</v>
      </c>
      <c r="Q79" s="2003"/>
      <c r="R79" s="2354">
        <f t="shared" si="28"/>
        <v>0</v>
      </c>
      <c r="S79" s="2005"/>
      <c r="T79" s="139">
        <f t="shared" si="26"/>
        <v>0</v>
      </c>
      <c r="U79" s="139"/>
      <c r="V79" s="1999">
        <f t="shared" si="10"/>
        <v>0</v>
      </c>
      <c r="W79" s="2001">
        <f t="shared" si="29"/>
        <v>0</v>
      </c>
      <c r="Y79" s="2003">
        <f>SUM('3. a. sz. mell'!F82+'3.b. sz. mell'!F78+'3.c. sz. mell '!F77)</f>
        <v>30</v>
      </c>
      <c r="Z79" s="2003"/>
      <c r="AA79" s="2354">
        <f>SUM('3. a. sz. mell'!H82+'3.b. sz. mell'!H78+'3.c. sz. mell '!H77)</f>
        <v>30</v>
      </c>
      <c r="AB79" s="2005"/>
      <c r="AC79" s="139">
        <f>SUM('3. a. sz. mell'!J82+'3.b. sz. mell'!J78+'3.c. sz. mell '!J77)</f>
        <v>24</v>
      </c>
      <c r="AD79" s="139"/>
      <c r="AE79" s="1999">
        <f>SUM('3. a. sz. mell'!L82+'3.b. sz. mell'!L78+'3.c. sz. mell '!L77)</f>
        <v>24</v>
      </c>
      <c r="AF79" s="2002">
        <f>SUM('3. a. sz. mell'!M82+'3.b. sz. mell'!M78+'3.c. sz. mell '!M77)</f>
        <v>24</v>
      </c>
    </row>
    <row r="80" spans="1:32" ht="15" customHeight="1" x14ac:dyDescent="0.2">
      <c r="K80" s="3345"/>
      <c r="AA80" s="2354"/>
    </row>
    <row r="81" spans="3:16" ht="15" customHeight="1" x14ac:dyDescent="0.2"/>
    <row r="82" spans="3:16" ht="13.5" thickBot="1" x14ac:dyDescent="0.25"/>
    <row r="83" spans="3:16" ht="16.5" thickBot="1" x14ac:dyDescent="0.25">
      <c r="E83" s="162">
        <v>4969009</v>
      </c>
      <c r="F83" s="162">
        <f>SUM(F34-F75)</f>
        <v>0</v>
      </c>
      <c r="G83" s="162">
        <f t="shared" ref="G83:L83" si="33">SUM(G34-G75)</f>
        <v>0</v>
      </c>
      <c r="H83" s="162">
        <f t="shared" si="33"/>
        <v>0</v>
      </c>
      <c r="I83" s="162"/>
      <c r="J83" s="162">
        <f t="shared" si="33"/>
        <v>0</v>
      </c>
      <c r="K83" s="162"/>
      <c r="L83" s="162">
        <f t="shared" si="33"/>
        <v>0</v>
      </c>
      <c r="M83" s="162">
        <f>SUM(M34-M75)</f>
        <v>1562656726</v>
      </c>
      <c r="N83" s="515"/>
      <c r="O83" s="195"/>
    </row>
    <row r="86" spans="3:16" ht="15.75" x14ac:dyDescent="0.2">
      <c r="E86" s="203" t="e">
        <f>SUM(E83-E75)</f>
        <v>#REF!</v>
      </c>
      <c r="F86" s="203"/>
      <c r="G86" s="1470"/>
      <c r="H86" s="203"/>
      <c r="I86" s="1470"/>
      <c r="J86" s="203"/>
      <c r="K86" s="1470"/>
      <c r="L86" s="203"/>
      <c r="M86" s="203"/>
      <c r="N86" s="518"/>
      <c r="O86" s="203"/>
    </row>
    <row r="89" spans="3:16" ht="15.75" x14ac:dyDescent="0.2">
      <c r="C89" s="116" t="s">
        <v>945</v>
      </c>
      <c r="D89" s="116"/>
      <c r="E89" s="116"/>
      <c r="F89" s="116"/>
      <c r="G89" s="1416"/>
      <c r="H89" s="145"/>
      <c r="I89" s="1567"/>
      <c r="J89" s="145"/>
      <c r="K89" s="1567"/>
      <c r="L89" s="145"/>
      <c r="M89" s="116"/>
    </row>
    <row r="90" spans="3:16" ht="15.75" x14ac:dyDescent="0.2">
      <c r="C90" s="116" t="s">
        <v>942</v>
      </c>
      <c r="D90" s="116"/>
      <c r="E90" s="116"/>
      <c r="F90" s="116">
        <v>2835892169</v>
      </c>
      <c r="G90" s="116"/>
      <c r="H90" s="203">
        <v>4118754188</v>
      </c>
      <c r="I90" s="1470"/>
      <c r="J90" s="203">
        <v>4354278317</v>
      </c>
      <c r="K90" s="1470"/>
      <c r="L90" s="203">
        <v>4354278317</v>
      </c>
      <c r="M90" s="203">
        <v>2964385824</v>
      </c>
      <c r="P90" s="203"/>
    </row>
    <row r="91" spans="3:16" ht="15.75" x14ac:dyDescent="0.2">
      <c r="C91" s="116" t="s">
        <v>943</v>
      </c>
      <c r="D91" s="116"/>
      <c r="E91" s="116"/>
      <c r="F91" s="116">
        <v>2054939961</v>
      </c>
      <c r="G91" s="116"/>
      <c r="H91" s="203">
        <v>3721630073</v>
      </c>
      <c r="I91" s="1470"/>
      <c r="J91" s="203">
        <v>3661929372</v>
      </c>
      <c r="K91" s="1470"/>
      <c r="L91" s="203">
        <v>3661929372</v>
      </c>
      <c r="M91" s="203">
        <v>3500805617</v>
      </c>
      <c r="P91" s="203"/>
    </row>
    <row r="92" spans="3:16" ht="18.75" x14ac:dyDescent="0.2">
      <c r="C92" s="781" t="s">
        <v>944</v>
      </c>
      <c r="D92" s="782"/>
      <c r="E92" s="782"/>
      <c r="F92" s="518">
        <f>SUM(F90:F91)</f>
        <v>4890832130</v>
      </c>
      <c r="G92" s="518"/>
      <c r="H92" s="518">
        <f>SUM(H90:H91)</f>
        <v>7840384261</v>
      </c>
      <c r="I92" s="1470"/>
      <c r="J92" s="518">
        <f>SUM(J90:J91)</f>
        <v>8016207689</v>
      </c>
      <c r="K92" s="518">
        <f>SUM(K90:K91)</f>
        <v>0</v>
      </c>
      <c r="L92" s="518">
        <f>SUM(L90:L91)</f>
        <v>8016207689</v>
      </c>
      <c r="M92" s="518">
        <f>SUM(M90:M91)</f>
        <v>6465191441</v>
      </c>
    </row>
    <row r="93" spans="3:16" ht="15.75" x14ac:dyDescent="0.2">
      <c r="C93" s="116"/>
      <c r="D93" s="116"/>
      <c r="E93" s="116"/>
      <c r="F93" s="116"/>
      <c r="G93" s="1416"/>
      <c r="H93" s="203"/>
      <c r="I93" s="1470"/>
      <c r="J93" s="203"/>
      <c r="K93" s="203"/>
      <c r="L93" s="203"/>
      <c r="M93" s="203"/>
    </row>
    <row r="94" spans="3:16" ht="15.75" x14ac:dyDescent="0.2">
      <c r="C94" s="780" t="s">
        <v>893</v>
      </c>
      <c r="D94" s="780"/>
      <c r="E94" s="780"/>
      <c r="F94" s="482">
        <f>SUM(F92-F75)</f>
        <v>0</v>
      </c>
      <c r="G94" s="482"/>
      <c r="H94" s="482">
        <f t="shared" ref="H94:M94" si="34">SUM(H92-H75)</f>
        <v>0</v>
      </c>
      <c r="I94" s="482"/>
      <c r="J94" s="482">
        <f t="shared" si="34"/>
        <v>0</v>
      </c>
      <c r="K94" s="482"/>
      <c r="L94" s="482">
        <f t="shared" si="34"/>
        <v>-1747959</v>
      </c>
      <c r="M94" s="482">
        <f t="shared" si="34"/>
        <v>0</v>
      </c>
    </row>
    <row r="98" spans="3:13" ht="15.75" x14ac:dyDescent="0.2">
      <c r="C98" s="116" t="s">
        <v>946</v>
      </c>
    </row>
    <row r="99" spans="3:13" ht="15.75" x14ac:dyDescent="0.2">
      <c r="C99" s="116"/>
    </row>
    <row r="100" spans="3:13" ht="15.75" x14ac:dyDescent="0.2">
      <c r="C100" s="116" t="s">
        <v>947</v>
      </c>
      <c r="F100" s="116">
        <v>3528982130</v>
      </c>
      <c r="G100" s="1416"/>
      <c r="H100" s="203">
        <v>3675545231</v>
      </c>
      <c r="I100" s="1470"/>
      <c r="J100" s="203">
        <v>4577558432</v>
      </c>
      <c r="K100" s="1470"/>
      <c r="L100" s="203">
        <v>4577558432</v>
      </c>
      <c r="M100" s="203">
        <v>4589198910</v>
      </c>
    </row>
    <row r="101" spans="3:13" ht="15.75" x14ac:dyDescent="0.2">
      <c r="C101" s="116" t="s">
        <v>948</v>
      </c>
      <c r="F101" s="116">
        <v>1361850000</v>
      </c>
      <c r="G101" s="1416"/>
      <c r="H101" s="203">
        <v>4164839030</v>
      </c>
      <c r="I101" s="1470"/>
      <c r="J101" s="203">
        <v>3438649257</v>
      </c>
      <c r="K101" s="1470"/>
      <c r="L101" s="203">
        <v>3438649257</v>
      </c>
      <c r="M101" s="203">
        <v>3438649257</v>
      </c>
    </row>
    <row r="102" spans="3:13" ht="18.75" x14ac:dyDescent="0.2">
      <c r="C102" s="471" t="s">
        <v>944</v>
      </c>
      <c r="F102" s="203">
        <f>SUM(F100:F101)</f>
        <v>4890832130</v>
      </c>
      <c r="G102" s="1470"/>
      <c r="H102" s="203">
        <f>SUM(H100:H101)</f>
        <v>7840384261</v>
      </c>
      <c r="I102" s="203"/>
      <c r="J102" s="203">
        <f>SUM(J100:J101)</f>
        <v>8016207689</v>
      </c>
      <c r="K102" s="203">
        <f>SUM(K100:K101)</f>
        <v>0</v>
      </c>
      <c r="L102" s="203">
        <f>SUM(L100:L101)</f>
        <v>8016207689</v>
      </c>
      <c r="M102" s="203">
        <f>SUM(M100:M101)</f>
        <v>8027848167</v>
      </c>
    </row>
    <row r="103" spans="3:13" ht="15.75" x14ac:dyDescent="0.2">
      <c r="C103" s="116"/>
      <c r="H103" s="203"/>
      <c r="I103" s="1470"/>
      <c r="J103" s="203"/>
      <c r="K103" s="203"/>
      <c r="L103" s="203"/>
      <c r="M103" s="203"/>
    </row>
    <row r="104" spans="3:13" ht="15.75" x14ac:dyDescent="0.2">
      <c r="C104" s="780" t="s">
        <v>279</v>
      </c>
      <c r="F104" s="482">
        <f>SUM(F102-F34)</f>
        <v>0</v>
      </c>
      <c r="G104" s="1529"/>
      <c r="H104" s="482">
        <f>SUM(H102-H34)</f>
        <v>0</v>
      </c>
      <c r="I104" s="482"/>
      <c r="J104" s="482">
        <f>SUM(J102-J34)</f>
        <v>0</v>
      </c>
      <c r="K104" s="482"/>
      <c r="L104" s="482">
        <f>SUM(L102-L34)</f>
        <v>-1747959</v>
      </c>
      <c r="M104" s="482">
        <f>SUM(M102-M34)</f>
        <v>0</v>
      </c>
    </row>
    <row r="106" spans="3:13" x14ac:dyDescent="0.2">
      <c r="C106" s="115" t="s">
        <v>880</v>
      </c>
      <c r="F106" s="92">
        <f>F92-F102</f>
        <v>0</v>
      </c>
      <c r="H106" s="92">
        <f t="shared" ref="H106:L106" si="35">H92-H102</f>
        <v>0</v>
      </c>
      <c r="I106" s="92"/>
      <c r="J106" s="92">
        <f t="shared" si="35"/>
        <v>0</v>
      </c>
      <c r="K106" s="92">
        <f t="shared" si="35"/>
        <v>0</v>
      </c>
      <c r="L106" s="92">
        <f t="shared" si="35"/>
        <v>0</v>
      </c>
      <c r="M106" s="92">
        <f>M92-M102</f>
        <v>-1562656726</v>
      </c>
    </row>
  </sheetData>
  <mergeCells count="16">
    <mergeCell ref="N1:N2"/>
    <mergeCell ref="H1:H2"/>
    <mergeCell ref="M1:M2"/>
    <mergeCell ref="A4:B4"/>
    <mergeCell ref="I1:I2"/>
    <mergeCell ref="J1:J2"/>
    <mergeCell ref="K1:K2"/>
    <mergeCell ref="L1:L2"/>
    <mergeCell ref="G1:G2"/>
    <mergeCell ref="A79:C79"/>
    <mergeCell ref="A1:B1"/>
    <mergeCell ref="D1:D2"/>
    <mergeCell ref="F1:F2"/>
    <mergeCell ref="A2:B2"/>
    <mergeCell ref="D3:F3"/>
    <mergeCell ref="A78:C78"/>
  </mergeCells>
  <printOptions horizontalCentered="1"/>
  <pageMargins left="0.31496062992125984" right="0.23622047244094491" top="0.78740157480314965" bottom="0.47244094488188981" header="0.27559055118110237" footer="0.27559055118110237"/>
  <pageSetup paperSize="9" scale="63" firstPageNumber="21" orientation="portrait" useFirstPageNumber="1" r:id="rId1"/>
  <headerFooter>
    <oddHeader>&amp;C&amp;"Times New Roman CE,Félkövér"&amp;14Vecsés Város Önkormányzat 2018. évi 
bevételei és kiadásai&amp;R&amp;"Times New Roman,Normál"&amp;11 &amp;12 3. sz. melléklet
Forint</oddHeader>
    <oddFooter>&amp;C- &amp;P -</oddFooter>
  </headerFooter>
  <colBreaks count="1" manualBreakCount="1">
    <brk id="1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90"/>
  <sheetViews>
    <sheetView view="pageBreakPreview" topLeftCell="A41" zoomScale="90" zoomScaleNormal="100" zoomScaleSheetLayoutView="90" zoomScalePageLayoutView="60" workbookViewId="0">
      <selection activeCell="J60" sqref="J60"/>
    </sheetView>
  </sheetViews>
  <sheetFormatPr defaultColWidth="9.33203125" defaultRowHeight="12.75" x14ac:dyDescent="0.2"/>
  <cols>
    <col min="1" max="1" width="6.1640625" style="114" customWidth="1"/>
    <col min="2" max="2" width="10" style="115" customWidth="1"/>
    <col min="3" max="3" width="72.5" style="115" customWidth="1"/>
    <col min="4" max="5" width="9.33203125" style="115" hidden="1" customWidth="1"/>
    <col min="6" max="6" width="17" style="115" customWidth="1"/>
    <col min="7" max="7" width="16.33203125" style="1390" hidden="1" customWidth="1"/>
    <col min="8" max="8" width="14.1640625" style="115" hidden="1" customWidth="1"/>
    <col min="9" max="9" width="14.1640625" style="1390" hidden="1" customWidth="1"/>
    <col min="10" max="10" width="16.6640625" style="115" customWidth="1"/>
    <col min="11" max="11" width="17.6640625" style="1390" customWidth="1"/>
    <col min="12" max="12" width="16.33203125" style="115" customWidth="1"/>
    <col min="13" max="13" width="16.6640625" style="115" customWidth="1"/>
    <col min="14" max="14" width="18.33203125" style="115" customWidth="1"/>
    <col min="15" max="15" width="17.33203125" style="115" customWidth="1"/>
    <col min="16" max="16" width="16.1640625" style="115" customWidth="1"/>
    <col min="17" max="17" width="16.6640625" style="115" customWidth="1"/>
    <col min="18" max="18" width="15.5" style="115" customWidth="1"/>
    <col min="19" max="19" width="15.33203125" style="115" customWidth="1"/>
    <col min="20" max="16384" width="9.33203125" style="115"/>
  </cols>
  <sheetData>
    <row r="1" spans="1:14" s="120" customFormat="1" ht="33.75" customHeight="1" thickBot="1" x14ac:dyDescent="0.25">
      <c r="A1" s="4443" t="s">
        <v>280</v>
      </c>
      <c r="B1" s="4443"/>
      <c r="C1" s="119" t="s">
        <v>329</v>
      </c>
      <c r="D1" s="4444" t="s">
        <v>282</v>
      </c>
      <c r="E1" s="118"/>
      <c r="F1" s="4444" t="s">
        <v>1080</v>
      </c>
      <c r="G1" s="4422" t="s">
        <v>1035</v>
      </c>
      <c r="H1" s="4415" t="s">
        <v>1028</v>
      </c>
      <c r="I1" s="4422" t="s">
        <v>1031</v>
      </c>
      <c r="J1" s="4415" t="s">
        <v>1028</v>
      </c>
      <c r="K1" s="4449" t="s">
        <v>1038</v>
      </c>
      <c r="L1" s="4415" t="s">
        <v>234</v>
      </c>
      <c r="M1" s="4440" t="s">
        <v>1952</v>
      </c>
    </row>
    <row r="2" spans="1:14" s="120" customFormat="1" ht="33.75" customHeight="1" thickBot="1" x14ac:dyDescent="0.25">
      <c r="A2" s="4445" t="s">
        <v>283</v>
      </c>
      <c r="B2" s="4463"/>
      <c r="C2" s="676" t="s">
        <v>487</v>
      </c>
      <c r="D2" s="4424"/>
      <c r="E2" s="121"/>
      <c r="F2" s="4444"/>
      <c r="G2" s="4423"/>
      <c r="H2" s="4416" t="s">
        <v>1028</v>
      </c>
      <c r="I2" s="4423" t="s">
        <v>1031</v>
      </c>
      <c r="J2" s="4416" t="s">
        <v>1028</v>
      </c>
      <c r="K2" s="4450"/>
      <c r="L2" s="4416"/>
      <c r="M2" s="4441"/>
    </row>
    <row r="3" spans="1:14" s="123" customFormat="1" ht="15.95" customHeight="1" thickBot="1" x14ac:dyDescent="0.25">
      <c r="A3" s="2093"/>
      <c r="B3" s="877"/>
      <c r="C3" s="877"/>
      <c r="D3" s="4446"/>
      <c r="E3" s="4446"/>
      <c r="F3" s="4470"/>
      <c r="G3" s="1440"/>
      <c r="H3" s="1598"/>
      <c r="I3" s="1598"/>
      <c r="J3" s="1598"/>
      <c r="K3" s="1598"/>
      <c r="L3" s="1598"/>
      <c r="M3" s="2092"/>
    </row>
    <row r="4" spans="1:14" ht="33.75" customHeight="1" thickBot="1" x14ac:dyDescent="0.25">
      <c r="A4" s="4431" t="s">
        <v>285</v>
      </c>
      <c r="B4" s="4431"/>
      <c r="C4" s="125" t="s">
        <v>286</v>
      </c>
      <c r="D4" s="126" t="s">
        <v>287</v>
      </c>
      <c r="E4" s="126" t="s">
        <v>288</v>
      </c>
      <c r="F4" s="126"/>
      <c r="G4" s="2659"/>
      <c r="H4" s="126"/>
      <c r="I4" s="1371"/>
      <c r="J4" s="126"/>
      <c r="K4" s="3329"/>
      <c r="L4" s="126"/>
      <c r="M4" s="126"/>
    </row>
    <row r="5" spans="1:14" s="129" customFormat="1" ht="15" customHeight="1" thickBot="1" x14ac:dyDescent="0.25">
      <c r="A5" s="124"/>
      <c r="B5" s="127"/>
      <c r="C5" s="127"/>
      <c r="D5" s="128"/>
      <c r="E5" s="128"/>
      <c r="F5" s="128"/>
      <c r="G5" s="2455"/>
      <c r="H5" s="128"/>
      <c r="I5" s="1372"/>
      <c r="J5" s="128"/>
      <c r="K5" s="3330"/>
      <c r="L5" s="128"/>
      <c r="M5" s="128"/>
    </row>
    <row r="6" spans="1:14" s="129" customFormat="1" ht="21" customHeight="1" thickBot="1" x14ac:dyDescent="0.25">
      <c r="A6" s="130"/>
      <c r="B6" s="131"/>
      <c r="C6" s="132" t="s">
        <v>230</v>
      </c>
      <c r="D6" s="133"/>
      <c r="E6" s="133"/>
      <c r="F6" s="133"/>
      <c r="G6" s="1588"/>
      <c r="H6" s="133"/>
      <c r="I6" s="1588"/>
      <c r="J6" s="133"/>
      <c r="K6" s="3442"/>
      <c r="L6" s="133"/>
      <c r="M6" s="133"/>
    </row>
    <row r="7" spans="1:14" s="129" customFormat="1" ht="25.5" customHeight="1" thickBot="1" x14ac:dyDescent="0.25">
      <c r="A7" s="124" t="s">
        <v>3</v>
      </c>
      <c r="B7" s="2082"/>
      <c r="C7" s="30" t="s">
        <v>291</v>
      </c>
      <c r="D7" s="432" t="e">
        <f>SUM(D8+D16)</f>
        <v>#REF!</v>
      </c>
      <c r="E7" s="432" t="e">
        <f>SUM(E8+E16)</f>
        <v>#REF!</v>
      </c>
      <c r="F7" s="432">
        <f>SUM(F8+F16)+F26+F27</f>
        <v>2314152711</v>
      </c>
      <c r="G7" s="2719">
        <f>SUM(H7-F7)</f>
        <v>-907975815</v>
      </c>
      <c r="H7" s="432">
        <f>SUM(H8+H16)+H26+H27</f>
        <v>1406176896</v>
      </c>
      <c r="I7" s="1495">
        <f>SUM(J7-H7)</f>
        <v>-196407680</v>
      </c>
      <c r="J7" s="1451">
        <f>SUM(J8+J16)+J26+J27</f>
        <v>1209769216</v>
      </c>
      <c r="K7" s="3364">
        <f>SUM(L7-J7)</f>
        <v>0</v>
      </c>
      <c r="L7" s="432">
        <f>SUM(L8+L16)+L26+L27</f>
        <v>1209769216</v>
      </c>
      <c r="M7" s="432">
        <f>SUM(M8+M16)+M26+M27</f>
        <v>2469664096</v>
      </c>
      <c r="N7" s="139"/>
    </row>
    <row r="8" spans="1:14" s="141" customFormat="1" ht="19.5" customHeight="1" thickBot="1" x14ac:dyDescent="0.25">
      <c r="A8" s="134" t="s">
        <v>17</v>
      </c>
      <c r="B8" s="135"/>
      <c r="C8" s="30" t="s">
        <v>239</v>
      </c>
      <c r="D8" s="137" t="e">
        <f>SUM(D9:D14)</f>
        <v>#REF!</v>
      </c>
      <c r="E8" s="137" t="e">
        <f>SUM(E9:E14)</f>
        <v>#REF!</v>
      </c>
      <c r="F8" s="137">
        <f>SUM('3. sz. mell'!F8-'3.b. sz. mell'!F8-'3.c. sz. mell '!F8)</f>
        <v>1585170581</v>
      </c>
      <c r="G8" s="1382">
        <f>SUM(H8-F8)</f>
        <v>-1204851179</v>
      </c>
      <c r="H8" s="137">
        <f>SUM('3. sz. mell'!H8-'3.b. sz. mell'!H8-'3.c. sz. mell '!H8)</f>
        <v>380319402</v>
      </c>
      <c r="I8" s="1374">
        <f>SUM(J8-H8)</f>
        <v>-74877759</v>
      </c>
      <c r="J8" s="948">
        <f>SUM('3. sz. mell'!J8-'3.b. sz. mell'!J8-'3.c. sz. mell '!J8)</f>
        <v>305441643</v>
      </c>
      <c r="K8" s="3332">
        <f>SUM(L8-J8)</f>
        <v>0</v>
      </c>
      <c r="L8" s="137">
        <f>SUM('3. sz. mell'!L8-'3.b. sz. mell'!L8-'3.c. sz. mell '!L8)</f>
        <v>305441643</v>
      </c>
      <c r="M8" s="137">
        <f>SUM('3. sz. mell'!M8-'3.b. sz. mell'!M8-'3.c. sz. mell '!M8)</f>
        <v>1553986171</v>
      </c>
      <c r="N8" s="139"/>
    </row>
    <row r="9" spans="1:14" s="145" customFormat="1" ht="12.75" hidden="1" customHeight="1" thickBot="1" x14ac:dyDescent="0.25">
      <c r="A9" s="142"/>
      <c r="B9" s="143"/>
      <c r="C9" s="27"/>
      <c r="D9" s="144" t="e">
        <f>SUM(#REF!+#REF!+#REF!)</f>
        <v>#REF!</v>
      </c>
      <c r="E9" s="144" t="e">
        <f>SUM(#REF!+#REF!+#REF!)</f>
        <v>#REF!</v>
      </c>
      <c r="F9" s="137">
        <f>SUM('3. sz. mell'!F9-'3.b. sz. mell'!F9-'3.c. sz. mell '!F9)</f>
        <v>0</v>
      </c>
      <c r="G9" s="1382">
        <f t="shared" ref="G9:K37" si="0">SUM(H9-F9)</f>
        <v>0</v>
      </c>
      <c r="H9" s="137">
        <f>SUM('3. sz. mell'!H9-'3.b. sz. mell'!H9-'3.c. sz. mell '!H9)</f>
        <v>0</v>
      </c>
      <c r="I9" s="1374">
        <f t="shared" si="0"/>
        <v>0</v>
      </c>
      <c r="J9" s="948">
        <f>SUM('3. sz. mell'!J9-'3.b. sz. mell'!J9-'3.c. sz. mell '!J9)</f>
        <v>0</v>
      </c>
      <c r="K9" s="3332">
        <f t="shared" si="0"/>
        <v>0</v>
      </c>
      <c r="L9" s="137">
        <f>SUM('3. sz. mell'!P9-'3.b. sz. mell'!L9-'3.c. sz. mell '!L9)</f>
        <v>0</v>
      </c>
      <c r="M9" s="137">
        <f>SUM('3. sz. mell'!M9-'3.b. sz. mell'!M9-'3.c. sz. mell '!M9)</f>
        <v>0</v>
      </c>
      <c r="N9" s="139"/>
    </row>
    <row r="10" spans="1:14" s="145" customFormat="1" ht="12.75" hidden="1" customHeight="1" thickBot="1" x14ac:dyDescent="0.25">
      <c r="A10" s="142"/>
      <c r="B10" s="143"/>
      <c r="C10" s="27"/>
      <c r="D10" s="144"/>
      <c r="E10" s="144"/>
      <c r="F10" s="137">
        <f>SUM('3. sz. mell'!F10-'3.b. sz. mell'!F10-'3.c. sz. mell '!F10)</f>
        <v>0</v>
      </c>
      <c r="G10" s="1382">
        <f t="shared" si="0"/>
        <v>0</v>
      </c>
      <c r="H10" s="137">
        <f>SUM('3. sz. mell'!H10-'3.b. sz. mell'!H10-'3.c. sz. mell '!H10)</f>
        <v>0</v>
      </c>
      <c r="I10" s="1374">
        <f t="shared" si="0"/>
        <v>0</v>
      </c>
      <c r="J10" s="948">
        <f>SUM('3. sz. mell'!J10-'3.b. sz. mell'!J10-'3.c. sz. mell '!J10)</f>
        <v>0</v>
      </c>
      <c r="K10" s="3332">
        <f t="shared" si="0"/>
        <v>0</v>
      </c>
      <c r="L10" s="137">
        <f>SUM('3. sz. mell'!P10-'3.b. sz. mell'!L10-'3.c. sz. mell '!L10)</f>
        <v>0</v>
      </c>
      <c r="M10" s="137">
        <f>SUM('3. sz. mell'!M10-'3.b. sz. mell'!M10-'3.c. sz. mell '!M10)</f>
        <v>0</v>
      </c>
      <c r="N10" s="139"/>
    </row>
    <row r="11" spans="1:14" s="145" customFormat="1" ht="12.75" hidden="1" customHeight="1" thickBot="1" x14ac:dyDescent="0.25">
      <c r="A11" s="142"/>
      <c r="B11" s="143"/>
      <c r="C11" s="27"/>
      <c r="D11" s="144" t="e">
        <f>SUM(#REF!)</f>
        <v>#REF!</v>
      </c>
      <c r="E11" s="144" t="e">
        <f>SUM(#REF!)</f>
        <v>#REF!</v>
      </c>
      <c r="F11" s="137">
        <f>SUM('3. sz. mell'!F11-'3.b. sz. mell'!F11-'3.c. sz. mell '!F11)</f>
        <v>0</v>
      </c>
      <c r="G11" s="1382">
        <f t="shared" si="0"/>
        <v>0</v>
      </c>
      <c r="H11" s="137">
        <f>SUM('3. sz. mell'!H11-'3.b. sz. mell'!H11-'3.c. sz. mell '!H11)</f>
        <v>0</v>
      </c>
      <c r="I11" s="1374" t="e">
        <f t="shared" si="0"/>
        <v>#REF!</v>
      </c>
      <c r="J11" s="948" t="e">
        <f>SUM('3. sz. mell'!J11-'3.b. sz. mell'!J11-'3.c. sz. mell '!J11)</f>
        <v>#REF!</v>
      </c>
      <c r="K11" s="3332" t="e">
        <f t="shared" si="0"/>
        <v>#REF!</v>
      </c>
      <c r="L11" s="137">
        <f>SUM('3. sz. mell'!P11-'3.b. sz. mell'!L11-'3.c. sz. mell '!L11)</f>
        <v>0</v>
      </c>
      <c r="M11" s="137">
        <f>SUM('3. sz. mell'!M11-'3.b. sz. mell'!M11-'3.c. sz. mell '!M11)</f>
        <v>0</v>
      </c>
      <c r="N11" s="139"/>
    </row>
    <row r="12" spans="1:14" s="145" customFormat="1" ht="12.75" hidden="1" customHeight="1" thickBot="1" x14ac:dyDescent="0.25">
      <c r="A12" s="142"/>
      <c r="B12" s="143"/>
      <c r="C12" s="27"/>
      <c r="D12" s="144" t="e">
        <f>SUM(#REF!)</f>
        <v>#REF!</v>
      </c>
      <c r="E12" s="144" t="e">
        <f>SUM(#REF!+#REF!)</f>
        <v>#REF!</v>
      </c>
      <c r="F12" s="137">
        <f>SUM('3. sz. mell'!F12-'3.b. sz. mell'!F12-'3.c. sz. mell '!F12)</f>
        <v>0</v>
      </c>
      <c r="G12" s="1382">
        <f t="shared" si="0"/>
        <v>0</v>
      </c>
      <c r="H12" s="137">
        <f>SUM('3. sz. mell'!H12-'3.b. sz. mell'!H12-'3.c. sz. mell '!H12)</f>
        <v>0</v>
      </c>
      <c r="I12" s="1374" t="e">
        <f t="shared" si="0"/>
        <v>#REF!</v>
      </c>
      <c r="J12" s="948" t="e">
        <f>SUM('3. sz. mell'!J12-'3.b. sz. mell'!J12-'3.c. sz. mell '!J12)</f>
        <v>#REF!</v>
      </c>
      <c r="K12" s="3332" t="e">
        <f t="shared" si="0"/>
        <v>#REF!</v>
      </c>
      <c r="L12" s="137">
        <f>SUM('3. sz. mell'!P12-'3.b. sz. mell'!L12-'3.c. sz. mell '!L12)</f>
        <v>0</v>
      </c>
      <c r="M12" s="137">
        <f>SUM('3. sz. mell'!M12-'3.b. sz. mell'!M12-'3.c. sz. mell '!M12)</f>
        <v>0</v>
      </c>
      <c r="N12" s="139"/>
    </row>
    <row r="13" spans="1:14" s="145" customFormat="1" ht="12.75" hidden="1" customHeight="1" thickBot="1" x14ac:dyDescent="0.25">
      <c r="A13" s="142"/>
      <c r="B13" s="143"/>
      <c r="C13" s="27"/>
      <c r="D13" s="144"/>
      <c r="E13" s="144"/>
      <c r="F13" s="137">
        <f>SUM('3. sz. mell'!F13-'3.b. sz. mell'!F13-'3.c. sz. mell '!F13)</f>
        <v>0</v>
      </c>
      <c r="G13" s="1382">
        <f t="shared" si="0"/>
        <v>0</v>
      </c>
      <c r="H13" s="137">
        <f>SUM('3. sz. mell'!H13-'3.b. sz. mell'!H13-'3.c. sz. mell '!H13)</f>
        <v>0</v>
      </c>
      <c r="I13" s="1374">
        <f t="shared" si="0"/>
        <v>0</v>
      </c>
      <c r="J13" s="948">
        <f>SUM('3. sz. mell'!J13-'3.b. sz. mell'!J13-'3.c. sz. mell '!J13)</f>
        <v>0</v>
      </c>
      <c r="K13" s="3332">
        <f t="shared" si="0"/>
        <v>0</v>
      </c>
      <c r="L13" s="137">
        <f>SUM('3. sz. mell'!P13-'3.b. sz. mell'!L13-'3.c. sz. mell '!L13)</f>
        <v>0</v>
      </c>
      <c r="M13" s="137">
        <f>SUM('3. sz. mell'!M13-'3.b. sz. mell'!M13-'3.c. sz. mell '!M13)</f>
        <v>0</v>
      </c>
      <c r="N13" s="139"/>
    </row>
    <row r="14" spans="1:14" s="145" customFormat="1" ht="12.75" hidden="1" customHeight="1" thickBot="1" x14ac:dyDescent="0.25">
      <c r="A14" s="142"/>
      <c r="B14" s="143"/>
      <c r="C14" s="27"/>
      <c r="D14" s="144"/>
      <c r="E14" s="144"/>
      <c r="F14" s="137">
        <f>SUM('3. sz. mell'!F14-'3.b. sz. mell'!F14-'3.c. sz. mell '!F14)</f>
        <v>0</v>
      </c>
      <c r="G14" s="1382">
        <f t="shared" si="0"/>
        <v>0</v>
      </c>
      <c r="H14" s="137">
        <f>SUM('3. sz. mell'!H14-'3.b. sz. mell'!H14-'3.c. sz. mell '!H14)</f>
        <v>0</v>
      </c>
      <c r="I14" s="1374">
        <f t="shared" si="0"/>
        <v>0</v>
      </c>
      <c r="J14" s="948">
        <f>SUM('3. sz. mell'!J14-'3.b. sz. mell'!J14-'3.c. sz. mell '!J14)</f>
        <v>0</v>
      </c>
      <c r="K14" s="3332">
        <f t="shared" si="0"/>
        <v>0</v>
      </c>
      <c r="L14" s="137">
        <f>SUM('3. sz. mell'!P14-'3.b. sz. mell'!L14-'3.c. sz. mell '!L14)</f>
        <v>0</v>
      </c>
      <c r="M14" s="137">
        <f>SUM('3. sz. mell'!M14-'3.b. sz. mell'!M14-'3.c. sz. mell '!M14)</f>
        <v>0</v>
      </c>
      <c r="N14" s="139"/>
    </row>
    <row r="15" spans="1:14" s="145" customFormat="1" ht="12.75" hidden="1" customHeight="1" thickBot="1" x14ac:dyDescent="0.25">
      <c r="A15" s="146"/>
      <c r="B15" s="143"/>
      <c r="C15" s="33"/>
      <c r="D15" s="147"/>
      <c r="E15" s="147"/>
      <c r="F15" s="137">
        <f>SUM('3. sz. mell'!F15-'3.b. sz. mell'!F15-'3.c. sz. mell '!F15)</f>
        <v>0</v>
      </c>
      <c r="G15" s="1382">
        <f t="shared" si="0"/>
        <v>0</v>
      </c>
      <c r="H15" s="137">
        <f>SUM('3. sz. mell'!H15-'3.b. sz. mell'!H15-'3.c. sz. mell '!H15)</f>
        <v>0</v>
      </c>
      <c r="I15" s="1374">
        <f t="shared" si="0"/>
        <v>0</v>
      </c>
      <c r="J15" s="948">
        <f>SUM('3. sz. mell'!J15-'3.b. sz. mell'!J15-'3.c. sz. mell '!J15)</f>
        <v>0</v>
      </c>
      <c r="K15" s="3332">
        <f t="shared" si="0"/>
        <v>0</v>
      </c>
      <c r="L15" s="137">
        <f>SUM('3. sz. mell'!P15-'3.b. sz. mell'!L15-'3.c. sz. mell '!L15)</f>
        <v>0</v>
      </c>
      <c r="M15" s="137">
        <f>SUM('3. sz. mell'!M15-'3.b. sz. mell'!M15-'3.c. sz. mell '!M15)</f>
        <v>0</v>
      </c>
      <c r="N15" s="139"/>
    </row>
    <row r="16" spans="1:14" s="141" customFormat="1" ht="16.5" thickBot="1" x14ac:dyDescent="0.25">
      <c r="A16" s="134" t="s">
        <v>31</v>
      </c>
      <c r="B16" s="148"/>
      <c r="C16" s="30" t="s">
        <v>330</v>
      </c>
      <c r="D16" s="137" t="e">
        <f>SUM(D17:D24)</f>
        <v>#REF!</v>
      </c>
      <c r="E16" s="137" t="e">
        <f>SUM(E17:E24)</f>
        <v>#REF!</v>
      </c>
      <c r="F16" s="137">
        <f>SUM('3. sz. mell'!F16-'3.b. sz. mell'!F16-'3.c. sz. mell '!F16)</f>
        <v>123704000</v>
      </c>
      <c r="G16" s="1382">
        <f t="shared" si="0"/>
        <v>254441175</v>
      </c>
      <c r="H16" s="137">
        <f>SUM('3. sz. mell'!H16-'3.b. sz. mell'!H16-'3.c. sz. mell '!H16)</f>
        <v>378145175</v>
      </c>
      <c r="I16" s="1374">
        <f t="shared" si="0"/>
        <v>-188168922</v>
      </c>
      <c r="J16" s="948">
        <f>SUM('3. sz. mell'!J16-'3.b. sz. mell'!J16-'3.c. sz. mell '!J16)</f>
        <v>189976253</v>
      </c>
      <c r="K16" s="3332">
        <f t="shared" si="0"/>
        <v>0</v>
      </c>
      <c r="L16" s="137">
        <f>SUM('3. sz. mell'!L16-'3.b. sz. mell'!L16-'3.c. sz. mell '!L16)</f>
        <v>189976253</v>
      </c>
      <c r="M16" s="137">
        <f>SUM('3. sz. mell'!M16-'3.b. sz. mell'!M16-'3.c. sz. mell '!M16)</f>
        <v>201326605</v>
      </c>
      <c r="N16" s="139"/>
    </row>
    <row r="17" spans="1:14" s="141" customFormat="1" ht="16.5" hidden="1" thickBot="1" x14ac:dyDescent="0.25">
      <c r="A17" s="149"/>
      <c r="B17" s="143"/>
      <c r="C17" s="27"/>
      <c r="D17" s="150"/>
      <c r="E17" s="150"/>
      <c r="F17" s="137">
        <f>SUM('3. sz. mell'!F17-'3.b. sz. mell'!F17-'3.c. sz. mell '!F17)</f>
        <v>0</v>
      </c>
      <c r="G17" s="1382">
        <f t="shared" si="0"/>
        <v>0</v>
      </c>
      <c r="H17" s="137">
        <f>SUM('3. sz. mell'!H17-'3.b. sz. mell'!H17-'3.c. sz. mell '!H17)</f>
        <v>0</v>
      </c>
      <c r="I17" s="1374">
        <f t="shared" si="0"/>
        <v>0</v>
      </c>
      <c r="J17" s="948">
        <f>SUM('3. sz. mell'!J17-'3.b. sz. mell'!J17-'3.c. sz. mell '!J17)</f>
        <v>0</v>
      </c>
      <c r="K17" s="3332">
        <f t="shared" si="0"/>
        <v>0</v>
      </c>
      <c r="L17" s="137">
        <f>SUM('3. sz. mell'!P17-'3.b. sz. mell'!L17-'3.c. sz. mell '!L17)</f>
        <v>0</v>
      </c>
      <c r="M17" s="137">
        <f>SUM('3. sz. mell'!M17-'3.b. sz. mell'!M17-'3.c. sz. mell '!M17)</f>
        <v>0</v>
      </c>
      <c r="N17" s="139"/>
    </row>
    <row r="18" spans="1:14" s="141" customFormat="1" ht="16.5" hidden="1" thickBot="1" x14ac:dyDescent="0.25">
      <c r="A18" s="142"/>
      <c r="B18" s="143"/>
      <c r="C18" s="27"/>
      <c r="D18" s="144" t="e">
        <f>SUM(#REF!)</f>
        <v>#REF!</v>
      </c>
      <c r="E18" s="144" t="e">
        <f>SUM(#REF!+#REF!)</f>
        <v>#REF!</v>
      </c>
      <c r="F18" s="137"/>
      <c r="G18" s="1382">
        <f t="shared" si="0"/>
        <v>0</v>
      </c>
      <c r="H18" s="137"/>
      <c r="I18" s="1374">
        <f t="shared" si="0"/>
        <v>0</v>
      </c>
      <c r="J18" s="948"/>
      <c r="K18" s="3332">
        <f t="shared" si="0"/>
        <v>0</v>
      </c>
      <c r="L18" s="137"/>
      <c r="M18" s="137"/>
      <c r="N18" s="139"/>
    </row>
    <row r="19" spans="1:14" s="141" customFormat="1" ht="16.5" hidden="1" thickBot="1" x14ac:dyDescent="0.25">
      <c r="A19" s="142"/>
      <c r="B19" s="143"/>
      <c r="C19" s="27"/>
      <c r="D19" s="144" t="e">
        <f>SUM(#REF!)</f>
        <v>#REF!</v>
      </c>
      <c r="E19" s="144" t="e">
        <f>SUM(#REF!)</f>
        <v>#REF!</v>
      </c>
      <c r="F19" s="137">
        <f>SUM('3. sz. mell'!F19-'3.b. sz. mell'!F19-'3.c. sz. mell '!F19)</f>
        <v>0</v>
      </c>
      <c r="G19" s="1382">
        <f t="shared" si="0"/>
        <v>0</v>
      </c>
      <c r="H19" s="137">
        <f>SUM('3. sz. mell'!H19-'3.b. sz. mell'!H19-'3.c. sz. mell '!H19)</f>
        <v>0</v>
      </c>
      <c r="I19" s="1374">
        <f t="shared" si="0"/>
        <v>0</v>
      </c>
      <c r="J19" s="948">
        <f>SUM('3. sz. mell'!J19-'3.b. sz. mell'!J19-'3.c. sz. mell '!J19)</f>
        <v>0</v>
      </c>
      <c r="K19" s="3332">
        <f t="shared" si="0"/>
        <v>0</v>
      </c>
      <c r="L19" s="137">
        <f>SUM('3. sz. mell'!P19-'3.b. sz. mell'!L19-'3.c. sz. mell '!L19)</f>
        <v>0</v>
      </c>
      <c r="M19" s="137">
        <f>SUM('3. sz. mell'!M19-'3.b. sz. mell'!M19-'3.c. sz. mell '!M19)</f>
        <v>0</v>
      </c>
      <c r="N19" s="139"/>
    </row>
    <row r="20" spans="1:14" s="141" customFormat="1" ht="16.5" hidden="1" thickBot="1" x14ac:dyDescent="0.25">
      <c r="A20" s="142"/>
      <c r="B20" s="143"/>
      <c r="C20" s="27"/>
      <c r="D20" s="144"/>
      <c r="E20" s="144"/>
      <c r="F20" s="137">
        <f>SUM('3. sz. mell'!F20-'3.b. sz. mell'!F20-'3.c. sz. mell '!F20)</f>
        <v>0</v>
      </c>
      <c r="G20" s="1382">
        <f t="shared" si="0"/>
        <v>0</v>
      </c>
      <c r="H20" s="137">
        <f>SUM('3. sz. mell'!H20-'3.b. sz. mell'!H20-'3.c. sz. mell '!H20)</f>
        <v>0</v>
      </c>
      <c r="I20" s="1374">
        <f t="shared" si="0"/>
        <v>0</v>
      </c>
      <c r="J20" s="948">
        <f>SUM('3. sz. mell'!J20-'3.b. sz. mell'!J20-'3.c. sz. mell '!J20)</f>
        <v>0</v>
      </c>
      <c r="K20" s="3332">
        <f t="shared" si="0"/>
        <v>0</v>
      </c>
      <c r="L20" s="137">
        <f>SUM('3. sz. mell'!P20-'3.b. sz. mell'!L20-'3.c. sz. mell '!L20)</f>
        <v>0</v>
      </c>
      <c r="M20" s="137">
        <f>SUM('3. sz. mell'!M20-'3.b. sz. mell'!M20-'3.c. sz. mell '!M20)</f>
        <v>0</v>
      </c>
      <c r="N20" s="139"/>
    </row>
    <row r="21" spans="1:14" s="141" customFormat="1" ht="16.5" hidden="1" thickBot="1" x14ac:dyDescent="0.25">
      <c r="A21" s="142"/>
      <c r="B21" s="143"/>
      <c r="C21" s="27"/>
      <c r="D21" s="144"/>
      <c r="E21" s="144"/>
      <c r="F21" s="137">
        <f>SUM('3. sz. mell'!F21-'3.b. sz. mell'!F21-'3.c. sz. mell '!F21)</f>
        <v>0</v>
      </c>
      <c r="G21" s="1382">
        <f t="shared" si="0"/>
        <v>0</v>
      </c>
      <c r="H21" s="137">
        <f>SUM('3. sz. mell'!H21-'3.b. sz. mell'!H21-'3.c. sz. mell '!H21)</f>
        <v>0</v>
      </c>
      <c r="I21" s="1374">
        <f t="shared" si="0"/>
        <v>0</v>
      </c>
      <c r="J21" s="948">
        <f>SUM('3. sz. mell'!J21-'3.b. sz. mell'!J21-'3.c. sz. mell '!J21)</f>
        <v>0</v>
      </c>
      <c r="K21" s="3332">
        <f t="shared" si="0"/>
        <v>0</v>
      </c>
      <c r="L21" s="137">
        <f>SUM('3. sz. mell'!P21-'3.b. sz. mell'!L21-'3.c. sz. mell '!L21)</f>
        <v>0</v>
      </c>
      <c r="M21" s="137">
        <f>SUM('3. sz. mell'!M21-'3.b. sz. mell'!M21-'3.c. sz. mell '!M21)</f>
        <v>0</v>
      </c>
      <c r="N21" s="139"/>
    </row>
    <row r="22" spans="1:14" s="141" customFormat="1" ht="16.5" hidden="1" thickBot="1" x14ac:dyDescent="0.25">
      <c r="A22" s="146"/>
      <c r="B22" s="143"/>
      <c r="C22" s="27"/>
      <c r="D22" s="147" t="e">
        <f>SUM(#REF!)</f>
        <v>#REF!</v>
      </c>
      <c r="E22" s="147" t="e">
        <f>SUM(#REF!)</f>
        <v>#REF!</v>
      </c>
      <c r="F22" s="137">
        <f>SUM('3. sz. mell'!F22-'3.b. sz. mell'!F22-'3.c. sz. mell '!F22)</f>
        <v>0</v>
      </c>
      <c r="G22" s="1382">
        <f t="shared" si="0"/>
        <v>0</v>
      </c>
      <c r="H22" s="137">
        <f>SUM('3. sz. mell'!H22-'3.b. sz. mell'!H22-'3.c. sz. mell '!H22)</f>
        <v>0</v>
      </c>
      <c r="I22" s="1374">
        <f t="shared" si="0"/>
        <v>0</v>
      </c>
      <c r="J22" s="948">
        <f>SUM('3. sz. mell'!J22-'3.b. sz. mell'!J22-'3.c. sz. mell '!J22)</f>
        <v>0</v>
      </c>
      <c r="K22" s="3332">
        <f t="shared" si="0"/>
        <v>0</v>
      </c>
      <c r="L22" s="137">
        <f>SUM('3. sz. mell'!P22-'3.b. sz. mell'!L22-'3.c. sz. mell '!L22)</f>
        <v>0</v>
      </c>
      <c r="M22" s="137">
        <f>SUM('3. sz. mell'!M22-'3.b. sz. mell'!M22-'3.c. sz. mell '!M22)</f>
        <v>0</v>
      </c>
      <c r="N22" s="139"/>
    </row>
    <row r="23" spans="1:14" s="145" customFormat="1" ht="16.5" hidden="1" thickBot="1" x14ac:dyDescent="0.25">
      <c r="A23" s="142"/>
      <c r="B23" s="143"/>
      <c r="C23" s="27"/>
      <c r="D23" s="144" t="e">
        <f>SUM(#REF!)</f>
        <v>#REF!</v>
      </c>
      <c r="E23" s="144" t="e">
        <f>SUM(#REF!)</f>
        <v>#REF!</v>
      </c>
      <c r="F23" s="137">
        <f>SUM('3. sz. mell'!F23-'3.b. sz. mell'!F23-'3.c. sz. mell '!F23)</f>
        <v>0</v>
      </c>
      <c r="G23" s="1382">
        <f t="shared" si="0"/>
        <v>0</v>
      </c>
      <c r="H23" s="137">
        <f>SUM('3. sz. mell'!H23-'3.b. sz. mell'!H23-'3.c. sz. mell '!H23)</f>
        <v>0</v>
      </c>
      <c r="I23" s="1374">
        <f t="shared" si="0"/>
        <v>0</v>
      </c>
      <c r="J23" s="948">
        <f>SUM('3. sz. mell'!J23-'3.b. sz. mell'!J23-'3.c. sz. mell '!J23)</f>
        <v>0</v>
      </c>
      <c r="K23" s="3332">
        <f t="shared" si="0"/>
        <v>0</v>
      </c>
      <c r="L23" s="137">
        <f>SUM('3. sz. mell'!P23-'3.b. sz. mell'!L23-'3.c. sz. mell '!L23)</f>
        <v>0</v>
      </c>
      <c r="M23" s="137">
        <f>SUM('3. sz. mell'!M23-'3.b. sz. mell'!M23-'3.c. sz. mell '!M23)</f>
        <v>0</v>
      </c>
      <c r="N23" s="139"/>
    </row>
    <row r="24" spans="1:14" s="145" customFormat="1" ht="16.5" hidden="1" thickBot="1" x14ac:dyDescent="0.25">
      <c r="A24" s="151"/>
      <c r="B24" s="152"/>
      <c r="C24" s="27"/>
      <c r="D24" s="153"/>
      <c r="E24" s="153"/>
      <c r="F24" s="137">
        <f>SUM('3. sz. mell'!F24-'3.b. sz. mell'!F24-'3.c. sz. mell '!F24)</f>
        <v>0</v>
      </c>
      <c r="G24" s="1382">
        <f t="shared" si="0"/>
        <v>0</v>
      </c>
      <c r="H24" s="137">
        <f>SUM('3. sz. mell'!H24-'3.b. sz. mell'!H24-'3.c. sz. mell '!H24)</f>
        <v>0</v>
      </c>
      <c r="I24" s="1374">
        <f t="shared" si="0"/>
        <v>0</v>
      </c>
      <c r="J24" s="948">
        <f>SUM('3. sz. mell'!J24-'3.b. sz. mell'!J24-'3.c. sz. mell '!J24)</f>
        <v>0</v>
      </c>
      <c r="K24" s="3332">
        <f t="shared" si="0"/>
        <v>0</v>
      </c>
      <c r="L24" s="137">
        <f>SUM('3. sz. mell'!P24-'3.b. sz. mell'!L24-'3.c. sz. mell '!L24)</f>
        <v>0</v>
      </c>
      <c r="M24" s="137">
        <f>SUM('3. sz. mell'!M24-'3.b. sz. mell'!M24-'3.c. sz. mell '!M24)</f>
        <v>0</v>
      </c>
      <c r="N24" s="139"/>
    </row>
    <row r="25" spans="1:14" s="145" customFormat="1" ht="16.5" hidden="1" thickBot="1" x14ac:dyDescent="0.25">
      <c r="A25" s="134"/>
      <c r="B25" s="154"/>
      <c r="C25" s="30"/>
      <c r="D25" s="155"/>
      <c r="E25" s="155"/>
      <c r="F25" s="137">
        <f>SUM('3. sz. mell'!F25-'3.b. sz. mell'!F25-'3.c. sz. mell '!F25)</f>
        <v>0</v>
      </c>
      <c r="G25" s="1382">
        <f t="shared" si="0"/>
        <v>0</v>
      </c>
      <c r="H25" s="137">
        <f>SUM('3. sz. mell'!H25-'3.b. sz. mell'!H25-'3.c. sz. mell '!H25)</f>
        <v>0</v>
      </c>
      <c r="I25" s="1374">
        <f t="shared" si="0"/>
        <v>0</v>
      </c>
      <c r="J25" s="948">
        <f>SUM('3. sz. mell'!J25-'3.b. sz. mell'!J25-'3.c. sz. mell '!J25)</f>
        <v>0</v>
      </c>
      <c r="K25" s="3332">
        <f t="shared" si="0"/>
        <v>0</v>
      </c>
      <c r="L25" s="137">
        <f>SUM('3. sz. mell'!P25-'3.b. sz. mell'!L25-'3.c. sz. mell '!L25)</f>
        <v>0</v>
      </c>
      <c r="M25" s="137">
        <f>SUM('3. sz. mell'!M25-'3.b. sz. mell'!M25-'3.c. sz. mell '!M25)</f>
        <v>0</v>
      </c>
      <c r="N25" s="139"/>
    </row>
    <row r="26" spans="1:14" s="141" customFormat="1" ht="16.5" thickBot="1" x14ac:dyDescent="0.25">
      <c r="A26" s="134" t="s">
        <v>45</v>
      </c>
      <c r="B26" s="148"/>
      <c r="C26" s="30" t="s">
        <v>237</v>
      </c>
      <c r="D26" s="137">
        <f>SUM(D28:D35)</f>
        <v>0</v>
      </c>
      <c r="E26" s="137">
        <f>SUM(E28:E35)</f>
        <v>0</v>
      </c>
      <c r="F26" s="137">
        <f>SUM('3. sz. mell'!F26-'3.b. sz. mell'!F26-'3.c. sz. mell '!F26)</f>
        <v>605278130</v>
      </c>
      <c r="G26" s="1382">
        <f t="shared" si="0"/>
        <v>42434189</v>
      </c>
      <c r="H26" s="137">
        <f>SUM('3. sz. mell'!H26-'3.b. sz. mell'!H26-'3.c. sz. mell '!H26)</f>
        <v>647712319</v>
      </c>
      <c r="I26" s="1374">
        <f t="shared" si="0"/>
        <v>66639001</v>
      </c>
      <c r="J26" s="948">
        <f>SUM('3. sz. mell'!J26-'3.b. sz. mell'!J26-'3.c. sz. mell '!J26)</f>
        <v>714351320</v>
      </c>
      <c r="K26" s="3332">
        <f t="shared" si="0"/>
        <v>0</v>
      </c>
      <c r="L26" s="137">
        <f>SUM('3. sz. mell'!L26-'3.b. sz. mell'!L26-'3.c. sz. mell '!L26)</f>
        <v>714351320</v>
      </c>
      <c r="M26" s="137">
        <f>SUM('3. sz. mell'!M26-'3.b. sz. mell'!M26-'3.c. sz. mell '!M26)</f>
        <v>714351320</v>
      </c>
      <c r="N26" s="139"/>
    </row>
    <row r="27" spans="1:14" s="141" customFormat="1" ht="21" customHeight="1" thickBot="1" x14ac:dyDescent="0.25">
      <c r="A27" s="134" t="s">
        <v>67</v>
      </c>
      <c r="B27" s="148"/>
      <c r="C27" s="30" t="s">
        <v>293</v>
      </c>
      <c r="D27" s="137"/>
      <c r="E27" s="137"/>
      <c r="F27" s="137"/>
      <c r="G27" s="1382">
        <f t="shared" si="0"/>
        <v>0</v>
      </c>
      <c r="H27" s="137"/>
      <c r="I27" s="1374">
        <f t="shared" si="0"/>
        <v>0</v>
      </c>
      <c r="J27" s="137"/>
      <c r="K27" s="3332">
        <f t="shared" si="0"/>
        <v>0</v>
      </c>
      <c r="L27" s="137"/>
      <c r="M27" s="137"/>
      <c r="N27" s="139"/>
    </row>
    <row r="28" spans="1:14" s="145" customFormat="1" ht="30.75" customHeight="1" thickBot="1" x14ac:dyDescent="0.25">
      <c r="A28" s="134" t="s">
        <v>79</v>
      </c>
      <c r="B28" s="154"/>
      <c r="C28" s="136" t="s">
        <v>294</v>
      </c>
      <c r="D28" s="252"/>
      <c r="E28" s="252"/>
      <c r="F28" s="138"/>
      <c r="G28" s="1382">
        <f t="shared" si="0"/>
        <v>0</v>
      </c>
      <c r="H28" s="138"/>
      <c r="I28" s="1374">
        <f t="shared" si="0"/>
        <v>71704828</v>
      </c>
      <c r="J28" s="1697">
        <f>SUM(J29:J31)</f>
        <v>71704828</v>
      </c>
      <c r="K28" s="3443">
        <f>SUM(K29:K31)</f>
        <v>0</v>
      </c>
      <c r="L28" s="1697">
        <f>SUM(L29:L31)</f>
        <v>71704828</v>
      </c>
      <c r="M28" s="1697">
        <f>SUM(M29:M31)</f>
        <v>71704828</v>
      </c>
      <c r="N28" s="139"/>
    </row>
    <row r="29" spans="1:14" s="145" customFormat="1" ht="18.75" customHeight="1" thickBot="1" x14ac:dyDescent="0.25">
      <c r="A29" s="134" t="s">
        <v>89</v>
      </c>
      <c r="B29" s="154"/>
      <c r="C29" s="30" t="s">
        <v>271</v>
      </c>
      <c r="D29" s="252"/>
      <c r="E29" s="252"/>
      <c r="F29" s="137"/>
      <c r="G29" s="1382">
        <f t="shared" si="0"/>
        <v>0</v>
      </c>
      <c r="H29" s="137"/>
      <c r="I29" s="1374">
        <f t="shared" si="0"/>
        <v>0</v>
      </c>
      <c r="J29" s="948"/>
      <c r="K29" s="3332">
        <f t="shared" si="0"/>
        <v>0</v>
      </c>
      <c r="L29" s="137"/>
      <c r="M29" s="137"/>
      <c r="N29" s="139"/>
    </row>
    <row r="30" spans="1:14" s="145" customFormat="1" ht="18.75" customHeight="1" thickBot="1" x14ac:dyDescent="0.25">
      <c r="A30" s="134" t="s">
        <v>99</v>
      </c>
      <c r="B30" s="154"/>
      <c r="C30" s="30" t="s">
        <v>295</v>
      </c>
      <c r="D30" s="252"/>
      <c r="E30" s="252"/>
      <c r="F30" s="137"/>
      <c r="G30" s="1382">
        <f t="shared" si="0"/>
        <v>0</v>
      </c>
      <c r="H30" s="137"/>
      <c r="I30" s="1374">
        <f t="shared" si="0"/>
        <v>71704828</v>
      </c>
      <c r="J30" s="948">
        <f>SUM('3.1. Cofog'!P22+'3.1. Cofog'!P35)</f>
        <v>71704828</v>
      </c>
      <c r="K30" s="3332">
        <f>SUM(L31-J31)</f>
        <v>0</v>
      </c>
      <c r="L30" s="948">
        <f>SUM('3.1. Cofog'!R22+'3.1. Cofog'!R35)</f>
        <v>71704828</v>
      </c>
      <c r="M30" s="948">
        <f>SUM('3.1. Cofog'!S22+'3.1. Cofog'!S35)</f>
        <v>71704828</v>
      </c>
      <c r="N30" s="139"/>
    </row>
    <row r="31" spans="1:14" s="145" customFormat="1" ht="18.75" customHeight="1" thickBot="1" x14ac:dyDescent="0.25">
      <c r="A31" s="134" t="s">
        <v>101</v>
      </c>
      <c r="B31" s="154"/>
      <c r="C31" s="30" t="s">
        <v>296</v>
      </c>
      <c r="D31" s="252"/>
      <c r="E31" s="252"/>
      <c r="F31" s="137"/>
      <c r="G31" s="1382">
        <f t="shared" si="0"/>
        <v>0</v>
      </c>
      <c r="H31" s="137"/>
      <c r="I31" s="1374">
        <f t="shared" si="0"/>
        <v>0</v>
      </c>
      <c r="J31" s="948"/>
      <c r="K31" s="3332">
        <f t="shared" si="0"/>
        <v>0</v>
      </c>
      <c r="L31" s="137"/>
      <c r="M31" s="137"/>
      <c r="N31" s="139"/>
    </row>
    <row r="32" spans="1:14" s="145" customFormat="1" ht="21.75" customHeight="1" thickBot="1" x14ac:dyDescent="0.25">
      <c r="A32" s="134" t="s">
        <v>109</v>
      </c>
      <c r="B32" s="154"/>
      <c r="C32" s="136" t="s">
        <v>297</v>
      </c>
      <c r="D32" s="252"/>
      <c r="E32" s="252"/>
      <c r="F32" s="445">
        <f>F33+F36</f>
        <v>0</v>
      </c>
      <c r="G32" s="1382">
        <f t="shared" si="0"/>
        <v>1506789030</v>
      </c>
      <c r="H32" s="445">
        <f>H33+H36</f>
        <v>1506789030</v>
      </c>
      <c r="I32" s="1374">
        <f t="shared" si="0"/>
        <v>273810227</v>
      </c>
      <c r="J32" s="1698">
        <f>J33+J36</f>
        <v>1780599257</v>
      </c>
      <c r="K32" s="3332">
        <f t="shared" si="0"/>
        <v>1747959</v>
      </c>
      <c r="L32" s="445">
        <f>L33+L36</f>
        <v>1782347216</v>
      </c>
      <c r="M32" s="445">
        <f>M33+M36</f>
        <v>1780599257</v>
      </c>
      <c r="N32" s="139"/>
    </row>
    <row r="33" spans="1:19" s="145" customFormat="1" ht="21.75" customHeight="1" thickBot="1" x14ac:dyDescent="0.25">
      <c r="A33" s="134" t="s">
        <v>119</v>
      </c>
      <c r="B33" s="154"/>
      <c r="C33" s="30" t="s">
        <v>120</v>
      </c>
      <c r="D33" s="252"/>
      <c r="E33" s="252"/>
      <c r="F33" s="252">
        <f>SUM(F34:F35)</f>
        <v>0</v>
      </c>
      <c r="G33" s="1382">
        <f t="shared" si="0"/>
        <v>1299266963</v>
      </c>
      <c r="H33" s="252">
        <f>SUM(H34:H35)</f>
        <v>1299266963</v>
      </c>
      <c r="I33" s="1374">
        <f t="shared" si="0"/>
        <v>0</v>
      </c>
      <c r="J33" s="1699">
        <f>SUM(J34:J35)</f>
        <v>1299266963</v>
      </c>
      <c r="K33" s="3334">
        <f t="shared" si="0"/>
        <v>0</v>
      </c>
      <c r="L33" s="252">
        <f>SUM(L34:L35)</f>
        <v>1299266963</v>
      </c>
      <c r="M33" s="252">
        <f>SUM(M34:M35)</f>
        <v>1299266963</v>
      </c>
      <c r="N33" s="139"/>
    </row>
    <row r="34" spans="1:19" s="145" customFormat="1" ht="21.75" customHeight="1" thickBot="1" x14ac:dyDescent="0.25">
      <c r="A34" s="134" t="s">
        <v>125</v>
      </c>
      <c r="B34" s="677"/>
      <c r="C34" s="678" t="s">
        <v>803</v>
      </c>
      <c r="D34" s="150"/>
      <c r="E34" s="150"/>
      <c r="F34" s="150"/>
      <c r="G34" s="1415">
        <f t="shared" si="0"/>
        <v>1299266963</v>
      </c>
      <c r="H34" s="144">
        <f>SUM('3.1. Cofog'!N38)</f>
        <v>1299266963</v>
      </c>
      <c r="I34" s="1415">
        <f>SUM('3.1. Cofog'!O38)</f>
        <v>0</v>
      </c>
      <c r="J34" s="144">
        <f>SUM('3.1. Cofog'!P38)</f>
        <v>1299266963</v>
      </c>
      <c r="K34" s="3334">
        <f>SUM('3.1. Cofog'!Q38)</f>
        <v>0</v>
      </c>
      <c r="L34" s="144">
        <f>SUM('3.1. Cofog'!R38)</f>
        <v>1299266963</v>
      </c>
      <c r="M34" s="144">
        <f>SUM('3.1. Cofog'!S38)</f>
        <v>1299266963</v>
      </c>
      <c r="N34" s="139"/>
      <c r="O34" s="4468" t="s">
        <v>771</v>
      </c>
      <c r="P34" s="4469" t="s">
        <v>1799</v>
      </c>
      <c r="Q34" s="4469" t="s">
        <v>1800</v>
      </c>
      <c r="R34" s="4469" t="s">
        <v>1802</v>
      </c>
      <c r="S34" s="4469" t="s">
        <v>1801</v>
      </c>
    </row>
    <row r="35" spans="1:19" s="145" customFormat="1" ht="21.75" customHeight="1" thickBot="1" x14ac:dyDescent="0.25">
      <c r="A35" s="134" t="s">
        <v>133</v>
      </c>
      <c r="B35" s="679"/>
      <c r="C35" s="680" t="s">
        <v>804</v>
      </c>
      <c r="D35" s="294"/>
      <c r="E35" s="294"/>
      <c r="F35" s="294"/>
      <c r="G35" s="1415">
        <f t="shared" si="0"/>
        <v>0</v>
      </c>
      <c r="H35" s="144"/>
      <c r="I35" s="1376">
        <f t="shared" si="0"/>
        <v>0</v>
      </c>
      <c r="J35" s="610"/>
      <c r="K35" s="3334">
        <f t="shared" si="0"/>
        <v>0</v>
      </c>
      <c r="L35" s="144"/>
      <c r="M35" s="144"/>
      <c r="N35" s="139"/>
      <c r="O35" s="4468"/>
      <c r="P35" s="4469"/>
      <c r="Q35" s="4469"/>
      <c r="R35" s="4469"/>
      <c r="S35" s="4469"/>
    </row>
    <row r="36" spans="1:19" s="145" customFormat="1" ht="16.5" customHeight="1" thickBot="1" x14ac:dyDescent="0.3">
      <c r="A36" s="134" t="s">
        <v>143</v>
      </c>
      <c r="B36" s="154"/>
      <c r="C36" s="219" t="s">
        <v>1006</v>
      </c>
      <c r="D36" s="252"/>
      <c r="E36" s="252"/>
      <c r="F36" s="252"/>
      <c r="G36" s="1415">
        <f t="shared" si="0"/>
        <v>207522067</v>
      </c>
      <c r="H36" s="252">
        <f>SUM('3.1. Cofog'!N25)</f>
        <v>207522067</v>
      </c>
      <c r="I36" s="1415">
        <f>SUM('3.1. Cofog'!O25)</f>
        <v>273810227</v>
      </c>
      <c r="J36" s="252">
        <f>SUM('3.1. Cofog'!P25)</f>
        <v>481332294</v>
      </c>
      <c r="K36" s="3334">
        <f t="shared" si="0"/>
        <v>1747959</v>
      </c>
      <c r="L36" s="252">
        <f>SUM('3.1. Cofog'!R25)</f>
        <v>483080253</v>
      </c>
      <c r="M36" s="252">
        <f>SUM('3.1. Cofog'!S25)</f>
        <v>481332294</v>
      </c>
      <c r="N36" s="139"/>
      <c r="O36" s="4468"/>
      <c r="P36" s="4469"/>
      <c r="Q36" s="4469"/>
      <c r="R36" s="4469"/>
      <c r="S36" s="4469"/>
    </row>
    <row r="37" spans="1:19" s="145" customFormat="1" ht="16.5" thickBot="1" x14ac:dyDescent="0.25">
      <c r="A37" s="134" t="s">
        <v>145</v>
      </c>
      <c r="B37" s="160"/>
      <c r="C37" s="161" t="s">
        <v>331</v>
      </c>
      <c r="D37" s="162" t="e">
        <f>+#REF!+#REF!+#REF!</f>
        <v>#REF!</v>
      </c>
      <c r="E37" s="162" t="e">
        <f>+#REF!+#REF!+#REF!</f>
        <v>#REF!</v>
      </c>
      <c r="F37" s="162">
        <f>SUM(F7+F28+F32)-F36</f>
        <v>2314152711</v>
      </c>
      <c r="G37" s="1437">
        <f t="shared" si="0"/>
        <v>598813215</v>
      </c>
      <c r="H37" s="162">
        <f>SUM(H7+H28+H32)</f>
        <v>2912965926</v>
      </c>
      <c r="I37" s="1373">
        <f t="shared" si="0"/>
        <v>149107375</v>
      </c>
      <c r="J37" s="162">
        <f>SUM(J7+J28+J32)</f>
        <v>3062073301</v>
      </c>
      <c r="K37" s="3364">
        <f t="shared" si="0"/>
        <v>1747959</v>
      </c>
      <c r="L37" s="162">
        <f>SUM(L7+L28+L32)</f>
        <v>3063821260</v>
      </c>
      <c r="M37" s="162">
        <f>SUM(M7+M28+M32)</f>
        <v>4321968181</v>
      </c>
      <c r="N37" s="139"/>
    </row>
    <row r="38" spans="1:19" s="145" customFormat="1" ht="15" customHeight="1" thickBot="1" x14ac:dyDescent="0.25">
      <c r="A38" s="880"/>
      <c r="B38" s="163"/>
      <c r="C38" s="164"/>
      <c r="D38" s="165"/>
      <c r="E38" s="165"/>
      <c r="F38" s="881"/>
      <c r="G38" s="1532"/>
      <c r="H38" s="1532"/>
      <c r="I38" s="1532"/>
      <c r="J38" s="1532"/>
      <c r="K38" s="3444"/>
      <c r="L38" s="1532"/>
      <c r="M38" s="165"/>
      <c r="N38" s="139"/>
      <c r="O38" s="205">
        <f>SUM(F78-F37)</f>
        <v>0</v>
      </c>
      <c r="P38" s="205">
        <f>SUM(H78-H37)</f>
        <v>0</v>
      </c>
      <c r="Q38" s="205">
        <f>SUM(J78-J37)</f>
        <v>0</v>
      </c>
      <c r="R38" s="205">
        <f>SUM(L78-L37)</f>
        <v>0</v>
      </c>
      <c r="S38" s="205">
        <f>SUM(M78-M37)</f>
        <v>-1562656726</v>
      </c>
    </row>
    <row r="39" spans="1:19" s="129" customFormat="1" ht="20.25" customHeight="1" thickBot="1" x14ac:dyDescent="0.25">
      <c r="A39" s="166"/>
      <c r="B39" s="167"/>
      <c r="C39" s="168" t="s">
        <v>231</v>
      </c>
      <c r="D39" s="169"/>
      <c r="E39" s="169"/>
      <c r="F39" s="169"/>
      <c r="G39" s="1591"/>
      <c r="H39" s="169"/>
      <c r="I39" s="1591"/>
      <c r="J39" s="1599"/>
      <c r="K39" s="3445"/>
      <c r="L39" s="169"/>
      <c r="M39" s="169"/>
      <c r="N39" s="139"/>
    </row>
    <row r="40" spans="1:19" s="172" customFormat="1" ht="15" customHeight="1" thickBot="1" x14ac:dyDescent="0.25">
      <c r="A40" s="134" t="s">
        <v>3</v>
      </c>
      <c r="B40" s="170"/>
      <c r="C40" s="171" t="s">
        <v>1161</v>
      </c>
      <c r="D40" s="137" t="e">
        <f>SUM(D41:D45)+D56</f>
        <v>#REF!</v>
      </c>
      <c r="E40" s="137" t="e">
        <f>SUM(E41:E45)+E56</f>
        <v>#REF!</v>
      </c>
      <c r="F40" s="137">
        <f>SUM(F41:F45)</f>
        <v>1072169825</v>
      </c>
      <c r="G40" s="1382">
        <f t="shared" ref="G40:G57" si="1">SUM(H40-F40)</f>
        <v>576648287</v>
      </c>
      <c r="H40" s="137">
        <f>SUM(H41:H45)</f>
        <v>1648818112</v>
      </c>
      <c r="I40" s="1374">
        <f t="shared" ref="I40:I45" si="2">SUM(J40-H40)</f>
        <v>193683428</v>
      </c>
      <c r="J40" s="137">
        <f>SUM(J41:J45)</f>
        <v>1842501540</v>
      </c>
      <c r="K40" s="3332">
        <f>SUM(L40-J40)</f>
        <v>1747959</v>
      </c>
      <c r="L40" s="137">
        <f>SUM(L41:L45)</f>
        <v>1844249499</v>
      </c>
      <c r="M40" s="137">
        <f>SUM(M41:M45)</f>
        <v>1537414264</v>
      </c>
      <c r="N40" s="139"/>
    </row>
    <row r="41" spans="1:19" ht="15" customHeight="1" x14ac:dyDescent="0.2">
      <c r="A41" s="173"/>
      <c r="B41" s="174" t="s">
        <v>152</v>
      </c>
      <c r="C41" s="55" t="s">
        <v>153</v>
      </c>
      <c r="D41" s="175" t="e">
        <f>SUM(#REF!+#REF!+#REF!+#REF!)</f>
        <v>#REF!</v>
      </c>
      <c r="E41" s="175" t="e">
        <f>SUM(#REF!+#REF!+#REF!+#REF!)</f>
        <v>#REF!</v>
      </c>
      <c r="F41" s="175">
        <f>SUM('3.2 Cofogos'!E61+'3.2 Cofogos'!E95+'3.2 Cofogos'!E107)+'3.2 Cofogos'!E5</f>
        <v>130762549</v>
      </c>
      <c r="G41" s="1432">
        <f t="shared" si="1"/>
        <v>24713486</v>
      </c>
      <c r="H41" s="175">
        <f>SUM('3.2 Cofogos'!G61+'3.2 Cofogos'!G95+'3.2 Cofogos'!G107)+'3.2 Cofogos'!G5</f>
        <v>155476035</v>
      </c>
      <c r="I41" s="1386">
        <f t="shared" si="2"/>
        <v>45829609</v>
      </c>
      <c r="J41" s="175">
        <f>SUM('3.2 Cofogos'!I61+'3.2 Cofogos'!I95+'3.2 Cofogos'!I107)+'3.2 Cofogos'!I5</f>
        <v>201305644</v>
      </c>
      <c r="K41" s="3345">
        <f>SUM(L41-J41)</f>
        <v>0</v>
      </c>
      <c r="L41" s="175">
        <f>SUM('3.2 Cofogos'!K61+'3.2 Cofogos'!K95+'3.2 Cofogos'!K107)+'3.2 Cofogos'!K5</f>
        <v>201305644</v>
      </c>
      <c r="M41" s="175">
        <f>SUM('3.2 Cofogos'!L61+'3.2 Cofogos'!L95+'3.2 Cofogos'!L107)+'3.2 Cofogos'!L5</f>
        <v>171187995</v>
      </c>
      <c r="N41" s="139"/>
    </row>
    <row r="42" spans="1:19" ht="15" customHeight="1" x14ac:dyDescent="0.2">
      <c r="A42" s="142"/>
      <c r="B42" s="176" t="s">
        <v>154</v>
      </c>
      <c r="C42" s="55" t="s">
        <v>155</v>
      </c>
      <c r="D42" s="144" t="e">
        <f>SUM(#REF!+#REF!+#REF!+#REF!+#REF!)</f>
        <v>#REF!</v>
      </c>
      <c r="E42" s="144" t="e">
        <f>SUM(#REF!+#REF!+#REF!+#REF!+#REF!)</f>
        <v>#REF!</v>
      </c>
      <c r="F42" s="175">
        <f>SUM('3.2 Cofogos'!E62+'3.2 Cofogos'!E96+'3.2 Cofogos'!E108)+'3.2 Cofogos'!E6</f>
        <v>26147869</v>
      </c>
      <c r="G42" s="1432">
        <f t="shared" si="1"/>
        <v>5863487</v>
      </c>
      <c r="H42" s="175">
        <f>SUM('3.2 Cofogos'!G62+'3.2 Cofogos'!G96+'3.2 Cofogos'!G108)+'3.2 Cofogos'!G6</f>
        <v>32011356</v>
      </c>
      <c r="I42" s="1386">
        <f t="shared" si="2"/>
        <v>7361304</v>
      </c>
      <c r="J42" s="175">
        <f>SUM('3.2 Cofogos'!I62+'3.2 Cofogos'!I96+'3.2 Cofogos'!I108)+'3.2 Cofogos'!I6</f>
        <v>39372660</v>
      </c>
      <c r="K42" s="3345">
        <f>SUM(L42-J42)</f>
        <v>0</v>
      </c>
      <c r="L42" s="175">
        <f>SUM('3.2 Cofogos'!K62+'3.2 Cofogos'!K96+'3.2 Cofogos'!K108)+'3.2 Cofogos'!K6</f>
        <v>39372660</v>
      </c>
      <c r="M42" s="175">
        <f>SUM('3.2 Cofogos'!L62+'3.2 Cofogos'!L96+'3.2 Cofogos'!L108)+'3.2 Cofogos'!L6</f>
        <v>30559295</v>
      </c>
      <c r="N42" s="139"/>
    </row>
    <row r="43" spans="1:19" ht="15" customHeight="1" x14ac:dyDescent="0.2">
      <c r="A43" s="142"/>
      <c r="B43" s="176" t="s">
        <v>156</v>
      </c>
      <c r="C43" s="55" t="s">
        <v>157</v>
      </c>
      <c r="D43" s="144" t="e">
        <f>SUM(#REF!+#REF!+#REF!+#REF!+#REF!+#REF!+#REF!+#REF!+#REF!+#REF!+#REF!+#REF!+#REF!)</f>
        <v>#REF!</v>
      </c>
      <c r="E43" s="144" t="e">
        <f>SUM(#REF!+#REF!+#REF!+#REF!+#REF!+#REF!+#REF!+#REF!+#REF!+#REF!+#REF!+#REF!+#REF!)</f>
        <v>#REF!</v>
      </c>
      <c r="F43" s="144">
        <f>SUM('3. sz. mell'!F40-'3.b. sz. mell'!F40-'3.c. sz. mell '!F39)</f>
        <v>447109793</v>
      </c>
      <c r="G43" s="1432">
        <f t="shared" si="1"/>
        <v>512033238</v>
      </c>
      <c r="H43" s="144">
        <f>SUM('3. sz. mell'!H40-'3.b. sz. mell'!H40-'3.c. sz. mell '!H39)</f>
        <v>959143031</v>
      </c>
      <c r="I43" s="1386">
        <f t="shared" si="2"/>
        <v>131458612</v>
      </c>
      <c r="J43" s="144">
        <f>SUM('3. sz. mell'!J40-'3.b. sz. mell'!J40-'3.c. sz. mell '!J39)</f>
        <v>1090601643</v>
      </c>
      <c r="K43" s="3345">
        <f t="shared" ref="K43:K78" si="3">SUM(L43-J43)</f>
        <v>0</v>
      </c>
      <c r="L43" s="144">
        <f>SUM('3. sz. mell'!L40-'3.b. sz. mell'!L40-'3.c. sz. mell '!L39)</f>
        <v>1090601643</v>
      </c>
      <c r="M43" s="144">
        <f>SUM('3. sz. mell'!M40-'3.b. sz. mell'!M40-'3.c. sz. mell '!M39)</f>
        <v>828255741</v>
      </c>
      <c r="N43" s="139"/>
    </row>
    <row r="44" spans="1:19" ht="15" customHeight="1" x14ac:dyDescent="0.2">
      <c r="A44" s="142"/>
      <c r="B44" s="176" t="s">
        <v>158</v>
      </c>
      <c r="C44" s="55" t="s">
        <v>159</v>
      </c>
      <c r="D44" s="144" t="e">
        <f>SUM(#REF!)</f>
        <v>#REF!</v>
      </c>
      <c r="E44" s="144" t="e">
        <f>SUM(#REF!)</f>
        <v>#REF!</v>
      </c>
      <c r="F44" s="144">
        <f>SUM('3.2 Cofogos'!E266)</f>
        <v>32000000</v>
      </c>
      <c r="G44" s="1432">
        <f t="shared" si="1"/>
        <v>22465500</v>
      </c>
      <c r="H44" s="144">
        <f>SUM('3.2 Cofogos'!G266)</f>
        <v>54465500</v>
      </c>
      <c r="I44" s="1386">
        <f t="shared" si="2"/>
        <v>3165000</v>
      </c>
      <c r="J44" s="144">
        <f>SUM('3.2 Cofogos'!I266)+'3.2 Cofogos'!I261</f>
        <v>57630500</v>
      </c>
      <c r="K44" s="3345">
        <f t="shared" si="3"/>
        <v>0</v>
      </c>
      <c r="L44" s="144">
        <f>SUM('3.2 Cofogos'!K266)+'3.2 Cofogos'!K261</f>
        <v>57630500</v>
      </c>
      <c r="M44" s="144">
        <f>SUM('3.2 Cofogos'!L266)+'3.2 Cofogos'!L261</f>
        <v>54870140</v>
      </c>
      <c r="N44" s="139"/>
    </row>
    <row r="45" spans="1:19" ht="15" customHeight="1" x14ac:dyDescent="0.2">
      <c r="A45" s="142"/>
      <c r="B45" s="176" t="s">
        <v>160</v>
      </c>
      <c r="C45" s="55" t="s">
        <v>161</v>
      </c>
      <c r="D45" s="144" t="e">
        <f>SUM(D46:D55)</f>
        <v>#REF!</v>
      </c>
      <c r="E45" s="144" t="e">
        <f>SUM(E46:E55)</f>
        <v>#REF!</v>
      </c>
      <c r="F45" s="144">
        <f>SUM(F46:F50)</f>
        <v>436149614</v>
      </c>
      <c r="G45" s="1432">
        <f t="shared" si="1"/>
        <v>11572576</v>
      </c>
      <c r="H45" s="144">
        <f>SUM(H46:H50)</f>
        <v>447722190</v>
      </c>
      <c r="I45" s="1386">
        <f t="shared" si="2"/>
        <v>5868903</v>
      </c>
      <c r="J45" s="144">
        <f>SUM(J46:J50)</f>
        <v>453591093</v>
      </c>
      <c r="K45" s="3345">
        <f t="shared" si="3"/>
        <v>1747959</v>
      </c>
      <c r="L45" s="144">
        <f>SUM(L46:L50)</f>
        <v>455339052</v>
      </c>
      <c r="M45" s="144">
        <f>SUM(M46:M50)</f>
        <v>452541093</v>
      </c>
      <c r="N45" s="139"/>
    </row>
    <row r="46" spans="1:19" ht="15" customHeight="1" x14ac:dyDescent="0.2">
      <c r="A46" s="142"/>
      <c r="B46" s="176" t="s">
        <v>302</v>
      </c>
      <c r="C46" s="177" t="s">
        <v>1441</v>
      </c>
      <c r="D46" s="144"/>
      <c r="E46" s="144"/>
      <c r="F46" s="144">
        <f>SUM('3.2 Cofogos'!E238+'3.2 Cofogos'!E248)</f>
        <v>87686190</v>
      </c>
      <c r="G46" s="1432">
        <f t="shared" si="1"/>
        <v>12054778</v>
      </c>
      <c r="H46" s="144">
        <f>SUM('3.2 Cofogos'!G238+'3.2 Cofogos'!G248)+'3.2 Cofogos'!G27+'3.2 Cofogos'!G272</f>
        <v>99740968</v>
      </c>
      <c r="I46" s="1386">
        <f>SUM('3.2 Cofogos'!H238+'3.2 Cofogos'!H248)+'3.2 Cofogos'!H27+'3.2 Cofogos'!H272</f>
        <v>7068903</v>
      </c>
      <c r="J46" s="144">
        <f>SUM('3.2 Cofogos'!I238+'3.2 Cofogos'!I248)+'3.2 Cofogos'!I27+'3.2 Cofogos'!I272</f>
        <v>106809871</v>
      </c>
      <c r="K46" s="3345">
        <f t="shared" si="3"/>
        <v>0</v>
      </c>
      <c r="L46" s="144">
        <f>SUM('3.2 Cofogos'!K238+'3.2 Cofogos'!K248)+'3.2 Cofogos'!K27+'3.2 Cofogos'!K272</f>
        <v>106809871</v>
      </c>
      <c r="M46" s="144">
        <f>SUM('3.2 Cofogos'!L238+'3.2 Cofogos'!L248)+'3.2 Cofogos'!L27+'3.2 Cofogos'!L272</f>
        <v>106559871</v>
      </c>
      <c r="N46" s="139"/>
    </row>
    <row r="47" spans="1:19" ht="15" customHeight="1" x14ac:dyDescent="0.2">
      <c r="A47" s="142"/>
      <c r="B47" s="176" t="s">
        <v>304</v>
      </c>
      <c r="C47" s="177" t="s">
        <v>305</v>
      </c>
      <c r="D47" s="144"/>
      <c r="E47" s="144"/>
      <c r="F47" s="144"/>
      <c r="G47" s="1432">
        <f t="shared" si="1"/>
        <v>0</v>
      </c>
      <c r="H47" s="144"/>
      <c r="I47" s="1386">
        <f>SUM(J47-H47)</f>
        <v>0</v>
      </c>
      <c r="J47" s="144"/>
      <c r="K47" s="3345">
        <f t="shared" si="3"/>
        <v>0</v>
      </c>
      <c r="L47" s="144"/>
      <c r="M47" s="144"/>
      <c r="N47" s="139"/>
    </row>
    <row r="48" spans="1:19" ht="15" customHeight="1" x14ac:dyDescent="0.2">
      <c r="A48" s="142"/>
      <c r="B48" s="176" t="s">
        <v>306</v>
      </c>
      <c r="C48" s="177" t="s">
        <v>763</v>
      </c>
      <c r="D48" s="144"/>
      <c r="E48" s="144"/>
      <c r="F48" s="144"/>
      <c r="G48" s="1432">
        <f t="shared" si="1"/>
        <v>0</v>
      </c>
      <c r="H48" s="144"/>
      <c r="I48" s="1386">
        <f>SUM(J48-H48)</f>
        <v>0</v>
      </c>
      <c r="J48" s="144"/>
      <c r="K48" s="3345">
        <f t="shared" si="3"/>
        <v>0</v>
      </c>
      <c r="L48" s="144"/>
      <c r="M48" s="144"/>
      <c r="N48" s="139"/>
    </row>
    <row r="49" spans="1:19" ht="15" customHeight="1" x14ac:dyDescent="0.2">
      <c r="A49" s="142"/>
      <c r="B49" s="176" t="s">
        <v>829</v>
      </c>
      <c r="C49" s="177" t="s">
        <v>936</v>
      </c>
      <c r="D49" s="144"/>
      <c r="E49" s="144"/>
      <c r="F49" s="144">
        <f>SUM('3.2 Cofogos'!E38)</f>
        <v>344463424</v>
      </c>
      <c r="G49" s="1432">
        <f t="shared" si="1"/>
        <v>1517798</v>
      </c>
      <c r="H49" s="144">
        <f>SUM('3.2 Cofogos'!G38)+'3.2 Cofogos'!G25</f>
        <v>345981222</v>
      </c>
      <c r="I49" s="1386">
        <f>SUM('3.2 Cofogos'!H38)+'3.2 Cofogos'!H25</f>
        <v>0</v>
      </c>
      <c r="J49" s="144">
        <f>SUM('3.2 Cofogos'!I38)+'3.2 Cofogos'!I25</f>
        <v>345981222</v>
      </c>
      <c r="K49" s="3345">
        <f t="shared" si="3"/>
        <v>1747959</v>
      </c>
      <c r="L49" s="144">
        <f>SUM('3.2 Cofogos'!K38)+'3.2 Cofogos'!K25</f>
        <v>347729181</v>
      </c>
      <c r="M49" s="144">
        <f>SUM('3.2 Cofogos'!L38)+'3.2 Cofogos'!L25</f>
        <v>345981222</v>
      </c>
      <c r="N49" s="139"/>
    </row>
    <row r="50" spans="1:19" ht="15" customHeight="1" thickBot="1" x14ac:dyDescent="0.25">
      <c r="A50" s="142"/>
      <c r="B50" s="176" t="s">
        <v>937</v>
      </c>
      <c r="C50" s="177" t="s">
        <v>307</v>
      </c>
      <c r="D50" s="144"/>
      <c r="E50" s="144"/>
      <c r="F50" s="144">
        <f>SUM('7.1. sz mell.'!J56)</f>
        <v>4000000</v>
      </c>
      <c r="G50" s="1432">
        <f t="shared" si="1"/>
        <v>-2000000</v>
      </c>
      <c r="H50" s="144">
        <f>SUM('7.1. sz mell.'!L56)</f>
        <v>2000000</v>
      </c>
      <c r="I50" s="1432">
        <f>SUM('7.1. sz mell.'!M56)</f>
        <v>-1200000</v>
      </c>
      <c r="J50" s="144">
        <f>SUM('7.1. sz mell.'!N56)</f>
        <v>800000</v>
      </c>
      <c r="K50" s="3345">
        <f t="shared" si="3"/>
        <v>0</v>
      </c>
      <c r="L50" s="144">
        <f>SUM('7.1. sz mell.'!P56)</f>
        <v>800000</v>
      </c>
      <c r="M50" s="144">
        <f>SUM('7.1. sz mell.'!Q56)</f>
        <v>0</v>
      </c>
      <c r="N50" s="139"/>
    </row>
    <row r="51" spans="1:19" ht="12.75" hidden="1" customHeight="1" x14ac:dyDescent="0.2">
      <c r="A51" s="142"/>
      <c r="B51" s="176"/>
      <c r="C51" s="177"/>
      <c r="D51" s="144" t="e">
        <f>SUM(#REF!)</f>
        <v>#REF!</v>
      </c>
      <c r="E51" s="144" t="e">
        <f>SUM(#REF!)-#REF!-#REF!</f>
        <v>#REF!</v>
      </c>
      <c r="F51" s="144"/>
      <c r="G51" s="1432">
        <f t="shared" si="1"/>
        <v>0</v>
      </c>
      <c r="H51" s="144"/>
      <c r="I51" s="1376"/>
      <c r="J51" s="144"/>
      <c r="K51" s="3345">
        <f t="shared" si="3"/>
        <v>0</v>
      </c>
      <c r="L51" s="144"/>
      <c r="M51" s="144"/>
      <c r="N51" s="139"/>
    </row>
    <row r="52" spans="1:19" ht="12.75" hidden="1" customHeight="1" x14ac:dyDescent="0.2">
      <c r="A52" s="142"/>
      <c r="B52" s="176"/>
      <c r="C52" s="177"/>
      <c r="D52" s="144"/>
      <c r="E52" s="144" t="e">
        <f>#REF!+#REF!+#REF!</f>
        <v>#REF!</v>
      </c>
      <c r="F52" s="144"/>
      <c r="G52" s="1432">
        <f t="shared" si="1"/>
        <v>0</v>
      </c>
      <c r="H52" s="144"/>
      <c r="I52" s="1376"/>
      <c r="J52" s="144"/>
      <c r="K52" s="3345">
        <f t="shared" si="3"/>
        <v>0</v>
      </c>
      <c r="L52" s="144"/>
      <c r="M52" s="144"/>
      <c r="N52" s="139"/>
    </row>
    <row r="53" spans="1:19" ht="12.75" hidden="1" customHeight="1" x14ac:dyDescent="0.2">
      <c r="A53" s="142"/>
      <c r="B53" s="176"/>
      <c r="C53" s="177"/>
      <c r="D53" s="144"/>
      <c r="E53" s="144"/>
      <c r="F53" s="144"/>
      <c r="G53" s="1432">
        <f t="shared" si="1"/>
        <v>0</v>
      </c>
      <c r="H53" s="144"/>
      <c r="I53" s="1376"/>
      <c r="J53" s="144"/>
      <c r="K53" s="3345">
        <f t="shared" si="3"/>
        <v>0</v>
      </c>
      <c r="L53" s="144"/>
      <c r="M53" s="144"/>
      <c r="N53" s="139"/>
    </row>
    <row r="54" spans="1:19" ht="12.75" hidden="1" customHeight="1" x14ac:dyDescent="0.2">
      <c r="A54" s="142"/>
      <c r="B54" s="176"/>
      <c r="C54" s="177"/>
      <c r="D54" s="144" t="e">
        <f>SUM(#REF!)</f>
        <v>#REF!</v>
      </c>
      <c r="E54" s="144" t="e">
        <f>SUM(#REF!)</f>
        <v>#REF!</v>
      </c>
      <c r="F54" s="144"/>
      <c r="G54" s="1432">
        <f t="shared" si="1"/>
        <v>0</v>
      </c>
      <c r="H54" s="144"/>
      <c r="I54" s="1376"/>
      <c r="J54" s="144"/>
      <c r="K54" s="3345">
        <f t="shared" si="3"/>
        <v>0</v>
      </c>
      <c r="L54" s="144"/>
      <c r="M54" s="144"/>
      <c r="N54" s="139"/>
    </row>
    <row r="55" spans="1:19" ht="12.75" hidden="1" customHeight="1" x14ac:dyDescent="0.2">
      <c r="A55" s="151"/>
      <c r="B55" s="176"/>
      <c r="C55" s="177"/>
      <c r="D55" s="153"/>
      <c r="E55" s="153"/>
      <c r="F55" s="153"/>
      <c r="G55" s="1432">
        <f t="shared" si="1"/>
        <v>0</v>
      </c>
      <c r="H55" s="153"/>
      <c r="I55" s="1378"/>
      <c r="J55" s="153"/>
      <c r="K55" s="3345">
        <f t="shared" si="3"/>
        <v>0</v>
      </c>
      <c r="L55" s="153"/>
      <c r="M55" s="153"/>
      <c r="N55" s="139"/>
    </row>
    <row r="56" spans="1:19" ht="12.75" hidden="1" customHeight="1" x14ac:dyDescent="0.2">
      <c r="A56" s="178"/>
      <c r="B56" s="179"/>
      <c r="C56" s="180"/>
      <c r="D56" s="181" t="e">
        <f>SUM(#REF!)</f>
        <v>#REF!</v>
      </c>
      <c r="E56" s="181" t="e">
        <f>#REF!</f>
        <v>#REF!</v>
      </c>
      <c r="F56" s="181"/>
      <c r="G56" s="1432">
        <f t="shared" si="1"/>
        <v>0</v>
      </c>
      <c r="H56" s="181"/>
      <c r="I56" s="1592"/>
      <c r="J56" s="181"/>
      <c r="K56" s="3345">
        <f t="shared" si="3"/>
        <v>0</v>
      </c>
      <c r="L56" s="181"/>
      <c r="M56" s="181"/>
      <c r="N56" s="139"/>
    </row>
    <row r="57" spans="1:19" ht="15" customHeight="1" thickBot="1" x14ac:dyDescent="0.25">
      <c r="A57" s="134" t="s">
        <v>17</v>
      </c>
      <c r="B57" s="170"/>
      <c r="C57" s="171" t="s">
        <v>308</v>
      </c>
      <c r="D57" s="137" t="e">
        <f>SUM(D58:D60)</f>
        <v>#REF!</v>
      </c>
      <c r="E57" s="137" t="e">
        <f>SUM(E58:E60)</f>
        <v>#REF!</v>
      </c>
      <c r="F57" s="137">
        <f>SUM(F58:F60)</f>
        <v>73914000</v>
      </c>
      <c r="G57" s="1382">
        <f t="shared" si="1"/>
        <v>-21749448</v>
      </c>
      <c r="H57" s="137">
        <f>SUM(H58:H60)</f>
        <v>52164552</v>
      </c>
      <c r="I57" s="1374">
        <f>SUM(J57-H57)</f>
        <v>-36608788</v>
      </c>
      <c r="J57" s="137">
        <f>SUM(J58:J60)</f>
        <v>15555764</v>
      </c>
      <c r="K57" s="3332">
        <f t="shared" si="3"/>
        <v>0</v>
      </c>
      <c r="L57" s="137">
        <f>SUM(L58:L60)</f>
        <v>15555764</v>
      </c>
      <c r="M57" s="137">
        <f>SUM(M58:M60)</f>
        <v>15555764</v>
      </c>
      <c r="N57" s="139"/>
    </row>
    <row r="58" spans="1:19" s="172" customFormat="1" ht="15" customHeight="1" x14ac:dyDescent="0.2">
      <c r="A58" s="173"/>
      <c r="B58" s="176" t="s">
        <v>309</v>
      </c>
      <c r="C58" s="55" t="s">
        <v>270</v>
      </c>
      <c r="D58" s="175" t="e">
        <f>SUM(#REF!)</f>
        <v>#REF!</v>
      </c>
      <c r="E58" s="175" t="e">
        <f>SUM(#REF!)</f>
        <v>#REF!</v>
      </c>
      <c r="F58" s="144"/>
      <c r="G58" s="1432"/>
      <c r="H58" s="175"/>
      <c r="I58" s="1386"/>
      <c r="J58" s="175"/>
      <c r="K58" s="3345">
        <f t="shared" si="3"/>
        <v>0</v>
      </c>
      <c r="L58" s="175"/>
      <c r="M58" s="175"/>
      <c r="N58" s="139"/>
    </row>
    <row r="59" spans="1:19" ht="15" customHeight="1" x14ac:dyDescent="0.2">
      <c r="A59" s="142"/>
      <c r="B59" s="176" t="s">
        <v>311</v>
      </c>
      <c r="C59" s="55" t="s">
        <v>185</v>
      </c>
      <c r="D59" s="144" t="e">
        <f>SUM(#REF!)</f>
        <v>#REF!</v>
      </c>
      <c r="E59" s="144" t="e">
        <f>SUM(#REF!)</f>
        <v>#REF!</v>
      </c>
      <c r="F59" s="144"/>
      <c r="G59" s="1415"/>
      <c r="H59" s="144"/>
      <c r="I59" s="1376"/>
      <c r="J59" s="144"/>
      <c r="K59" s="3345">
        <f t="shared" si="3"/>
        <v>0</v>
      </c>
      <c r="L59" s="144"/>
      <c r="M59" s="144"/>
      <c r="N59" s="139"/>
    </row>
    <row r="60" spans="1:19" ht="15" customHeight="1" x14ac:dyDescent="0.2">
      <c r="A60" s="142"/>
      <c r="B60" s="176" t="s">
        <v>312</v>
      </c>
      <c r="C60" s="55" t="s">
        <v>273</v>
      </c>
      <c r="D60" s="144" t="e">
        <f>SUM(D63+D62)</f>
        <v>#REF!</v>
      </c>
      <c r="E60" s="144" t="e">
        <f>SUM(E63+E62)</f>
        <v>#REF!</v>
      </c>
      <c r="F60" s="144">
        <f>SUM(F61:F63)</f>
        <v>73914000</v>
      </c>
      <c r="G60" s="1432">
        <f>SUM(H60-F60)</f>
        <v>-21749448</v>
      </c>
      <c r="H60" s="144">
        <f>SUM(H61:H63)</f>
        <v>52164552</v>
      </c>
      <c r="I60" s="1386">
        <f>SUM(J60-H60)</f>
        <v>-36608788</v>
      </c>
      <c r="J60" s="144">
        <f>SUM(J61:J64)</f>
        <v>15555764</v>
      </c>
      <c r="K60" s="3345">
        <f t="shared" si="3"/>
        <v>0</v>
      </c>
      <c r="L60" s="144">
        <f>SUM(L61:L64)</f>
        <v>15555764</v>
      </c>
      <c r="M60" s="144">
        <f>SUM(M61:M64)</f>
        <v>15555764</v>
      </c>
      <c r="N60" s="139"/>
    </row>
    <row r="61" spans="1:19" ht="15" customHeight="1" x14ac:dyDescent="0.2">
      <c r="A61" s="142"/>
      <c r="B61" s="176" t="s">
        <v>313</v>
      </c>
      <c r="C61" s="177" t="s">
        <v>314</v>
      </c>
      <c r="D61" s="144"/>
      <c r="E61" s="144"/>
      <c r="F61" s="144">
        <f>SUM('3. sz. mell'!F58-'3.b. sz. mell'!F58-'3.c. sz. mell '!F57)</f>
        <v>73914000</v>
      </c>
      <c r="G61" s="1432">
        <f>SUM(H61-F61)</f>
        <v>-21749448</v>
      </c>
      <c r="H61" s="144">
        <f>SUM('3. sz. mell'!H58-'3.b. sz. mell'!H58-'3.c. sz. mell '!H57)</f>
        <v>52164552</v>
      </c>
      <c r="I61" s="1386">
        <f>SUM(J61-H61)</f>
        <v>-42164552</v>
      </c>
      <c r="J61" s="144">
        <f>SUM('3. sz. mell'!J58-'3.b. sz. mell'!J58-'3.c. sz. mell '!J57)</f>
        <v>10000000</v>
      </c>
      <c r="K61" s="3345">
        <f t="shared" si="3"/>
        <v>0</v>
      </c>
      <c r="L61" s="144">
        <f>SUM('3. sz. mell'!L58-'3.b. sz. mell'!L58-'3.c. sz. mell '!L57)</f>
        <v>10000000</v>
      </c>
      <c r="M61" s="144">
        <f>SUM('3. sz. mell'!M58-'3.b. sz. mell'!M58-'3.c. sz. mell '!M57)</f>
        <v>10000000</v>
      </c>
      <c r="N61" s="139"/>
    </row>
    <row r="62" spans="1:19" ht="15" customHeight="1" x14ac:dyDescent="0.2">
      <c r="A62" s="142"/>
      <c r="B62" s="176" t="s">
        <v>315</v>
      </c>
      <c r="C62" s="177" t="s">
        <v>316</v>
      </c>
      <c r="D62" s="144" t="e">
        <f>SUM(#REF!+#REF!)</f>
        <v>#REF!</v>
      </c>
      <c r="E62" s="144" t="e">
        <f>SUM(#REF!+#REF!)</f>
        <v>#REF!</v>
      </c>
      <c r="F62" s="144"/>
      <c r="G62" s="1415"/>
      <c r="H62" s="144"/>
      <c r="I62" s="1376"/>
      <c r="J62" s="144"/>
      <c r="K62" s="3345">
        <f t="shared" si="3"/>
        <v>0</v>
      </c>
      <c r="L62" s="144"/>
      <c r="M62" s="144"/>
      <c r="N62" s="139"/>
    </row>
    <row r="63" spans="1:19" s="172" customFormat="1" ht="15" customHeight="1" x14ac:dyDescent="0.2">
      <c r="A63" s="142"/>
      <c r="B63" s="176" t="s">
        <v>317</v>
      </c>
      <c r="C63" s="177" t="s">
        <v>307</v>
      </c>
      <c r="D63" s="144" t="e">
        <f>SUM(D64:D66)</f>
        <v>#REF!</v>
      </c>
      <c r="E63" s="144" t="e">
        <f>SUM(E64:E66)</f>
        <v>#REF!</v>
      </c>
      <c r="F63" s="144"/>
      <c r="G63" s="1415"/>
      <c r="H63" s="144"/>
      <c r="I63" s="1376"/>
      <c r="J63" s="144"/>
      <c r="K63" s="3345">
        <f t="shared" si="3"/>
        <v>0</v>
      </c>
      <c r="L63" s="144"/>
      <c r="M63" s="144"/>
      <c r="N63" s="139"/>
    </row>
    <row r="64" spans="1:19" ht="12.75" customHeight="1" thickBot="1" x14ac:dyDescent="0.25">
      <c r="A64" s="142"/>
      <c r="B64" s="176" t="s">
        <v>2017</v>
      </c>
      <c r="C64" s="177" t="s">
        <v>2001</v>
      </c>
      <c r="D64" s="183" t="e">
        <f>SUM(#REF!)</f>
        <v>#REF!</v>
      </c>
      <c r="E64" s="183" t="e">
        <f>SUM(#REF!)</f>
        <v>#REF!</v>
      </c>
      <c r="F64" s="183"/>
      <c r="G64" s="2761"/>
      <c r="H64" s="183"/>
      <c r="I64" s="1593"/>
      <c r="J64" s="183">
        <f>SUM('3.2 Cofogos'!I243+'3.2 Cofogos'!I253)</f>
        <v>5555764</v>
      </c>
      <c r="K64" s="3345">
        <f t="shared" si="3"/>
        <v>0</v>
      </c>
      <c r="L64" s="183">
        <f>SUM('3.2 Cofogos'!K243+'3.2 Cofogos'!K253)</f>
        <v>5555764</v>
      </c>
      <c r="M64" s="183">
        <f>SUM('3.2 Cofogos'!L243+'3.2 Cofogos'!L253)</f>
        <v>5555764</v>
      </c>
      <c r="N64" s="139"/>
      <c r="S64" s="184"/>
    </row>
    <row r="65" spans="1:14" ht="12.75" hidden="1" customHeight="1" x14ac:dyDescent="0.25">
      <c r="A65" s="142"/>
      <c r="B65" s="176"/>
      <c r="C65" s="182"/>
      <c r="D65" s="183"/>
      <c r="E65" s="183"/>
      <c r="F65" s="183"/>
      <c r="G65" s="2761"/>
      <c r="H65" s="183"/>
      <c r="I65" s="1593"/>
      <c r="J65" s="183"/>
      <c r="K65" s="3345">
        <f t="shared" si="3"/>
        <v>0</v>
      </c>
      <c r="L65" s="183"/>
      <c r="M65" s="183"/>
      <c r="N65" s="139"/>
    </row>
    <row r="66" spans="1:14" ht="12.75" hidden="1" customHeight="1" thickBot="1" x14ac:dyDescent="0.3">
      <c r="A66" s="151"/>
      <c r="B66" s="176"/>
      <c r="C66" s="185"/>
      <c r="D66" s="186"/>
      <c r="E66" s="186"/>
      <c r="F66" s="186"/>
      <c r="G66" s="2799"/>
      <c r="H66" s="186"/>
      <c r="I66" s="1594"/>
      <c r="J66" s="186"/>
      <c r="K66" s="3345"/>
      <c r="L66" s="186"/>
      <c r="M66" s="186"/>
      <c r="N66" s="139"/>
    </row>
    <row r="67" spans="1:14" ht="12.75" hidden="1" customHeight="1" thickBot="1" x14ac:dyDescent="0.25">
      <c r="A67" s="134"/>
      <c r="B67" s="170"/>
      <c r="C67" s="171"/>
      <c r="D67" s="155"/>
      <c r="E67" s="155" t="e">
        <f>#REF!</f>
        <v>#REF!</v>
      </c>
      <c r="F67" s="155"/>
      <c r="G67" s="1381"/>
      <c r="H67" s="155"/>
      <c r="I67" s="1380"/>
      <c r="J67" s="155"/>
      <c r="K67" s="3345"/>
      <c r="L67" s="155"/>
      <c r="M67" s="155"/>
      <c r="N67" s="139"/>
    </row>
    <row r="68" spans="1:14" s="172" customFormat="1" ht="12.75" hidden="1" customHeight="1" thickBot="1" x14ac:dyDescent="0.25">
      <c r="A68" s="134"/>
      <c r="B68" s="170"/>
      <c r="C68" s="171"/>
      <c r="D68" s="137" t="e">
        <f>+D69+D71</f>
        <v>#REF!</v>
      </c>
      <c r="E68" s="137" t="e">
        <f>+E69+E71</f>
        <v>#REF!</v>
      </c>
      <c r="F68" s="137"/>
      <c r="G68" s="1382"/>
      <c r="H68" s="137"/>
      <c r="I68" s="1374"/>
      <c r="J68" s="137"/>
      <c r="K68" s="3345"/>
      <c r="L68" s="137"/>
      <c r="M68" s="137"/>
      <c r="N68" s="139"/>
    </row>
    <row r="69" spans="1:14" s="172" customFormat="1" ht="12.75" hidden="1" customHeight="1" x14ac:dyDescent="0.2">
      <c r="A69" s="173"/>
      <c r="B69" s="174"/>
      <c r="C69" s="55"/>
      <c r="D69" s="175" t="e">
        <f>SUM(#REF!)</f>
        <v>#REF!</v>
      </c>
      <c r="E69" s="175"/>
      <c r="F69" s="175"/>
      <c r="G69" s="1432"/>
      <c r="H69" s="175"/>
      <c r="I69" s="1386"/>
      <c r="J69" s="175"/>
      <c r="K69" s="3345"/>
      <c r="L69" s="175"/>
      <c r="M69" s="175"/>
      <c r="N69" s="139"/>
    </row>
    <row r="70" spans="1:14" s="172" customFormat="1" ht="12.75" hidden="1" customHeight="1" x14ac:dyDescent="0.2">
      <c r="A70" s="146"/>
      <c r="B70" s="187"/>
      <c r="C70" s="55"/>
      <c r="D70" s="147"/>
      <c r="E70" s="175"/>
      <c r="F70" s="147"/>
      <c r="G70" s="1519"/>
      <c r="H70" s="147"/>
      <c r="I70" s="1377"/>
      <c r="J70" s="147"/>
      <c r="K70" s="3345"/>
      <c r="L70" s="147"/>
      <c r="M70" s="147"/>
      <c r="N70" s="139"/>
    </row>
    <row r="71" spans="1:14" s="172" customFormat="1" ht="12.75" hidden="1" customHeight="1" thickBot="1" x14ac:dyDescent="0.25">
      <c r="A71" s="151"/>
      <c r="B71" s="188"/>
      <c r="C71" s="55"/>
      <c r="D71" s="153" t="e">
        <f>SUM(#REF!)</f>
        <v>#REF!</v>
      </c>
      <c r="E71" s="153" t="e">
        <f>SUM(#REF!)</f>
        <v>#REF!</v>
      </c>
      <c r="F71" s="153"/>
      <c r="G71" s="1518"/>
      <c r="H71" s="153"/>
      <c r="I71" s="1378"/>
      <c r="J71" s="153"/>
      <c r="K71" s="3345">
        <f t="shared" si="3"/>
        <v>0</v>
      </c>
      <c r="L71" s="153"/>
      <c r="M71" s="153"/>
      <c r="N71" s="139"/>
    </row>
    <row r="72" spans="1:14" s="172" customFormat="1" ht="12.75" hidden="1" customHeight="1" thickBot="1" x14ac:dyDescent="0.25">
      <c r="A72" s="134"/>
      <c r="B72" s="189"/>
      <c r="C72" s="171"/>
      <c r="D72" s="155" t="e">
        <f>SUM(#REF!)</f>
        <v>#REF!</v>
      </c>
      <c r="E72" s="155" t="e">
        <f>SUM(#REF!)</f>
        <v>#REF!</v>
      </c>
      <c r="F72" s="155"/>
      <c r="G72" s="1381"/>
      <c r="H72" s="155"/>
      <c r="I72" s="1380"/>
      <c r="J72" s="155"/>
      <c r="K72" s="3345">
        <f t="shared" si="3"/>
        <v>0</v>
      </c>
      <c r="L72" s="155"/>
      <c r="M72" s="155"/>
      <c r="N72" s="139"/>
    </row>
    <row r="73" spans="1:14" s="172" customFormat="1" ht="15" hidden="1" customHeight="1" thickBot="1" x14ac:dyDescent="0.25">
      <c r="A73" s="134"/>
      <c r="B73" s="170"/>
      <c r="C73" s="190"/>
      <c r="D73" s="191" t="e">
        <f>+D40+D57+D67+D68+D72</f>
        <v>#REF!</v>
      </c>
      <c r="E73" s="191" t="e">
        <f>+E40+E57+E67+E68+E72</f>
        <v>#REF!</v>
      </c>
      <c r="F73" s="191"/>
      <c r="G73" s="2800"/>
      <c r="H73" s="191"/>
      <c r="I73" s="1595"/>
      <c r="J73" s="191"/>
      <c r="K73" s="3345">
        <f t="shared" si="3"/>
        <v>0</v>
      </c>
      <c r="L73" s="191"/>
      <c r="M73" s="191"/>
      <c r="N73" s="139"/>
    </row>
    <row r="74" spans="1:14" s="172" customFormat="1" ht="15" customHeight="1" thickBot="1" x14ac:dyDescent="0.25">
      <c r="A74" s="134" t="s">
        <v>31</v>
      </c>
      <c r="B74" s="170"/>
      <c r="C74" s="171" t="s">
        <v>318</v>
      </c>
      <c r="D74" s="137" t="e">
        <f>+D75+D76</f>
        <v>#REF!</v>
      </c>
      <c r="E74" s="137" t="e">
        <f>+E75+E76</f>
        <v>#REF!</v>
      </c>
      <c r="F74" s="137">
        <f>+F75+F76</f>
        <v>1168068886</v>
      </c>
      <c r="G74" s="1382">
        <f>SUM(H74-F74)</f>
        <v>43914376</v>
      </c>
      <c r="H74" s="137">
        <f>+H75+H76</f>
        <v>1211983262</v>
      </c>
      <c r="I74" s="1374">
        <f>SUM(J74-H74)</f>
        <v>-7967265</v>
      </c>
      <c r="J74" s="137">
        <f>+J75+J76</f>
        <v>1204015997</v>
      </c>
      <c r="K74" s="3332">
        <f t="shared" si="3"/>
        <v>0</v>
      </c>
      <c r="L74" s="137">
        <f>+L75+L76</f>
        <v>1204015997</v>
      </c>
      <c r="M74" s="137">
        <f>+M75+M76</f>
        <v>1206341427</v>
      </c>
      <c r="N74" s="139"/>
    </row>
    <row r="75" spans="1:14" ht="15" customHeight="1" x14ac:dyDescent="0.2">
      <c r="A75" s="173"/>
      <c r="B75" s="188" t="s">
        <v>319</v>
      </c>
      <c r="C75" s="55" t="s">
        <v>320</v>
      </c>
      <c r="D75" s="175"/>
      <c r="E75" s="175"/>
      <c r="F75" s="175">
        <f>SUM('3. sz. mell'!F72-'3.b. sz. mell'!F71-'3.c. sz. mell '!F70)</f>
        <v>1168068886</v>
      </c>
      <c r="G75" s="1432">
        <f>SUM(H75-F75)</f>
        <v>43914376</v>
      </c>
      <c r="H75" s="175">
        <f>SUM('3. sz. mell'!H72-'3.b. sz. mell'!H71-'3.c. sz. mell '!H70)</f>
        <v>1211983262</v>
      </c>
      <c r="I75" s="1386">
        <f>SUM(J75-H75)</f>
        <v>-7967265</v>
      </c>
      <c r="J75" s="175">
        <f>SUM('3. sz. mell'!J72-'3.b. sz. mell'!J71-'3.c. sz. mell '!J70)</f>
        <v>1204015997</v>
      </c>
      <c r="K75" s="3345">
        <f t="shared" si="3"/>
        <v>0</v>
      </c>
      <c r="L75" s="175">
        <f>SUM('3. sz. mell'!L72-'3.b. sz. mell'!L71-'3.c. sz. mell '!L70)</f>
        <v>1204015997</v>
      </c>
      <c r="M75" s="175">
        <f>SUM('3. sz. mell'!M72-'3.b. sz. mell'!M71-'3.c. sz. mell '!M70)</f>
        <v>1206341427</v>
      </c>
      <c r="N75" s="139"/>
    </row>
    <row r="76" spans="1:14" ht="15" customHeight="1" thickBot="1" x14ac:dyDescent="0.25">
      <c r="A76" s="151"/>
      <c r="B76" s="188" t="s">
        <v>321</v>
      </c>
      <c r="C76" s="55" t="s">
        <v>274</v>
      </c>
      <c r="D76" s="153" t="e">
        <f>SUM(#REF!)</f>
        <v>#REF!</v>
      </c>
      <c r="E76" s="153" t="e">
        <f>SUM(#REF!)</f>
        <v>#REF!</v>
      </c>
      <c r="F76" s="153"/>
      <c r="G76" s="1518"/>
      <c r="H76" s="153"/>
      <c r="I76" s="1378"/>
      <c r="J76" s="153"/>
      <c r="K76" s="3345">
        <f t="shared" si="3"/>
        <v>0</v>
      </c>
      <c r="L76" s="153"/>
      <c r="M76" s="153"/>
      <c r="N76" s="139"/>
    </row>
    <row r="77" spans="1:14" s="145" customFormat="1" ht="15" customHeight="1" thickBot="1" x14ac:dyDescent="0.25">
      <c r="A77" s="134"/>
      <c r="B77" s="170"/>
      <c r="C77" s="950"/>
      <c r="D77" s="155"/>
      <c r="E77" s="155"/>
      <c r="F77" s="155"/>
      <c r="G77" s="1381"/>
      <c r="H77" s="155"/>
      <c r="I77" s="1380"/>
      <c r="J77" s="155"/>
      <c r="K77" s="3345"/>
      <c r="L77" s="155"/>
      <c r="M77" s="155"/>
      <c r="N77" s="139"/>
    </row>
    <row r="78" spans="1:14" ht="15" customHeight="1" thickBot="1" x14ac:dyDescent="0.25">
      <c r="A78" s="192"/>
      <c r="B78" s="160"/>
      <c r="C78" s="161" t="s">
        <v>322</v>
      </c>
      <c r="D78" s="162" t="e">
        <f>+D73+D74</f>
        <v>#REF!</v>
      </c>
      <c r="E78" s="162" t="e">
        <f>+E73+E74</f>
        <v>#REF!</v>
      </c>
      <c r="F78" s="162">
        <f>SUM(F40+F57+F74)</f>
        <v>2314152711</v>
      </c>
      <c r="G78" s="1437">
        <f>SUM(H78-F78)</f>
        <v>598813215</v>
      </c>
      <c r="H78" s="162">
        <f>SUM(H40+H57+H74)</f>
        <v>2912965926</v>
      </c>
      <c r="I78" s="1373">
        <f>SUM(J78-H78)</f>
        <v>149107375</v>
      </c>
      <c r="J78" s="162">
        <f>SUM(J40+J57+J74)</f>
        <v>3062073301</v>
      </c>
      <c r="K78" s="3364">
        <f t="shared" si="3"/>
        <v>1747959</v>
      </c>
      <c r="L78" s="162">
        <f>SUM(L40+L57+L74)</f>
        <v>3063821260</v>
      </c>
      <c r="M78" s="162">
        <f>SUM(M40+M57+M74)</f>
        <v>2759311455</v>
      </c>
      <c r="N78" s="139"/>
    </row>
    <row r="79" spans="1:14" ht="12.75" hidden="1" customHeight="1" x14ac:dyDescent="0.2">
      <c r="A79" s="882"/>
      <c r="B79" s="193"/>
      <c r="C79" s="194" t="s">
        <v>300</v>
      </c>
      <c r="D79" s="195"/>
      <c r="E79" s="195"/>
      <c r="F79" s="883">
        <f>SUM(F75)</f>
        <v>1168068886</v>
      </c>
      <c r="G79" s="1596"/>
      <c r="H79" s="195">
        <f>SUM(H75)</f>
        <v>1211983262</v>
      </c>
      <c r="I79" s="1596"/>
      <c r="J79" s="195"/>
      <c r="K79" s="3446"/>
      <c r="L79" s="195"/>
      <c r="M79" s="195">
        <f>SUM(M75)</f>
        <v>1206341427</v>
      </c>
      <c r="N79" s="139"/>
    </row>
    <row r="80" spans="1:14" ht="12.75" hidden="1" customHeight="1" x14ac:dyDescent="0.2">
      <c r="A80" s="884"/>
      <c r="B80" s="885"/>
      <c r="C80" s="197" t="s">
        <v>323</v>
      </c>
      <c r="D80" s="886"/>
      <c r="E80" s="886"/>
      <c r="F80" s="888">
        <f>SUM(F78-F79)</f>
        <v>1146083825</v>
      </c>
      <c r="G80" s="1597"/>
      <c r="H80" s="199">
        <f>SUM(H78-H79)</f>
        <v>1700982664</v>
      </c>
      <c r="I80" s="1597"/>
      <c r="J80" s="199"/>
      <c r="K80" s="3447"/>
      <c r="L80" s="199"/>
      <c r="M80" s="199">
        <f>SUM(M78-M79)</f>
        <v>1552970028</v>
      </c>
      <c r="N80" s="139"/>
    </row>
    <row r="81" spans="1:14" ht="20.25" customHeight="1" thickBot="1" x14ac:dyDescent="0.25">
      <c r="A81" s="4418" t="s">
        <v>324</v>
      </c>
      <c r="B81" s="4419"/>
      <c r="C81" s="4419"/>
      <c r="D81" s="200" t="e">
        <f>SUM(#REF!+#REF!)</f>
        <v>#REF!</v>
      </c>
      <c r="E81" s="200" t="e">
        <f>SUM(#REF!+#REF!)</f>
        <v>#REF!</v>
      </c>
      <c r="F81" s="200">
        <f>SUM('3.2 Cofogos'!E104+'3.2 Cofogos'!E115)</f>
        <v>15</v>
      </c>
      <c r="G81" s="1559"/>
      <c r="H81" s="200">
        <f>SUM('3.2 Cofogos'!G104+'3.2 Cofogos'!G115)</f>
        <v>15</v>
      </c>
      <c r="I81" s="200">
        <f>SUM('3.2 Cofogos'!H104+'3.2 Cofogos'!H115)</f>
        <v>1</v>
      </c>
      <c r="J81" s="200">
        <f>SUM('3.2 Cofogos'!I104+'3.2 Cofogos'!I115)</f>
        <v>15</v>
      </c>
      <c r="K81" s="3346">
        <f>SUM('3.2 Cofogos'!J104+'3.2 Cofogos'!J115)</f>
        <v>0</v>
      </c>
      <c r="L81" s="200">
        <f>SUM('3.2 Cofogos'!K104+'3.2 Cofogos'!K115)</f>
        <v>15</v>
      </c>
      <c r="M81" s="200">
        <f>SUM('3.2 Cofogos'!L104+'3.2 Cofogos'!L115)</f>
        <v>15</v>
      </c>
      <c r="N81" s="201"/>
    </row>
    <row r="82" spans="1:14" ht="15" customHeight="1" thickBot="1" x14ac:dyDescent="0.25">
      <c r="A82" s="4418" t="s">
        <v>325</v>
      </c>
      <c r="B82" s="4419"/>
      <c r="C82" s="4419"/>
      <c r="D82" s="202">
        <v>13.5</v>
      </c>
      <c r="E82" s="202">
        <v>13.5</v>
      </c>
      <c r="F82" s="202">
        <f>SUM('3.2 Cofogos'!E66)</f>
        <v>30</v>
      </c>
      <c r="G82" s="2451"/>
      <c r="H82" s="202">
        <f>SUM('3.2 Cofogos'!G66)</f>
        <v>30</v>
      </c>
      <c r="I82" s="202">
        <f>SUM('3.2 Cofogos'!H66)</f>
        <v>30</v>
      </c>
      <c r="J82" s="202">
        <f>SUM('3.2 Cofogos'!I66)</f>
        <v>24</v>
      </c>
      <c r="K82" s="3448">
        <f>SUM('3.2 Cofogos'!J66)</f>
        <v>0</v>
      </c>
      <c r="L82" s="202">
        <f>SUM('3.2 Cofogos'!K66)</f>
        <v>24</v>
      </c>
      <c r="M82" s="202">
        <f>SUM('3.2 Cofogos'!L66)</f>
        <v>24</v>
      </c>
      <c r="N82" s="201"/>
    </row>
    <row r="83" spans="1:14" ht="15" customHeight="1" x14ac:dyDescent="0.2"/>
    <row r="84" spans="1:14" ht="15" customHeight="1" x14ac:dyDescent="0.2"/>
    <row r="85" spans="1:14" ht="13.5" thickBot="1" x14ac:dyDescent="0.25"/>
    <row r="86" spans="1:14" ht="16.5" thickBot="1" x14ac:dyDescent="0.25">
      <c r="C86" s="780" t="s">
        <v>279</v>
      </c>
      <c r="E86" s="162">
        <v>4969009</v>
      </c>
      <c r="F86" s="162">
        <f>SUM(F37-F78)</f>
        <v>0</v>
      </c>
      <c r="G86" s="1373"/>
      <c r="H86" s="162">
        <f>SUM(H37-H78)</f>
        <v>0</v>
      </c>
      <c r="I86" s="1373"/>
      <c r="J86" s="162">
        <f>SUM(J37-J78)</f>
        <v>0</v>
      </c>
      <c r="K86" s="162">
        <f>SUM(K37-K78)</f>
        <v>0</v>
      </c>
      <c r="L86" s="162">
        <f>SUM(L37-L78)</f>
        <v>0</v>
      </c>
      <c r="M86" s="162">
        <f>SUM(M37-M78)</f>
        <v>1562656726</v>
      </c>
    </row>
    <row r="88" spans="1:14" ht="15.75" x14ac:dyDescent="0.2">
      <c r="M88" s="203">
        <f>SUM('3. sz. mell'!M83)</f>
        <v>1562656726</v>
      </c>
    </row>
    <row r="89" spans="1:14" ht="15.75" x14ac:dyDescent="0.2">
      <c r="E89" s="203" t="e">
        <f>SUM(E86-E78)</f>
        <v>#REF!</v>
      </c>
      <c r="F89" s="203"/>
      <c r="G89" s="1470"/>
      <c r="H89" s="203"/>
      <c r="I89" s="1470"/>
      <c r="J89" s="203"/>
      <c r="K89" s="1470"/>
      <c r="L89" s="203"/>
      <c r="M89" s="203"/>
    </row>
    <row r="90" spans="1:14" x14ac:dyDescent="0.2">
      <c r="M90" s="92">
        <f>SUM(M88-M86)</f>
        <v>0</v>
      </c>
    </row>
  </sheetData>
  <mergeCells count="20">
    <mergeCell ref="A82:C82"/>
    <mergeCell ref="A1:B1"/>
    <mergeCell ref="D1:D2"/>
    <mergeCell ref="F1:F2"/>
    <mergeCell ref="A2:B2"/>
    <mergeCell ref="D3:F3"/>
    <mergeCell ref="A81:C81"/>
    <mergeCell ref="G1:G2"/>
    <mergeCell ref="H1:H2"/>
    <mergeCell ref="M1:M2"/>
    <mergeCell ref="I1:I2"/>
    <mergeCell ref="A4:B4"/>
    <mergeCell ref="J1:J2"/>
    <mergeCell ref="K1:K2"/>
    <mergeCell ref="L1:L2"/>
    <mergeCell ref="O34:O36"/>
    <mergeCell ref="P34:P36"/>
    <mergeCell ref="Q34:Q36"/>
    <mergeCell ref="R34:R36"/>
    <mergeCell ref="S34:S36"/>
  </mergeCells>
  <printOptions horizontalCentered="1"/>
  <pageMargins left="0.31496062992125984" right="0.23622047244094491" top="0.9055118110236221" bottom="0.47244094488188981" header="0.27559055118110237" footer="0.27559055118110237"/>
  <pageSetup paperSize="9" scale="63" firstPageNumber="22" orientation="portrait" useFirstPageNumber="1" r:id="rId1"/>
  <headerFooter>
    <oddHeader>&amp;C&amp;"Times New Roman CE,Félkövér"&amp;14Vecsés Város Önkormányzat 
bevételei és kiadásai&amp;R&amp;"Times New Roman,Normál"&amp;11 &amp;12 3.a. sz. melléklet
Forint</oddHeader>
    <oddFooter>&amp;C- &amp;P -</oddFooter>
  </headerFooter>
  <colBreaks count="1" manualBreakCount="1">
    <brk id="1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85"/>
  <sheetViews>
    <sheetView view="pageBreakPreview" topLeftCell="A37" zoomScale="80" zoomScaleNormal="100" zoomScaleSheetLayoutView="80" zoomScalePageLayoutView="60" workbookViewId="0">
      <selection activeCell="N69" sqref="N69"/>
    </sheetView>
  </sheetViews>
  <sheetFormatPr defaultColWidth="9.33203125" defaultRowHeight="12.75" x14ac:dyDescent="0.2"/>
  <cols>
    <col min="1" max="1" width="6.1640625" style="114" customWidth="1"/>
    <col min="2" max="2" width="10" style="115" customWidth="1"/>
    <col min="3" max="3" width="72.5" style="115" customWidth="1"/>
    <col min="4" max="5" width="9.33203125" style="115" hidden="1" customWidth="1"/>
    <col min="6" max="6" width="16" style="115" customWidth="1"/>
    <col min="7" max="7" width="18.1640625" style="1390" hidden="1" customWidth="1"/>
    <col min="8" max="8" width="16.83203125" style="115" hidden="1" customWidth="1"/>
    <col min="9" max="9" width="14.5" style="1390" hidden="1" customWidth="1"/>
    <col min="10" max="10" width="19.6640625" style="115" customWidth="1"/>
    <col min="11" max="11" width="18.5" style="1390" customWidth="1"/>
    <col min="12" max="12" width="17.33203125" style="115" customWidth="1"/>
    <col min="13" max="13" width="16.6640625" style="115" customWidth="1"/>
    <col min="14" max="14" width="17.33203125" style="115" customWidth="1"/>
    <col min="15" max="15" width="19.5" style="115" customWidth="1"/>
    <col min="16" max="16" width="19" style="115" customWidth="1"/>
    <col min="17" max="17" width="14.5" style="115" customWidth="1"/>
    <col min="18" max="18" width="24.83203125" style="115" customWidth="1"/>
    <col min="19" max="16384" width="9.33203125" style="115"/>
  </cols>
  <sheetData>
    <row r="1" spans="1:14" s="120" customFormat="1" ht="33.75" customHeight="1" thickBot="1" x14ac:dyDescent="0.25">
      <c r="A1" s="4443" t="s">
        <v>280</v>
      </c>
      <c r="B1" s="4443"/>
      <c r="C1" s="119" t="s">
        <v>329</v>
      </c>
      <c r="D1" s="4444" t="s">
        <v>282</v>
      </c>
      <c r="E1" s="118"/>
      <c r="F1" s="4444" t="s">
        <v>1080</v>
      </c>
      <c r="G1" s="4422" t="s">
        <v>1035</v>
      </c>
      <c r="H1" s="4415" t="s">
        <v>234</v>
      </c>
      <c r="I1" s="4422" t="s">
        <v>1031</v>
      </c>
      <c r="J1" s="4415" t="s">
        <v>1028</v>
      </c>
      <c r="K1" s="4449" t="s">
        <v>1038</v>
      </c>
      <c r="L1" s="4415" t="s">
        <v>234</v>
      </c>
      <c r="M1" s="4440" t="s">
        <v>1952</v>
      </c>
    </row>
    <row r="2" spans="1:14" s="120" customFormat="1" ht="33.75" customHeight="1" thickBot="1" x14ac:dyDescent="0.25">
      <c r="A2" s="4445" t="s">
        <v>283</v>
      </c>
      <c r="B2" s="4463"/>
      <c r="C2" s="676" t="s">
        <v>327</v>
      </c>
      <c r="D2" s="4424"/>
      <c r="E2" s="121"/>
      <c r="F2" s="4444"/>
      <c r="G2" s="4423"/>
      <c r="H2" s="4416"/>
      <c r="I2" s="4423" t="s">
        <v>1031</v>
      </c>
      <c r="J2" s="4416" t="s">
        <v>1028</v>
      </c>
      <c r="K2" s="4450"/>
      <c r="L2" s="4416"/>
      <c r="M2" s="4441"/>
    </row>
    <row r="3" spans="1:14" s="123" customFormat="1" ht="15.95" customHeight="1" thickBot="1" x14ac:dyDescent="0.25">
      <c r="A3" s="2094"/>
      <c r="B3" s="2095"/>
      <c r="C3" s="877"/>
      <c r="D3" s="4446"/>
      <c r="E3" s="4446"/>
      <c r="F3" s="4470"/>
      <c r="G3" s="1440"/>
      <c r="H3" s="1598"/>
      <c r="I3" s="1598"/>
      <c r="J3" s="1598"/>
      <c r="K3" s="1598"/>
      <c r="L3" s="1598"/>
      <c r="M3" s="2092"/>
    </row>
    <row r="4" spans="1:14" ht="33.75" customHeight="1" thickBot="1" x14ac:dyDescent="0.25">
      <c r="A4" s="4431" t="s">
        <v>285</v>
      </c>
      <c r="B4" s="4431"/>
      <c r="C4" s="125" t="s">
        <v>286</v>
      </c>
      <c r="D4" s="126" t="s">
        <v>287</v>
      </c>
      <c r="E4" s="126" t="s">
        <v>288</v>
      </c>
      <c r="F4" s="126"/>
      <c r="G4" s="2659"/>
      <c r="H4" s="126"/>
      <c r="I4" s="1371"/>
      <c r="J4" s="126"/>
      <c r="K4" s="3329"/>
      <c r="L4" s="126"/>
      <c r="M4" s="126"/>
    </row>
    <row r="5" spans="1:14" s="129" customFormat="1" ht="15" customHeight="1" thickBot="1" x14ac:dyDescent="0.25">
      <c r="A5" s="124"/>
      <c r="B5" s="127"/>
      <c r="C5" s="127"/>
      <c r="D5" s="128"/>
      <c r="E5" s="128"/>
      <c r="F5" s="128"/>
      <c r="G5" s="2455"/>
      <c r="H5" s="128"/>
      <c r="I5" s="1372"/>
      <c r="J5" s="128"/>
      <c r="K5" s="3330"/>
      <c r="L5" s="128"/>
      <c r="M5" s="128"/>
    </row>
    <row r="6" spans="1:14" s="129" customFormat="1" ht="21" customHeight="1" thickBot="1" x14ac:dyDescent="0.25">
      <c r="A6" s="130"/>
      <c r="B6" s="131"/>
      <c r="C6" s="132" t="s">
        <v>230</v>
      </c>
      <c r="D6" s="133"/>
      <c r="E6" s="133"/>
      <c r="F6" s="133"/>
      <c r="G6" s="1588"/>
      <c r="H6" s="133"/>
      <c r="I6" s="1588"/>
      <c r="J6" s="133"/>
      <c r="K6" s="3442"/>
      <c r="L6" s="133"/>
      <c r="M6" s="133"/>
    </row>
    <row r="7" spans="1:14" s="129" customFormat="1" ht="31.5" customHeight="1" thickBot="1" x14ac:dyDescent="0.25">
      <c r="A7" s="134" t="s">
        <v>3</v>
      </c>
      <c r="B7" s="135"/>
      <c r="C7" s="136" t="s">
        <v>291</v>
      </c>
      <c r="D7" s="137" t="e">
        <f>SUM(D8+D16)</f>
        <v>#REF!</v>
      </c>
      <c r="E7" s="137" t="e">
        <f>SUM(E8+E16)</f>
        <v>#REF!</v>
      </c>
      <c r="F7" s="138">
        <f>SUM(F8+F16)+F26</f>
        <v>761745394</v>
      </c>
      <c r="G7" s="2445">
        <f t="shared" ref="G7:G34" si="0">SUM(H7-F7)</f>
        <v>1197690720</v>
      </c>
      <c r="H7" s="138">
        <f t="shared" ref="H7:M7" si="1">SUM(H8+H16)+H26+H27</f>
        <v>1959436114</v>
      </c>
      <c r="I7" s="2445">
        <f t="shared" si="1"/>
        <v>1069240850</v>
      </c>
      <c r="J7" s="138">
        <f t="shared" si="1"/>
        <v>3028676964</v>
      </c>
      <c r="K7" s="3443">
        <f>SUM(L7-J7)</f>
        <v>0</v>
      </c>
      <c r="L7" s="138">
        <f t="shared" si="1"/>
        <v>3028676964</v>
      </c>
      <c r="M7" s="138">
        <f t="shared" si="1"/>
        <v>1781740287</v>
      </c>
      <c r="N7" s="139"/>
    </row>
    <row r="8" spans="1:14" s="141" customFormat="1" ht="19.5" customHeight="1" thickBot="1" x14ac:dyDescent="0.25">
      <c r="A8" s="134" t="s">
        <v>17</v>
      </c>
      <c r="B8" s="135"/>
      <c r="C8" s="30" t="s">
        <v>239</v>
      </c>
      <c r="D8" s="137" t="e">
        <f>SUM(D9:D14)</f>
        <v>#REF!</v>
      </c>
      <c r="E8" s="137" t="e">
        <f>SUM(E9:E14)</f>
        <v>#REF!</v>
      </c>
      <c r="F8" s="137">
        <v>761745394</v>
      </c>
      <c r="G8" s="1382">
        <f t="shared" si="0"/>
        <v>1195690720</v>
      </c>
      <c r="H8" s="137">
        <v>1957436114</v>
      </c>
      <c r="I8" s="1374">
        <f t="shared" ref="I8:I26" si="2">SUM(J8-H8)</f>
        <v>1064790850</v>
      </c>
      <c r="J8" s="137">
        <v>3022226964</v>
      </c>
      <c r="K8" s="3332">
        <f t="shared" ref="K8:K34" si="3">SUM(L8-J8)</f>
        <v>0</v>
      </c>
      <c r="L8" s="137">
        <v>3022226964</v>
      </c>
      <c r="M8" s="4276">
        <v>1775240287</v>
      </c>
      <c r="N8" s="139"/>
    </row>
    <row r="9" spans="1:14" s="145" customFormat="1" ht="12.75" hidden="1" customHeight="1" thickBot="1" x14ac:dyDescent="0.25">
      <c r="A9" s="142"/>
      <c r="B9" s="143"/>
      <c r="C9" s="27"/>
      <c r="D9" s="144" t="e">
        <f>SUM(#REF!+#REF!+#REF!)</f>
        <v>#REF!</v>
      </c>
      <c r="E9" s="144" t="e">
        <f>SUM(#REF!+#REF!+#REF!)</f>
        <v>#REF!</v>
      </c>
      <c r="F9" s="144"/>
      <c r="G9" s="1382">
        <f t="shared" si="0"/>
        <v>0</v>
      </c>
      <c r="H9" s="144"/>
      <c r="I9" s="1374">
        <f t="shared" si="2"/>
        <v>0</v>
      </c>
      <c r="J9" s="144"/>
      <c r="K9" s="3332">
        <f t="shared" si="3"/>
        <v>0</v>
      </c>
      <c r="L9" s="144"/>
      <c r="M9" s="144"/>
      <c r="N9" s="139"/>
    </row>
    <row r="10" spans="1:14" s="145" customFormat="1" ht="12.75" hidden="1" customHeight="1" thickBot="1" x14ac:dyDescent="0.25">
      <c r="A10" s="142"/>
      <c r="B10" s="143"/>
      <c r="C10" s="27"/>
      <c r="D10" s="144"/>
      <c r="E10" s="144"/>
      <c r="F10" s="144"/>
      <c r="G10" s="1382">
        <f t="shared" si="0"/>
        <v>0</v>
      </c>
      <c r="H10" s="144"/>
      <c r="I10" s="1374">
        <f t="shared" si="2"/>
        <v>0</v>
      </c>
      <c r="J10" s="144"/>
      <c r="K10" s="3332">
        <f t="shared" si="3"/>
        <v>0</v>
      </c>
      <c r="L10" s="144"/>
      <c r="M10" s="144"/>
      <c r="N10" s="139"/>
    </row>
    <row r="11" spans="1:14" s="145" customFormat="1" ht="12.75" hidden="1" customHeight="1" thickBot="1" x14ac:dyDescent="0.25">
      <c r="A11" s="142"/>
      <c r="B11" s="143"/>
      <c r="C11" s="27"/>
      <c r="D11" s="144" t="e">
        <f>SUM(#REF!)</f>
        <v>#REF!</v>
      </c>
      <c r="E11" s="144" t="e">
        <f>SUM(#REF!)</f>
        <v>#REF!</v>
      </c>
      <c r="F11" s="144"/>
      <c r="G11" s="1382">
        <f t="shared" si="0"/>
        <v>0</v>
      </c>
      <c r="H11" s="144"/>
      <c r="I11" s="1374">
        <f t="shared" si="2"/>
        <v>0</v>
      </c>
      <c r="J11" s="144"/>
      <c r="K11" s="3332">
        <f t="shared" si="3"/>
        <v>0</v>
      </c>
      <c r="L11" s="144"/>
      <c r="M11" s="144"/>
      <c r="N11" s="139"/>
    </row>
    <row r="12" spans="1:14" s="145" customFormat="1" ht="12.75" hidden="1" customHeight="1" thickBot="1" x14ac:dyDescent="0.25">
      <c r="A12" s="142"/>
      <c r="B12" s="143"/>
      <c r="C12" s="27"/>
      <c r="D12" s="144" t="e">
        <f>SUM(#REF!)</f>
        <v>#REF!</v>
      </c>
      <c r="E12" s="144" t="e">
        <f>SUM(#REF!+#REF!)</f>
        <v>#REF!</v>
      </c>
      <c r="F12" s="144"/>
      <c r="G12" s="1382">
        <f t="shared" si="0"/>
        <v>0</v>
      </c>
      <c r="H12" s="144"/>
      <c r="I12" s="1374">
        <f t="shared" si="2"/>
        <v>0</v>
      </c>
      <c r="J12" s="144"/>
      <c r="K12" s="3332">
        <f t="shared" si="3"/>
        <v>0</v>
      </c>
      <c r="L12" s="144"/>
      <c r="M12" s="144"/>
      <c r="N12" s="139"/>
    </row>
    <row r="13" spans="1:14" s="145" customFormat="1" ht="12.75" hidden="1" customHeight="1" thickBot="1" x14ac:dyDescent="0.25">
      <c r="A13" s="142"/>
      <c r="B13" s="143"/>
      <c r="C13" s="27"/>
      <c r="D13" s="144"/>
      <c r="E13" s="144"/>
      <c r="F13" s="144"/>
      <c r="G13" s="1382">
        <f t="shared" si="0"/>
        <v>0</v>
      </c>
      <c r="H13" s="144"/>
      <c r="I13" s="1374">
        <f t="shared" si="2"/>
        <v>0</v>
      </c>
      <c r="J13" s="144"/>
      <c r="K13" s="3332">
        <f t="shared" si="3"/>
        <v>0</v>
      </c>
      <c r="L13" s="144"/>
      <c r="M13" s="144"/>
      <c r="N13" s="139"/>
    </row>
    <row r="14" spans="1:14" s="145" customFormat="1" ht="12.75" hidden="1" customHeight="1" thickBot="1" x14ac:dyDescent="0.25">
      <c r="A14" s="142"/>
      <c r="B14" s="143"/>
      <c r="C14" s="27"/>
      <c r="D14" s="144"/>
      <c r="E14" s="144"/>
      <c r="F14" s="144"/>
      <c r="G14" s="1382">
        <f t="shared" si="0"/>
        <v>0</v>
      </c>
      <c r="H14" s="144"/>
      <c r="I14" s="1374">
        <f t="shared" si="2"/>
        <v>0</v>
      </c>
      <c r="J14" s="144"/>
      <c r="K14" s="3332">
        <f t="shared" si="3"/>
        <v>0</v>
      </c>
      <c r="L14" s="144"/>
      <c r="M14" s="144"/>
      <c r="N14" s="139"/>
    </row>
    <row r="15" spans="1:14" s="145" customFormat="1" ht="12.75" hidden="1" customHeight="1" thickBot="1" x14ac:dyDescent="0.25">
      <c r="A15" s="146"/>
      <c r="B15" s="143"/>
      <c r="C15" s="33"/>
      <c r="D15" s="147"/>
      <c r="E15" s="147"/>
      <c r="F15" s="147"/>
      <c r="G15" s="1382">
        <f t="shared" si="0"/>
        <v>0</v>
      </c>
      <c r="H15" s="147"/>
      <c r="I15" s="1374">
        <f t="shared" si="2"/>
        <v>0</v>
      </c>
      <c r="J15" s="147"/>
      <c r="K15" s="3332">
        <f t="shared" si="3"/>
        <v>0</v>
      </c>
      <c r="L15" s="147"/>
      <c r="M15" s="147"/>
      <c r="N15" s="139"/>
    </row>
    <row r="16" spans="1:14" s="141" customFormat="1" ht="18.75" customHeight="1" thickBot="1" x14ac:dyDescent="0.25">
      <c r="A16" s="134" t="s">
        <v>31</v>
      </c>
      <c r="B16" s="148"/>
      <c r="C16" s="30" t="s">
        <v>330</v>
      </c>
      <c r="D16" s="137" t="e">
        <f>SUM(D17:D24)</f>
        <v>#REF!</v>
      </c>
      <c r="E16" s="137" t="e">
        <f>SUM(E17:E24)</f>
        <v>#REF!</v>
      </c>
      <c r="F16" s="137"/>
      <c r="G16" s="1382">
        <f t="shared" si="0"/>
        <v>0</v>
      </c>
      <c r="H16" s="137"/>
      <c r="I16" s="1374">
        <f t="shared" si="2"/>
        <v>0</v>
      </c>
      <c r="J16" s="137"/>
      <c r="K16" s="3332">
        <f t="shared" si="3"/>
        <v>0</v>
      </c>
      <c r="L16" s="137"/>
      <c r="M16" s="137"/>
      <c r="N16" s="139"/>
    </row>
    <row r="17" spans="1:18" s="141" customFormat="1" ht="12.75" hidden="1" customHeight="1" thickBot="1" x14ac:dyDescent="0.25">
      <c r="A17" s="149"/>
      <c r="B17" s="143"/>
      <c r="C17" s="27"/>
      <c r="D17" s="150"/>
      <c r="E17" s="150"/>
      <c r="F17" s="150"/>
      <c r="G17" s="1382">
        <f t="shared" si="0"/>
        <v>0</v>
      </c>
      <c r="H17" s="150"/>
      <c r="I17" s="1374">
        <f t="shared" si="2"/>
        <v>0</v>
      </c>
      <c r="J17" s="150"/>
      <c r="K17" s="3332">
        <f t="shared" si="3"/>
        <v>0</v>
      </c>
      <c r="L17" s="150"/>
      <c r="M17" s="150"/>
      <c r="N17" s="139"/>
    </row>
    <row r="18" spans="1:18" s="141" customFormat="1" ht="12.75" hidden="1" customHeight="1" thickBot="1" x14ac:dyDescent="0.25">
      <c r="A18" s="142"/>
      <c r="B18" s="143"/>
      <c r="C18" s="27"/>
      <c r="D18" s="144" t="e">
        <f>SUM(#REF!)</f>
        <v>#REF!</v>
      </c>
      <c r="E18" s="144" t="e">
        <f>SUM(#REF!+#REF!)</f>
        <v>#REF!</v>
      </c>
      <c r="F18" s="144"/>
      <c r="G18" s="1382">
        <f t="shared" si="0"/>
        <v>0</v>
      </c>
      <c r="H18" s="144"/>
      <c r="I18" s="1374">
        <f t="shared" si="2"/>
        <v>0</v>
      </c>
      <c r="J18" s="144"/>
      <c r="K18" s="3332">
        <f t="shared" si="3"/>
        <v>0</v>
      </c>
      <c r="L18" s="144"/>
      <c r="M18" s="144"/>
      <c r="N18" s="139"/>
    </row>
    <row r="19" spans="1:18" s="141" customFormat="1" ht="12.75" hidden="1" customHeight="1" thickBot="1" x14ac:dyDescent="0.25">
      <c r="A19" s="142"/>
      <c r="B19" s="143"/>
      <c r="C19" s="27"/>
      <c r="D19" s="144" t="e">
        <f>SUM(#REF!)</f>
        <v>#REF!</v>
      </c>
      <c r="E19" s="144" t="e">
        <f>SUM(#REF!)</f>
        <v>#REF!</v>
      </c>
      <c r="F19" s="144"/>
      <c r="G19" s="1382">
        <f t="shared" si="0"/>
        <v>0</v>
      </c>
      <c r="H19" s="144"/>
      <c r="I19" s="1374">
        <f t="shared" si="2"/>
        <v>0</v>
      </c>
      <c r="J19" s="144"/>
      <c r="K19" s="3332">
        <f t="shared" si="3"/>
        <v>0</v>
      </c>
      <c r="L19" s="144"/>
      <c r="M19" s="144"/>
      <c r="N19" s="139"/>
    </row>
    <row r="20" spans="1:18" s="141" customFormat="1" ht="12.75" hidden="1" customHeight="1" thickBot="1" x14ac:dyDescent="0.25">
      <c r="A20" s="142"/>
      <c r="B20" s="143"/>
      <c r="C20" s="27"/>
      <c r="D20" s="144"/>
      <c r="E20" s="144"/>
      <c r="F20" s="144"/>
      <c r="G20" s="1382">
        <f t="shared" si="0"/>
        <v>0</v>
      </c>
      <c r="H20" s="144"/>
      <c r="I20" s="1374">
        <f t="shared" si="2"/>
        <v>0</v>
      </c>
      <c r="J20" s="144"/>
      <c r="K20" s="3332">
        <f t="shared" si="3"/>
        <v>0</v>
      </c>
      <c r="L20" s="144"/>
      <c r="M20" s="144"/>
      <c r="N20" s="139"/>
    </row>
    <row r="21" spans="1:18" s="141" customFormat="1" ht="12.75" hidden="1" customHeight="1" thickBot="1" x14ac:dyDescent="0.25">
      <c r="A21" s="142"/>
      <c r="B21" s="143"/>
      <c r="C21" s="27"/>
      <c r="D21" s="144"/>
      <c r="E21" s="144"/>
      <c r="F21" s="144"/>
      <c r="G21" s="1382">
        <f t="shared" si="0"/>
        <v>0</v>
      </c>
      <c r="H21" s="144"/>
      <c r="I21" s="1374">
        <f t="shared" si="2"/>
        <v>0</v>
      </c>
      <c r="J21" s="144"/>
      <c r="K21" s="3332">
        <f t="shared" si="3"/>
        <v>0</v>
      </c>
      <c r="L21" s="144"/>
      <c r="M21" s="144"/>
      <c r="N21" s="139"/>
    </row>
    <row r="22" spans="1:18" s="141" customFormat="1" ht="12.75" hidden="1" customHeight="1" thickBot="1" x14ac:dyDescent="0.25">
      <c r="A22" s="146"/>
      <c r="B22" s="143"/>
      <c r="C22" s="27"/>
      <c r="D22" s="147" t="e">
        <f>SUM(#REF!)</f>
        <v>#REF!</v>
      </c>
      <c r="E22" s="147" t="e">
        <f>SUM(#REF!)</f>
        <v>#REF!</v>
      </c>
      <c r="F22" s="147"/>
      <c r="G22" s="1382">
        <f t="shared" si="0"/>
        <v>0</v>
      </c>
      <c r="H22" s="147"/>
      <c r="I22" s="1374">
        <f t="shared" si="2"/>
        <v>0</v>
      </c>
      <c r="J22" s="147"/>
      <c r="K22" s="3332">
        <f t="shared" si="3"/>
        <v>0</v>
      </c>
      <c r="L22" s="147"/>
      <c r="M22" s="147"/>
      <c r="N22" s="139"/>
    </row>
    <row r="23" spans="1:18" s="145" customFormat="1" ht="12.75" hidden="1" customHeight="1" thickBot="1" x14ac:dyDescent="0.25">
      <c r="A23" s="142"/>
      <c r="B23" s="143"/>
      <c r="C23" s="27"/>
      <c r="D23" s="144" t="e">
        <f>SUM(#REF!)</f>
        <v>#REF!</v>
      </c>
      <c r="E23" s="144" t="e">
        <f>SUM(#REF!)</f>
        <v>#REF!</v>
      </c>
      <c r="F23" s="144"/>
      <c r="G23" s="1382">
        <f t="shared" si="0"/>
        <v>0</v>
      </c>
      <c r="H23" s="144"/>
      <c r="I23" s="1374">
        <f t="shared" si="2"/>
        <v>0</v>
      </c>
      <c r="J23" s="144"/>
      <c r="K23" s="3332">
        <f t="shared" si="3"/>
        <v>0</v>
      </c>
      <c r="L23" s="144"/>
      <c r="M23" s="144"/>
      <c r="N23" s="139"/>
    </row>
    <row r="24" spans="1:18" s="145" customFormat="1" ht="12.75" hidden="1" customHeight="1" thickBot="1" x14ac:dyDescent="0.25">
      <c r="A24" s="151"/>
      <c r="B24" s="152"/>
      <c r="C24" s="27"/>
      <c r="D24" s="153"/>
      <c r="E24" s="153"/>
      <c r="F24" s="153"/>
      <c r="G24" s="1382">
        <f t="shared" si="0"/>
        <v>0</v>
      </c>
      <c r="H24" s="153"/>
      <c r="I24" s="1374">
        <f t="shared" si="2"/>
        <v>0</v>
      </c>
      <c r="J24" s="153"/>
      <c r="K24" s="3332">
        <f t="shared" si="3"/>
        <v>0</v>
      </c>
      <c r="L24" s="153"/>
      <c r="M24" s="153"/>
      <c r="N24" s="139"/>
    </row>
    <row r="25" spans="1:18" s="145" customFormat="1" ht="12.75" customHeight="1" thickBot="1" x14ac:dyDescent="0.25">
      <c r="A25" s="134"/>
      <c r="B25" s="154"/>
      <c r="C25" s="30"/>
      <c r="D25" s="155"/>
      <c r="E25" s="155"/>
      <c r="F25" s="155"/>
      <c r="G25" s="1382">
        <f t="shared" si="0"/>
        <v>0</v>
      </c>
      <c r="H25" s="155"/>
      <c r="I25" s="1374">
        <f t="shared" si="2"/>
        <v>0</v>
      </c>
      <c r="J25" s="155"/>
      <c r="K25" s="3332">
        <f t="shared" si="3"/>
        <v>0</v>
      </c>
      <c r="L25" s="155"/>
      <c r="M25" s="155"/>
      <c r="N25" s="139"/>
    </row>
    <row r="26" spans="1:18" s="141" customFormat="1" ht="21" customHeight="1" thickBot="1" x14ac:dyDescent="0.25">
      <c r="A26" s="134" t="s">
        <v>45</v>
      </c>
      <c r="B26" s="148"/>
      <c r="C26" s="30" t="s">
        <v>237</v>
      </c>
      <c r="D26" s="137">
        <f>SUM(D28:D33)</f>
        <v>0</v>
      </c>
      <c r="E26" s="137">
        <f>SUM(E28:E33)</f>
        <v>0</v>
      </c>
      <c r="F26" s="137">
        <v>0</v>
      </c>
      <c r="G26" s="1382">
        <f t="shared" si="0"/>
        <v>0</v>
      </c>
      <c r="H26" s="137"/>
      <c r="I26" s="1374">
        <f t="shared" si="2"/>
        <v>0</v>
      </c>
      <c r="J26" s="137"/>
      <c r="K26" s="3332">
        <f t="shared" si="3"/>
        <v>0</v>
      </c>
      <c r="L26" s="137"/>
      <c r="M26" s="137"/>
      <c r="N26" s="139"/>
    </row>
    <row r="27" spans="1:18" s="141" customFormat="1" ht="21" customHeight="1" thickBot="1" x14ac:dyDescent="0.25">
      <c r="A27" s="134"/>
      <c r="B27" s="148"/>
      <c r="C27" s="30" t="s">
        <v>293</v>
      </c>
      <c r="D27" s="137"/>
      <c r="E27" s="137"/>
      <c r="F27" s="137"/>
      <c r="G27" s="1382"/>
      <c r="H27" s="137">
        <f>SUM('3.1. Cofog'!N34+'3.1. Cofog'!N72)</f>
        <v>2000000</v>
      </c>
      <c r="I27" s="1374">
        <f>SUM('3.1. Cofog'!O34+'3.1. Cofog'!O72)</f>
        <v>4450000</v>
      </c>
      <c r="J27" s="137">
        <f>SUM('3.1. Cofog'!P34+'3.1. Cofog'!P72)</f>
        <v>6450000</v>
      </c>
      <c r="K27" s="3332">
        <f t="shared" si="3"/>
        <v>0</v>
      </c>
      <c r="L27" s="137">
        <f>SUM('3.1. Cofog'!R34+'3.1. Cofog'!R72)</f>
        <v>6450000</v>
      </c>
      <c r="M27" s="137">
        <f>SUM('3.1. Cofog'!S34+'3.1. Cofog'!S72)</f>
        <v>6500000</v>
      </c>
      <c r="N27" s="139"/>
    </row>
    <row r="28" spans="1:18" s="145" customFormat="1" ht="30.75" customHeight="1" thickBot="1" x14ac:dyDescent="0.25">
      <c r="A28" s="134" t="s">
        <v>67</v>
      </c>
      <c r="B28" s="154"/>
      <c r="C28" s="136" t="s">
        <v>294</v>
      </c>
      <c r="D28" s="252"/>
      <c r="E28" s="252"/>
      <c r="F28" s="138">
        <f>SUM(F29:F31)</f>
        <v>200000000</v>
      </c>
      <c r="G28" s="1382">
        <f t="shared" si="0"/>
        <v>-200000000</v>
      </c>
      <c r="H28" s="138">
        <f t="shared" ref="H28:M28" si="4">SUM(H29:H31)</f>
        <v>0</v>
      </c>
      <c r="I28" s="1374">
        <f t="shared" si="4"/>
        <v>0</v>
      </c>
      <c r="J28" s="138">
        <f t="shared" si="4"/>
        <v>0</v>
      </c>
      <c r="K28" s="3332">
        <f t="shared" si="3"/>
        <v>0</v>
      </c>
      <c r="L28" s="138">
        <f t="shared" si="4"/>
        <v>0</v>
      </c>
      <c r="M28" s="138">
        <f t="shared" si="4"/>
        <v>240126</v>
      </c>
      <c r="N28" s="139"/>
    </row>
    <row r="29" spans="1:18" s="145" customFormat="1" ht="18.75" customHeight="1" thickBot="1" x14ac:dyDescent="0.25">
      <c r="A29" s="134" t="s">
        <v>79</v>
      </c>
      <c r="B29" s="154"/>
      <c r="C29" s="30" t="s">
        <v>271</v>
      </c>
      <c r="D29" s="252"/>
      <c r="E29" s="252"/>
      <c r="F29" s="137">
        <f>SUM('3.1. Cofog'!L14)</f>
        <v>200000000</v>
      </c>
      <c r="G29" s="1382">
        <f t="shared" si="0"/>
        <v>-200000000</v>
      </c>
      <c r="H29" s="137">
        <f>SUM('3.1. Cofog'!N14)</f>
        <v>0</v>
      </c>
      <c r="I29" s="1374">
        <f>SUM('3.1. Cofog'!O14)</f>
        <v>0</v>
      </c>
      <c r="J29" s="137">
        <f>SUM('3.1. Cofog'!P14)</f>
        <v>0</v>
      </c>
      <c r="K29" s="3332">
        <f t="shared" si="3"/>
        <v>0</v>
      </c>
      <c r="L29" s="137">
        <f>SUM('3.1. Cofog'!R14)</f>
        <v>0</v>
      </c>
      <c r="M29" s="137">
        <f>SUM('3.1. Cofog'!S14)</f>
        <v>0</v>
      </c>
      <c r="N29" s="139"/>
    </row>
    <row r="30" spans="1:18" s="145" customFormat="1" ht="18.75" customHeight="1" thickBot="1" x14ac:dyDescent="0.25">
      <c r="A30" s="134" t="s">
        <v>89</v>
      </c>
      <c r="B30" s="154"/>
      <c r="C30" s="30" t="s">
        <v>295</v>
      </c>
      <c r="D30" s="252"/>
      <c r="E30" s="252"/>
      <c r="F30" s="137"/>
      <c r="G30" s="1382">
        <f t="shared" si="0"/>
        <v>0</v>
      </c>
      <c r="H30" s="137"/>
      <c r="I30" s="1374"/>
      <c r="J30" s="137"/>
      <c r="K30" s="3332">
        <f t="shared" si="3"/>
        <v>0</v>
      </c>
      <c r="L30" s="137"/>
      <c r="M30" s="137"/>
      <c r="N30" s="139"/>
    </row>
    <row r="31" spans="1:18" s="145" customFormat="1" ht="18.75" customHeight="1" thickBot="1" x14ac:dyDescent="0.25">
      <c r="A31" s="134" t="s">
        <v>99</v>
      </c>
      <c r="B31" s="154"/>
      <c r="C31" s="30" t="s">
        <v>296</v>
      </c>
      <c r="D31" s="252"/>
      <c r="E31" s="252"/>
      <c r="F31" s="137">
        <v>0</v>
      </c>
      <c r="G31" s="1382">
        <f t="shared" si="0"/>
        <v>0</v>
      </c>
      <c r="H31" s="137">
        <f>SUM('3.1. Cofog'!N50)</f>
        <v>0</v>
      </c>
      <c r="I31" s="1374">
        <f>SUM('3.1. Cofog'!O50)</f>
        <v>0</v>
      </c>
      <c r="J31" s="137">
        <f>SUM('3.1. Cofog'!P50)</f>
        <v>0</v>
      </c>
      <c r="K31" s="3332">
        <f t="shared" si="3"/>
        <v>0</v>
      </c>
      <c r="L31" s="137">
        <f>SUM('3.1. Cofog'!R50)</f>
        <v>0</v>
      </c>
      <c r="M31" s="137">
        <f>SUM('3.1. Cofog'!S50)</f>
        <v>240126</v>
      </c>
      <c r="N31" s="4469" t="s">
        <v>771</v>
      </c>
      <c r="O31" s="4469" t="s">
        <v>1799</v>
      </c>
      <c r="P31" s="4469" t="s">
        <v>1800</v>
      </c>
      <c r="Q31" s="4469" t="s">
        <v>1802</v>
      </c>
      <c r="R31" s="4469" t="s">
        <v>1801</v>
      </c>
    </row>
    <row r="32" spans="1:18" s="145" customFormat="1" ht="21.75" customHeight="1" thickBot="1" x14ac:dyDescent="0.25">
      <c r="A32" s="134"/>
      <c r="B32" s="154"/>
      <c r="C32" s="136" t="s">
        <v>297</v>
      </c>
      <c r="D32" s="252"/>
      <c r="E32" s="252"/>
      <c r="F32" s="432">
        <f>SUM(F33)</f>
        <v>1361850000</v>
      </c>
      <c r="G32" s="2719">
        <f t="shared" si="0"/>
        <v>1296200000</v>
      </c>
      <c r="H32" s="432">
        <f t="shared" ref="H32:M32" si="5">SUM(H33)</f>
        <v>2658050000</v>
      </c>
      <c r="I32" s="1495">
        <f t="shared" si="5"/>
        <v>-1000000000</v>
      </c>
      <c r="J32" s="432">
        <f t="shared" si="5"/>
        <v>1658050000</v>
      </c>
      <c r="K32" s="3332">
        <f t="shared" si="3"/>
        <v>0</v>
      </c>
      <c r="L32" s="432">
        <f t="shared" si="5"/>
        <v>1658050000</v>
      </c>
      <c r="M32" s="432">
        <f t="shared" si="5"/>
        <v>1658050000</v>
      </c>
      <c r="N32" s="4469"/>
      <c r="O32" s="4469"/>
      <c r="P32" s="4469"/>
      <c r="Q32" s="4469"/>
      <c r="R32" s="4469"/>
    </row>
    <row r="33" spans="1:18" s="145" customFormat="1" ht="16.5" customHeight="1" thickBot="1" x14ac:dyDescent="0.25">
      <c r="A33" s="134"/>
      <c r="B33" s="154"/>
      <c r="C33" s="30" t="s">
        <v>298</v>
      </c>
      <c r="D33" s="252"/>
      <c r="E33" s="252"/>
      <c r="F33" s="137">
        <f>SUM('3.1. Cofog'!L107)</f>
        <v>1361850000</v>
      </c>
      <c r="G33" s="1382">
        <f t="shared" si="0"/>
        <v>1296200000</v>
      </c>
      <c r="H33" s="137">
        <f>SUM('3.1. Cofog'!N107)</f>
        <v>2658050000</v>
      </c>
      <c r="I33" s="1374">
        <f>SUM('3.1. Cofog'!O107)</f>
        <v>-1000000000</v>
      </c>
      <c r="J33" s="137">
        <f>SUM('3.1. Cofog'!P107)</f>
        <v>1658050000</v>
      </c>
      <c r="K33" s="3332">
        <f t="shared" si="3"/>
        <v>0</v>
      </c>
      <c r="L33" s="137">
        <f>SUM('3.1. Cofog'!R107)</f>
        <v>1658050000</v>
      </c>
      <c r="M33" s="137">
        <f>SUM('3.1. Cofog'!S107)</f>
        <v>1658050000</v>
      </c>
      <c r="N33" s="4469"/>
      <c r="O33" s="4469"/>
      <c r="P33" s="4469"/>
      <c r="Q33" s="4469"/>
      <c r="R33" s="4469"/>
    </row>
    <row r="34" spans="1:18" s="145" customFormat="1" ht="21" customHeight="1" thickBot="1" x14ac:dyDescent="0.25">
      <c r="A34" s="192" t="s">
        <v>125</v>
      </c>
      <c r="B34" s="160"/>
      <c r="C34" s="161" t="s">
        <v>331</v>
      </c>
      <c r="D34" s="162" t="e">
        <f>+#REF!+#REF!+#REF!</f>
        <v>#REF!</v>
      </c>
      <c r="E34" s="162" t="e">
        <f>+#REF!+#REF!+#REF!</f>
        <v>#REF!</v>
      </c>
      <c r="F34" s="162">
        <f>SUM(F7+F28+F32)</f>
        <v>2323595394</v>
      </c>
      <c r="G34" s="1437">
        <f t="shared" si="0"/>
        <v>2293890720</v>
      </c>
      <c r="H34" s="162">
        <f t="shared" ref="H34:M34" si="6">SUM(H7+H28+H32)</f>
        <v>4617486114</v>
      </c>
      <c r="I34" s="1374">
        <f t="shared" si="6"/>
        <v>69240850</v>
      </c>
      <c r="J34" s="162">
        <f t="shared" si="6"/>
        <v>4686726964</v>
      </c>
      <c r="K34" s="3332">
        <f t="shared" si="3"/>
        <v>0</v>
      </c>
      <c r="L34" s="162">
        <f t="shared" si="6"/>
        <v>4686726964</v>
      </c>
      <c r="M34" s="162">
        <f t="shared" si="6"/>
        <v>3440030413</v>
      </c>
      <c r="N34" s="139">
        <f>SUM(F74-F34)</f>
        <v>0</v>
      </c>
      <c r="O34" s="139">
        <f>SUM(H74-H34)</f>
        <v>0</v>
      </c>
      <c r="P34" s="139">
        <f>SUM(J74-J34)</f>
        <v>0</v>
      </c>
      <c r="Q34" s="139">
        <f>SUM(L74-L34)</f>
        <v>0</v>
      </c>
      <c r="R34" s="139">
        <f>SUM(M74-M34)</f>
        <v>0</v>
      </c>
    </row>
    <row r="35" spans="1:18" s="145" customFormat="1" ht="15" customHeight="1" thickBot="1" x14ac:dyDescent="0.25">
      <c r="A35" s="880"/>
      <c r="B35" s="163"/>
      <c r="C35" s="164"/>
      <c r="D35" s="165"/>
      <c r="E35" s="165"/>
      <c r="F35" s="2452"/>
      <c r="G35" s="1532"/>
      <c r="H35" s="1532"/>
      <c r="I35" s="1532"/>
      <c r="J35" s="1532"/>
      <c r="K35" s="3444"/>
      <c r="L35" s="165"/>
      <c r="M35" s="165"/>
      <c r="N35" s="139"/>
    </row>
    <row r="36" spans="1:18" s="129" customFormat="1" ht="20.25" customHeight="1" thickBot="1" x14ac:dyDescent="0.25">
      <c r="A36" s="166"/>
      <c r="B36" s="167"/>
      <c r="C36" s="168" t="s">
        <v>231</v>
      </c>
      <c r="D36" s="169"/>
      <c r="E36" s="169"/>
      <c r="F36" s="169"/>
      <c r="G36" s="1591"/>
      <c r="H36" s="169"/>
      <c r="I36" s="1591"/>
      <c r="J36" s="169"/>
      <c r="K36" s="3445"/>
      <c r="L36" s="169"/>
      <c r="M36" s="169"/>
      <c r="N36" s="139"/>
    </row>
    <row r="37" spans="1:18" s="172" customFormat="1" ht="15" customHeight="1" thickBot="1" x14ac:dyDescent="0.25">
      <c r="A37" s="134" t="s">
        <v>3</v>
      </c>
      <c r="B37" s="170"/>
      <c r="C37" s="171" t="s">
        <v>1161</v>
      </c>
      <c r="D37" s="137" t="e">
        <f>SUM(D38:D42)+D52</f>
        <v>#REF!</v>
      </c>
      <c r="E37" s="137" t="e">
        <f>SUM(E38:E42)+E52</f>
        <v>#REF!</v>
      </c>
      <c r="F37" s="137">
        <f>SUM(F38:F42)</f>
        <v>282083044</v>
      </c>
      <c r="G37" s="1382">
        <f t="shared" ref="G37:G72" si="7">SUM(H37-F37)</f>
        <v>99273356</v>
      </c>
      <c r="H37" s="137">
        <f t="shared" ref="H37:M37" si="8">SUM(H38:H42)</f>
        <v>381356400</v>
      </c>
      <c r="I37" s="1374">
        <f t="shared" si="8"/>
        <v>32446664</v>
      </c>
      <c r="J37" s="137">
        <f t="shared" si="8"/>
        <v>332751872</v>
      </c>
      <c r="K37" s="3332">
        <f>SUM(L37-J37)</f>
        <v>0</v>
      </c>
      <c r="L37" s="137">
        <f t="shared" si="8"/>
        <v>332751872</v>
      </c>
      <c r="M37" s="137">
        <f t="shared" si="8"/>
        <v>200340540</v>
      </c>
      <c r="N37" s="139"/>
    </row>
    <row r="38" spans="1:18" ht="15" customHeight="1" thickBot="1" x14ac:dyDescent="0.25">
      <c r="A38" s="173"/>
      <c r="B38" s="174" t="s">
        <v>152</v>
      </c>
      <c r="C38" s="55" t="s">
        <v>153</v>
      </c>
      <c r="D38" s="175" t="e">
        <f>SUM(#REF!+#REF!+#REF!+#REF!)</f>
        <v>#REF!</v>
      </c>
      <c r="E38" s="175" t="e">
        <f>SUM(#REF!+#REF!+#REF!+#REF!)</f>
        <v>#REF!</v>
      </c>
      <c r="F38" s="175"/>
      <c r="G38" s="1432">
        <f t="shared" si="7"/>
        <v>0</v>
      </c>
      <c r="H38" s="175"/>
      <c r="I38" s="1432"/>
      <c r="J38" s="175"/>
      <c r="K38" s="3332"/>
      <c r="L38" s="175"/>
      <c r="M38" s="175"/>
      <c r="N38" s="139"/>
    </row>
    <row r="39" spans="1:18" ht="15" customHeight="1" x14ac:dyDescent="0.2">
      <c r="A39" s="142"/>
      <c r="B39" s="176" t="s">
        <v>154</v>
      </c>
      <c r="C39" s="55" t="s">
        <v>155</v>
      </c>
      <c r="D39" s="144" t="e">
        <f>SUM(#REF!+#REF!+#REF!+#REF!+#REF!)</f>
        <v>#REF!</v>
      </c>
      <c r="E39" s="144" t="e">
        <f>SUM(#REF!+#REF!+#REF!+#REF!+#REF!)</f>
        <v>#REF!</v>
      </c>
      <c r="F39" s="175"/>
      <c r="G39" s="1432">
        <f t="shared" si="7"/>
        <v>0</v>
      </c>
      <c r="H39" s="175"/>
      <c r="I39" s="1432"/>
      <c r="J39" s="175"/>
      <c r="K39" s="3362"/>
      <c r="L39" s="175"/>
      <c r="M39" s="175"/>
      <c r="N39" s="139"/>
    </row>
    <row r="40" spans="1:18" ht="15" customHeight="1" x14ac:dyDescent="0.2">
      <c r="A40" s="142"/>
      <c r="B40" s="176" t="s">
        <v>156</v>
      </c>
      <c r="C40" s="55" t="s">
        <v>157</v>
      </c>
      <c r="D40" s="144" t="e">
        <f>SUM(#REF!+#REF!+#REF!+#REF!+#REF!+#REF!+#REF!+#REF!+#REF!+#REF!+#REF!+#REF!+#REF!)</f>
        <v>#REF!</v>
      </c>
      <c r="E40" s="144" t="e">
        <f>SUM(#REF!+#REF!+#REF!+#REF!+#REF!+#REF!+#REF!+#REF!+#REF!+#REF!+#REF!+#REF!+#REF!)</f>
        <v>#REF!</v>
      </c>
      <c r="F40" s="175">
        <f>SUM('3.2 Cofogos'!E207)+'1.4. sz. mell'!B19+'1.4. sz. mell'!B20+'3.2 Cofogos'!E278</f>
        <v>66736000</v>
      </c>
      <c r="G40" s="1432">
        <f t="shared" si="7"/>
        <v>-9782808</v>
      </c>
      <c r="H40" s="175">
        <f>SUM('3.2 Cofogos'!G207)+'1.4. sz. mell'!D19+'1.4. sz. mell'!D20+'3.2 Cofogos'!G278</f>
        <v>56953192</v>
      </c>
      <c r="I40" s="1432">
        <f>SUM('3.2 Cofogos'!H207)+'1.4. sz. mell'!J19+'1.4. sz. mell'!J20+'3.2 Cofogos'!H278</f>
        <v>40640000</v>
      </c>
      <c r="J40" s="175">
        <v>6553200</v>
      </c>
      <c r="K40" s="3362">
        <f>SUM(L40-J40)</f>
        <v>0</v>
      </c>
      <c r="L40" s="175">
        <f>SUM('3.2 Cofogos'!K207)+'1.4. sz. mell'!R19+'1.4. sz. mell'!R20+'3.2 Cofogos'!K278</f>
        <v>6553200</v>
      </c>
      <c r="M40" s="175">
        <f>SUM('3.2 Cofogos'!L207)+'1.4. sz. mell'!S19+'1.4. sz. mell'!S20+'3.2 Cofogos'!L278</f>
        <v>5547360</v>
      </c>
      <c r="N40" s="139"/>
    </row>
    <row r="41" spans="1:18" ht="15" customHeight="1" x14ac:dyDescent="0.2">
      <c r="A41" s="142"/>
      <c r="B41" s="176" t="s">
        <v>158</v>
      </c>
      <c r="C41" s="55" t="s">
        <v>159</v>
      </c>
      <c r="D41" s="144" t="e">
        <f>SUM(#REF!)</f>
        <v>#REF!</v>
      </c>
      <c r="E41" s="144" t="e">
        <f>SUM(#REF!)</f>
        <v>#REF!</v>
      </c>
      <c r="F41" s="175"/>
      <c r="G41" s="1432">
        <f t="shared" si="7"/>
        <v>0</v>
      </c>
      <c r="H41" s="175"/>
      <c r="I41" s="1432"/>
      <c r="J41" s="175"/>
      <c r="K41" s="3362">
        <f t="shared" ref="K41:K74" si="9">SUM(L41-J41)</f>
        <v>0</v>
      </c>
      <c r="L41" s="175"/>
      <c r="M41" s="175"/>
      <c r="N41" s="139"/>
    </row>
    <row r="42" spans="1:18" ht="15" customHeight="1" x14ac:dyDescent="0.2">
      <c r="A42" s="142"/>
      <c r="B42" s="176" t="s">
        <v>160</v>
      </c>
      <c r="C42" s="55" t="s">
        <v>161</v>
      </c>
      <c r="D42" s="144" t="e">
        <f>SUM(D43:D51)</f>
        <v>#REF!</v>
      </c>
      <c r="E42" s="144" t="e">
        <f>SUM(E43:E51)</f>
        <v>#REF!</v>
      </c>
      <c r="F42" s="144">
        <f>SUM(F43:F51)</f>
        <v>215347044</v>
      </c>
      <c r="G42" s="1432">
        <f t="shared" si="7"/>
        <v>109056164</v>
      </c>
      <c r="H42" s="144">
        <f t="shared" ref="H42:M42" si="10">SUM(H43:H51)</f>
        <v>324403208</v>
      </c>
      <c r="I42" s="1432">
        <f t="shared" si="10"/>
        <v>-8193336</v>
      </c>
      <c r="J42" s="144">
        <f t="shared" si="10"/>
        <v>326198672</v>
      </c>
      <c r="K42" s="3362">
        <f t="shared" si="9"/>
        <v>0</v>
      </c>
      <c r="L42" s="144">
        <f t="shared" si="10"/>
        <v>326198672</v>
      </c>
      <c r="M42" s="144">
        <f t="shared" si="10"/>
        <v>194793180</v>
      </c>
      <c r="N42" s="139"/>
    </row>
    <row r="43" spans="1:18" ht="15" customHeight="1" x14ac:dyDescent="0.2">
      <c r="A43" s="142"/>
      <c r="B43" s="176" t="s">
        <v>302</v>
      </c>
      <c r="C43" s="177" t="s">
        <v>1440</v>
      </c>
      <c r="D43" s="144"/>
      <c r="E43" s="144"/>
      <c r="F43" s="144">
        <f>SUM('3.2 Cofogos'!E45)+'3.2 Cofogos'!E232</f>
        <v>14487044</v>
      </c>
      <c r="G43" s="1432">
        <f t="shared" si="7"/>
        <v>963500</v>
      </c>
      <c r="H43" s="144">
        <f>SUM('3.2 Cofogos'!G45)+'3.2 Cofogos'!G232</f>
        <v>15450544</v>
      </c>
      <c r="I43" s="1432">
        <f>SUM('3.2 Cofogos'!H45)+'3.2 Cofogos'!H232</f>
        <v>9264197</v>
      </c>
      <c r="J43" s="144">
        <f>SUM('3.2 Cofogos'!I45)+'3.2 Cofogos'!I232</f>
        <v>24714741</v>
      </c>
      <c r="K43" s="3362">
        <f t="shared" si="9"/>
        <v>0</v>
      </c>
      <c r="L43" s="144">
        <f>SUM('3.2 Cofogos'!K45)+'3.2 Cofogos'!K232</f>
        <v>24714741</v>
      </c>
      <c r="M43" s="144">
        <f>SUM('3.2 Cofogos'!L45)+'3.2 Cofogos'!L232</f>
        <v>18691161</v>
      </c>
      <c r="N43" s="139"/>
    </row>
    <row r="44" spans="1:18" ht="15.75" x14ac:dyDescent="0.2">
      <c r="A44" s="142"/>
      <c r="B44" s="176" t="s">
        <v>304</v>
      </c>
      <c r="C44" s="177" t="s">
        <v>305</v>
      </c>
      <c r="D44" s="144"/>
      <c r="E44" s="144"/>
      <c r="F44" s="144">
        <f>SUM('3.2 Cofogos'!E119)</f>
        <v>75887000</v>
      </c>
      <c r="G44" s="1432">
        <f t="shared" si="7"/>
        <v>90320773</v>
      </c>
      <c r="H44" s="144">
        <f>SUM('3.2 Cofogos'!G119)</f>
        <v>166207773</v>
      </c>
      <c r="I44" s="1432">
        <f>SUM('3.2 Cofogos'!H119)</f>
        <v>48867250</v>
      </c>
      <c r="J44" s="144">
        <f>SUM('3.2 Cofogos'!I119)</f>
        <v>225063823</v>
      </c>
      <c r="K44" s="3362">
        <f t="shared" si="9"/>
        <v>0</v>
      </c>
      <c r="L44" s="144">
        <f>SUM('3.2 Cofogos'!K119)</f>
        <v>225063823</v>
      </c>
      <c r="M44" s="144">
        <f>SUM('3.2 Cofogos'!L119)</f>
        <v>166102019</v>
      </c>
      <c r="N44" s="139"/>
    </row>
    <row r="45" spans="1:18" ht="15.75" x14ac:dyDescent="0.2">
      <c r="A45" s="142"/>
      <c r="B45" s="176" t="s">
        <v>306</v>
      </c>
      <c r="C45" s="177" t="s">
        <v>763</v>
      </c>
      <c r="D45" s="144"/>
      <c r="E45" s="144"/>
      <c r="F45" s="144"/>
      <c r="G45" s="1432">
        <f t="shared" si="7"/>
        <v>0</v>
      </c>
      <c r="H45" s="144"/>
      <c r="I45" s="1432"/>
      <c r="J45" s="144"/>
      <c r="K45" s="3362">
        <f t="shared" si="9"/>
        <v>0</v>
      </c>
      <c r="L45" s="144"/>
      <c r="M45" s="144"/>
      <c r="N45" s="139"/>
    </row>
    <row r="46" spans="1:18" ht="15.75" x14ac:dyDescent="0.2">
      <c r="A46" s="142"/>
      <c r="B46" s="176" t="s">
        <v>829</v>
      </c>
      <c r="C46" s="177" t="s">
        <v>307</v>
      </c>
      <c r="D46" s="144"/>
      <c r="E46" s="144"/>
      <c r="F46" s="144">
        <f>SUM('3.2 Cofogos'!E9)-'7.1. sz mell.'!J56</f>
        <v>124973000</v>
      </c>
      <c r="G46" s="1432">
        <f t="shared" si="7"/>
        <v>17771891</v>
      </c>
      <c r="H46" s="144">
        <f>SUM('3.2 Cofogos'!G9)-'7.1. sz mell.'!L56</f>
        <v>142744891</v>
      </c>
      <c r="I46" s="1432">
        <f>SUM('3.2 Cofogos'!H9)-'7.1. sz mell.'!M56</f>
        <v>-76324783</v>
      </c>
      <c r="J46" s="144">
        <f>SUM('3.2 Cofogos'!I9)-'7.1. sz mell.'!N56</f>
        <v>66420108</v>
      </c>
      <c r="K46" s="3362">
        <f t="shared" si="9"/>
        <v>0</v>
      </c>
      <c r="L46" s="144">
        <f>SUM('3.2 Cofogos'!K9)-'7.1. sz mell.'!P56</f>
        <v>66420108</v>
      </c>
      <c r="M46" s="144">
        <f>SUM('3.2 Cofogos'!L9)-'7.1. sz mell.'!Q56</f>
        <v>0</v>
      </c>
      <c r="N46" s="139"/>
    </row>
    <row r="47" spans="1:18" ht="31.15" customHeight="1" thickBot="1" x14ac:dyDescent="0.25">
      <c r="A47" s="142"/>
      <c r="B47" s="176" t="s">
        <v>937</v>
      </c>
      <c r="C47" s="177" t="s">
        <v>2012</v>
      </c>
      <c r="D47" s="144" t="e">
        <f>SUM(#REF!)</f>
        <v>#REF!</v>
      </c>
      <c r="E47" s="144" t="e">
        <f>SUM(#REF!)-#REF!-#REF!</f>
        <v>#REF!</v>
      </c>
      <c r="F47" s="144"/>
      <c r="G47" s="1432">
        <f t="shared" si="7"/>
        <v>0</v>
      </c>
      <c r="H47" s="144"/>
      <c r="I47" s="1386">
        <f t="shared" ref="I47:I69" si="11">SUM(J47-H47)</f>
        <v>10000000</v>
      </c>
      <c r="J47" s="144">
        <f>SUM('3.2 Cofogos'!I53)</f>
        <v>10000000</v>
      </c>
      <c r="K47" s="3362">
        <f t="shared" si="9"/>
        <v>0</v>
      </c>
      <c r="L47" s="144">
        <f>SUM('3.2 Cofogos'!K53)</f>
        <v>10000000</v>
      </c>
      <c r="M47" s="144">
        <f>SUM('3.2 Cofogos'!L53)</f>
        <v>10000000</v>
      </c>
      <c r="N47" s="139"/>
    </row>
    <row r="48" spans="1:18" ht="12.75" hidden="1" customHeight="1" x14ac:dyDescent="0.2">
      <c r="A48" s="142"/>
      <c r="B48" s="176"/>
      <c r="C48" s="177"/>
      <c r="D48" s="144"/>
      <c r="E48" s="144" t="e">
        <f>#REF!+#REF!+#REF!</f>
        <v>#REF!</v>
      </c>
      <c r="F48" s="144"/>
      <c r="G48" s="1432">
        <f t="shared" si="7"/>
        <v>0</v>
      </c>
      <c r="H48" s="144"/>
      <c r="I48" s="1386">
        <f t="shared" si="11"/>
        <v>0</v>
      </c>
      <c r="J48" s="144"/>
      <c r="K48" s="3362">
        <f t="shared" si="9"/>
        <v>0</v>
      </c>
      <c r="L48" s="144"/>
      <c r="M48" s="144"/>
      <c r="N48" s="139"/>
    </row>
    <row r="49" spans="1:19" ht="12.75" hidden="1" customHeight="1" x14ac:dyDescent="0.2">
      <c r="A49" s="142"/>
      <c r="B49" s="176"/>
      <c r="C49" s="177"/>
      <c r="D49" s="144"/>
      <c r="E49" s="144"/>
      <c r="F49" s="144"/>
      <c r="G49" s="1432">
        <f t="shared" si="7"/>
        <v>0</v>
      </c>
      <c r="H49" s="144"/>
      <c r="I49" s="1386">
        <f t="shared" si="11"/>
        <v>0</v>
      </c>
      <c r="J49" s="144"/>
      <c r="K49" s="3362">
        <f t="shared" si="9"/>
        <v>0</v>
      </c>
      <c r="L49" s="144"/>
      <c r="M49" s="144"/>
      <c r="N49" s="139"/>
    </row>
    <row r="50" spans="1:19" ht="12.75" hidden="1" customHeight="1" x14ac:dyDescent="0.2">
      <c r="A50" s="142"/>
      <c r="B50" s="176"/>
      <c r="C50" s="177"/>
      <c r="D50" s="144" t="e">
        <f>SUM(#REF!)</f>
        <v>#REF!</v>
      </c>
      <c r="E50" s="144" t="e">
        <f>SUM(#REF!)</f>
        <v>#REF!</v>
      </c>
      <c r="F50" s="144"/>
      <c r="G50" s="1432">
        <f t="shared" si="7"/>
        <v>0</v>
      </c>
      <c r="H50" s="153"/>
      <c r="I50" s="1386">
        <f t="shared" si="11"/>
        <v>0</v>
      </c>
      <c r="J50" s="144"/>
      <c r="K50" s="3362">
        <f t="shared" si="9"/>
        <v>0</v>
      </c>
      <c r="L50" s="144"/>
      <c r="M50" s="153"/>
      <c r="N50" s="139"/>
    </row>
    <row r="51" spans="1:19" ht="12.75" hidden="1" customHeight="1" thickBot="1" x14ac:dyDescent="0.25">
      <c r="A51" s="151"/>
      <c r="B51" s="176"/>
      <c r="C51" s="177"/>
      <c r="D51" s="153"/>
      <c r="E51" s="153"/>
      <c r="F51" s="153"/>
      <c r="G51" s="1432">
        <f t="shared" si="7"/>
        <v>0</v>
      </c>
      <c r="H51" s="181"/>
      <c r="I51" s="1386">
        <f t="shared" si="11"/>
        <v>0</v>
      </c>
      <c r="J51" s="153"/>
      <c r="K51" s="3362">
        <f t="shared" si="9"/>
        <v>0</v>
      </c>
      <c r="L51" s="153"/>
      <c r="M51" s="181"/>
      <c r="N51" s="139"/>
    </row>
    <row r="52" spans="1:19" ht="5.45" hidden="1" customHeight="1" thickBot="1" x14ac:dyDescent="0.25">
      <c r="A52" s="178"/>
      <c r="B52" s="179"/>
      <c r="C52" s="180"/>
      <c r="D52" s="181" t="e">
        <f>SUM(#REF!)</f>
        <v>#REF!</v>
      </c>
      <c r="E52" s="181" t="e">
        <f>#REF!</f>
        <v>#REF!</v>
      </c>
      <c r="F52" s="181"/>
      <c r="G52" s="1432">
        <f t="shared" si="7"/>
        <v>0</v>
      </c>
      <c r="H52" s="137"/>
      <c r="I52" s="1386">
        <f t="shared" si="11"/>
        <v>0</v>
      </c>
      <c r="J52" s="181"/>
      <c r="K52" s="3362">
        <f t="shared" si="9"/>
        <v>0</v>
      </c>
      <c r="L52" s="181"/>
      <c r="M52" s="137"/>
      <c r="N52" s="139"/>
    </row>
    <row r="53" spans="1:19" ht="15" customHeight="1" thickBot="1" x14ac:dyDescent="0.25">
      <c r="A53" s="134" t="s">
        <v>17</v>
      </c>
      <c r="B53" s="170"/>
      <c r="C53" s="171" t="s">
        <v>308</v>
      </c>
      <c r="D53" s="137" t="e">
        <f>SUM(D54:D56)</f>
        <v>#REF!</v>
      </c>
      <c r="E53" s="137" t="e">
        <f>SUM(E54:E56)</f>
        <v>#REF!</v>
      </c>
      <c r="F53" s="137">
        <f>SUM(F54:F56)</f>
        <v>1407725300</v>
      </c>
      <c r="G53" s="1382">
        <f t="shared" si="7"/>
        <v>828689824</v>
      </c>
      <c r="H53" s="137">
        <f t="shared" ref="H53:M53" si="12">SUM(H54:H56)</f>
        <v>2236415124</v>
      </c>
      <c r="I53" s="1382">
        <f t="shared" si="12"/>
        <v>-357315478</v>
      </c>
      <c r="J53" s="137">
        <f t="shared" si="12"/>
        <v>2163469141</v>
      </c>
      <c r="K53" s="3332">
        <f t="shared" si="9"/>
        <v>0</v>
      </c>
      <c r="L53" s="137">
        <f t="shared" si="12"/>
        <v>2163469141</v>
      </c>
      <c r="M53" s="137">
        <f t="shared" si="12"/>
        <v>1211075256</v>
      </c>
      <c r="N53" s="139"/>
    </row>
    <row r="54" spans="1:19" s="172" customFormat="1" ht="15" customHeight="1" x14ac:dyDescent="0.2">
      <c r="A54" s="173"/>
      <c r="B54" s="176" t="s">
        <v>309</v>
      </c>
      <c r="C54" s="55" t="s">
        <v>310</v>
      </c>
      <c r="D54" s="175" t="e">
        <f>SUM(#REF!)</f>
        <v>#REF!</v>
      </c>
      <c r="E54" s="175" t="e">
        <f>SUM(#REF!)</f>
        <v>#REF!</v>
      </c>
      <c r="F54" s="175">
        <f>SUM('3.2 Cofogos'!E70+'3.2 Cofogos'!E101)+'3.2 Cofogos'!E84</f>
        <v>1159840300</v>
      </c>
      <c r="G54" s="1432">
        <f t="shared" si="7"/>
        <v>309246634</v>
      </c>
      <c r="H54" s="175">
        <f>SUM('3.2 Cofogos'!G70+'3.2 Cofogos'!G101)+'3.2 Cofogos'!G84+'3.2 Cofogos'!G112+'3.2 Cofogos'!G216+'3.2 Cofogos'!G226</f>
        <v>1469086934</v>
      </c>
      <c r="I54" s="1432">
        <f>SUM('3.2 Cofogos'!H70+'3.2 Cofogos'!H101)+'3.2 Cofogos'!H84+'3.2 Cofogos'!H112+'3.2 Cofogos'!H216+'3.2 Cofogos'!H226</f>
        <v>-1266205270</v>
      </c>
      <c r="J54" s="175">
        <f>SUM('3.2 Cofogos'!I70+'3.2 Cofogos'!I101)+'3.2 Cofogos'!I84+'3.2 Cofogos'!I112+'3.2 Cofogos'!I216+'3.2 Cofogos'!I226</f>
        <v>1722533106</v>
      </c>
      <c r="K54" s="3362">
        <f t="shared" si="9"/>
        <v>0</v>
      </c>
      <c r="L54" s="175">
        <f>SUM('3.2 Cofogos'!K70+'3.2 Cofogos'!K101)+'3.2 Cofogos'!K84+'3.2 Cofogos'!K112+'3.2 Cofogos'!K216+'3.2 Cofogos'!K226</f>
        <v>1722533106</v>
      </c>
      <c r="M54" s="175">
        <f>SUM('3.2 Cofogos'!L70+'3.2 Cofogos'!L101)+'3.2 Cofogos'!L84+'3.2 Cofogos'!L112+'3.2 Cofogos'!L216+'3.2 Cofogos'!L226</f>
        <v>928013419</v>
      </c>
      <c r="N54" s="139"/>
    </row>
    <row r="55" spans="1:19" ht="15" customHeight="1" x14ac:dyDescent="0.2">
      <c r="A55" s="142"/>
      <c r="B55" s="176" t="s">
        <v>311</v>
      </c>
      <c r="C55" s="55" t="s">
        <v>185</v>
      </c>
      <c r="D55" s="144" t="e">
        <f>SUM(#REF!)</f>
        <v>#REF!</v>
      </c>
      <c r="E55" s="144" t="e">
        <f>SUM(#REF!)</f>
        <v>#REF!</v>
      </c>
      <c r="F55" s="144">
        <f>SUM('3.2 Cofogos'!E100+'3.2 Cofogos'!E69)</f>
        <v>29310000</v>
      </c>
      <c r="G55" s="1432">
        <f t="shared" si="7"/>
        <v>183049717</v>
      </c>
      <c r="H55" s="144">
        <f>SUM('3.2 Cofogos'!G100+'3.2 Cofogos'!G69)</f>
        <v>212359717</v>
      </c>
      <c r="I55" s="1432">
        <f>SUM('3.2 Cofogos'!H100+'3.2 Cofogos'!H69)</f>
        <v>1402154693</v>
      </c>
      <c r="J55" s="144">
        <f>SUM('3.2 Cofogos'!I100+'3.2 Cofogos'!I69)</f>
        <v>379232463</v>
      </c>
      <c r="K55" s="3362">
        <f t="shared" si="9"/>
        <v>0</v>
      </c>
      <c r="L55" s="144">
        <f>SUM('3.2 Cofogos'!K100+'3.2 Cofogos'!K69)</f>
        <v>379232463</v>
      </c>
      <c r="M55" s="144">
        <f>SUM('3.2 Cofogos'!L100+'3.2 Cofogos'!L69)</f>
        <v>283061837</v>
      </c>
      <c r="N55" s="139"/>
    </row>
    <row r="56" spans="1:19" ht="15" customHeight="1" x14ac:dyDescent="0.2">
      <c r="A56" s="142"/>
      <c r="B56" s="176" t="s">
        <v>312</v>
      </c>
      <c r="C56" s="55" t="s">
        <v>273</v>
      </c>
      <c r="D56" s="144" t="e">
        <f>SUM(D59+D58)</f>
        <v>#REF!</v>
      </c>
      <c r="E56" s="144" t="e">
        <f>SUM(E59+E58)</f>
        <v>#REF!</v>
      </c>
      <c r="F56" s="144">
        <f>SUM(F57:F59)</f>
        <v>218575000</v>
      </c>
      <c r="G56" s="1432">
        <f t="shared" si="7"/>
        <v>336393473</v>
      </c>
      <c r="H56" s="144">
        <f t="shared" ref="H56:M56" si="13">SUM(H57:H59)</f>
        <v>554968473</v>
      </c>
      <c r="I56" s="1432">
        <f t="shared" si="13"/>
        <v>-493264901</v>
      </c>
      <c r="J56" s="144">
        <f t="shared" si="13"/>
        <v>61703572</v>
      </c>
      <c r="K56" s="3362">
        <f t="shared" si="9"/>
        <v>0</v>
      </c>
      <c r="L56" s="144">
        <f t="shared" si="13"/>
        <v>61703572</v>
      </c>
      <c r="M56" s="144">
        <f t="shared" si="13"/>
        <v>0</v>
      </c>
      <c r="N56" s="139"/>
    </row>
    <row r="57" spans="1:19" ht="15" customHeight="1" x14ac:dyDescent="0.2">
      <c r="A57" s="142"/>
      <c r="B57" s="176" t="s">
        <v>313</v>
      </c>
      <c r="C57" s="177" t="s">
        <v>314</v>
      </c>
      <c r="D57" s="144"/>
      <c r="E57" s="144"/>
      <c r="F57" s="144"/>
      <c r="G57" s="1432">
        <f t="shared" si="7"/>
        <v>0</v>
      </c>
      <c r="H57" s="144"/>
      <c r="I57" s="1432"/>
      <c r="J57" s="144"/>
      <c r="K57" s="3362">
        <f t="shared" si="9"/>
        <v>0</v>
      </c>
      <c r="L57" s="144"/>
      <c r="M57" s="144"/>
      <c r="N57" s="139"/>
    </row>
    <row r="58" spans="1:19" ht="15" customHeight="1" x14ac:dyDescent="0.2">
      <c r="A58" s="142"/>
      <c r="B58" s="176" t="s">
        <v>315</v>
      </c>
      <c r="C58" s="177" t="s">
        <v>316</v>
      </c>
      <c r="D58" s="144" t="e">
        <f>SUM(#REF!+#REF!)</f>
        <v>#REF!</v>
      </c>
      <c r="E58" s="144" t="e">
        <f>SUM(#REF!+#REF!)</f>
        <v>#REF!</v>
      </c>
      <c r="F58" s="144"/>
      <c r="G58" s="1432">
        <f t="shared" si="7"/>
        <v>0</v>
      </c>
      <c r="H58" s="144"/>
      <c r="I58" s="1432"/>
      <c r="J58" s="144"/>
      <c r="K58" s="3362">
        <f t="shared" si="9"/>
        <v>0</v>
      </c>
      <c r="L58" s="144"/>
      <c r="M58" s="144"/>
      <c r="N58" s="139"/>
    </row>
    <row r="59" spans="1:19" s="172" customFormat="1" ht="15" customHeight="1" thickBot="1" x14ac:dyDescent="0.25">
      <c r="A59" s="142"/>
      <c r="B59" s="176" t="s">
        <v>317</v>
      </c>
      <c r="C59" s="177" t="s">
        <v>307</v>
      </c>
      <c r="D59" s="144" t="e">
        <f>SUM(D60:D62)</f>
        <v>#REF!</v>
      </c>
      <c r="E59" s="144" t="e">
        <f>SUM(E60:E62)</f>
        <v>#REF!</v>
      </c>
      <c r="F59" s="144">
        <f>SUM('3.2 Cofogos'!E14)</f>
        <v>218575000</v>
      </c>
      <c r="G59" s="1432">
        <f t="shared" si="7"/>
        <v>336393473</v>
      </c>
      <c r="H59" s="144">
        <f>SUM('3.2 Cofogos'!G14)</f>
        <v>554968473</v>
      </c>
      <c r="I59" s="1432">
        <f>SUM('3.2 Cofogos'!H14)</f>
        <v>-493264901</v>
      </c>
      <c r="J59" s="144">
        <f>SUM('3.2 Cofogos'!I14)</f>
        <v>61703572</v>
      </c>
      <c r="K59" s="3362">
        <f t="shared" si="9"/>
        <v>0</v>
      </c>
      <c r="L59" s="144">
        <f>SUM('3.2 Cofogos'!K14)</f>
        <v>61703572</v>
      </c>
      <c r="M59" s="144">
        <f>SUM('3.2 Cofogos'!L14)</f>
        <v>0</v>
      </c>
      <c r="N59" s="139"/>
    </row>
    <row r="60" spans="1:19" ht="12.75" hidden="1" customHeight="1" x14ac:dyDescent="0.25">
      <c r="A60" s="142"/>
      <c r="B60" s="176" t="s">
        <v>2017</v>
      </c>
      <c r="C60" s="182"/>
      <c r="D60" s="183" t="e">
        <f>SUM(#REF!)</f>
        <v>#REF!</v>
      </c>
      <c r="E60" s="183" t="e">
        <f>SUM(#REF!)</f>
        <v>#REF!</v>
      </c>
      <c r="F60" s="183"/>
      <c r="G60" s="1432">
        <f t="shared" si="7"/>
        <v>0</v>
      </c>
      <c r="H60" s="183"/>
      <c r="I60" s="1386">
        <f t="shared" si="11"/>
        <v>0</v>
      </c>
      <c r="J60" s="183"/>
      <c r="K60" s="3362">
        <f t="shared" si="9"/>
        <v>0</v>
      </c>
      <c r="L60" s="183"/>
      <c r="M60" s="183"/>
      <c r="N60" s="139"/>
      <c r="S60" s="184"/>
    </row>
    <row r="61" spans="1:19" ht="12.75" hidden="1" customHeight="1" thickBot="1" x14ac:dyDescent="0.3">
      <c r="A61" s="142"/>
      <c r="B61" s="176" t="s">
        <v>2627</v>
      </c>
      <c r="C61" s="182"/>
      <c r="D61" s="183"/>
      <c r="E61" s="183"/>
      <c r="F61" s="183"/>
      <c r="G61" s="1432">
        <f t="shared" si="7"/>
        <v>0</v>
      </c>
      <c r="H61" s="186"/>
      <c r="I61" s="1386">
        <f t="shared" si="11"/>
        <v>0</v>
      </c>
      <c r="J61" s="183"/>
      <c r="K61" s="3362">
        <f t="shared" si="9"/>
        <v>0</v>
      </c>
      <c r="L61" s="183"/>
      <c r="M61" s="186"/>
      <c r="N61" s="139"/>
    </row>
    <row r="62" spans="1:19" ht="12.75" hidden="1" customHeight="1" thickBot="1" x14ac:dyDescent="0.3">
      <c r="A62" s="151"/>
      <c r="B62" s="176" t="s">
        <v>2628</v>
      </c>
      <c r="C62" s="185"/>
      <c r="D62" s="186"/>
      <c r="E62" s="186"/>
      <c r="F62" s="186" t="e">
        <f>#REF!</f>
        <v>#REF!</v>
      </c>
      <c r="G62" s="1432" t="e">
        <f t="shared" si="7"/>
        <v>#REF!</v>
      </c>
      <c r="H62" s="155"/>
      <c r="I62" s="1386" t="e">
        <f t="shared" si="11"/>
        <v>#REF!</v>
      </c>
      <c r="J62" s="186" t="e">
        <f>#REF!</f>
        <v>#REF!</v>
      </c>
      <c r="K62" s="3362" t="e">
        <f t="shared" si="9"/>
        <v>#REF!</v>
      </c>
      <c r="L62" s="186" t="e">
        <f>#REF!</f>
        <v>#REF!</v>
      </c>
      <c r="M62" s="155"/>
      <c r="N62" s="139"/>
    </row>
    <row r="63" spans="1:19" ht="12.75" hidden="1" customHeight="1" thickBot="1" x14ac:dyDescent="0.25">
      <c r="A63" s="134"/>
      <c r="B63" s="176" t="s">
        <v>2629</v>
      </c>
      <c r="C63" s="171"/>
      <c r="D63" s="155"/>
      <c r="E63" s="155" t="e">
        <f>#REF!</f>
        <v>#REF!</v>
      </c>
      <c r="F63" s="155"/>
      <c r="G63" s="1432">
        <f t="shared" si="7"/>
        <v>0</v>
      </c>
      <c r="H63" s="137"/>
      <c r="I63" s="1386">
        <f t="shared" si="11"/>
        <v>0</v>
      </c>
      <c r="J63" s="155"/>
      <c r="K63" s="3362">
        <f t="shared" si="9"/>
        <v>0</v>
      </c>
      <c r="L63" s="155"/>
      <c r="M63" s="137"/>
      <c r="N63" s="139"/>
    </row>
    <row r="64" spans="1:19" s="172" customFormat="1" ht="12.75" hidden="1" customHeight="1" thickBot="1" x14ac:dyDescent="0.25">
      <c r="A64" s="134"/>
      <c r="B64" s="176" t="s">
        <v>2630</v>
      </c>
      <c r="C64" s="171"/>
      <c r="D64" s="137" t="e">
        <f>+D65+D67</f>
        <v>#REF!</v>
      </c>
      <c r="E64" s="137" t="e">
        <f>+E65+E67</f>
        <v>#REF!</v>
      </c>
      <c r="F64" s="137" t="e">
        <f>+F65+F67</f>
        <v>#REF!</v>
      </c>
      <c r="G64" s="1432" t="e">
        <f t="shared" si="7"/>
        <v>#REF!</v>
      </c>
      <c r="H64" s="175"/>
      <c r="I64" s="1386" t="e">
        <f t="shared" si="11"/>
        <v>#REF!</v>
      </c>
      <c r="J64" s="137" t="e">
        <f>+J65+J67</f>
        <v>#REF!</v>
      </c>
      <c r="K64" s="3362" t="e">
        <f t="shared" si="9"/>
        <v>#REF!</v>
      </c>
      <c r="L64" s="137" t="e">
        <f>+L65+L67</f>
        <v>#REF!</v>
      </c>
      <c r="M64" s="175"/>
      <c r="N64" s="139"/>
    </row>
    <row r="65" spans="1:14" s="172" customFormat="1" ht="12.75" hidden="1" customHeight="1" x14ac:dyDescent="0.2">
      <c r="A65" s="173"/>
      <c r="B65" s="176" t="s">
        <v>2631</v>
      </c>
      <c r="C65" s="55"/>
      <c r="D65" s="175" t="e">
        <f>SUM(#REF!)</f>
        <v>#REF!</v>
      </c>
      <c r="E65" s="175"/>
      <c r="F65" s="175" t="e">
        <f>SUM(#REF!)</f>
        <v>#REF!</v>
      </c>
      <c r="G65" s="1432" t="e">
        <f t="shared" si="7"/>
        <v>#REF!</v>
      </c>
      <c r="H65" s="147"/>
      <c r="I65" s="1386" t="e">
        <f t="shared" si="11"/>
        <v>#REF!</v>
      </c>
      <c r="J65" s="175" t="e">
        <f>SUM(#REF!)</f>
        <v>#REF!</v>
      </c>
      <c r="K65" s="3362" t="e">
        <f t="shared" si="9"/>
        <v>#REF!</v>
      </c>
      <c r="L65" s="175" t="e">
        <f>SUM(#REF!)</f>
        <v>#REF!</v>
      </c>
      <c r="M65" s="147"/>
      <c r="N65" s="139"/>
    </row>
    <row r="66" spans="1:14" s="172" customFormat="1" ht="12.75" hidden="1" customHeight="1" thickBot="1" x14ac:dyDescent="0.25">
      <c r="A66" s="146"/>
      <c r="B66" s="176" t="s">
        <v>2632</v>
      </c>
      <c r="C66" s="55"/>
      <c r="D66" s="147"/>
      <c r="E66" s="175"/>
      <c r="F66" s="147"/>
      <c r="G66" s="1432">
        <f t="shared" si="7"/>
        <v>0</v>
      </c>
      <c r="H66" s="153"/>
      <c r="I66" s="1386">
        <f t="shared" si="11"/>
        <v>0</v>
      </c>
      <c r="J66" s="147"/>
      <c r="K66" s="3362">
        <f t="shared" si="9"/>
        <v>0</v>
      </c>
      <c r="L66" s="147"/>
      <c r="M66" s="153"/>
      <c r="N66" s="139"/>
    </row>
    <row r="67" spans="1:14" s="172" customFormat="1" ht="12.75" hidden="1" customHeight="1" thickBot="1" x14ac:dyDescent="0.25">
      <c r="A67" s="151"/>
      <c r="B67" s="176" t="s">
        <v>2633</v>
      </c>
      <c r="C67" s="55"/>
      <c r="D67" s="153" t="e">
        <f>SUM(#REF!)</f>
        <v>#REF!</v>
      </c>
      <c r="E67" s="153" t="e">
        <f>SUM(#REF!)</f>
        <v>#REF!</v>
      </c>
      <c r="F67" s="153"/>
      <c r="G67" s="1432">
        <f t="shared" si="7"/>
        <v>0</v>
      </c>
      <c r="H67" s="155"/>
      <c r="I67" s="1386">
        <f t="shared" si="11"/>
        <v>0</v>
      </c>
      <c r="J67" s="153"/>
      <c r="K67" s="3362">
        <f t="shared" si="9"/>
        <v>0</v>
      </c>
      <c r="L67" s="153"/>
      <c r="M67" s="155"/>
      <c r="N67" s="139"/>
    </row>
    <row r="68" spans="1:14" s="172" customFormat="1" ht="12.75" hidden="1" customHeight="1" thickBot="1" x14ac:dyDescent="0.25">
      <c r="A68" s="134"/>
      <c r="B68" s="176" t="s">
        <v>2634</v>
      </c>
      <c r="C68" s="171"/>
      <c r="D68" s="155" t="e">
        <f>SUM(#REF!)</f>
        <v>#REF!</v>
      </c>
      <c r="E68" s="155" t="e">
        <f>SUM(#REF!)</f>
        <v>#REF!</v>
      </c>
      <c r="F68" s="155"/>
      <c r="G68" s="1432">
        <f t="shared" si="7"/>
        <v>0</v>
      </c>
      <c r="H68" s="191"/>
      <c r="I68" s="1386">
        <f t="shared" si="11"/>
        <v>0</v>
      </c>
      <c r="J68" s="155"/>
      <c r="K68" s="3362">
        <f t="shared" si="9"/>
        <v>0</v>
      </c>
      <c r="L68" s="155"/>
      <c r="M68" s="191"/>
      <c r="N68" s="139"/>
    </row>
    <row r="69" spans="1:14" s="172" customFormat="1" ht="15" customHeight="1" thickBot="1" x14ac:dyDescent="0.25">
      <c r="A69" s="134"/>
      <c r="B69" s="176" t="s">
        <v>2635</v>
      </c>
      <c r="C69" s="177" t="s">
        <v>2001</v>
      </c>
      <c r="D69" s="191" t="e">
        <f>+D37+D53+D63+D64+D68</f>
        <v>#REF!</v>
      </c>
      <c r="E69" s="191" t="e">
        <f>+E37+E53+E63+E64+E68</f>
        <v>#REF!</v>
      </c>
      <c r="F69" s="191"/>
      <c r="G69" s="1432">
        <f t="shared" si="7"/>
        <v>0</v>
      </c>
      <c r="H69" s="137"/>
      <c r="I69" s="1386">
        <f t="shared" si="11"/>
        <v>5555764</v>
      </c>
      <c r="J69" s="548">
        <f>SUM('3. sz. mell'!J61)</f>
        <v>5555764</v>
      </c>
      <c r="K69" s="4277">
        <f t="shared" si="9"/>
        <v>0</v>
      </c>
      <c r="L69" s="548">
        <f>SUM('3. sz. mell'!L61)</f>
        <v>5555764</v>
      </c>
      <c r="M69" s="548">
        <f>SUM('3. sz. mell'!M61)</f>
        <v>5555764</v>
      </c>
      <c r="N69" s="139"/>
    </row>
    <row r="70" spans="1:14" s="172" customFormat="1" ht="15" customHeight="1" thickBot="1" x14ac:dyDescent="0.25">
      <c r="A70" s="134" t="s">
        <v>31</v>
      </c>
      <c r="B70" s="170"/>
      <c r="C70" s="171" t="s">
        <v>318</v>
      </c>
      <c r="D70" s="137" t="e">
        <f>+D71+D72</f>
        <v>#REF!</v>
      </c>
      <c r="E70" s="137" t="e">
        <f>+E71+E72</f>
        <v>#REF!</v>
      </c>
      <c r="F70" s="137">
        <f>+F71+F72</f>
        <v>633787050</v>
      </c>
      <c r="G70" s="1382">
        <f t="shared" si="7"/>
        <v>1365927540</v>
      </c>
      <c r="H70" s="137">
        <f t="shared" ref="H70:M70" si="14">+H71+H72</f>
        <v>1999714590</v>
      </c>
      <c r="I70" s="1382">
        <f t="shared" si="14"/>
        <v>190791361</v>
      </c>
      <c r="J70" s="137">
        <f t="shared" si="14"/>
        <v>2190505951</v>
      </c>
      <c r="K70" s="3332">
        <f t="shared" si="9"/>
        <v>0</v>
      </c>
      <c r="L70" s="137">
        <f t="shared" si="14"/>
        <v>2190505951</v>
      </c>
      <c r="M70" s="137">
        <f t="shared" si="14"/>
        <v>2028614617</v>
      </c>
      <c r="N70" s="139"/>
    </row>
    <row r="71" spans="1:14" ht="15" customHeight="1" x14ac:dyDescent="0.2">
      <c r="A71" s="173"/>
      <c r="B71" s="188" t="s">
        <v>319</v>
      </c>
      <c r="C71" s="55" t="s">
        <v>320</v>
      </c>
      <c r="D71" s="175"/>
      <c r="E71" s="175"/>
      <c r="F71" s="175">
        <f>SUM('4. b.sz. mell.'!D40+'5.b. sz. mell.'!F42)</f>
        <v>52466050</v>
      </c>
      <c r="G71" s="1432">
        <f t="shared" si="7"/>
        <v>44820079</v>
      </c>
      <c r="H71" s="175">
        <f>SUM('4. b.sz. mell.'!F40+'5.b. sz. mell.'!H42)</f>
        <v>97286129</v>
      </c>
      <c r="I71" s="1432">
        <f>SUM('4. b.sz. mell.'!G40+'5.b. sz. mell.'!I42)</f>
        <v>96084320</v>
      </c>
      <c r="J71" s="175">
        <v>193370449</v>
      </c>
      <c r="K71" s="3362">
        <f t="shared" si="9"/>
        <v>0</v>
      </c>
      <c r="L71" s="175">
        <f>SUM('4. b.sz. mell.'!J40+'5.b. sz. mell.'!L42)</f>
        <v>193370449</v>
      </c>
      <c r="M71" s="175">
        <f>SUM('4. b.sz. mell.'!K40+'5.b. sz. mell.'!M42)</f>
        <v>192602870</v>
      </c>
      <c r="N71" s="139"/>
    </row>
    <row r="72" spans="1:14" ht="15" customHeight="1" thickBot="1" x14ac:dyDescent="0.25">
      <c r="A72" s="151"/>
      <c r="B72" s="188" t="s">
        <v>321</v>
      </c>
      <c r="C72" s="55" t="s">
        <v>274</v>
      </c>
      <c r="D72" s="153" t="e">
        <f>SUM(#REF!)</f>
        <v>#REF!</v>
      </c>
      <c r="E72" s="153" t="e">
        <f>SUM(#REF!)</f>
        <v>#REF!</v>
      </c>
      <c r="F72" s="153">
        <f>SUM('3.2 Cofogos'!E285)</f>
        <v>581321000</v>
      </c>
      <c r="G72" s="1432">
        <f t="shared" si="7"/>
        <v>1321107461</v>
      </c>
      <c r="H72" s="153">
        <f>SUM('3.2 Cofogos'!G284)+'3.2 Cofogos'!G31</f>
        <v>1902428461</v>
      </c>
      <c r="I72" s="1432">
        <f>SUM('3.2 Cofogos'!H284)+'3.2 Cofogos'!H31</f>
        <v>94707041</v>
      </c>
      <c r="J72" s="153">
        <f>SUM('3.2 Cofogos'!I284)+'3.2 Cofogos'!I31</f>
        <v>1997135502</v>
      </c>
      <c r="K72" s="3362">
        <f t="shared" si="9"/>
        <v>0</v>
      </c>
      <c r="L72" s="153">
        <f>SUM('3.2 Cofogos'!K284)+'3.2 Cofogos'!K31</f>
        <v>1997135502</v>
      </c>
      <c r="M72" s="153">
        <f>SUM('3.2 Cofogos'!L284)+'3.2 Cofogos'!L31</f>
        <v>1836011747</v>
      </c>
      <c r="N72" s="139"/>
    </row>
    <row r="73" spans="1:14" s="145" customFormat="1" ht="15" customHeight="1" thickBot="1" x14ac:dyDescent="0.25">
      <c r="A73" s="134"/>
      <c r="B73" s="170"/>
      <c r="C73" s="171"/>
      <c r="D73" s="155"/>
      <c r="E73" s="155"/>
      <c r="F73" s="155"/>
      <c r="G73" s="1432"/>
      <c r="H73" s="155"/>
      <c r="I73" s="1432"/>
      <c r="J73" s="155"/>
      <c r="K73" s="3362">
        <f t="shared" si="9"/>
        <v>0</v>
      </c>
      <c r="L73" s="155"/>
      <c r="M73" s="155"/>
      <c r="N73" s="139"/>
    </row>
    <row r="74" spans="1:14" ht="15" customHeight="1" thickBot="1" x14ac:dyDescent="0.25">
      <c r="A74" s="192"/>
      <c r="B74" s="160"/>
      <c r="C74" s="161" t="s">
        <v>322</v>
      </c>
      <c r="D74" s="162" t="e">
        <f>+D69+D70</f>
        <v>#REF!</v>
      </c>
      <c r="E74" s="162" t="e">
        <f>+E69+E70</f>
        <v>#REF!</v>
      </c>
      <c r="F74" s="162">
        <f>SUM(F37+F53+F70)</f>
        <v>2323595394</v>
      </c>
      <c r="G74" s="1437">
        <f>SUM(H74-F74)</f>
        <v>2293890720</v>
      </c>
      <c r="H74" s="162">
        <f t="shared" ref="H74:M74" si="15">SUM(H37+H53+H70)</f>
        <v>4617486114</v>
      </c>
      <c r="I74" s="1437">
        <f t="shared" si="15"/>
        <v>-134077453</v>
      </c>
      <c r="J74" s="162">
        <f t="shared" si="15"/>
        <v>4686726964</v>
      </c>
      <c r="K74" s="3364">
        <f t="shared" si="9"/>
        <v>0</v>
      </c>
      <c r="L74" s="162">
        <f t="shared" si="15"/>
        <v>4686726964</v>
      </c>
      <c r="M74" s="162">
        <f t="shared" si="15"/>
        <v>3440030413</v>
      </c>
      <c r="N74" s="139"/>
    </row>
    <row r="75" spans="1:14" ht="12.75" hidden="1" customHeight="1" x14ac:dyDescent="0.2">
      <c r="A75" s="882"/>
      <c r="B75" s="193"/>
      <c r="C75" s="194" t="s">
        <v>300</v>
      </c>
      <c r="D75" s="195"/>
      <c r="E75" s="195"/>
      <c r="F75" s="883">
        <f>SUM(F71)</f>
        <v>52466050</v>
      </c>
      <c r="G75" s="1596"/>
      <c r="H75" s="888">
        <f>SUM(H73-H74)</f>
        <v>-4617486114</v>
      </c>
      <c r="I75" s="1596"/>
      <c r="J75" s="195"/>
      <c r="K75" s="3362"/>
      <c r="L75" s="195"/>
      <c r="M75" s="888">
        <f>SUM(M73-M74)</f>
        <v>-3440030413</v>
      </c>
      <c r="N75" s="139"/>
    </row>
    <row r="76" spans="1:14" ht="12.75" hidden="1" customHeight="1" x14ac:dyDescent="0.2">
      <c r="A76" s="884"/>
      <c r="B76" s="885"/>
      <c r="C76" s="197" t="s">
        <v>323</v>
      </c>
      <c r="D76" s="886"/>
      <c r="E76" s="886"/>
      <c r="F76" s="888">
        <f>SUM(F74-F75)</f>
        <v>2271129344</v>
      </c>
      <c r="G76" s="1597"/>
      <c r="H76" s="200">
        <v>2</v>
      </c>
      <c r="I76" s="1597"/>
      <c r="J76" s="199"/>
      <c r="K76" s="3362"/>
      <c r="L76" s="199"/>
      <c r="M76" s="200">
        <v>2</v>
      </c>
      <c r="N76" s="139"/>
    </row>
    <row r="77" spans="1:14" ht="20.25" customHeight="1" thickBot="1" x14ac:dyDescent="0.25">
      <c r="A77" s="4418" t="s">
        <v>324</v>
      </c>
      <c r="B77" s="4419"/>
      <c r="C77" s="4419"/>
      <c r="D77" s="200" t="e">
        <f>SUM(#REF!+#REF!)</f>
        <v>#REF!</v>
      </c>
      <c r="E77" s="200" t="e">
        <f>SUM(#REF!+#REF!)</f>
        <v>#REF!</v>
      </c>
      <c r="F77" s="200">
        <v>2</v>
      </c>
      <c r="G77" s="1559"/>
      <c r="H77" s="200">
        <v>2</v>
      </c>
      <c r="I77" s="1388"/>
      <c r="J77" s="200">
        <v>2</v>
      </c>
      <c r="K77" s="3346"/>
      <c r="L77" s="200">
        <v>2</v>
      </c>
      <c r="M77" s="200">
        <v>2</v>
      </c>
      <c r="N77" s="201"/>
    </row>
    <row r="78" spans="1:14" ht="15" customHeight="1" thickBot="1" x14ac:dyDescent="0.25">
      <c r="A78" s="4418" t="s">
        <v>325</v>
      </c>
      <c r="B78" s="4419"/>
      <c r="C78" s="4419"/>
      <c r="D78" s="202">
        <v>13.5</v>
      </c>
      <c r="E78" s="202">
        <v>13.5</v>
      </c>
      <c r="F78" s="202"/>
      <c r="G78" s="2451"/>
      <c r="H78" s="202"/>
      <c r="I78" s="1527"/>
      <c r="J78" s="202"/>
      <c r="K78" s="3346"/>
      <c r="L78" s="202"/>
      <c r="M78" s="202"/>
      <c r="N78" s="201"/>
    </row>
    <row r="79" spans="1:14" ht="15" customHeight="1" x14ac:dyDescent="0.2"/>
    <row r="80" spans="1:14" ht="15" customHeight="1" x14ac:dyDescent="0.2"/>
    <row r="81" spans="5:13" ht="13.5" thickBot="1" x14ac:dyDescent="0.25"/>
    <row r="82" spans="5:13" ht="16.5" thickBot="1" x14ac:dyDescent="0.25">
      <c r="E82" s="162">
        <v>4969009</v>
      </c>
      <c r="F82" s="162">
        <f>SUM(F34-F74)</f>
        <v>0</v>
      </c>
      <c r="G82" s="162">
        <f t="shared" ref="G82:M82" si="16">SUM(G34-G74)</f>
        <v>0</v>
      </c>
      <c r="H82" s="162">
        <f t="shared" si="16"/>
        <v>0</v>
      </c>
      <c r="I82" s="162">
        <f t="shared" si="16"/>
        <v>203318303</v>
      </c>
      <c r="J82" s="162">
        <f>SUM(J34-J74)</f>
        <v>0</v>
      </c>
      <c r="K82" s="162">
        <f t="shared" si="16"/>
        <v>0</v>
      </c>
      <c r="L82" s="162">
        <f t="shared" si="16"/>
        <v>0</v>
      </c>
      <c r="M82" s="162">
        <f t="shared" si="16"/>
        <v>0</v>
      </c>
    </row>
    <row r="85" spans="5:13" ht="15.75" x14ac:dyDescent="0.2">
      <c r="E85" s="203" t="e">
        <f>SUM(E82-E74)</f>
        <v>#REF!</v>
      </c>
      <c r="F85" s="203"/>
      <c r="G85" s="1470"/>
      <c r="H85" s="203"/>
      <c r="I85" s="1470"/>
      <c r="J85" s="203"/>
      <c r="K85" s="1470"/>
      <c r="L85" s="203"/>
      <c r="M85" s="203"/>
    </row>
  </sheetData>
  <mergeCells count="20">
    <mergeCell ref="A78:C78"/>
    <mergeCell ref="A1:B1"/>
    <mergeCell ref="D1:D2"/>
    <mergeCell ref="F1:F2"/>
    <mergeCell ref="A2:B2"/>
    <mergeCell ref="D3:F3"/>
    <mergeCell ref="A77:C77"/>
    <mergeCell ref="G1:G2"/>
    <mergeCell ref="H1:H2"/>
    <mergeCell ref="M1:M2"/>
    <mergeCell ref="I1:I2"/>
    <mergeCell ref="A4:B4"/>
    <mergeCell ref="J1:J2"/>
    <mergeCell ref="K1:K2"/>
    <mergeCell ref="L1:L2"/>
    <mergeCell ref="N31:N33"/>
    <mergeCell ref="O31:O33"/>
    <mergeCell ref="Q31:Q33"/>
    <mergeCell ref="R31:R33"/>
    <mergeCell ref="P31:P33"/>
  </mergeCells>
  <printOptions horizontalCentered="1"/>
  <pageMargins left="0.31496062992125984" right="0.23622047244094491" top="0.78740157480314965" bottom="0.47244094488188981" header="0.27559055118110237" footer="0.27559055118110237"/>
  <pageSetup paperSize="9" scale="61" firstPageNumber="23" orientation="portrait" useFirstPageNumber="1" r:id="rId1"/>
  <headerFooter>
    <oddHeader>&amp;C&amp;"Times New Roman CE,Félkövér"&amp;14Vecsés Város Önkormányzat bevételei és kiadásai&amp;R&amp;"Times New Roman,Normál"&amp;11 &amp;12 3.b. sz. melléklet
Forint</oddHeader>
    <oddFooter>&amp;C-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84"/>
  <sheetViews>
    <sheetView view="pageBreakPreview" topLeftCell="C35" zoomScaleNormal="100" zoomScaleSheetLayoutView="100" zoomScalePageLayoutView="60" workbookViewId="0">
      <selection activeCell="K1" sqref="K1:K2"/>
    </sheetView>
  </sheetViews>
  <sheetFormatPr defaultColWidth="9.33203125" defaultRowHeight="12.75" x14ac:dyDescent="0.2"/>
  <cols>
    <col min="1" max="1" width="6.1640625" style="114" customWidth="1"/>
    <col min="2" max="2" width="10" style="115" customWidth="1"/>
    <col min="3" max="3" width="67.5" style="115" customWidth="1"/>
    <col min="4" max="5" width="9.33203125" style="115" hidden="1" customWidth="1"/>
    <col min="6" max="6" width="14.6640625" style="115" customWidth="1"/>
    <col min="7" max="7" width="14.33203125" style="1390" hidden="1" customWidth="1"/>
    <col min="8" max="8" width="13.1640625" style="115" hidden="1" customWidth="1"/>
    <col min="9" max="9" width="12" style="1390" hidden="1" customWidth="1"/>
    <col min="10" max="10" width="15" style="115" customWidth="1"/>
    <col min="11" max="11" width="13.6640625" style="1390" customWidth="1"/>
    <col min="12" max="12" width="15.33203125" style="115" customWidth="1"/>
    <col min="13" max="13" width="15.5" style="115" customWidth="1"/>
    <col min="14" max="14" width="17" style="115" customWidth="1"/>
    <col min="15" max="15" width="14" style="115" customWidth="1"/>
    <col min="16" max="16" width="15.33203125" style="115" customWidth="1"/>
    <col min="17" max="17" width="14.33203125" style="115" customWidth="1"/>
    <col min="18" max="18" width="18.5" style="115" customWidth="1"/>
    <col min="19" max="16384" width="9.33203125" style="115"/>
  </cols>
  <sheetData>
    <row r="1" spans="1:15" s="120" customFormat="1" ht="33.75" customHeight="1" thickBot="1" x14ac:dyDescent="0.25">
      <c r="A1" s="4443" t="s">
        <v>280</v>
      </c>
      <c r="B1" s="4443"/>
      <c r="C1" s="119" t="s">
        <v>329</v>
      </c>
      <c r="D1" s="4444" t="s">
        <v>282</v>
      </c>
      <c r="E1" s="118"/>
      <c r="F1" s="4444" t="s">
        <v>1080</v>
      </c>
      <c r="G1" s="4422" t="s">
        <v>1035</v>
      </c>
      <c r="H1" s="4415" t="s">
        <v>1028</v>
      </c>
      <c r="I1" s="4422" t="s">
        <v>1031</v>
      </c>
      <c r="J1" s="4415" t="s">
        <v>1028</v>
      </c>
      <c r="K1" s="4422" t="s">
        <v>2623</v>
      </c>
      <c r="L1" s="4415" t="s">
        <v>234</v>
      </c>
      <c r="M1" s="4440" t="s">
        <v>1952</v>
      </c>
    </row>
    <row r="2" spans="1:15" s="120" customFormat="1" ht="33.75" customHeight="1" thickBot="1" x14ac:dyDescent="0.25">
      <c r="A2" s="4445" t="s">
        <v>283</v>
      </c>
      <c r="B2" s="4463"/>
      <c r="C2" s="676" t="s">
        <v>328</v>
      </c>
      <c r="D2" s="4424"/>
      <c r="E2" s="121"/>
      <c r="F2" s="4444"/>
      <c r="G2" s="4423"/>
      <c r="H2" s="4416" t="s">
        <v>1028</v>
      </c>
      <c r="I2" s="4423" t="s">
        <v>1031</v>
      </c>
      <c r="J2" s="4416" t="s">
        <v>1028</v>
      </c>
      <c r="K2" s="4423"/>
      <c r="L2" s="4416"/>
      <c r="M2" s="4441"/>
    </row>
    <row r="3" spans="1:15" s="123" customFormat="1" ht="15.95" customHeight="1" thickBot="1" x14ac:dyDescent="0.25">
      <c r="A3" s="2094"/>
      <c r="B3" s="2095"/>
      <c r="C3" s="877"/>
      <c r="D3" s="4446"/>
      <c r="E3" s="4446"/>
      <c r="F3" s="4470"/>
      <c r="G3" s="1440"/>
      <c r="H3" s="1598"/>
      <c r="I3" s="1598"/>
      <c r="J3" s="1598"/>
      <c r="K3" s="1598"/>
      <c r="L3" s="773"/>
      <c r="M3" s="2092"/>
    </row>
    <row r="4" spans="1:15" ht="33.75" customHeight="1" thickBot="1" x14ac:dyDescent="0.25">
      <c r="A4" s="4431" t="s">
        <v>285</v>
      </c>
      <c r="B4" s="4431"/>
      <c r="C4" s="125" t="s">
        <v>286</v>
      </c>
      <c r="D4" s="126" t="s">
        <v>287</v>
      </c>
      <c r="E4" s="126" t="s">
        <v>288</v>
      </c>
      <c r="F4" s="126"/>
      <c r="G4" s="2659"/>
      <c r="H4" s="126"/>
      <c r="I4" s="1371"/>
      <c r="J4" s="126"/>
      <c r="K4" s="1371"/>
      <c r="L4" s="126"/>
      <c r="M4" s="126"/>
    </row>
    <row r="5" spans="1:15" s="129" customFormat="1" ht="15" customHeight="1" thickBot="1" x14ac:dyDescent="0.25">
      <c r="A5" s="124"/>
      <c r="B5" s="127"/>
      <c r="C5" s="127"/>
      <c r="D5" s="128"/>
      <c r="E5" s="128"/>
      <c r="F5" s="128"/>
      <c r="G5" s="2455"/>
      <c r="H5" s="128"/>
      <c r="I5" s="1372"/>
      <c r="J5" s="128"/>
      <c r="K5" s="1372"/>
      <c r="L5" s="128"/>
      <c r="M5" s="128"/>
    </row>
    <row r="6" spans="1:15" s="129" customFormat="1" ht="21" customHeight="1" thickBot="1" x14ac:dyDescent="0.25">
      <c r="A6" s="2096"/>
      <c r="B6" s="2097"/>
      <c r="C6" s="132" t="s">
        <v>230</v>
      </c>
      <c r="D6" s="133"/>
      <c r="E6" s="133"/>
      <c r="F6" s="133"/>
      <c r="G6" s="1588"/>
      <c r="H6" s="133"/>
      <c r="I6" s="1588"/>
      <c r="J6" s="133"/>
      <c r="K6" s="1588"/>
      <c r="L6" s="133"/>
      <c r="M6" s="133"/>
    </row>
    <row r="7" spans="1:15" s="129" customFormat="1" ht="23.25" customHeight="1" thickBot="1" x14ac:dyDescent="0.25">
      <c r="A7" s="134" t="s">
        <v>3</v>
      </c>
      <c r="B7" s="135"/>
      <c r="C7" s="30" t="s">
        <v>291</v>
      </c>
      <c r="D7" s="432" t="e">
        <f>SUM(D8+D16)</f>
        <v>#REF!</v>
      </c>
      <c r="E7" s="432" t="e">
        <f>SUM(E8+E16)</f>
        <v>#REF!</v>
      </c>
      <c r="F7" s="432">
        <f>SUM(F8+F16)+F26</f>
        <v>253084025</v>
      </c>
      <c r="G7" s="2719">
        <f>SUM(H7-F7)</f>
        <v>56848196</v>
      </c>
      <c r="H7" s="432">
        <f>SUM(H8+H16)+H26</f>
        <v>309932221</v>
      </c>
      <c r="I7" s="1495">
        <f>SUM(J7-H7)</f>
        <v>-42524797</v>
      </c>
      <c r="J7" s="432">
        <f>SUM(J8+J16)+J26</f>
        <v>267407424</v>
      </c>
      <c r="K7" s="1495">
        <f>SUM(L7-J7)</f>
        <v>0</v>
      </c>
      <c r="L7" s="432">
        <f>SUM(L8+L16)+L26</f>
        <v>267407424</v>
      </c>
      <c r="M7" s="432">
        <f>SUM(M8+M16)+M26</f>
        <v>265849573</v>
      </c>
      <c r="N7" s="139"/>
      <c r="O7" s="139"/>
    </row>
    <row r="8" spans="1:15" s="141" customFormat="1" ht="19.5" customHeight="1" thickBot="1" x14ac:dyDescent="0.25">
      <c r="A8" s="134" t="s">
        <v>17</v>
      </c>
      <c r="B8" s="135"/>
      <c r="C8" s="30" t="s">
        <v>239</v>
      </c>
      <c r="D8" s="137" t="e">
        <f>SUM(D9:D14)</f>
        <v>#REF!</v>
      </c>
      <c r="E8" s="137" t="e">
        <f>SUM(E9:E14)</f>
        <v>#REF!</v>
      </c>
      <c r="F8" s="137">
        <v>253084025</v>
      </c>
      <c r="G8" s="1382">
        <f>SUM(H8-F8)</f>
        <v>56848196</v>
      </c>
      <c r="H8" s="137">
        <f t="shared" ref="H8:M8" si="0">SUM(H70)</f>
        <v>309932221</v>
      </c>
      <c r="I8" s="1382">
        <f t="shared" si="0"/>
        <v>-42524797</v>
      </c>
      <c r="J8" s="137">
        <f t="shared" si="0"/>
        <v>267407424</v>
      </c>
      <c r="K8" s="1382">
        <f>SUM(L8-J8)</f>
        <v>0</v>
      </c>
      <c r="L8" s="137">
        <f t="shared" si="0"/>
        <v>267407424</v>
      </c>
      <c r="M8" s="137">
        <f t="shared" si="0"/>
        <v>265849573</v>
      </c>
      <c r="N8" s="139"/>
      <c r="O8" s="139"/>
    </row>
    <row r="9" spans="1:15" s="145" customFormat="1" ht="12.75" hidden="1" customHeight="1" x14ac:dyDescent="0.2">
      <c r="A9" s="142"/>
      <c r="B9" s="143"/>
      <c r="C9" s="27"/>
      <c r="D9" s="144" t="e">
        <f>SUM(#REF!+#REF!+#REF!)</f>
        <v>#REF!</v>
      </c>
      <c r="E9" s="144" t="e">
        <f>SUM(#REF!+#REF!+#REF!)</f>
        <v>#REF!</v>
      </c>
      <c r="F9" s="144"/>
      <c r="G9" s="1415"/>
      <c r="H9" s="144"/>
      <c r="I9" s="1376"/>
      <c r="J9" s="144"/>
      <c r="K9" s="1376"/>
      <c r="L9" s="144"/>
      <c r="M9" s="137">
        <f t="shared" ref="M9:M25" si="1">SUM(H9)/2</f>
        <v>0</v>
      </c>
      <c r="N9" s="139"/>
      <c r="O9" s="139"/>
    </row>
    <row r="10" spans="1:15" s="145" customFormat="1" ht="12.75" hidden="1" customHeight="1" x14ac:dyDescent="0.2">
      <c r="A10" s="142"/>
      <c r="B10" s="143"/>
      <c r="C10" s="27"/>
      <c r="D10" s="144"/>
      <c r="E10" s="144"/>
      <c r="F10" s="144"/>
      <c r="G10" s="1415"/>
      <c r="H10" s="144"/>
      <c r="I10" s="1376"/>
      <c r="J10" s="144"/>
      <c r="K10" s="1376"/>
      <c r="L10" s="144"/>
      <c r="M10" s="137">
        <f t="shared" si="1"/>
        <v>0</v>
      </c>
      <c r="N10" s="139"/>
      <c r="O10" s="139"/>
    </row>
    <row r="11" spans="1:15" s="145" customFormat="1" ht="12.75" hidden="1" customHeight="1" x14ac:dyDescent="0.2">
      <c r="A11" s="142"/>
      <c r="B11" s="143"/>
      <c r="C11" s="27"/>
      <c r="D11" s="144" t="e">
        <f>SUM(#REF!)</f>
        <v>#REF!</v>
      </c>
      <c r="E11" s="144" t="e">
        <f>SUM(#REF!)</f>
        <v>#REF!</v>
      </c>
      <c r="F11" s="144"/>
      <c r="G11" s="1415"/>
      <c r="H11" s="144"/>
      <c r="I11" s="1376"/>
      <c r="J11" s="144"/>
      <c r="K11" s="1376"/>
      <c r="L11" s="144"/>
      <c r="M11" s="137">
        <f t="shared" si="1"/>
        <v>0</v>
      </c>
      <c r="N11" s="139"/>
      <c r="O11" s="139"/>
    </row>
    <row r="12" spans="1:15" s="145" customFormat="1" ht="12.75" hidden="1" customHeight="1" x14ac:dyDescent="0.2">
      <c r="A12" s="142"/>
      <c r="B12" s="143"/>
      <c r="C12" s="27"/>
      <c r="D12" s="144" t="e">
        <f>SUM(#REF!)</f>
        <v>#REF!</v>
      </c>
      <c r="E12" s="144" t="e">
        <f>SUM(#REF!+#REF!)</f>
        <v>#REF!</v>
      </c>
      <c r="F12" s="144"/>
      <c r="G12" s="1415"/>
      <c r="H12" s="144"/>
      <c r="I12" s="1376"/>
      <c r="J12" s="144"/>
      <c r="K12" s="1376"/>
      <c r="L12" s="144"/>
      <c r="M12" s="137">
        <f t="shared" si="1"/>
        <v>0</v>
      </c>
      <c r="N12" s="139"/>
      <c r="O12" s="139"/>
    </row>
    <row r="13" spans="1:15" s="145" customFormat="1" ht="12.75" hidden="1" customHeight="1" x14ac:dyDescent="0.2">
      <c r="A13" s="142"/>
      <c r="B13" s="143"/>
      <c r="C13" s="27"/>
      <c r="D13" s="144"/>
      <c r="E13" s="144"/>
      <c r="F13" s="144"/>
      <c r="G13" s="1415"/>
      <c r="H13" s="144"/>
      <c r="I13" s="1376"/>
      <c r="J13" s="144"/>
      <c r="K13" s="1376"/>
      <c r="L13" s="144"/>
      <c r="M13" s="137">
        <f t="shared" si="1"/>
        <v>0</v>
      </c>
      <c r="N13" s="139"/>
      <c r="O13" s="139"/>
    </row>
    <row r="14" spans="1:15" s="145" customFormat="1" ht="12.75" hidden="1" customHeight="1" x14ac:dyDescent="0.2">
      <c r="A14" s="142"/>
      <c r="B14" s="143"/>
      <c r="C14" s="27"/>
      <c r="D14" s="144"/>
      <c r="E14" s="144"/>
      <c r="F14" s="144"/>
      <c r="G14" s="1415"/>
      <c r="H14" s="144"/>
      <c r="I14" s="1376"/>
      <c r="J14" s="144"/>
      <c r="K14" s="1376"/>
      <c r="L14" s="144"/>
      <c r="M14" s="137">
        <f t="shared" si="1"/>
        <v>0</v>
      </c>
      <c r="N14" s="139"/>
      <c r="O14" s="139"/>
    </row>
    <row r="15" spans="1:15" s="145" customFormat="1" ht="12.75" hidden="1" customHeight="1" x14ac:dyDescent="0.2">
      <c r="A15" s="146"/>
      <c r="B15" s="143"/>
      <c r="C15" s="33"/>
      <c r="D15" s="147"/>
      <c r="E15" s="147"/>
      <c r="F15" s="147"/>
      <c r="G15" s="1519"/>
      <c r="H15" s="147"/>
      <c r="I15" s="1377"/>
      <c r="J15" s="147"/>
      <c r="K15" s="1377"/>
      <c r="L15" s="147"/>
      <c r="M15" s="137">
        <f t="shared" si="1"/>
        <v>0</v>
      </c>
      <c r="N15" s="139"/>
      <c r="O15" s="139"/>
    </row>
    <row r="16" spans="1:15" s="141" customFormat="1" ht="18.75" customHeight="1" thickBot="1" x14ac:dyDescent="0.25">
      <c r="A16" s="134" t="s">
        <v>31</v>
      </c>
      <c r="B16" s="148"/>
      <c r="C16" s="30" t="s">
        <v>330</v>
      </c>
      <c r="D16" s="137" t="e">
        <f>SUM(D17:D24)</f>
        <v>#REF!</v>
      </c>
      <c r="E16" s="137" t="e">
        <f>SUM(E17:E24)</f>
        <v>#REF!</v>
      </c>
      <c r="F16" s="137"/>
      <c r="G16" s="1382"/>
      <c r="H16" s="137"/>
      <c r="I16" s="1374"/>
      <c r="J16" s="137"/>
      <c r="K16" s="1374"/>
      <c r="L16" s="137"/>
      <c r="M16" s="137"/>
      <c r="N16" s="139"/>
      <c r="O16" s="139"/>
    </row>
    <row r="17" spans="1:15" s="141" customFormat="1" ht="12.75" hidden="1" customHeight="1" x14ac:dyDescent="0.2">
      <c r="A17" s="149"/>
      <c r="B17" s="143"/>
      <c r="C17" s="27"/>
      <c r="D17" s="150"/>
      <c r="E17" s="150"/>
      <c r="F17" s="150"/>
      <c r="G17" s="1533"/>
      <c r="H17" s="150"/>
      <c r="I17" s="1375"/>
      <c r="J17" s="150"/>
      <c r="K17" s="1375"/>
      <c r="L17" s="150"/>
      <c r="M17" s="137">
        <f t="shared" si="1"/>
        <v>0</v>
      </c>
      <c r="N17" s="139"/>
      <c r="O17" s="139"/>
    </row>
    <row r="18" spans="1:15" s="141" customFormat="1" ht="12.75" hidden="1" customHeight="1" x14ac:dyDescent="0.2">
      <c r="A18" s="142"/>
      <c r="B18" s="143"/>
      <c r="C18" s="27"/>
      <c r="D18" s="144" t="e">
        <f>SUM(#REF!)</f>
        <v>#REF!</v>
      </c>
      <c r="E18" s="144" t="e">
        <f>SUM(#REF!+#REF!)</f>
        <v>#REF!</v>
      </c>
      <c r="F18" s="144"/>
      <c r="G18" s="1415"/>
      <c r="H18" s="144"/>
      <c r="I18" s="1376"/>
      <c r="J18" s="144"/>
      <c r="K18" s="1376"/>
      <c r="L18" s="144"/>
      <c r="M18" s="137">
        <f t="shared" si="1"/>
        <v>0</v>
      </c>
      <c r="N18" s="139"/>
      <c r="O18" s="139"/>
    </row>
    <row r="19" spans="1:15" s="141" customFormat="1" ht="12.75" hidden="1" customHeight="1" x14ac:dyDescent="0.2">
      <c r="A19" s="142"/>
      <c r="B19" s="143"/>
      <c r="C19" s="27"/>
      <c r="D19" s="144" t="e">
        <f>SUM(#REF!)</f>
        <v>#REF!</v>
      </c>
      <c r="E19" s="144" t="e">
        <f>SUM(#REF!)</f>
        <v>#REF!</v>
      </c>
      <c r="F19" s="144"/>
      <c r="G19" s="1415"/>
      <c r="H19" s="144"/>
      <c r="I19" s="1376"/>
      <c r="J19" s="144"/>
      <c r="K19" s="1376"/>
      <c r="L19" s="144"/>
      <c r="M19" s="137">
        <f t="shared" si="1"/>
        <v>0</v>
      </c>
      <c r="N19" s="139"/>
      <c r="O19" s="139"/>
    </row>
    <row r="20" spans="1:15" s="141" customFormat="1" ht="12.75" hidden="1" customHeight="1" x14ac:dyDescent="0.2">
      <c r="A20" s="142"/>
      <c r="B20" s="143"/>
      <c r="C20" s="27"/>
      <c r="D20" s="144"/>
      <c r="E20" s="144"/>
      <c r="F20" s="144"/>
      <c r="G20" s="1415"/>
      <c r="H20" s="144"/>
      <c r="I20" s="1376"/>
      <c r="J20" s="144"/>
      <c r="K20" s="1376"/>
      <c r="L20" s="144"/>
      <c r="M20" s="137">
        <f t="shared" si="1"/>
        <v>0</v>
      </c>
      <c r="N20" s="139"/>
      <c r="O20" s="139"/>
    </row>
    <row r="21" spans="1:15" s="141" customFormat="1" ht="12.75" hidden="1" customHeight="1" x14ac:dyDescent="0.2">
      <c r="A21" s="142"/>
      <c r="B21" s="143"/>
      <c r="C21" s="27"/>
      <c r="D21" s="144"/>
      <c r="E21" s="144"/>
      <c r="F21" s="144"/>
      <c r="G21" s="1415"/>
      <c r="H21" s="144"/>
      <c r="I21" s="1376"/>
      <c r="J21" s="144"/>
      <c r="K21" s="1376"/>
      <c r="L21" s="144"/>
      <c r="M21" s="137">
        <f t="shared" si="1"/>
        <v>0</v>
      </c>
      <c r="N21" s="139"/>
      <c r="O21" s="139"/>
    </row>
    <row r="22" spans="1:15" s="141" customFormat="1" ht="12.75" hidden="1" customHeight="1" x14ac:dyDescent="0.2">
      <c r="A22" s="146"/>
      <c r="B22" s="143"/>
      <c r="C22" s="27"/>
      <c r="D22" s="147" t="e">
        <f>SUM(#REF!)</f>
        <v>#REF!</v>
      </c>
      <c r="E22" s="147" t="e">
        <f>SUM(#REF!)</f>
        <v>#REF!</v>
      </c>
      <c r="F22" s="147"/>
      <c r="G22" s="1519"/>
      <c r="H22" s="147"/>
      <c r="I22" s="1377"/>
      <c r="J22" s="147"/>
      <c r="K22" s="1377"/>
      <c r="L22" s="147"/>
      <c r="M22" s="137">
        <f t="shared" si="1"/>
        <v>0</v>
      </c>
      <c r="N22" s="139"/>
      <c r="O22" s="139"/>
    </row>
    <row r="23" spans="1:15" s="145" customFormat="1" ht="12.75" hidden="1" customHeight="1" x14ac:dyDescent="0.2">
      <c r="A23" s="142"/>
      <c r="B23" s="143"/>
      <c r="C23" s="27"/>
      <c r="D23" s="144" t="e">
        <f>SUM(#REF!)</f>
        <v>#REF!</v>
      </c>
      <c r="E23" s="144" t="e">
        <f>SUM(#REF!)</f>
        <v>#REF!</v>
      </c>
      <c r="F23" s="144"/>
      <c r="G23" s="1415"/>
      <c r="H23" s="144"/>
      <c r="I23" s="1376"/>
      <c r="J23" s="144"/>
      <c r="K23" s="1376"/>
      <c r="L23" s="144"/>
      <c r="M23" s="137">
        <f t="shared" si="1"/>
        <v>0</v>
      </c>
      <c r="N23" s="139"/>
      <c r="O23" s="139"/>
    </row>
    <row r="24" spans="1:15" s="145" customFormat="1" ht="12.75" hidden="1" customHeight="1" x14ac:dyDescent="0.2">
      <c r="A24" s="151"/>
      <c r="B24" s="152"/>
      <c r="C24" s="27"/>
      <c r="D24" s="153"/>
      <c r="E24" s="153"/>
      <c r="F24" s="153"/>
      <c r="G24" s="1518"/>
      <c r="H24" s="153"/>
      <c r="I24" s="1378"/>
      <c r="J24" s="153"/>
      <c r="K24" s="1378"/>
      <c r="L24" s="153"/>
      <c r="M24" s="137">
        <f t="shared" si="1"/>
        <v>0</v>
      </c>
      <c r="N24" s="139"/>
      <c r="O24" s="139"/>
    </row>
    <row r="25" spans="1:15" s="145" customFormat="1" ht="12.75" hidden="1" customHeight="1" x14ac:dyDescent="0.2">
      <c r="A25" s="134"/>
      <c r="B25" s="154"/>
      <c r="C25" s="30"/>
      <c r="D25" s="155"/>
      <c r="E25" s="155"/>
      <c r="F25" s="155"/>
      <c r="G25" s="1381"/>
      <c r="H25" s="155"/>
      <c r="I25" s="1380"/>
      <c r="J25" s="155"/>
      <c r="K25" s="1380"/>
      <c r="L25" s="155"/>
      <c r="M25" s="137">
        <f t="shared" si="1"/>
        <v>0</v>
      </c>
      <c r="N25" s="139"/>
      <c r="O25" s="139"/>
    </row>
    <row r="26" spans="1:15" s="141" customFormat="1" ht="21" customHeight="1" thickBot="1" x14ac:dyDescent="0.25">
      <c r="A26" s="134" t="s">
        <v>45</v>
      </c>
      <c r="B26" s="148"/>
      <c r="C26" s="30" t="s">
        <v>237</v>
      </c>
      <c r="D26" s="137">
        <f>SUM(D27:D32)</f>
        <v>0</v>
      </c>
      <c r="E26" s="137">
        <f>SUM(E27:E32)</f>
        <v>0</v>
      </c>
      <c r="F26" s="137"/>
      <c r="G26" s="1382"/>
      <c r="H26" s="137"/>
      <c r="I26" s="1374"/>
      <c r="J26" s="137"/>
      <c r="K26" s="1374"/>
      <c r="L26" s="137"/>
      <c r="M26" s="137"/>
      <c r="N26" s="139"/>
      <c r="O26" s="139"/>
    </row>
    <row r="27" spans="1:15" s="145" customFormat="1" ht="30.75" customHeight="1" thickBot="1" x14ac:dyDescent="0.25">
      <c r="A27" s="134" t="s">
        <v>67</v>
      </c>
      <c r="B27" s="2801"/>
      <c r="C27" s="136" t="s">
        <v>294</v>
      </c>
      <c r="D27" s="144"/>
      <c r="E27" s="144"/>
      <c r="F27" s="138"/>
      <c r="G27" s="2445"/>
      <c r="H27" s="138"/>
      <c r="I27" s="1589"/>
      <c r="J27" s="138"/>
      <c r="K27" s="1589"/>
      <c r="L27" s="138"/>
      <c r="M27" s="138"/>
      <c r="N27" s="139"/>
      <c r="O27" s="139"/>
    </row>
    <row r="28" spans="1:15" s="145" customFormat="1" ht="18.75" customHeight="1" thickBot="1" x14ac:dyDescent="0.25">
      <c r="A28" s="134" t="s">
        <v>79</v>
      </c>
      <c r="B28" s="2801"/>
      <c r="C28" s="30" t="s">
        <v>271</v>
      </c>
      <c r="D28" s="144"/>
      <c r="E28" s="144"/>
      <c r="F28" s="137"/>
      <c r="G28" s="1382"/>
      <c r="H28" s="137"/>
      <c r="I28" s="1374"/>
      <c r="J28" s="137"/>
      <c r="K28" s="1374"/>
      <c r="L28" s="137"/>
      <c r="M28" s="137"/>
      <c r="N28" s="139"/>
      <c r="O28" s="139"/>
    </row>
    <row r="29" spans="1:15" s="145" customFormat="1" ht="18.75" customHeight="1" thickBot="1" x14ac:dyDescent="0.25">
      <c r="A29" s="134" t="s">
        <v>89</v>
      </c>
      <c r="B29" s="2801"/>
      <c r="C29" s="30" t="s">
        <v>295</v>
      </c>
      <c r="D29" s="144"/>
      <c r="E29" s="144"/>
      <c r="F29" s="137"/>
      <c r="G29" s="1382"/>
      <c r="H29" s="137"/>
      <c r="I29" s="1374"/>
      <c r="J29" s="137"/>
      <c r="K29" s="1374"/>
      <c r="L29" s="137"/>
      <c r="M29" s="137"/>
      <c r="N29" s="139"/>
      <c r="O29" s="139"/>
    </row>
    <row r="30" spans="1:15" s="145" customFormat="1" ht="18.75" customHeight="1" thickBot="1" x14ac:dyDescent="0.25">
      <c r="A30" s="134" t="s">
        <v>99</v>
      </c>
      <c r="B30" s="2801"/>
      <c r="C30" s="30" t="s">
        <v>296</v>
      </c>
      <c r="D30" s="144"/>
      <c r="E30" s="144"/>
      <c r="F30" s="137"/>
      <c r="G30" s="1382"/>
      <c r="H30" s="137"/>
      <c r="I30" s="1374"/>
      <c r="J30" s="137"/>
      <c r="K30" s="1374"/>
      <c r="L30" s="137"/>
      <c r="M30" s="137"/>
      <c r="N30" s="139"/>
      <c r="O30" s="139"/>
    </row>
    <row r="31" spans="1:15" s="145" customFormat="1" ht="21.75" customHeight="1" thickBot="1" x14ac:dyDescent="0.25">
      <c r="A31" s="134"/>
      <c r="B31" s="2801"/>
      <c r="C31" s="136" t="s">
        <v>297</v>
      </c>
      <c r="D31" s="144"/>
      <c r="E31" s="670"/>
      <c r="F31" s="155">
        <f>SUM(F32)</f>
        <v>0</v>
      </c>
      <c r="G31" s="2753"/>
      <c r="H31" s="206">
        <f>SUM(H32)</f>
        <v>0</v>
      </c>
      <c r="I31" s="1394"/>
      <c r="J31" s="206">
        <f>SUM(J32)</f>
        <v>0</v>
      </c>
      <c r="K31" s="1394"/>
      <c r="L31" s="206">
        <f>SUM(L32)</f>
        <v>0</v>
      </c>
      <c r="M31" s="206">
        <f>SUM(M32)</f>
        <v>0</v>
      </c>
      <c r="N31" s="139"/>
      <c r="O31" s="139"/>
    </row>
    <row r="32" spans="1:15" s="145" customFormat="1" ht="16.5" customHeight="1" thickBot="1" x14ac:dyDescent="0.25">
      <c r="A32" s="134"/>
      <c r="B32" s="2801"/>
      <c r="C32" s="30" t="s">
        <v>298</v>
      </c>
      <c r="D32" s="144"/>
      <c r="E32" s="670"/>
      <c r="F32" s="252"/>
      <c r="G32" s="1509"/>
      <c r="H32" s="252"/>
      <c r="I32" s="1436"/>
      <c r="J32" s="252"/>
      <c r="K32" s="1436"/>
      <c r="L32" s="252"/>
      <c r="M32" s="252"/>
      <c r="N32" s="139"/>
      <c r="O32" s="139"/>
    </row>
    <row r="33" spans="1:18" s="145" customFormat="1" ht="21" customHeight="1" thickBot="1" x14ac:dyDescent="0.25">
      <c r="A33" s="192" t="s">
        <v>125</v>
      </c>
      <c r="B33" s="160"/>
      <c r="C33" s="161" t="s">
        <v>331</v>
      </c>
      <c r="D33" s="162" t="e">
        <f>+#REF!+#REF!+#REF!</f>
        <v>#REF!</v>
      </c>
      <c r="E33" s="162" t="e">
        <f>+#REF!+#REF!+#REF!</f>
        <v>#REF!</v>
      </c>
      <c r="F33" s="162">
        <f>SUM(F7+F27+F31)</f>
        <v>253084025</v>
      </c>
      <c r="G33" s="1437">
        <f>SUM(H33-F33)</f>
        <v>56848196</v>
      </c>
      <c r="H33" s="162">
        <f>SUM(H7+H27+H31)</f>
        <v>309932221</v>
      </c>
      <c r="I33" s="1373">
        <f>SUM(J33-H33)</f>
        <v>-42524797</v>
      </c>
      <c r="J33" s="162">
        <f>SUM(J7+J27+J31)</f>
        <v>267407424</v>
      </c>
      <c r="K33" s="1373">
        <f>SUM(L33-J33)</f>
        <v>0</v>
      </c>
      <c r="L33" s="162">
        <f>SUM(L7+L27+L31)</f>
        <v>267407424</v>
      </c>
      <c r="M33" s="162">
        <f>SUM(M7+M27+M31)</f>
        <v>265849573</v>
      </c>
      <c r="N33" s="139">
        <f>SUM(F73-F33)</f>
        <v>0</v>
      </c>
      <c r="O33" s="139">
        <f>SUM(H73-H33)</f>
        <v>0</v>
      </c>
      <c r="P33" s="139">
        <f>SUM(J73-J33)</f>
        <v>0</v>
      </c>
      <c r="Q33" s="139">
        <f>SUM(L73-L33)</f>
        <v>0</v>
      </c>
      <c r="R33" s="139">
        <f>SUM(M73-M33)</f>
        <v>0</v>
      </c>
    </row>
    <row r="34" spans="1:18" s="145" customFormat="1" ht="15" customHeight="1" thickBot="1" x14ac:dyDescent="0.25">
      <c r="A34" s="880"/>
      <c r="B34" s="163"/>
      <c r="C34" s="164"/>
      <c r="D34" s="165"/>
      <c r="E34" s="165"/>
      <c r="F34" s="2452"/>
      <c r="G34" s="1532"/>
      <c r="H34" s="1532"/>
      <c r="I34" s="1532"/>
      <c r="J34" s="1532"/>
      <c r="K34" s="1532"/>
      <c r="L34" s="1532"/>
      <c r="M34" s="165"/>
      <c r="N34" s="139"/>
      <c r="O34" s="139"/>
    </row>
    <row r="35" spans="1:18" s="129" customFormat="1" ht="20.25" customHeight="1" thickBot="1" x14ac:dyDescent="0.25">
      <c r="A35" s="166"/>
      <c r="B35" s="167"/>
      <c r="C35" s="168" t="s">
        <v>231</v>
      </c>
      <c r="D35" s="169"/>
      <c r="E35" s="169"/>
      <c r="F35" s="169"/>
      <c r="G35" s="1599"/>
      <c r="H35" s="1599"/>
      <c r="I35" s="1599"/>
      <c r="J35" s="1599"/>
      <c r="K35" s="1599"/>
      <c r="L35" s="169"/>
      <c r="M35" s="169"/>
      <c r="N35" s="139"/>
      <c r="O35" s="139"/>
    </row>
    <row r="36" spans="1:18" s="172" customFormat="1" ht="15" customHeight="1" thickBot="1" x14ac:dyDescent="0.25">
      <c r="A36" s="134" t="s">
        <v>3</v>
      </c>
      <c r="B36" s="170"/>
      <c r="C36" s="171" t="s">
        <v>1161</v>
      </c>
      <c r="D36" s="137" t="e">
        <f>SUM(D37:D41)+D51</f>
        <v>#REF!</v>
      </c>
      <c r="E36" s="137" t="e">
        <f>SUM(E37:E41)+E51</f>
        <v>#REF!</v>
      </c>
      <c r="F36" s="137">
        <f>SUM(F37:F41)</f>
        <v>0</v>
      </c>
      <c r="G36" s="1382">
        <f>SUM(H36-F36)</f>
        <v>0</v>
      </c>
      <c r="H36" s="137">
        <f>SUM(H37:H41)</f>
        <v>0</v>
      </c>
      <c r="I36" s="1374">
        <f>SUM(J36-H36)</f>
        <v>0</v>
      </c>
      <c r="J36" s="137">
        <f>SUM(J37:J41)</f>
        <v>0</v>
      </c>
      <c r="K36" s="1374">
        <f>SUM(L36-J36)</f>
        <v>0</v>
      </c>
      <c r="L36" s="137">
        <f>SUM(L37:L41)</f>
        <v>0</v>
      </c>
      <c r="M36" s="137">
        <f>SUM(M37:M41)</f>
        <v>0</v>
      </c>
      <c r="N36" s="139"/>
      <c r="O36" s="139"/>
    </row>
    <row r="37" spans="1:18" ht="15" customHeight="1" x14ac:dyDescent="0.2">
      <c r="A37" s="173"/>
      <c r="B37" s="174" t="s">
        <v>152</v>
      </c>
      <c r="C37" s="55" t="s">
        <v>153</v>
      </c>
      <c r="D37" s="175" t="e">
        <f>SUM(#REF!+#REF!+#REF!+#REF!)</f>
        <v>#REF!</v>
      </c>
      <c r="E37" s="175" t="e">
        <f>SUM(#REF!+#REF!+#REF!+#REF!)</f>
        <v>#REF!</v>
      </c>
      <c r="F37" s="175"/>
      <c r="G37" s="1432"/>
      <c r="H37" s="175"/>
      <c r="I37" s="1386"/>
      <c r="J37" s="175"/>
      <c r="K37" s="1386"/>
      <c r="L37" s="175"/>
      <c r="M37" s="175"/>
      <c r="N37" s="139"/>
      <c r="O37" s="139"/>
    </row>
    <row r="38" spans="1:18" ht="15" customHeight="1" x14ac:dyDescent="0.2">
      <c r="A38" s="142"/>
      <c r="B38" s="176" t="s">
        <v>154</v>
      </c>
      <c r="C38" s="55" t="s">
        <v>155</v>
      </c>
      <c r="D38" s="144" t="e">
        <f>SUM(#REF!+#REF!+#REF!+#REF!+#REF!)</f>
        <v>#REF!</v>
      </c>
      <c r="E38" s="144" t="e">
        <f>SUM(#REF!+#REF!+#REF!+#REF!+#REF!)</f>
        <v>#REF!</v>
      </c>
      <c r="F38" s="144"/>
      <c r="G38" s="1415"/>
      <c r="H38" s="144"/>
      <c r="I38" s="1376"/>
      <c r="J38" s="144"/>
      <c r="K38" s="1376"/>
      <c r="L38" s="144"/>
      <c r="M38" s="144"/>
      <c r="N38" s="139"/>
      <c r="O38" s="139"/>
    </row>
    <row r="39" spans="1:18" ht="15" customHeight="1" x14ac:dyDescent="0.2">
      <c r="A39" s="142"/>
      <c r="B39" s="176" t="s">
        <v>156</v>
      </c>
      <c r="C39" s="55" t="s">
        <v>157</v>
      </c>
      <c r="D39" s="144" t="e">
        <f>SUM(#REF!+#REF!+#REF!+#REF!+#REF!+#REF!+#REF!+#REF!+#REF!+#REF!+#REF!+#REF!+#REF!)</f>
        <v>#REF!</v>
      </c>
      <c r="E39" s="144" t="e">
        <f>SUM(#REF!+#REF!+#REF!+#REF!+#REF!+#REF!+#REF!+#REF!+#REF!+#REF!+#REF!+#REF!+#REF!)</f>
        <v>#REF!</v>
      </c>
      <c r="F39" s="144"/>
      <c r="G39" s="1415"/>
      <c r="H39" s="144"/>
      <c r="I39" s="1376"/>
      <c r="J39" s="144"/>
      <c r="K39" s="1376"/>
      <c r="L39" s="144"/>
      <c r="M39" s="144"/>
      <c r="N39" s="139"/>
      <c r="O39" s="139"/>
    </row>
    <row r="40" spans="1:18" ht="15" customHeight="1" x14ac:dyDescent="0.2">
      <c r="A40" s="142"/>
      <c r="B40" s="176" t="s">
        <v>158</v>
      </c>
      <c r="C40" s="55" t="s">
        <v>159</v>
      </c>
      <c r="D40" s="144" t="e">
        <f>SUM(#REF!)</f>
        <v>#REF!</v>
      </c>
      <c r="E40" s="144" t="e">
        <f>SUM(#REF!)</f>
        <v>#REF!</v>
      </c>
      <c r="F40" s="144"/>
      <c r="G40" s="1415">
        <f>SUM(H40-F40)</f>
        <v>0</v>
      </c>
      <c r="H40" s="144"/>
      <c r="I40" s="1376">
        <f>SUM(J40-H40)</f>
        <v>0</v>
      </c>
      <c r="J40" s="144"/>
      <c r="K40" s="1376">
        <f>SUM(L40-J40)</f>
        <v>0</v>
      </c>
      <c r="L40" s="144"/>
      <c r="M40" s="144"/>
      <c r="N40" s="139"/>
      <c r="O40" s="139"/>
    </row>
    <row r="41" spans="1:18" ht="15" customHeight="1" x14ac:dyDescent="0.2">
      <c r="A41" s="142"/>
      <c r="B41" s="176" t="s">
        <v>160</v>
      </c>
      <c r="C41" s="55" t="s">
        <v>161</v>
      </c>
      <c r="D41" s="144" t="e">
        <f>SUM(D42:D50)</f>
        <v>#REF!</v>
      </c>
      <c r="E41" s="144" t="e">
        <f>SUM(E42:E50)</f>
        <v>#REF!</v>
      </c>
      <c r="F41" s="144">
        <f>SUM(F42:F50)</f>
        <v>0</v>
      </c>
      <c r="G41" s="1415"/>
      <c r="H41" s="144">
        <f>SUM(H42:H50)</f>
        <v>0</v>
      </c>
      <c r="I41" s="1376"/>
      <c r="J41" s="144">
        <f>SUM(J42:J50)</f>
        <v>0</v>
      </c>
      <c r="K41" s="1376"/>
      <c r="L41" s="144">
        <f>SUM(L42:L50)</f>
        <v>0</v>
      </c>
      <c r="M41" s="144">
        <f>SUM(M42:M50)</f>
        <v>0</v>
      </c>
      <c r="N41" s="139"/>
      <c r="O41" s="139"/>
    </row>
    <row r="42" spans="1:18" ht="15" customHeight="1" x14ac:dyDescent="0.2">
      <c r="A42" s="142"/>
      <c r="B42" s="176" t="s">
        <v>302</v>
      </c>
      <c r="C42" s="177" t="s">
        <v>1442</v>
      </c>
      <c r="D42" s="144"/>
      <c r="E42" s="144"/>
      <c r="F42" s="144"/>
      <c r="G42" s="1415"/>
      <c r="H42" s="144"/>
      <c r="I42" s="1376"/>
      <c r="J42" s="144"/>
      <c r="K42" s="1376"/>
      <c r="L42" s="144"/>
      <c r="M42" s="144"/>
      <c r="N42" s="139"/>
      <c r="O42" s="139"/>
    </row>
    <row r="43" spans="1:18" ht="15" customHeight="1" x14ac:dyDescent="0.2">
      <c r="A43" s="142"/>
      <c r="B43" s="176" t="s">
        <v>304</v>
      </c>
      <c r="C43" s="177" t="s">
        <v>305</v>
      </c>
      <c r="D43" s="144"/>
      <c r="E43" s="144"/>
      <c r="F43" s="144"/>
      <c r="G43" s="1415"/>
      <c r="H43" s="144"/>
      <c r="I43" s="1376"/>
      <c r="J43" s="144"/>
      <c r="K43" s="1376"/>
      <c r="L43" s="144"/>
      <c r="M43" s="144"/>
      <c r="N43" s="139"/>
      <c r="O43" s="139"/>
    </row>
    <row r="44" spans="1:18" ht="15" customHeight="1" x14ac:dyDescent="0.2">
      <c r="A44" s="142"/>
      <c r="B44" s="176" t="s">
        <v>306</v>
      </c>
      <c r="C44" s="177" t="s">
        <v>763</v>
      </c>
      <c r="D44" s="144"/>
      <c r="E44" s="144"/>
      <c r="F44" s="144"/>
      <c r="G44" s="1415"/>
      <c r="H44" s="144"/>
      <c r="I44" s="1376"/>
      <c r="J44" s="144"/>
      <c r="K44" s="1376"/>
      <c r="L44" s="144"/>
      <c r="M44" s="144"/>
      <c r="N44" s="139"/>
      <c r="O44" s="139"/>
    </row>
    <row r="45" spans="1:18" ht="15" customHeight="1" thickBot="1" x14ac:dyDescent="0.25">
      <c r="A45" s="142"/>
      <c r="B45" s="176" t="s">
        <v>829</v>
      </c>
      <c r="C45" s="177" t="s">
        <v>307</v>
      </c>
      <c r="D45" s="144"/>
      <c r="E45" s="144"/>
      <c r="F45" s="144"/>
      <c r="G45" s="1415"/>
      <c r="H45" s="144"/>
      <c r="I45" s="1376"/>
      <c r="J45" s="144"/>
      <c r="K45" s="1376"/>
      <c r="L45" s="144"/>
      <c r="M45" s="144"/>
      <c r="N45" s="139"/>
      <c r="O45" s="139"/>
    </row>
    <row r="46" spans="1:18" ht="12.75" hidden="1" customHeight="1" x14ac:dyDescent="0.2">
      <c r="A46" s="142"/>
      <c r="B46" s="176"/>
      <c r="C46" s="177"/>
      <c r="D46" s="144" t="e">
        <f>SUM(#REF!)</f>
        <v>#REF!</v>
      </c>
      <c r="E46" s="144" t="e">
        <f>SUM(#REF!)-#REF!-#REF!</f>
        <v>#REF!</v>
      </c>
      <c r="F46" s="144"/>
      <c r="G46" s="1415"/>
      <c r="H46" s="144"/>
      <c r="I46" s="1376"/>
      <c r="J46" s="144"/>
      <c r="K46" s="1376"/>
      <c r="L46" s="144"/>
      <c r="M46" s="144"/>
      <c r="N46" s="139"/>
      <c r="O46" s="139"/>
    </row>
    <row r="47" spans="1:18" ht="12.75" hidden="1" customHeight="1" x14ac:dyDescent="0.2">
      <c r="A47" s="142"/>
      <c r="B47" s="176"/>
      <c r="C47" s="177"/>
      <c r="D47" s="144"/>
      <c r="E47" s="144" t="e">
        <f>#REF!+#REF!+#REF!</f>
        <v>#REF!</v>
      </c>
      <c r="F47" s="144"/>
      <c r="G47" s="1415"/>
      <c r="H47" s="144"/>
      <c r="I47" s="1376"/>
      <c r="J47" s="144"/>
      <c r="K47" s="1376"/>
      <c r="L47" s="144"/>
      <c r="M47" s="144"/>
      <c r="N47" s="139"/>
      <c r="O47" s="139"/>
    </row>
    <row r="48" spans="1:18" ht="12.75" hidden="1" customHeight="1" x14ac:dyDescent="0.2">
      <c r="A48" s="142"/>
      <c r="B48" s="176"/>
      <c r="C48" s="177"/>
      <c r="D48" s="144"/>
      <c r="E48" s="144"/>
      <c r="F48" s="144"/>
      <c r="G48" s="1415"/>
      <c r="H48" s="144"/>
      <c r="I48" s="1376"/>
      <c r="J48" s="144"/>
      <c r="K48" s="1376"/>
      <c r="L48" s="144"/>
      <c r="M48" s="144"/>
      <c r="N48" s="139"/>
      <c r="O48" s="139"/>
    </row>
    <row r="49" spans="1:20" ht="12.75" hidden="1" customHeight="1" x14ac:dyDescent="0.2">
      <c r="A49" s="142"/>
      <c r="B49" s="176"/>
      <c r="C49" s="177"/>
      <c r="D49" s="144" t="e">
        <f>SUM(#REF!)</f>
        <v>#REF!</v>
      </c>
      <c r="E49" s="144" t="e">
        <f>SUM(#REF!)</f>
        <v>#REF!</v>
      </c>
      <c r="F49" s="144"/>
      <c r="G49" s="1415"/>
      <c r="H49" s="144"/>
      <c r="I49" s="1376"/>
      <c r="J49" s="144"/>
      <c r="K49" s="1376"/>
      <c r="L49" s="144"/>
      <c r="M49" s="144"/>
      <c r="N49" s="139"/>
      <c r="O49" s="139"/>
    </row>
    <row r="50" spans="1:20" ht="12.75" hidden="1" customHeight="1" x14ac:dyDescent="0.2">
      <c r="A50" s="151"/>
      <c r="B50" s="176"/>
      <c r="C50" s="177"/>
      <c r="D50" s="153"/>
      <c r="E50" s="153"/>
      <c r="F50" s="153"/>
      <c r="G50" s="1518"/>
      <c r="H50" s="153"/>
      <c r="I50" s="1378"/>
      <c r="J50" s="153"/>
      <c r="K50" s="1378"/>
      <c r="L50" s="153"/>
      <c r="M50" s="153"/>
      <c r="N50" s="139"/>
      <c r="O50" s="139"/>
    </row>
    <row r="51" spans="1:20" ht="12.75" hidden="1" customHeight="1" thickBot="1" x14ac:dyDescent="0.25">
      <c r="A51" s="178"/>
      <c r="B51" s="179"/>
      <c r="C51" s="180"/>
      <c r="D51" s="181" t="e">
        <f>SUM(#REF!)</f>
        <v>#REF!</v>
      </c>
      <c r="E51" s="181" t="e">
        <f>#REF!</f>
        <v>#REF!</v>
      </c>
      <c r="F51" s="181"/>
      <c r="G51" s="2762"/>
      <c r="H51" s="181"/>
      <c r="I51" s="1592"/>
      <c r="J51" s="181"/>
      <c r="K51" s="1592"/>
      <c r="L51" s="181"/>
      <c r="M51" s="181"/>
      <c r="N51" s="139"/>
      <c r="O51" s="139"/>
    </row>
    <row r="52" spans="1:20" ht="15" customHeight="1" thickBot="1" x14ac:dyDescent="0.25">
      <c r="A52" s="134" t="s">
        <v>17</v>
      </c>
      <c r="B52" s="170"/>
      <c r="C52" s="171" t="s">
        <v>308</v>
      </c>
      <c r="D52" s="137" t="e">
        <f>SUM(D53:D55)</f>
        <v>#REF!</v>
      </c>
      <c r="E52" s="137" t="e">
        <f>SUM(E53:E55)</f>
        <v>#REF!</v>
      </c>
      <c r="F52" s="137">
        <f>SUM(F53:F55)</f>
        <v>0</v>
      </c>
      <c r="G52" s="1382"/>
      <c r="H52" s="137">
        <f>SUM(H53:H55)</f>
        <v>0</v>
      </c>
      <c r="I52" s="1374"/>
      <c r="J52" s="137">
        <f>SUM(J53:J55)</f>
        <v>0</v>
      </c>
      <c r="K52" s="1374"/>
      <c r="L52" s="137">
        <f>SUM(L53:L55)</f>
        <v>0</v>
      </c>
      <c r="M52" s="137">
        <f>SUM(M53:M55)</f>
        <v>0</v>
      </c>
      <c r="N52" s="139"/>
      <c r="O52" s="139"/>
    </row>
    <row r="53" spans="1:20" s="172" customFormat="1" ht="15" customHeight="1" x14ac:dyDescent="0.2">
      <c r="A53" s="173"/>
      <c r="B53" s="176" t="s">
        <v>309</v>
      </c>
      <c r="C53" s="55" t="s">
        <v>310</v>
      </c>
      <c r="D53" s="175" t="e">
        <f>SUM(#REF!)</f>
        <v>#REF!</v>
      </c>
      <c r="E53" s="175" t="e">
        <f>SUM(#REF!)</f>
        <v>#REF!</v>
      </c>
      <c r="F53" s="175"/>
      <c r="G53" s="1432"/>
      <c r="H53" s="175"/>
      <c r="I53" s="1386"/>
      <c r="J53" s="175"/>
      <c r="K53" s="1386"/>
      <c r="L53" s="175"/>
      <c r="M53" s="175"/>
      <c r="N53" s="139"/>
      <c r="O53" s="139"/>
    </row>
    <row r="54" spans="1:20" ht="15" customHeight="1" x14ac:dyDescent="0.2">
      <c r="A54" s="142"/>
      <c r="B54" s="176" t="s">
        <v>311</v>
      </c>
      <c r="C54" s="55" t="s">
        <v>185</v>
      </c>
      <c r="D54" s="144" t="e">
        <f>SUM(#REF!)</f>
        <v>#REF!</v>
      </c>
      <c r="E54" s="144" t="e">
        <f>SUM(#REF!)</f>
        <v>#REF!</v>
      </c>
      <c r="F54" s="144"/>
      <c r="G54" s="1415"/>
      <c r="H54" s="144"/>
      <c r="I54" s="1376"/>
      <c r="J54" s="144"/>
      <c r="K54" s="1376"/>
      <c r="L54" s="144"/>
      <c r="M54" s="144"/>
      <c r="N54" s="139"/>
      <c r="O54" s="139"/>
    </row>
    <row r="55" spans="1:20" ht="15" customHeight="1" x14ac:dyDescent="0.2">
      <c r="A55" s="142"/>
      <c r="B55" s="176" t="s">
        <v>312</v>
      </c>
      <c r="C55" s="55" t="s">
        <v>273</v>
      </c>
      <c r="D55" s="144" t="e">
        <f>SUM(D58+D57)</f>
        <v>#REF!</v>
      </c>
      <c r="E55" s="144" t="e">
        <f>SUM(E58+E57)</f>
        <v>#REF!</v>
      </c>
      <c r="F55" s="144">
        <f>SUM(F56:F58)</f>
        <v>0</v>
      </c>
      <c r="G55" s="1415"/>
      <c r="H55" s="144">
        <f>SUM(H56:H58)</f>
        <v>0</v>
      </c>
      <c r="I55" s="1376"/>
      <c r="J55" s="144">
        <f>SUM(J56:J58)</f>
        <v>0</v>
      </c>
      <c r="K55" s="1376"/>
      <c r="L55" s="144">
        <f>SUM(L56:L58)</f>
        <v>0</v>
      </c>
      <c r="M55" s="144">
        <f>SUM(M56:M58)</f>
        <v>0</v>
      </c>
      <c r="N55" s="139"/>
      <c r="O55" s="139"/>
    </row>
    <row r="56" spans="1:20" ht="15" customHeight="1" x14ac:dyDescent="0.2">
      <c r="A56" s="142"/>
      <c r="B56" s="176" t="s">
        <v>313</v>
      </c>
      <c r="C56" s="177" t="s">
        <v>314</v>
      </c>
      <c r="D56" s="144"/>
      <c r="E56" s="144"/>
      <c r="F56" s="144"/>
      <c r="G56" s="1415"/>
      <c r="H56" s="144"/>
      <c r="I56" s="1376"/>
      <c r="J56" s="144"/>
      <c r="K56" s="1376"/>
      <c r="L56" s="144"/>
      <c r="M56" s="144"/>
      <c r="N56" s="139"/>
      <c r="O56" s="139"/>
    </row>
    <row r="57" spans="1:20" ht="15" customHeight="1" x14ac:dyDescent="0.2">
      <c r="A57" s="142"/>
      <c r="B57" s="176" t="s">
        <v>315</v>
      </c>
      <c r="C57" s="177" t="s">
        <v>316</v>
      </c>
      <c r="D57" s="144" t="e">
        <f>SUM(#REF!+#REF!)</f>
        <v>#REF!</v>
      </c>
      <c r="E57" s="144" t="e">
        <f>SUM(#REF!+#REF!)</f>
        <v>#REF!</v>
      </c>
      <c r="F57" s="144"/>
      <c r="G57" s="1415"/>
      <c r="H57" s="144"/>
      <c r="I57" s="1376"/>
      <c r="J57" s="144"/>
      <c r="K57" s="1376"/>
      <c r="L57" s="144"/>
      <c r="M57" s="144"/>
      <c r="N57" s="139"/>
      <c r="O57" s="139"/>
    </row>
    <row r="58" spans="1:20" s="172" customFormat="1" ht="15" customHeight="1" thickBot="1" x14ac:dyDescent="0.25">
      <c r="A58" s="142"/>
      <c r="B58" s="176" t="s">
        <v>317</v>
      </c>
      <c r="C58" s="177" t="s">
        <v>307</v>
      </c>
      <c r="D58" s="144" t="e">
        <f>SUM(D59:D61)</f>
        <v>#REF!</v>
      </c>
      <c r="E58" s="144" t="e">
        <f>SUM(E59:E61)</f>
        <v>#REF!</v>
      </c>
      <c r="F58" s="144"/>
      <c r="G58" s="1415"/>
      <c r="H58" s="144"/>
      <c r="I58" s="1376"/>
      <c r="J58" s="144"/>
      <c r="K58" s="1376"/>
      <c r="L58" s="144"/>
      <c r="M58" s="144"/>
      <c r="N58" s="139"/>
      <c r="O58" s="139"/>
    </row>
    <row r="59" spans="1:20" ht="12.75" hidden="1" customHeight="1" x14ac:dyDescent="0.25">
      <c r="A59" s="142"/>
      <c r="B59" s="176"/>
      <c r="C59" s="182"/>
      <c r="D59" s="183" t="e">
        <f>SUM(#REF!)</f>
        <v>#REF!</v>
      </c>
      <c r="E59" s="183" t="e">
        <f>SUM(#REF!)</f>
        <v>#REF!</v>
      </c>
      <c r="F59" s="183"/>
      <c r="G59" s="2761"/>
      <c r="H59" s="183"/>
      <c r="I59" s="1593"/>
      <c r="J59" s="183"/>
      <c r="K59" s="1593"/>
      <c r="L59" s="183"/>
      <c r="M59" s="183"/>
      <c r="N59" s="139"/>
      <c r="O59" s="139"/>
      <c r="T59" s="184"/>
    </row>
    <row r="60" spans="1:20" ht="12.75" hidden="1" customHeight="1" x14ac:dyDescent="0.25">
      <c r="A60" s="142"/>
      <c r="B60" s="176"/>
      <c r="C60" s="182"/>
      <c r="D60" s="183"/>
      <c r="E60" s="183"/>
      <c r="F60" s="183"/>
      <c r="G60" s="2761"/>
      <c r="H60" s="183"/>
      <c r="I60" s="1593"/>
      <c r="J60" s="183"/>
      <c r="K60" s="1593"/>
      <c r="L60" s="183"/>
      <c r="M60" s="183"/>
      <c r="N60" s="139"/>
      <c r="O60" s="139"/>
    </row>
    <row r="61" spans="1:20" ht="12.75" hidden="1" customHeight="1" x14ac:dyDescent="0.25">
      <c r="A61" s="151"/>
      <c r="B61" s="176"/>
      <c r="C61" s="185"/>
      <c r="D61" s="186"/>
      <c r="E61" s="186"/>
      <c r="F61" s="186" t="e">
        <f>#REF!</f>
        <v>#REF!</v>
      </c>
      <c r="G61" s="2799"/>
      <c r="H61" s="186" t="e">
        <f>#REF!</f>
        <v>#REF!</v>
      </c>
      <c r="I61" s="1594"/>
      <c r="J61" s="186" t="e">
        <f>#REF!</f>
        <v>#REF!</v>
      </c>
      <c r="K61" s="1594"/>
      <c r="L61" s="186" t="e">
        <f>#REF!</f>
        <v>#REF!</v>
      </c>
      <c r="M61" s="186" t="e">
        <f>#REF!</f>
        <v>#REF!</v>
      </c>
      <c r="N61" s="139"/>
      <c r="O61" s="139"/>
    </row>
    <row r="62" spans="1:20" ht="12.75" hidden="1" customHeight="1" x14ac:dyDescent="0.2">
      <c r="A62" s="134"/>
      <c r="B62" s="170"/>
      <c r="C62" s="171"/>
      <c r="D62" s="155"/>
      <c r="E62" s="155" t="e">
        <f>#REF!</f>
        <v>#REF!</v>
      </c>
      <c r="F62" s="155"/>
      <c r="G62" s="1381"/>
      <c r="H62" s="155"/>
      <c r="I62" s="1380"/>
      <c r="J62" s="155"/>
      <c r="K62" s="1380"/>
      <c r="L62" s="155"/>
      <c r="M62" s="155"/>
      <c r="N62" s="139"/>
      <c r="O62" s="139"/>
    </row>
    <row r="63" spans="1:20" s="172" customFormat="1" ht="12.75" hidden="1" customHeight="1" x14ac:dyDescent="0.2">
      <c r="A63" s="134"/>
      <c r="B63" s="170"/>
      <c r="C63" s="171"/>
      <c r="D63" s="137" t="e">
        <f>+D64+D66</f>
        <v>#REF!</v>
      </c>
      <c r="E63" s="137" t="e">
        <f>+E64+E66</f>
        <v>#REF!</v>
      </c>
      <c r="F63" s="137" t="e">
        <f>+F64+F66</f>
        <v>#REF!</v>
      </c>
      <c r="G63" s="1382"/>
      <c r="H63" s="137" t="e">
        <f>+H64+H66</f>
        <v>#REF!</v>
      </c>
      <c r="I63" s="1374"/>
      <c r="J63" s="137" t="e">
        <f>+J64+J66</f>
        <v>#REF!</v>
      </c>
      <c r="K63" s="1374"/>
      <c r="L63" s="137" t="e">
        <f>+L64+L66</f>
        <v>#REF!</v>
      </c>
      <c r="M63" s="137" t="e">
        <f>+M64+M66</f>
        <v>#REF!</v>
      </c>
      <c r="N63" s="139"/>
      <c r="O63" s="139"/>
    </row>
    <row r="64" spans="1:20" s="172" customFormat="1" ht="12.75" hidden="1" customHeight="1" x14ac:dyDescent="0.2">
      <c r="A64" s="173"/>
      <c r="B64" s="174"/>
      <c r="C64" s="55"/>
      <c r="D64" s="175" t="e">
        <f>SUM(#REF!)</f>
        <v>#REF!</v>
      </c>
      <c r="E64" s="175"/>
      <c r="F64" s="175" t="e">
        <f>SUM(#REF!)</f>
        <v>#REF!</v>
      </c>
      <c r="G64" s="1432"/>
      <c r="H64" s="175" t="e">
        <f>SUM(#REF!)</f>
        <v>#REF!</v>
      </c>
      <c r="I64" s="1386"/>
      <c r="J64" s="175" t="e">
        <f>SUM(#REF!)</f>
        <v>#REF!</v>
      </c>
      <c r="K64" s="1386"/>
      <c r="L64" s="175" t="e">
        <f>SUM(#REF!)</f>
        <v>#REF!</v>
      </c>
      <c r="M64" s="175" t="e">
        <f>SUM(#REF!)</f>
        <v>#REF!</v>
      </c>
      <c r="N64" s="139"/>
      <c r="O64" s="139"/>
    </row>
    <row r="65" spans="1:15" s="172" customFormat="1" ht="12.75" hidden="1" customHeight="1" x14ac:dyDescent="0.2">
      <c r="A65" s="146"/>
      <c r="B65" s="187"/>
      <c r="C65" s="55"/>
      <c r="D65" s="147"/>
      <c r="E65" s="175"/>
      <c r="F65" s="147"/>
      <c r="G65" s="1519"/>
      <c r="H65" s="147"/>
      <c r="I65" s="1377"/>
      <c r="J65" s="147"/>
      <c r="K65" s="1377"/>
      <c r="L65" s="147"/>
      <c r="M65" s="147"/>
      <c r="N65" s="139"/>
      <c r="O65" s="139"/>
    </row>
    <row r="66" spans="1:15" s="172" customFormat="1" ht="12.75" hidden="1" customHeight="1" x14ac:dyDescent="0.2">
      <c r="A66" s="151"/>
      <c r="B66" s="188"/>
      <c r="C66" s="55"/>
      <c r="D66" s="153" t="e">
        <f>SUM(#REF!)</f>
        <v>#REF!</v>
      </c>
      <c r="E66" s="153" t="e">
        <f>SUM(#REF!)</f>
        <v>#REF!</v>
      </c>
      <c r="F66" s="153"/>
      <c r="G66" s="1518"/>
      <c r="H66" s="153"/>
      <c r="I66" s="1378"/>
      <c r="J66" s="153"/>
      <c r="K66" s="1378"/>
      <c r="L66" s="153"/>
      <c r="M66" s="153"/>
      <c r="N66" s="139"/>
      <c r="O66" s="139"/>
    </row>
    <row r="67" spans="1:15" s="172" customFormat="1" ht="12.75" hidden="1" customHeight="1" x14ac:dyDescent="0.2">
      <c r="A67" s="134"/>
      <c r="B67" s="189"/>
      <c r="C67" s="171"/>
      <c r="D67" s="155" t="e">
        <f>SUM(#REF!)</f>
        <v>#REF!</v>
      </c>
      <c r="E67" s="155" t="e">
        <f>SUM(#REF!)</f>
        <v>#REF!</v>
      </c>
      <c r="F67" s="155"/>
      <c r="G67" s="1381"/>
      <c r="H67" s="155"/>
      <c r="I67" s="1380"/>
      <c r="J67" s="155"/>
      <c r="K67" s="1380"/>
      <c r="L67" s="155"/>
      <c r="M67" s="155"/>
      <c r="N67" s="139"/>
      <c r="O67" s="139"/>
    </row>
    <row r="68" spans="1:15" s="172" customFormat="1" ht="15" customHeight="1" thickBot="1" x14ac:dyDescent="0.25">
      <c r="A68" s="134"/>
      <c r="B68" s="170"/>
      <c r="C68" s="190"/>
      <c r="D68" s="191" t="e">
        <f>+D36+D52+D62+D63+D67</f>
        <v>#REF!</v>
      </c>
      <c r="E68" s="191" t="e">
        <f>+E36+E52+E62+E63+E67</f>
        <v>#REF!</v>
      </c>
      <c r="F68" s="191"/>
      <c r="G68" s="2800"/>
      <c r="H68" s="191"/>
      <c r="I68" s="1595"/>
      <c r="J68" s="191"/>
      <c r="K68" s="1595"/>
      <c r="L68" s="191"/>
      <c r="M68" s="191"/>
      <c r="N68" s="139"/>
      <c r="O68" s="139"/>
    </row>
    <row r="69" spans="1:15" s="172" customFormat="1" ht="15" customHeight="1" thickBot="1" x14ac:dyDescent="0.25">
      <c r="A69" s="134" t="s">
        <v>31</v>
      </c>
      <c r="B69" s="170"/>
      <c r="C69" s="171" t="s">
        <v>318</v>
      </c>
      <c r="D69" s="137" t="e">
        <f>+D70+D71</f>
        <v>#REF!</v>
      </c>
      <c r="E69" s="137" t="e">
        <f>+E70+E71</f>
        <v>#REF!</v>
      </c>
      <c r="F69" s="137">
        <f>+F70+F71</f>
        <v>253084025</v>
      </c>
      <c r="G69" s="1382"/>
      <c r="H69" s="137">
        <f>+H70+H71</f>
        <v>309932221</v>
      </c>
      <c r="I69" s="1374">
        <f>SUM(J69-H69)</f>
        <v>-42524797</v>
      </c>
      <c r="J69" s="137">
        <f>+J70+J71</f>
        <v>267407424</v>
      </c>
      <c r="K69" s="1374">
        <f>SUM(L69-J69)</f>
        <v>0</v>
      </c>
      <c r="L69" s="137">
        <f>+L70+L71</f>
        <v>267407424</v>
      </c>
      <c r="M69" s="137">
        <f>+M70+M71</f>
        <v>265849573</v>
      </c>
      <c r="N69" s="139"/>
      <c r="O69" s="139"/>
    </row>
    <row r="70" spans="1:15" ht="15" customHeight="1" thickBot="1" x14ac:dyDescent="0.25">
      <c r="A70" s="173"/>
      <c r="B70" s="188" t="s">
        <v>319</v>
      </c>
      <c r="C70" s="55" t="s">
        <v>320</v>
      </c>
      <c r="D70" s="175"/>
      <c r="E70" s="175"/>
      <c r="F70" s="175">
        <v>253084025</v>
      </c>
      <c r="G70" s="1432"/>
      <c r="H70" s="175">
        <f>SUM('4.1 sz. mell'!H49)</f>
        <v>309932221</v>
      </c>
      <c r="I70" s="1432">
        <f>SUM('4.1 sz. mell'!I49)</f>
        <v>-42524797</v>
      </c>
      <c r="J70" s="175">
        <f>SUM('4.1 sz. mell'!J49)</f>
        <v>267407424</v>
      </c>
      <c r="K70" s="1484">
        <f>SUM(L70-J70)</f>
        <v>0</v>
      </c>
      <c r="L70" s="175">
        <f>SUM('4.1 sz. mell'!L49)</f>
        <v>267407424</v>
      </c>
      <c r="M70" s="175">
        <f>SUM('4.1 sz. mell'!M49)</f>
        <v>265849573</v>
      </c>
      <c r="N70" s="139"/>
      <c r="O70" s="139"/>
    </row>
    <row r="71" spans="1:15" ht="15" customHeight="1" thickBot="1" x14ac:dyDescent="0.25">
      <c r="A71" s="151"/>
      <c r="B71" s="188" t="s">
        <v>321</v>
      </c>
      <c r="C71" s="55" t="s">
        <v>274</v>
      </c>
      <c r="D71" s="153" t="e">
        <f>SUM(#REF!)</f>
        <v>#REF!</v>
      </c>
      <c r="E71" s="153" t="e">
        <f>SUM(#REF!)</f>
        <v>#REF!</v>
      </c>
      <c r="F71" s="153"/>
      <c r="G71" s="1518"/>
      <c r="H71" s="153"/>
      <c r="I71" s="1378"/>
      <c r="J71" s="153"/>
      <c r="K71" s="1378"/>
      <c r="L71" s="153"/>
      <c r="M71" s="153"/>
      <c r="N71" s="139"/>
      <c r="O71" s="139"/>
    </row>
    <row r="72" spans="1:15" s="145" customFormat="1" ht="15" customHeight="1" thickBot="1" x14ac:dyDescent="0.25">
      <c r="A72" s="134"/>
      <c r="B72" s="170"/>
      <c r="C72" s="171"/>
      <c r="D72" s="155"/>
      <c r="E72" s="155"/>
      <c r="F72" s="155"/>
      <c r="G72" s="1381"/>
      <c r="H72" s="155"/>
      <c r="I72" s="1380"/>
      <c r="J72" s="155"/>
      <c r="K72" s="1380"/>
      <c r="L72" s="155"/>
      <c r="M72" s="155"/>
      <c r="N72" s="139"/>
      <c r="O72" s="139"/>
    </row>
    <row r="73" spans="1:15" ht="15" customHeight="1" thickBot="1" x14ac:dyDescent="0.25">
      <c r="A73" s="192"/>
      <c r="B73" s="160"/>
      <c r="C73" s="161" t="s">
        <v>322</v>
      </c>
      <c r="D73" s="162" t="e">
        <f>+D68+D69</f>
        <v>#REF!</v>
      </c>
      <c r="E73" s="162" t="e">
        <f>+E68+E69</f>
        <v>#REF!</v>
      </c>
      <c r="F73" s="162">
        <f>SUM(F36+F52+F69)</f>
        <v>253084025</v>
      </c>
      <c r="G73" s="1437">
        <f>SUM(H73-F73)</f>
        <v>56848196</v>
      </c>
      <c r="H73" s="162">
        <f t="shared" ref="H73:M73" si="2">SUM(H36+H52+H69)</f>
        <v>309932221</v>
      </c>
      <c r="I73" s="1437">
        <f t="shared" si="2"/>
        <v>-42524797</v>
      </c>
      <c r="J73" s="162">
        <f t="shared" si="2"/>
        <v>267407424</v>
      </c>
      <c r="K73" s="1437">
        <f>SUM(L73-J73)</f>
        <v>0</v>
      </c>
      <c r="L73" s="162">
        <f t="shared" si="2"/>
        <v>267407424</v>
      </c>
      <c r="M73" s="162">
        <f t="shared" si="2"/>
        <v>265849573</v>
      </c>
      <c r="N73" s="139"/>
      <c r="O73" s="139"/>
    </row>
    <row r="74" spans="1:15" ht="12.75" hidden="1" customHeight="1" x14ac:dyDescent="0.2">
      <c r="A74" s="882"/>
      <c r="B74" s="193"/>
      <c r="C74" s="194" t="s">
        <v>300</v>
      </c>
      <c r="D74" s="195"/>
      <c r="E74" s="195"/>
      <c r="F74" s="883">
        <f>SUM(F70)</f>
        <v>253084025</v>
      </c>
      <c r="G74" s="1596"/>
      <c r="H74" s="195">
        <f>SUM(H70)</f>
        <v>309932221</v>
      </c>
      <c r="I74" s="1596"/>
      <c r="J74" s="195"/>
      <c r="K74" s="1596"/>
      <c r="L74" s="195"/>
      <c r="M74" s="195">
        <f>SUM(M70)</f>
        <v>265849573</v>
      </c>
      <c r="N74" s="139"/>
      <c r="O74" s="139"/>
    </row>
    <row r="75" spans="1:15" ht="12.75" hidden="1" customHeight="1" x14ac:dyDescent="0.2">
      <c r="A75" s="884"/>
      <c r="B75" s="885"/>
      <c r="C75" s="197" t="s">
        <v>323</v>
      </c>
      <c r="D75" s="886"/>
      <c r="E75" s="886"/>
      <c r="F75" s="888">
        <f>SUM(F73-F74)</f>
        <v>0</v>
      </c>
      <c r="G75" s="1597"/>
      <c r="H75" s="199">
        <f>SUM(H73-H74)</f>
        <v>0</v>
      </c>
      <c r="I75" s="1597"/>
      <c r="J75" s="199"/>
      <c r="K75" s="1597"/>
      <c r="L75" s="199"/>
      <c r="M75" s="199">
        <f>SUM(M73-M74)</f>
        <v>0</v>
      </c>
      <c r="N75" s="139"/>
      <c r="O75" s="139"/>
    </row>
    <row r="76" spans="1:15" ht="20.25" customHeight="1" thickBot="1" x14ac:dyDescent="0.25">
      <c r="A76" s="4418" t="s">
        <v>324</v>
      </c>
      <c r="B76" s="4419"/>
      <c r="C76" s="4419"/>
      <c r="D76" s="200" t="e">
        <f>SUM(#REF!+#REF!)</f>
        <v>#REF!</v>
      </c>
      <c r="E76" s="200" t="e">
        <f>SUM(#REF!+#REF!)</f>
        <v>#REF!</v>
      </c>
      <c r="F76" s="200"/>
      <c r="G76" s="1559"/>
      <c r="H76" s="200"/>
      <c r="I76" s="1388"/>
      <c r="J76" s="200"/>
      <c r="K76" s="1388"/>
      <c r="L76" s="200"/>
      <c r="M76" s="200"/>
      <c r="N76" s="139"/>
      <c r="O76" s="201"/>
    </row>
    <row r="77" spans="1:15" ht="15" customHeight="1" thickBot="1" x14ac:dyDescent="0.25">
      <c r="A77" s="4418" t="s">
        <v>325</v>
      </c>
      <c r="B77" s="4419"/>
      <c r="C77" s="4419"/>
      <c r="D77" s="202">
        <v>13.5</v>
      </c>
      <c r="E77" s="202">
        <v>13.5</v>
      </c>
      <c r="F77" s="202"/>
      <c r="G77" s="2451"/>
      <c r="H77" s="202"/>
      <c r="I77" s="1527"/>
      <c r="J77" s="202"/>
      <c r="K77" s="1527"/>
      <c r="L77" s="202"/>
      <c r="M77" s="202"/>
      <c r="N77" s="139"/>
      <c r="O77" s="201"/>
    </row>
    <row r="78" spans="1:15" ht="15" customHeight="1" x14ac:dyDescent="0.2"/>
    <row r="79" spans="1:15" ht="15" customHeight="1" x14ac:dyDescent="0.2"/>
    <row r="80" spans="1:15" ht="13.5" thickBot="1" x14ac:dyDescent="0.25"/>
    <row r="81" spans="5:13" ht="16.5" thickBot="1" x14ac:dyDescent="0.25">
      <c r="E81" s="162">
        <v>4969009</v>
      </c>
      <c r="F81" s="162">
        <f>SUM(F33-F73)</f>
        <v>0</v>
      </c>
      <c r="G81" s="162">
        <f t="shared" ref="G81:L81" si="3">SUM(G33-G73)</f>
        <v>0</v>
      </c>
      <c r="H81" s="162">
        <f t="shared" si="3"/>
        <v>0</v>
      </c>
      <c r="I81" s="162">
        <f t="shared" si="3"/>
        <v>0</v>
      </c>
      <c r="J81" s="162">
        <f t="shared" si="3"/>
        <v>0</v>
      </c>
      <c r="K81" s="162">
        <f t="shared" si="3"/>
        <v>0</v>
      </c>
      <c r="L81" s="162">
        <f t="shared" si="3"/>
        <v>0</v>
      </c>
      <c r="M81" s="162">
        <f>SUM(M33-M73)</f>
        <v>0</v>
      </c>
    </row>
    <row r="84" spans="5:13" ht="15.75" x14ac:dyDescent="0.2">
      <c r="E84" s="203" t="e">
        <f>SUM(E81-E73)</f>
        <v>#REF!</v>
      </c>
      <c r="F84" s="203"/>
      <c r="G84" s="1470"/>
      <c r="H84" s="203"/>
      <c r="I84" s="1470"/>
      <c r="J84" s="203"/>
      <c r="K84" s="1470"/>
      <c r="L84" s="203"/>
      <c r="M84" s="203"/>
    </row>
  </sheetData>
  <mergeCells count="15">
    <mergeCell ref="A4:B4"/>
    <mergeCell ref="A76:C76"/>
    <mergeCell ref="A77:C77"/>
    <mergeCell ref="A1:B1"/>
    <mergeCell ref="D1:D2"/>
    <mergeCell ref="F1:F2"/>
    <mergeCell ref="A2:B2"/>
    <mergeCell ref="D3:F3"/>
    <mergeCell ref="J1:J2"/>
    <mergeCell ref="K1:K2"/>
    <mergeCell ref="L1:L2"/>
    <mergeCell ref="G1:G2"/>
    <mergeCell ref="H1:H2"/>
    <mergeCell ref="M1:M2"/>
    <mergeCell ref="I1:I2"/>
  </mergeCells>
  <printOptions horizontalCentered="1"/>
  <pageMargins left="0.31496062992125984" right="0.23622047244094491" top="0.78740157480314965" bottom="0.47244094488188981" header="0.27559055118110237" footer="0.27559055118110237"/>
  <pageSetup paperSize="9" scale="68" firstPageNumber="24" orientation="portrait" useFirstPageNumber="1" r:id="rId1"/>
  <headerFooter>
    <oddHeader>&amp;C&amp;"Times New Roman CE,Félkövér"&amp;14Vecsés Város Önkormányzat bevételei és kiadásai&amp;R&amp;"Times New Roman,Normál"&amp;11 &amp;12 3.c. sz. melléklet
Forint</oddHeader>
    <oddFooter>&amp;C- &amp;P -</oddFooter>
  </headerFooter>
  <colBreaks count="1" manualBreakCount="1">
    <brk id="1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29"/>
  <sheetViews>
    <sheetView view="pageBreakPreview" topLeftCell="A16" zoomScale="90" zoomScaleNormal="100" zoomScaleSheetLayoutView="90" workbookViewId="0">
      <selection activeCell="Q1" sqref="Q1"/>
    </sheetView>
  </sheetViews>
  <sheetFormatPr defaultColWidth="9.33203125" defaultRowHeight="14.25" x14ac:dyDescent="0.2"/>
  <cols>
    <col min="1" max="1" width="2.5" style="207" customWidth="1"/>
    <col min="2" max="2" width="3" style="207" customWidth="1"/>
    <col min="3" max="3" width="12.83203125" style="323" customWidth="1"/>
    <col min="4" max="4" width="56" style="207" customWidth="1"/>
    <col min="5" max="11" width="9.33203125" style="231" hidden="1" customWidth="1"/>
    <col min="12" max="12" width="15.83203125" style="231" customWidth="1"/>
    <col min="13" max="13" width="16.1640625" style="1351" hidden="1" customWidth="1"/>
    <col min="14" max="14" width="16.33203125" style="231" hidden="1" customWidth="1"/>
    <col min="15" max="15" width="15.5" style="1351" hidden="1" customWidth="1"/>
    <col min="16" max="16" width="18" style="231" customWidth="1"/>
    <col min="17" max="17" width="14.6640625" style="1351" customWidth="1"/>
    <col min="18" max="18" width="16.6640625" style="231" customWidth="1"/>
    <col min="19" max="19" width="16.83203125" style="231" customWidth="1"/>
    <col min="20" max="20" width="18.1640625" style="231" customWidth="1"/>
    <col min="21" max="21" width="10" style="510" customWidth="1"/>
    <col min="22" max="22" width="9.33203125" style="207"/>
    <col min="23" max="23" width="11.83203125" style="207" bestFit="1" customWidth="1"/>
    <col min="24" max="25" width="9.33203125" style="207"/>
    <col min="26" max="26" width="17.33203125" style="207" customWidth="1"/>
    <col min="27" max="16384" width="9.33203125" style="207"/>
  </cols>
  <sheetData>
    <row r="1" spans="1:21" ht="51" customHeight="1" thickBot="1" x14ac:dyDescent="0.25">
      <c r="A1" s="4477" t="s">
        <v>332</v>
      </c>
      <c r="B1" s="4477"/>
      <c r="C1" s="4477"/>
      <c r="D1" s="208" t="s">
        <v>283</v>
      </c>
      <c r="E1" s="325" t="s">
        <v>494</v>
      </c>
      <c r="F1" s="325" t="s">
        <v>495</v>
      </c>
      <c r="G1" s="325" t="s">
        <v>496</v>
      </c>
      <c r="H1" s="325" t="s">
        <v>497</v>
      </c>
      <c r="I1" s="325" t="s">
        <v>498</v>
      </c>
      <c r="J1" s="325" t="s">
        <v>499</v>
      </c>
      <c r="K1" s="325"/>
      <c r="L1" s="325" t="s">
        <v>1081</v>
      </c>
      <c r="M1" s="1344" t="s">
        <v>1030</v>
      </c>
      <c r="N1" s="325" t="s">
        <v>1028</v>
      </c>
      <c r="O1" s="1344" t="s">
        <v>1031</v>
      </c>
      <c r="P1" s="786" t="s">
        <v>1028</v>
      </c>
      <c r="Q1" s="1344" t="s">
        <v>1038</v>
      </c>
      <c r="R1" s="325" t="s">
        <v>234</v>
      </c>
      <c r="S1" s="442" t="s">
        <v>289</v>
      </c>
      <c r="T1" s="2169" t="s">
        <v>290</v>
      </c>
      <c r="U1" s="508"/>
    </row>
    <row r="2" spans="1:21" ht="22.5" customHeight="1" thickTop="1" thickBot="1" x14ac:dyDescent="0.3">
      <c r="A2" s="4481" t="s">
        <v>1120</v>
      </c>
      <c r="B2" s="4482"/>
      <c r="C2" s="4482"/>
      <c r="D2" s="4482"/>
      <c r="E2" s="4482"/>
      <c r="F2" s="4482"/>
      <c r="G2" s="4482"/>
      <c r="H2" s="4482"/>
      <c r="I2" s="4482"/>
      <c r="J2" s="4482"/>
      <c r="K2" s="4482"/>
      <c r="L2" s="4483"/>
      <c r="M2" s="2825"/>
      <c r="N2" s="2826"/>
      <c r="O2" s="1446"/>
      <c r="P2" s="1342"/>
      <c r="Q2" s="1446"/>
      <c r="R2" s="1342"/>
      <c r="S2" s="3068" t="s">
        <v>935</v>
      </c>
      <c r="T2" s="328"/>
      <c r="U2" s="431"/>
    </row>
    <row r="3" spans="1:21" customFormat="1" ht="36" customHeight="1" thickTop="1" x14ac:dyDescent="0.2">
      <c r="A3" s="2400"/>
      <c r="B3" s="2401" t="s">
        <v>3</v>
      </c>
      <c r="C3" s="2398"/>
      <c r="D3" s="4478" t="s">
        <v>1297</v>
      </c>
      <c r="E3" s="4479"/>
      <c r="F3" s="4479"/>
      <c r="G3" s="4479"/>
      <c r="H3" s="4479"/>
      <c r="I3" s="4479"/>
      <c r="J3" s="4479"/>
      <c r="K3" s="4479"/>
      <c r="L3" s="4480"/>
      <c r="M3" s="2824"/>
      <c r="N3" s="2824"/>
      <c r="O3" s="2824"/>
      <c r="P3" s="2824"/>
      <c r="Q3" s="3439"/>
      <c r="R3" s="2824"/>
      <c r="S3" s="2824"/>
    </row>
    <row r="4" spans="1:21" ht="16.5" x14ac:dyDescent="0.25">
      <c r="A4" s="211"/>
      <c r="B4" s="333"/>
      <c r="C4" s="213" t="s">
        <v>152</v>
      </c>
      <c r="D4" s="2393" t="s">
        <v>46</v>
      </c>
      <c r="E4" s="220">
        <f t="shared" ref="E4:J4" si="0">SUM(E5:E8)</f>
        <v>6734</v>
      </c>
      <c r="F4" s="220">
        <f t="shared" si="0"/>
        <v>19366</v>
      </c>
      <c r="G4" s="220">
        <f t="shared" si="0"/>
        <v>7705</v>
      </c>
      <c r="H4" s="220">
        <f t="shared" si="0"/>
        <v>5734</v>
      </c>
      <c r="I4" s="220">
        <f t="shared" si="0"/>
        <v>7790</v>
      </c>
      <c r="J4" s="220">
        <f t="shared" si="0"/>
        <v>7790</v>
      </c>
      <c r="K4" s="220"/>
      <c r="L4" s="230">
        <f>SUM(L5+L6)+L11</f>
        <v>92329000</v>
      </c>
      <c r="M4" s="2837">
        <f>N4-L4</f>
        <v>234523125</v>
      </c>
      <c r="N4" s="230">
        <f t="shared" ref="N4:S4" si="1">SUM(N5+N6)+N11</f>
        <v>326852125</v>
      </c>
      <c r="O4" s="2837">
        <f t="shared" si="1"/>
        <v>-235050262</v>
      </c>
      <c r="P4" s="230">
        <f t="shared" si="1"/>
        <v>92571863</v>
      </c>
      <c r="Q4" s="3325">
        <f>SUM(R4-P4)</f>
        <v>0</v>
      </c>
      <c r="R4" s="230">
        <f t="shared" si="1"/>
        <v>92571863</v>
      </c>
      <c r="S4" s="230">
        <f t="shared" si="1"/>
        <v>92637440</v>
      </c>
      <c r="T4" s="344">
        <f>SUM(S4/N4)*100</f>
        <v>28.342309232347805</v>
      </c>
      <c r="U4" s="236"/>
    </row>
    <row r="5" spans="1:21" ht="16.5" x14ac:dyDescent="0.25">
      <c r="A5" s="211"/>
      <c r="B5" s="333"/>
      <c r="C5" s="224" t="s">
        <v>333</v>
      </c>
      <c r="D5" s="251" t="s">
        <v>50</v>
      </c>
      <c r="E5" s="233">
        <v>1000</v>
      </c>
      <c r="F5" s="233">
        <v>13632</v>
      </c>
      <c r="G5" s="233">
        <v>239</v>
      </c>
      <c r="H5" s="233">
        <v>0</v>
      </c>
      <c r="I5" s="233"/>
      <c r="J5" s="233"/>
      <c r="K5" s="233"/>
      <c r="L5" s="233"/>
      <c r="M5" s="2839">
        <f t="shared" ref="M5:M15" si="2">N5-L5</f>
        <v>0</v>
      </c>
      <c r="N5" s="233"/>
      <c r="O5" s="2835"/>
      <c r="P5" s="233">
        <v>770000</v>
      </c>
      <c r="Q5" s="3440">
        <f>SUM(R5-P5)</f>
        <v>0</v>
      </c>
      <c r="R5" s="233">
        <v>770000</v>
      </c>
      <c r="S5" s="233">
        <v>770000</v>
      </c>
      <c r="T5" s="344" t="e">
        <f>SUM(S5/N5)*100</f>
        <v>#DIV/0!</v>
      </c>
      <c r="U5" s="236"/>
    </row>
    <row r="6" spans="1:21" ht="16.5" x14ac:dyDescent="0.25">
      <c r="A6" s="211"/>
      <c r="B6" s="333"/>
      <c r="C6" s="224" t="s">
        <v>335</v>
      </c>
      <c r="D6" s="55" t="s">
        <v>414</v>
      </c>
      <c r="E6" s="220">
        <v>5734</v>
      </c>
      <c r="F6" s="220">
        <v>5734</v>
      </c>
      <c r="G6" s="220">
        <v>6234</v>
      </c>
      <c r="H6" s="220">
        <v>5734</v>
      </c>
      <c r="I6" s="220"/>
      <c r="J6" s="220"/>
      <c r="K6" s="220"/>
      <c r="L6" s="220">
        <f>SUM(L7)</f>
        <v>72700000</v>
      </c>
      <c r="M6" s="2835">
        <f t="shared" si="2"/>
        <v>234523125</v>
      </c>
      <c r="N6" s="220">
        <f t="shared" ref="N6:S6" si="3">SUM(N7)</f>
        <v>307223125</v>
      </c>
      <c r="O6" s="2835">
        <f t="shared" si="3"/>
        <v>-235050262</v>
      </c>
      <c r="P6" s="220">
        <f t="shared" si="3"/>
        <v>72172863</v>
      </c>
      <c r="Q6" s="3440">
        <f t="shared" ref="Q6:Q15" si="4">SUM(R6-P6)</f>
        <v>0</v>
      </c>
      <c r="R6" s="220">
        <f t="shared" si="3"/>
        <v>72172863</v>
      </c>
      <c r="S6" s="220">
        <f t="shared" si="3"/>
        <v>72172863</v>
      </c>
      <c r="T6" s="344">
        <f>SUM(S6/N6)*100</f>
        <v>23.492002107588743</v>
      </c>
      <c r="U6" s="236"/>
    </row>
    <row r="7" spans="1:21" ht="16.5" x14ac:dyDescent="0.25">
      <c r="A7" s="211"/>
      <c r="B7" s="333"/>
      <c r="C7" s="224" t="s">
        <v>1122</v>
      </c>
      <c r="D7" s="177" t="s">
        <v>1121</v>
      </c>
      <c r="E7" s="220"/>
      <c r="F7" s="220"/>
      <c r="G7" s="220"/>
      <c r="H7" s="220"/>
      <c r="I7" s="220"/>
      <c r="J7" s="220"/>
      <c r="K7" s="220"/>
      <c r="L7" s="220">
        <f>SUM(L8:L10)</f>
        <v>72700000</v>
      </c>
      <c r="M7" s="2835">
        <f t="shared" si="2"/>
        <v>234523125</v>
      </c>
      <c r="N7" s="220">
        <f t="shared" ref="N7:S7" si="5">SUM(N8:N10)</f>
        <v>307223125</v>
      </c>
      <c r="O7" s="2835">
        <f t="shared" si="5"/>
        <v>-235050262</v>
      </c>
      <c r="P7" s="220">
        <f t="shared" si="5"/>
        <v>72172863</v>
      </c>
      <c r="Q7" s="3440">
        <f t="shared" si="4"/>
        <v>0</v>
      </c>
      <c r="R7" s="220">
        <f t="shared" si="5"/>
        <v>72172863</v>
      </c>
      <c r="S7" s="220">
        <f t="shared" si="5"/>
        <v>72172863</v>
      </c>
      <c r="T7" s="344"/>
      <c r="U7" s="236"/>
    </row>
    <row r="8" spans="1:21" ht="16.5" x14ac:dyDescent="0.25">
      <c r="A8" s="211"/>
      <c r="B8" s="333"/>
      <c r="C8" s="224" t="s">
        <v>1123</v>
      </c>
      <c r="D8" s="2374" t="s">
        <v>1125</v>
      </c>
      <c r="E8" s="220"/>
      <c r="F8" s="220"/>
      <c r="G8" s="220">
        <v>1232</v>
      </c>
      <c r="H8" s="220">
        <v>0</v>
      </c>
      <c r="I8" s="220">
        <v>7790</v>
      </c>
      <c r="J8" s="220">
        <v>7790</v>
      </c>
      <c r="K8" s="220"/>
      <c r="L8" s="220">
        <v>6000000</v>
      </c>
      <c r="M8" s="2835">
        <f t="shared" si="2"/>
        <v>0</v>
      </c>
      <c r="N8" s="220">
        <v>6000000</v>
      </c>
      <c r="O8" s="2835">
        <f>P8-N8</f>
        <v>0</v>
      </c>
      <c r="P8" s="220">
        <v>6000000</v>
      </c>
      <c r="Q8" s="3440">
        <f t="shared" si="4"/>
        <v>0</v>
      </c>
      <c r="R8" s="220">
        <f>6000000</f>
        <v>6000000</v>
      </c>
      <c r="S8" s="220">
        <f>6000000</f>
        <v>6000000</v>
      </c>
      <c r="T8" s="344">
        <f>SUM(S8/N8)*100</f>
        <v>100</v>
      </c>
      <c r="U8" s="236"/>
    </row>
    <row r="9" spans="1:21" ht="16.5" x14ac:dyDescent="0.25">
      <c r="A9" s="211"/>
      <c r="B9" s="333"/>
      <c r="C9" s="224" t="s">
        <v>1124</v>
      </c>
      <c r="D9" s="2374" t="s">
        <v>1126</v>
      </c>
      <c r="E9" s="220"/>
      <c r="F9" s="220"/>
      <c r="G9" s="220"/>
      <c r="H9" s="220"/>
      <c r="I9" s="220"/>
      <c r="J9" s="220"/>
      <c r="K9" s="220"/>
      <c r="L9" s="220">
        <v>58200000</v>
      </c>
      <c r="M9" s="2835">
        <f t="shared" si="2"/>
        <v>234523125</v>
      </c>
      <c r="N9" s="220">
        <v>292723125</v>
      </c>
      <c r="O9" s="2835">
        <f>P9-N9</f>
        <v>-235050262</v>
      </c>
      <c r="P9" s="220">
        <v>57672863</v>
      </c>
      <c r="Q9" s="3440">
        <f t="shared" si="4"/>
        <v>0</v>
      </c>
      <c r="R9" s="220">
        <v>57672863</v>
      </c>
      <c r="S9" s="220">
        <v>57672863</v>
      </c>
      <c r="T9" s="344"/>
      <c r="U9" s="236"/>
    </row>
    <row r="10" spans="1:21" ht="16.5" x14ac:dyDescent="0.25">
      <c r="A10" s="211"/>
      <c r="B10" s="333"/>
      <c r="C10" s="224" t="s">
        <v>1127</v>
      </c>
      <c r="D10" s="2374" t="s">
        <v>1128</v>
      </c>
      <c r="E10" s="509"/>
      <c r="F10" s="509"/>
      <c r="G10" s="509"/>
      <c r="H10" s="509"/>
      <c r="I10" s="509"/>
      <c r="J10" s="509"/>
      <c r="K10" s="509"/>
      <c r="L10" s="220">
        <v>8500000</v>
      </c>
      <c r="M10" s="2835">
        <f t="shared" si="2"/>
        <v>0</v>
      </c>
      <c r="N10" s="220">
        <v>8500000</v>
      </c>
      <c r="O10" s="2835">
        <f>P10-N10</f>
        <v>0</v>
      </c>
      <c r="P10" s="220">
        <v>8500000</v>
      </c>
      <c r="Q10" s="3440">
        <f t="shared" si="4"/>
        <v>0</v>
      </c>
      <c r="R10" s="220">
        <v>8500000</v>
      </c>
      <c r="S10" s="220">
        <v>8500000</v>
      </c>
      <c r="T10" s="344"/>
      <c r="U10" s="236"/>
    </row>
    <row r="11" spans="1:21" s="605" customFormat="1" ht="16.5" x14ac:dyDescent="0.25">
      <c r="A11" s="1275"/>
      <c r="B11" s="1273"/>
      <c r="C11" s="1274" t="s">
        <v>336</v>
      </c>
      <c r="D11" s="55" t="s">
        <v>58</v>
      </c>
      <c r="E11" s="2375"/>
      <c r="F11" s="2375"/>
      <c r="G11" s="2375"/>
      <c r="H11" s="2375"/>
      <c r="I11" s="2375"/>
      <c r="J11" s="2375"/>
      <c r="K11" s="2375"/>
      <c r="L11" s="604">
        <f>SUM(L7)*0.27</f>
        <v>19629000</v>
      </c>
      <c r="M11" s="2835">
        <f t="shared" si="2"/>
        <v>0</v>
      </c>
      <c r="N11" s="604">
        <v>19629000</v>
      </c>
      <c r="O11" s="2835">
        <f>P11-N11</f>
        <v>0</v>
      </c>
      <c r="P11" s="604">
        <v>19629000</v>
      </c>
      <c r="Q11" s="3440">
        <f t="shared" si="4"/>
        <v>0</v>
      </c>
      <c r="R11" s="604">
        <v>19629000</v>
      </c>
      <c r="S11" s="604">
        <v>19694577</v>
      </c>
      <c r="T11" s="1197"/>
      <c r="U11" s="2372"/>
    </row>
    <row r="12" spans="1:21" ht="15" customHeight="1" x14ac:dyDescent="0.25">
      <c r="A12" s="211"/>
      <c r="B12" s="333"/>
      <c r="C12" s="213" t="s">
        <v>154</v>
      </c>
      <c r="D12" s="2393" t="s">
        <v>501</v>
      </c>
      <c r="E12" s="220">
        <v>0</v>
      </c>
      <c r="F12" s="220">
        <v>0</v>
      </c>
      <c r="G12" s="220"/>
      <c r="H12" s="220"/>
      <c r="I12" s="220"/>
      <c r="J12" s="220"/>
      <c r="K12" s="220"/>
      <c r="L12" s="230">
        <f>SUM(L13)</f>
        <v>200000000</v>
      </c>
      <c r="M12" s="2837">
        <f t="shared" si="2"/>
        <v>-200000000</v>
      </c>
      <c r="N12" s="230">
        <f t="shared" ref="N12:S13" si="6">SUM(N13)</f>
        <v>0</v>
      </c>
      <c r="O12" s="2837">
        <f t="shared" si="6"/>
        <v>0</v>
      </c>
      <c r="P12" s="230">
        <f t="shared" si="6"/>
        <v>0</v>
      </c>
      <c r="Q12" s="3325">
        <f t="shared" si="4"/>
        <v>0</v>
      </c>
      <c r="R12" s="230">
        <f t="shared" si="6"/>
        <v>0</v>
      </c>
      <c r="S12" s="230">
        <f t="shared" si="6"/>
        <v>0</v>
      </c>
      <c r="T12" s="344" t="e">
        <f>SUM(S12/N12)*100</f>
        <v>#DIV/0!</v>
      </c>
      <c r="U12" s="236"/>
    </row>
    <row r="13" spans="1:21" ht="15" customHeight="1" x14ac:dyDescent="0.25">
      <c r="A13" s="211"/>
      <c r="B13" s="333"/>
      <c r="C13" s="1274" t="s">
        <v>1175</v>
      </c>
      <c r="D13" s="55" t="s">
        <v>1131</v>
      </c>
      <c r="E13" s="233"/>
      <c r="F13" s="233"/>
      <c r="G13" s="233"/>
      <c r="H13" s="233"/>
      <c r="I13" s="233"/>
      <c r="J13" s="233"/>
      <c r="K13" s="233"/>
      <c r="L13" s="220">
        <f>SUM(L14)</f>
        <v>200000000</v>
      </c>
      <c r="M13" s="2835">
        <f t="shared" si="2"/>
        <v>-200000000</v>
      </c>
      <c r="N13" s="220">
        <f t="shared" si="6"/>
        <v>0</v>
      </c>
      <c r="O13" s="2835">
        <f t="shared" si="6"/>
        <v>0</v>
      </c>
      <c r="P13" s="220">
        <f t="shared" si="6"/>
        <v>0</v>
      </c>
      <c r="Q13" s="3440">
        <f t="shared" si="4"/>
        <v>0</v>
      </c>
      <c r="R13" s="220">
        <f t="shared" si="6"/>
        <v>0</v>
      </c>
      <c r="S13" s="220">
        <f t="shared" si="6"/>
        <v>0</v>
      </c>
      <c r="T13" s="344"/>
      <c r="U13" s="236"/>
    </row>
    <row r="14" spans="1:21" ht="15" customHeight="1" x14ac:dyDescent="0.25">
      <c r="A14" s="211"/>
      <c r="B14" s="333"/>
      <c r="C14" s="1274" t="s">
        <v>1176</v>
      </c>
      <c r="D14" s="55" t="s">
        <v>72</v>
      </c>
      <c r="E14" s="233"/>
      <c r="F14" s="233"/>
      <c r="G14" s="233"/>
      <c r="H14" s="233"/>
      <c r="I14" s="233"/>
      <c r="J14" s="233"/>
      <c r="K14" s="233"/>
      <c r="L14" s="220">
        <v>200000000</v>
      </c>
      <c r="M14" s="2835">
        <f t="shared" si="2"/>
        <v>-200000000</v>
      </c>
      <c r="N14" s="220">
        <v>0</v>
      </c>
      <c r="O14" s="2835">
        <f>P14-N14</f>
        <v>0</v>
      </c>
      <c r="P14" s="220">
        <v>0</v>
      </c>
      <c r="Q14" s="3440">
        <f t="shared" si="4"/>
        <v>0</v>
      </c>
      <c r="R14" s="220"/>
      <c r="S14" s="220">
        <v>0</v>
      </c>
      <c r="T14" s="344"/>
      <c r="U14" s="236"/>
    </row>
    <row r="15" spans="1:21" ht="16.5" x14ac:dyDescent="0.25">
      <c r="A15" s="211"/>
      <c r="B15" s="333"/>
      <c r="C15" s="213"/>
      <c r="D15" s="337" t="s">
        <v>299</v>
      </c>
      <c r="E15" s="338" t="e">
        <f>SUM(E4+#REF!+E12)</f>
        <v>#REF!</v>
      </c>
      <c r="F15" s="338" t="e">
        <f>SUM(F4+#REF!+F12)</f>
        <v>#REF!</v>
      </c>
      <c r="G15" s="338" t="e">
        <f>SUM(G4+#REF!+G12)</f>
        <v>#REF!</v>
      </c>
      <c r="H15" s="338" t="e">
        <f>SUM(H4+#REF!+H12)</f>
        <v>#REF!</v>
      </c>
      <c r="I15" s="338" t="e">
        <f>SUM(I4+#REF!+I12+#REF!+#REF!+#REF!)+#REF!</f>
        <v>#REF!</v>
      </c>
      <c r="J15" s="338" t="e">
        <f>SUM(J4+#REF!+J12+#REF!+#REF!+#REF!)+#REF!</f>
        <v>#REF!</v>
      </c>
      <c r="K15" s="338"/>
      <c r="L15" s="338">
        <f>SUM(L4+L12)</f>
        <v>292329000</v>
      </c>
      <c r="M15" s="1356">
        <f t="shared" si="2"/>
        <v>34523125</v>
      </c>
      <c r="N15" s="338">
        <f t="shared" ref="N15:S15" si="7">SUM(N4+N12)</f>
        <v>326852125</v>
      </c>
      <c r="O15" s="1356">
        <f t="shared" si="7"/>
        <v>-235050262</v>
      </c>
      <c r="P15" s="338">
        <f t="shared" si="7"/>
        <v>92571863</v>
      </c>
      <c r="Q15" s="3325">
        <f t="shared" si="4"/>
        <v>0</v>
      </c>
      <c r="R15" s="338">
        <f t="shared" si="7"/>
        <v>92571863</v>
      </c>
      <c r="S15" s="338">
        <f t="shared" si="7"/>
        <v>92637440</v>
      </c>
      <c r="T15" s="344">
        <f>SUM(S15/N15)*100</f>
        <v>28.342309232347805</v>
      </c>
      <c r="U15" s="236"/>
    </row>
    <row r="16" spans="1:21" customFormat="1" ht="36" customHeight="1" x14ac:dyDescent="0.2">
      <c r="A16" s="2414"/>
      <c r="B16" s="2399" t="s">
        <v>17</v>
      </c>
      <c r="C16" s="2397"/>
      <c r="D16" s="4471" t="s">
        <v>1298</v>
      </c>
      <c r="E16" s="4472"/>
      <c r="F16" s="4472"/>
      <c r="G16" s="4472"/>
      <c r="H16" s="4472"/>
      <c r="I16" s="4472"/>
      <c r="J16" s="4472"/>
      <c r="K16" s="4472"/>
      <c r="L16" s="4473"/>
      <c r="M16" s="2823"/>
      <c r="N16" s="2823"/>
      <c r="O16" s="2823"/>
      <c r="P16" s="2823"/>
      <c r="Q16" s="3427"/>
      <c r="R16" s="2823"/>
      <c r="S16" s="2823"/>
      <c r="T16" t="e">
        <f>SUM(S16/N16)*100</f>
        <v>#DIV/0!</v>
      </c>
    </row>
    <row r="17" spans="1:26" ht="16.5" x14ac:dyDescent="0.25">
      <c r="A17" s="211"/>
      <c r="B17" s="333"/>
      <c r="C17" s="213" t="s">
        <v>5</v>
      </c>
      <c r="D17" s="1335" t="s">
        <v>46</v>
      </c>
      <c r="E17" s="237"/>
      <c r="F17" s="237"/>
      <c r="G17" s="237">
        <v>0</v>
      </c>
      <c r="H17" s="237">
        <v>0</v>
      </c>
      <c r="I17" s="237"/>
      <c r="J17" s="237"/>
      <c r="K17" s="237"/>
      <c r="L17" s="230">
        <f>SUM(L19)</f>
        <v>605278130</v>
      </c>
      <c r="M17" s="2837">
        <f t="shared" ref="M17:M26" si="8">N17-L17</f>
        <v>22472413</v>
      </c>
      <c r="N17" s="230">
        <f t="shared" ref="N17:S17" si="9">SUM(N19+N18)</f>
        <v>627750543</v>
      </c>
      <c r="O17" s="2837">
        <f t="shared" si="9"/>
        <v>35672373</v>
      </c>
      <c r="P17" s="230">
        <f t="shared" si="9"/>
        <v>663422916</v>
      </c>
      <c r="Q17" s="3325">
        <f>SUM(R17-P17)</f>
        <v>0</v>
      </c>
      <c r="R17" s="230">
        <f t="shared" si="9"/>
        <v>663422916</v>
      </c>
      <c r="S17" s="230">
        <f t="shared" si="9"/>
        <v>663422916</v>
      </c>
      <c r="T17" s="344">
        <f>SUM(S17/N17)*100</f>
        <v>105.68257142869568</v>
      </c>
      <c r="U17" s="236"/>
    </row>
    <row r="18" spans="1:26" ht="18" customHeight="1" x14ac:dyDescent="0.25">
      <c r="A18" s="211"/>
      <c r="B18" s="333"/>
      <c r="C18" s="224" t="s">
        <v>407</v>
      </c>
      <c r="D18" s="1155" t="s">
        <v>1642</v>
      </c>
      <c r="E18" s="220"/>
      <c r="F18" s="220"/>
      <c r="G18" s="220"/>
      <c r="H18" s="220"/>
      <c r="I18" s="220"/>
      <c r="J18" s="220"/>
      <c r="K18" s="220"/>
      <c r="L18" s="220"/>
      <c r="M18" s="2835">
        <f>N18-L18</f>
        <v>1000</v>
      </c>
      <c r="N18" s="220">
        <v>1000</v>
      </c>
      <c r="O18" s="2835">
        <f>P18-N18</f>
        <v>0</v>
      </c>
      <c r="P18" s="220">
        <v>1000</v>
      </c>
      <c r="Q18" s="3429">
        <f>SUM(R18-P18)</f>
        <v>0</v>
      </c>
      <c r="R18" s="220">
        <v>1000</v>
      </c>
      <c r="S18" s="220">
        <v>1000</v>
      </c>
      <c r="T18" s="344"/>
      <c r="U18" s="236"/>
    </row>
    <row r="19" spans="1:26" ht="18" customHeight="1" x14ac:dyDescent="0.25">
      <c r="A19" s="211"/>
      <c r="B19" s="333"/>
      <c r="C19" s="224" t="s">
        <v>358</v>
      </c>
      <c r="D19" s="1155" t="s">
        <v>353</v>
      </c>
      <c r="E19" s="220"/>
      <c r="F19" s="220"/>
      <c r="G19" s="220"/>
      <c r="H19" s="220"/>
      <c r="I19" s="220"/>
      <c r="J19" s="220"/>
      <c r="K19" s="220"/>
      <c r="L19" s="220">
        <f>SUM(L20)</f>
        <v>605278130</v>
      </c>
      <c r="M19" s="2835">
        <f t="shared" si="8"/>
        <v>22471413</v>
      </c>
      <c r="N19" s="220">
        <f t="shared" ref="N19:S20" si="10">SUM(N20)</f>
        <v>627749543</v>
      </c>
      <c r="O19" s="220">
        <f t="shared" si="10"/>
        <v>35672373</v>
      </c>
      <c r="P19" s="220">
        <f t="shared" si="10"/>
        <v>663421916</v>
      </c>
      <c r="Q19" s="3429">
        <f t="shared" ref="Q19:Q82" si="11">SUM(R19-P19)</f>
        <v>0</v>
      </c>
      <c r="R19" s="220">
        <f t="shared" si="10"/>
        <v>663421916</v>
      </c>
      <c r="S19" s="220">
        <f t="shared" si="10"/>
        <v>663421916</v>
      </c>
      <c r="T19" s="344"/>
      <c r="U19" s="236"/>
    </row>
    <row r="20" spans="1:26" ht="16.5" x14ac:dyDescent="0.25">
      <c r="A20" s="211"/>
      <c r="B20" s="333"/>
      <c r="C20" s="224" t="s">
        <v>1165</v>
      </c>
      <c r="D20" s="1155" t="s">
        <v>355</v>
      </c>
      <c r="E20" s="220"/>
      <c r="F20" s="220"/>
      <c r="G20" s="220"/>
      <c r="H20" s="220"/>
      <c r="I20" s="220"/>
      <c r="J20" s="220"/>
      <c r="K20" s="220"/>
      <c r="L20" s="220">
        <f>SUM(L21)</f>
        <v>605278130</v>
      </c>
      <c r="M20" s="2835">
        <f t="shared" si="8"/>
        <v>22471413</v>
      </c>
      <c r="N20" s="220">
        <f t="shared" si="10"/>
        <v>627749543</v>
      </c>
      <c r="O20" s="2835">
        <f t="shared" si="10"/>
        <v>35672373</v>
      </c>
      <c r="P20" s="220">
        <f t="shared" si="10"/>
        <v>663421916</v>
      </c>
      <c r="Q20" s="3429">
        <f t="shared" si="11"/>
        <v>0</v>
      </c>
      <c r="R20" s="220">
        <f t="shared" si="10"/>
        <v>663421916</v>
      </c>
      <c r="S20" s="220">
        <f t="shared" si="10"/>
        <v>663421916</v>
      </c>
      <c r="T20" s="344"/>
      <c r="U20" s="236"/>
    </row>
    <row r="21" spans="1:26" ht="16.5" x14ac:dyDescent="0.25">
      <c r="A21" s="211"/>
      <c r="B21" s="333"/>
      <c r="C21" s="222" t="s">
        <v>1166</v>
      </c>
      <c r="D21" s="2377" t="s">
        <v>1130</v>
      </c>
      <c r="E21" s="221"/>
      <c r="F21" s="221"/>
      <c r="G21" s="221"/>
      <c r="H21" s="221"/>
      <c r="I21" s="221"/>
      <c r="J21" s="221"/>
      <c r="K21" s="221"/>
      <c r="L21" s="221">
        <v>605278130</v>
      </c>
      <c r="M21" s="2836">
        <f t="shared" si="8"/>
        <v>22471413</v>
      </c>
      <c r="N21" s="221">
        <v>627749543</v>
      </c>
      <c r="O21" s="2836">
        <f>P21-N21</f>
        <v>35672373</v>
      </c>
      <c r="P21" s="221">
        <v>663421916</v>
      </c>
      <c r="Q21" s="3429">
        <f t="shared" si="11"/>
        <v>0</v>
      </c>
      <c r="R21" s="221">
        <v>663421916</v>
      </c>
      <c r="S21" s="221">
        <v>663421916</v>
      </c>
      <c r="T21" s="344"/>
      <c r="U21" s="236"/>
    </row>
    <row r="22" spans="1:26" ht="15" customHeight="1" x14ac:dyDescent="0.25">
      <c r="A22" s="211"/>
      <c r="B22" s="333"/>
      <c r="C22" s="209" t="s">
        <v>7</v>
      </c>
      <c r="D22" s="2393" t="s">
        <v>501</v>
      </c>
      <c r="E22" s="220">
        <v>0</v>
      </c>
      <c r="F22" s="220">
        <v>0</v>
      </c>
      <c r="G22" s="220">
        <v>0</v>
      </c>
      <c r="H22" s="220"/>
      <c r="I22" s="220"/>
      <c r="J22" s="220"/>
      <c r="K22" s="220"/>
      <c r="L22" s="230"/>
      <c r="M22" s="2837">
        <f t="shared" si="8"/>
        <v>0</v>
      </c>
      <c r="N22" s="230">
        <v>0</v>
      </c>
      <c r="O22" s="2837">
        <f>P22-N22</f>
        <v>30499453</v>
      </c>
      <c r="P22" s="230">
        <v>30499453</v>
      </c>
      <c r="Q22" s="3325">
        <f t="shared" si="11"/>
        <v>0</v>
      </c>
      <c r="R22" s="230">
        <v>30499453</v>
      </c>
      <c r="S22" s="230">
        <v>30499453</v>
      </c>
      <c r="T22" s="344" t="e">
        <f>SUM(S22/N22)*100</f>
        <v>#DIV/0!</v>
      </c>
      <c r="U22" s="236"/>
    </row>
    <row r="23" spans="1:26" ht="16.5" x14ac:dyDescent="0.25">
      <c r="A23" s="211"/>
      <c r="B23" s="333"/>
      <c r="C23" s="213" t="s">
        <v>312</v>
      </c>
      <c r="D23" s="2393" t="s">
        <v>503</v>
      </c>
      <c r="E23" s="220"/>
      <c r="F23" s="220"/>
      <c r="G23" s="220"/>
      <c r="H23" s="227"/>
      <c r="I23" s="220"/>
      <c r="J23" s="220"/>
      <c r="K23" s="220"/>
      <c r="L23" s="230">
        <f>SUM(L24)</f>
        <v>0</v>
      </c>
      <c r="M23" s="2837">
        <f>N23-L23</f>
        <v>207522067</v>
      </c>
      <c r="N23" s="230">
        <f t="shared" ref="N23:S24" si="12">SUM(N24)</f>
        <v>207522067</v>
      </c>
      <c r="O23" s="2837">
        <f t="shared" si="12"/>
        <v>273810227</v>
      </c>
      <c r="P23" s="230">
        <f t="shared" si="12"/>
        <v>481332294</v>
      </c>
      <c r="Q23" s="3325">
        <f t="shared" si="11"/>
        <v>1747959</v>
      </c>
      <c r="R23" s="230">
        <f t="shared" si="12"/>
        <v>483080253</v>
      </c>
      <c r="S23" s="230">
        <f t="shared" si="12"/>
        <v>481332294</v>
      </c>
      <c r="T23" s="344">
        <f>SUM(S23/N23)*100</f>
        <v>231.94270419444115</v>
      </c>
      <c r="U23" s="236"/>
    </row>
    <row r="24" spans="1:26" ht="16.5" x14ac:dyDescent="0.25">
      <c r="A24" s="211"/>
      <c r="B24" s="333"/>
      <c r="C24" s="224" t="s">
        <v>313</v>
      </c>
      <c r="D24" s="251" t="s">
        <v>126</v>
      </c>
      <c r="E24" s="233">
        <v>8092</v>
      </c>
      <c r="F24" s="233">
        <v>10134</v>
      </c>
      <c r="G24" s="233">
        <v>11732</v>
      </c>
      <c r="H24" s="2392"/>
      <c r="I24" s="233">
        <v>26394</v>
      </c>
      <c r="J24" s="233">
        <v>26394</v>
      </c>
      <c r="K24" s="233"/>
      <c r="L24" s="233">
        <f>SUM(L25)</f>
        <v>0</v>
      </c>
      <c r="M24" s="2839">
        <f>N24-L24</f>
        <v>207522067</v>
      </c>
      <c r="N24" s="233">
        <f t="shared" si="12"/>
        <v>207522067</v>
      </c>
      <c r="O24" s="2839">
        <f t="shared" si="12"/>
        <v>273810227</v>
      </c>
      <c r="P24" s="233">
        <f t="shared" si="12"/>
        <v>481332294</v>
      </c>
      <c r="Q24" s="3429">
        <f t="shared" si="11"/>
        <v>1747959</v>
      </c>
      <c r="R24" s="233">
        <f t="shared" si="12"/>
        <v>483080253</v>
      </c>
      <c r="S24" s="233">
        <f t="shared" si="12"/>
        <v>481332294</v>
      </c>
      <c r="T24" s="344">
        <f>SUM(S24/N24)*100</f>
        <v>231.94270419444115</v>
      </c>
      <c r="U24" s="236"/>
      <c r="Z24" s="231">
        <v>958050000</v>
      </c>
    </row>
    <row r="25" spans="1:26" ht="16.5" x14ac:dyDescent="0.25">
      <c r="A25" s="211"/>
      <c r="B25" s="333"/>
      <c r="C25" s="224" t="s">
        <v>1641</v>
      </c>
      <c r="D25" s="950" t="s">
        <v>1067</v>
      </c>
      <c r="E25" s="604"/>
      <c r="F25" s="604"/>
      <c r="G25" s="604"/>
      <c r="H25" s="2389"/>
      <c r="I25" s="604"/>
      <c r="J25" s="604"/>
      <c r="K25" s="604"/>
      <c r="L25" s="604">
        <v>0</v>
      </c>
      <c r="M25" s="2835">
        <f>N25-L25</f>
        <v>207522067</v>
      </c>
      <c r="N25" s="604">
        <v>207522067</v>
      </c>
      <c r="O25" s="2839">
        <f>P25-N25</f>
        <v>273810227</v>
      </c>
      <c r="P25" s="604">
        <v>481332294</v>
      </c>
      <c r="Q25" s="3429">
        <f t="shared" si="11"/>
        <v>1747959</v>
      </c>
      <c r="R25" s="604">
        <v>483080253</v>
      </c>
      <c r="S25" s="604">
        <v>481332294</v>
      </c>
      <c r="T25" s="344"/>
      <c r="U25" s="236"/>
      <c r="Z25" s="2549">
        <v>403800000</v>
      </c>
    </row>
    <row r="26" spans="1:26" ht="16.5" x14ac:dyDescent="0.25">
      <c r="A26" s="211"/>
      <c r="B26" s="333"/>
      <c r="C26" s="213"/>
      <c r="D26" s="337" t="s">
        <v>299</v>
      </c>
      <c r="E26" s="338" t="e">
        <f>SUM(E17+#REF!+E22)</f>
        <v>#REF!</v>
      </c>
      <c r="F26" s="338" t="e">
        <f>SUM(F17+#REF!+F22)</f>
        <v>#REF!</v>
      </c>
      <c r="G26" s="338" t="e">
        <f>SUM(G17+#REF!+G22)</f>
        <v>#REF!</v>
      </c>
      <c r="H26" s="338" t="e">
        <f>SUM(H17+#REF!+H22)</f>
        <v>#REF!</v>
      </c>
      <c r="I26" s="338" t="e">
        <f>SUM(I17+#REF!+I22)</f>
        <v>#REF!</v>
      </c>
      <c r="J26" s="338" t="e">
        <f>SUM(J17+#REF!+J22)</f>
        <v>#REF!</v>
      </c>
      <c r="K26" s="338"/>
      <c r="L26" s="338">
        <f>SUM(L17+L22)</f>
        <v>605278130</v>
      </c>
      <c r="M26" s="1356">
        <f t="shared" si="8"/>
        <v>229994480</v>
      </c>
      <c r="N26" s="338">
        <f t="shared" ref="N26:S26" si="13">SUM(N17+N22+N23)</f>
        <v>835272610</v>
      </c>
      <c r="O26" s="1356">
        <f t="shared" si="13"/>
        <v>339982053</v>
      </c>
      <c r="P26" s="338">
        <f t="shared" si="13"/>
        <v>1175254663</v>
      </c>
      <c r="Q26" s="3325">
        <f t="shared" si="11"/>
        <v>1747959</v>
      </c>
      <c r="R26" s="338">
        <f t="shared" si="13"/>
        <v>1177002622</v>
      </c>
      <c r="S26" s="338">
        <f t="shared" si="13"/>
        <v>1175254663</v>
      </c>
      <c r="T26" s="344">
        <f>SUM(S26/N26)*100</f>
        <v>140.70312481574129</v>
      </c>
      <c r="U26" s="236"/>
    </row>
    <row r="27" spans="1:26" customFormat="1" ht="36" customHeight="1" x14ac:dyDescent="0.25">
      <c r="A27" s="2414"/>
      <c r="B27" s="2399" t="s">
        <v>31</v>
      </c>
      <c r="C27" s="2397"/>
      <c r="D27" s="4471" t="s">
        <v>1999</v>
      </c>
      <c r="E27" s="4472"/>
      <c r="F27" s="4472"/>
      <c r="G27" s="4472"/>
      <c r="H27" s="4472"/>
      <c r="I27" s="4472"/>
      <c r="J27" s="4472"/>
      <c r="K27" s="4472"/>
      <c r="L27" s="4473"/>
      <c r="M27" s="2823"/>
      <c r="N27" s="2823"/>
      <c r="O27" s="2823"/>
      <c r="P27" s="2823"/>
      <c r="Q27" s="3429">
        <f t="shared" si="11"/>
        <v>0</v>
      </c>
      <c r="R27" s="2823"/>
      <c r="S27" s="2823"/>
      <c r="T27" t="e">
        <f>SUM(S27/N27)*100</f>
        <v>#DIV/0!</v>
      </c>
    </row>
    <row r="28" spans="1:26" ht="16.5" x14ac:dyDescent="0.25">
      <c r="A28" s="211"/>
      <c r="B28" s="333"/>
      <c r="C28" s="213" t="s">
        <v>19</v>
      </c>
      <c r="D28" s="1335" t="s">
        <v>46</v>
      </c>
      <c r="E28" s="237"/>
      <c r="F28" s="237"/>
      <c r="G28" s="237">
        <v>0</v>
      </c>
      <c r="H28" s="237">
        <v>0</v>
      </c>
      <c r="I28" s="237"/>
      <c r="J28" s="237"/>
      <c r="K28" s="237"/>
      <c r="L28" s="230">
        <f>SUM(L30)</f>
        <v>0</v>
      </c>
      <c r="M28" s="2837">
        <f t="shared" ref="M28:M35" si="14">N28-L28</f>
        <v>21962776</v>
      </c>
      <c r="N28" s="230">
        <f t="shared" ref="N28:S28" si="15">SUM(N30+N29+N34)</f>
        <v>21962776</v>
      </c>
      <c r="O28" s="2837">
        <f t="shared" si="15"/>
        <v>35416628</v>
      </c>
      <c r="P28" s="230">
        <f t="shared" si="15"/>
        <v>57379404</v>
      </c>
      <c r="Q28" s="3325">
        <f t="shared" si="11"/>
        <v>0</v>
      </c>
      <c r="R28" s="230">
        <f t="shared" si="15"/>
        <v>57379404</v>
      </c>
      <c r="S28" s="230">
        <f t="shared" si="15"/>
        <v>57379404</v>
      </c>
      <c r="T28" s="344">
        <f>SUM(S28/N28)*100</f>
        <v>261.25752045187733</v>
      </c>
      <c r="U28" s="236"/>
    </row>
    <row r="29" spans="1:26" ht="18" customHeight="1" x14ac:dyDescent="0.25">
      <c r="A29" s="211"/>
      <c r="B29" s="333"/>
      <c r="C29" s="224" t="s">
        <v>364</v>
      </c>
      <c r="D29" s="1155" t="s">
        <v>1642</v>
      </c>
      <c r="E29" s="220"/>
      <c r="F29" s="220"/>
      <c r="G29" s="220"/>
      <c r="H29" s="220"/>
      <c r="I29" s="220"/>
      <c r="J29" s="220"/>
      <c r="K29" s="220"/>
      <c r="L29" s="220"/>
      <c r="M29" s="2835">
        <f t="shared" si="14"/>
        <v>0</v>
      </c>
      <c r="N29" s="220"/>
      <c r="O29" s="2835">
        <f>P29-N29</f>
        <v>0</v>
      </c>
      <c r="P29" s="220"/>
      <c r="Q29" s="3429">
        <f t="shared" si="11"/>
        <v>0</v>
      </c>
      <c r="R29" s="220"/>
      <c r="S29" s="220"/>
      <c r="T29" s="344"/>
      <c r="U29" s="236"/>
    </row>
    <row r="30" spans="1:26" ht="18" customHeight="1" x14ac:dyDescent="0.25">
      <c r="A30" s="211"/>
      <c r="B30" s="333"/>
      <c r="C30" s="224" t="s">
        <v>363</v>
      </c>
      <c r="D30" s="1155" t="s">
        <v>353</v>
      </c>
      <c r="E30" s="220"/>
      <c r="F30" s="220"/>
      <c r="G30" s="220"/>
      <c r="H30" s="220"/>
      <c r="I30" s="220"/>
      <c r="J30" s="220"/>
      <c r="K30" s="220"/>
      <c r="L30" s="220">
        <f>SUM(L31)</f>
        <v>0</v>
      </c>
      <c r="M30" s="2835">
        <f t="shared" si="14"/>
        <v>19962776</v>
      </c>
      <c r="N30" s="220">
        <f t="shared" ref="N30:S30" si="16">SUM(N31+N33)</f>
        <v>19962776</v>
      </c>
      <c r="O30" s="2835">
        <f t="shared" si="16"/>
        <v>30966628</v>
      </c>
      <c r="P30" s="220">
        <f t="shared" si="16"/>
        <v>50929404</v>
      </c>
      <c r="Q30" s="3429">
        <f t="shared" si="11"/>
        <v>0</v>
      </c>
      <c r="R30" s="220">
        <f t="shared" si="16"/>
        <v>50929404</v>
      </c>
      <c r="S30" s="220">
        <f t="shared" si="16"/>
        <v>50929404</v>
      </c>
      <c r="T30" s="344"/>
      <c r="U30" s="236"/>
    </row>
    <row r="31" spans="1:26" ht="16.5" x14ac:dyDescent="0.25">
      <c r="A31" s="211"/>
      <c r="B31" s="333"/>
      <c r="C31" s="224" t="s">
        <v>1743</v>
      </c>
      <c r="D31" s="1155" t="s">
        <v>355</v>
      </c>
      <c r="E31" s="220"/>
      <c r="F31" s="220"/>
      <c r="G31" s="220"/>
      <c r="H31" s="220"/>
      <c r="I31" s="220"/>
      <c r="J31" s="220"/>
      <c r="K31" s="220"/>
      <c r="L31" s="220">
        <f>SUM(L32)</f>
        <v>0</v>
      </c>
      <c r="M31" s="2835">
        <f t="shared" si="14"/>
        <v>0</v>
      </c>
      <c r="N31" s="220">
        <f t="shared" ref="N31:S31" si="17">SUM(N32)</f>
        <v>0</v>
      </c>
      <c r="O31" s="2835">
        <f t="shared" si="17"/>
        <v>0</v>
      </c>
      <c r="P31" s="220">
        <f t="shared" si="17"/>
        <v>0</v>
      </c>
      <c r="Q31" s="3429">
        <f t="shared" si="11"/>
        <v>0</v>
      </c>
      <c r="R31" s="220">
        <f t="shared" si="17"/>
        <v>0</v>
      </c>
      <c r="S31" s="220">
        <f t="shared" si="17"/>
        <v>0</v>
      </c>
      <c r="T31" s="344"/>
      <c r="U31" s="236"/>
    </row>
    <row r="32" spans="1:26" ht="16.5" x14ac:dyDescent="0.25">
      <c r="A32" s="211"/>
      <c r="B32" s="333"/>
      <c r="C32" s="222" t="s">
        <v>1744</v>
      </c>
      <c r="D32" s="2377" t="s">
        <v>1130</v>
      </c>
      <c r="E32" s="221"/>
      <c r="F32" s="221"/>
      <c r="G32" s="221"/>
      <c r="H32" s="221"/>
      <c r="I32" s="221"/>
      <c r="J32" s="221"/>
      <c r="K32" s="221"/>
      <c r="L32" s="221"/>
      <c r="M32" s="2836">
        <f t="shared" si="14"/>
        <v>0</v>
      </c>
      <c r="N32" s="221"/>
      <c r="O32" s="2835">
        <f>P32-N32</f>
        <v>0</v>
      </c>
      <c r="P32" s="221"/>
      <c r="Q32" s="3429">
        <f t="shared" si="11"/>
        <v>0</v>
      </c>
      <c r="R32" s="221"/>
      <c r="S32" s="221"/>
      <c r="T32" s="344"/>
      <c r="U32" s="236"/>
    </row>
    <row r="33" spans="1:26" ht="30" x14ac:dyDescent="0.25">
      <c r="A33" s="211"/>
      <c r="B33" s="333"/>
      <c r="C33" s="224" t="s">
        <v>1745</v>
      </c>
      <c r="D33" s="1155" t="s">
        <v>1644</v>
      </c>
      <c r="E33" s="220"/>
      <c r="F33" s="220"/>
      <c r="G33" s="220"/>
      <c r="H33" s="220"/>
      <c r="I33" s="220"/>
      <c r="J33" s="220"/>
      <c r="K33" s="220"/>
      <c r="L33" s="220">
        <f>SUM(L35)</f>
        <v>0</v>
      </c>
      <c r="M33" s="2835">
        <f>N33-L33</f>
        <v>19962776</v>
      </c>
      <c r="N33" s="220">
        <v>19962776</v>
      </c>
      <c r="O33" s="2835">
        <f>P33-N33</f>
        <v>30966628</v>
      </c>
      <c r="P33" s="220">
        <v>50929404</v>
      </c>
      <c r="Q33" s="3429">
        <f t="shared" si="11"/>
        <v>0</v>
      </c>
      <c r="R33" s="220">
        <v>50929404</v>
      </c>
      <c r="S33" s="220">
        <v>50929404</v>
      </c>
      <c r="T33" s="344"/>
      <c r="U33" s="236"/>
    </row>
    <row r="34" spans="1:26" ht="16.5" x14ac:dyDescent="0.25">
      <c r="A34" s="211"/>
      <c r="B34" s="333"/>
      <c r="C34" s="224" t="s">
        <v>1746</v>
      </c>
      <c r="D34" s="1155" t="s">
        <v>80</v>
      </c>
      <c r="E34" s="220"/>
      <c r="F34" s="220"/>
      <c r="G34" s="220"/>
      <c r="H34" s="220"/>
      <c r="I34" s="220"/>
      <c r="J34" s="220"/>
      <c r="K34" s="220"/>
      <c r="L34" s="220">
        <f>SUM(L36)</f>
        <v>0</v>
      </c>
      <c r="M34" s="2835">
        <f>N34-L34</f>
        <v>2000000</v>
      </c>
      <c r="N34" s="220">
        <v>2000000</v>
      </c>
      <c r="O34" s="2835">
        <f>P34-N34</f>
        <v>4450000</v>
      </c>
      <c r="P34" s="220">
        <v>6450000</v>
      </c>
      <c r="Q34" s="3429">
        <f t="shared" si="11"/>
        <v>0</v>
      </c>
      <c r="R34" s="220">
        <v>6450000</v>
      </c>
      <c r="S34" s="220">
        <v>6450000</v>
      </c>
      <c r="T34" s="344"/>
      <c r="U34" s="236"/>
    </row>
    <row r="35" spans="1:26" ht="15" customHeight="1" x14ac:dyDescent="0.25">
      <c r="A35" s="211"/>
      <c r="B35" s="333"/>
      <c r="C35" s="213" t="s">
        <v>21</v>
      </c>
      <c r="D35" s="2393" t="s">
        <v>501</v>
      </c>
      <c r="E35" s="220">
        <v>0</v>
      </c>
      <c r="F35" s="220">
        <v>0</v>
      </c>
      <c r="G35" s="220">
        <v>0</v>
      </c>
      <c r="H35" s="220"/>
      <c r="I35" s="220"/>
      <c r="J35" s="220"/>
      <c r="K35" s="220"/>
      <c r="L35" s="230"/>
      <c r="M35" s="2837">
        <f t="shared" si="14"/>
        <v>0</v>
      </c>
      <c r="N35" s="230">
        <v>0</v>
      </c>
      <c r="O35" s="2835">
        <f>P35-N35</f>
        <v>41205375</v>
      </c>
      <c r="P35" s="230">
        <v>41205375</v>
      </c>
      <c r="Q35" s="3325">
        <f t="shared" si="11"/>
        <v>0</v>
      </c>
      <c r="R35" s="230">
        <v>41205375</v>
      </c>
      <c r="S35" s="230">
        <v>41205375</v>
      </c>
      <c r="T35" s="344" t="e">
        <f>SUM(S35/N35)*100</f>
        <v>#DIV/0!</v>
      </c>
      <c r="U35" s="236"/>
    </row>
    <row r="36" spans="1:26" ht="16.5" x14ac:dyDescent="0.25">
      <c r="A36" s="211"/>
      <c r="B36" s="333"/>
      <c r="C36" s="213" t="s">
        <v>586</v>
      </c>
      <c r="D36" s="2393" t="s">
        <v>503</v>
      </c>
      <c r="E36" s="220"/>
      <c r="F36" s="220"/>
      <c r="G36" s="220"/>
      <c r="H36" s="227"/>
      <c r="I36" s="220"/>
      <c r="J36" s="220"/>
      <c r="K36" s="220"/>
      <c r="L36" s="230">
        <f>SUM(L37)</f>
        <v>0</v>
      </c>
      <c r="M36" s="2837">
        <f>N36-L36</f>
        <v>1299266963</v>
      </c>
      <c r="N36" s="230">
        <f t="shared" ref="N36:S36" si="18">SUM(N37)</f>
        <v>1299266963</v>
      </c>
      <c r="O36" s="2837">
        <f t="shared" si="18"/>
        <v>0</v>
      </c>
      <c r="P36" s="230">
        <f t="shared" si="18"/>
        <v>1299266963</v>
      </c>
      <c r="Q36" s="3325">
        <f t="shared" si="11"/>
        <v>0</v>
      </c>
      <c r="R36" s="230">
        <f t="shared" si="18"/>
        <v>1299266963</v>
      </c>
      <c r="S36" s="230">
        <f t="shared" si="18"/>
        <v>1299266963</v>
      </c>
      <c r="T36" s="344">
        <f>SUM(S36/N36)*100</f>
        <v>100</v>
      </c>
      <c r="U36" s="236"/>
    </row>
    <row r="37" spans="1:26" ht="16.5" x14ac:dyDescent="0.25">
      <c r="A37" s="211"/>
      <c r="B37" s="333"/>
      <c r="C37" s="224" t="s">
        <v>1747</v>
      </c>
      <c r="D37" s="251" t="s">
        <v>126</v>
      </c>
      <c r="E37" s="233">
        <v>8092</v>
      </c>
      <c r="F37" s="233">
        <v>10134</v>
      </c>
      <c r="G37" s="233">
        <v>11732</v>
      </c>
      <c r="H37" s="2392"/>
      <c r="I37" s="233">
        <v>26394</v>
      </c>
      <c r="J37" s="233">
        <v>26394</v>
      </c>
      <c r="K37" s="233"/>
      <c r="L37" s="233">
        <f>SUM(L39)</f>
        <v>0</v>
      </c>
      <c r="M37" s="2839">
        <f>N37-L37</f>
        <v>1299266963</v>
      </c>
      <c r="N37" s="233">
        <f t="shared" ref="N37:S37" si="19">SUM(N39+N38)</f>
        <v>1299266963</v>
      </c>
      <c r="O37" s="2835">
        <f t="shared" si="19"/>
        <v>0</v>
      </c>
      <c r="P37" s="233">
        <f t="shared" si="19"/>
        <v>1299266963</v>
      </c>
      <c r="Q37" s="3429">
        <f t="shared" si="11"/>
        <v>0</v>
      </c>
      <c r="R37" s="233">
        <f t="shared" si="19"/>
        <v>1299266963</v>
      </c>
      <c r="S37" s="233">
        <f t="shared" si="19"/>
        <v>1299266963</v>
      </c>
      <c r="T37" s="344">
        <f>SUM(S37/N37)*100</f>
        <v>100</v>
      </c>
      <c r="U37" s="236"/>
      <c r="Z37" s="231">
        <v>958050000</v>
      </c>
    </row>
    <row r="38" spans="1:26" ht="16.5" x14ac:dyDescent="0.25">
      <c r="A38" s="211"/>
      <c r="B38" s="333"/>
      <c r="C38" s="224" t="s">
        <v>1748</v>
      </c>
      <c r="D38" s="1276" t="s">
        <v>1646</v>
      </c>
      <c r="E38" s="604"/>
      <c r="F38" s="604"/>
      <c r="G38" s="604"/>
      <c r="H38" s="2389"/>
      <c r="I38" s="604"/>
      <c r="J38" s="604"/>
      <c r="K38" s="604"/>
      <c r="L38" s="604">
        <v>0</v>
      </c>
      <c r="M38" s="2835">
        <f>N38-L38</f>
        <v>1299266963</v>
      </c>
      <c r="N38" s="604">
        <v>1299266963</v>
      </c>
      <c r="O38" s="2835">
        <f>P38-N38</f>
        <v>0</v>
      </c>
      <c r="P38" s="604">
        <v>1299266963</v>
      </c>
      <c r="Q38" s="3429">
        <f t="shared" si="11"/>
        <v>0</v>
      </c>
      <c r="R38" s="604">
        <v>1299266963</v>
      </c>
      <c r="S38" s="604">
        <v>1299266963</v>
      </c>
      <c r="T38" s="344"/>
      <c r="U38" s="236"/>
      <c r="Z38" s="2549">
        <v>403800000</v>
      </c>
    </row>
    <row r="39" spans="1:26" ht="16.5" x14ac:dyDescent="0.25">
      <c r="A39" s="211"/>
      <c r="B39" s="333"/>
      <c r="C39" s="224" t="s">
        <v>1749</v>
      </c>
      <c r="D39" s="950" t="s">
        <v>1067</v>
      </c>
      <c r="E39" s="604"/>
      <c r="F39" s="604"/>
      <c r="G39" s="604"/>
      <c r="H39" s="2389"/>
      <c r="I39" s="604"/>
      <c r="J39" s="604"/>
      <c r="K39" s="604"/>
      <c r="L39" s="604">
        <v>0</v>
      </c>
      <c r="M39" s="2835">
        <f>N39-L39</f>
        <v>0</v>
      </c>
      <c r="N39" s="604"/>
      <c r="O39" s="2835">
        <f>P39-N39</f>
        <v>0</v>
      </c>
      <c r="P39" s="604"/>
      <c r="Q39" s="3429">
        <f t="shared" si="11"/>
        <v>0</v>
      </c>
      <c r="R39" s="604"/>
      <c r="S39" s="604"/>
      <c r="T39" s="344"/>
      <c r="U39" s="236"/>
      <c r="Z39" s="2549">
        <v>403800000</v>
      </c>
    </row>
    <row r="40" spans="1:26" ht="16.5" x14ac:dyDescent="0.25">
      <c r="A40" s="211"/>
      <c r="B40" s="333"/>
      <c r="C40" s="213"/>
      <c r="D40" s="337" t="s">
        <v>299</v>
      </c>
      <c r="E40" s="338" t="e">
        <f>SUM(E28+#REF!+E35)</f>
        <v>#REF!</v>
      </c>
      <c r="F40" s="338" t="e">
        <f>SUM(F28+#REF!+F35)</f>
        <v>#REF!</v>
      </c>
      <c r="G40" s="338" t="e">
        <f>SUM(G28+#REF!+G35)</f>
        <v>#REF!</v>
      </c>
      <c r="H40" s="338" t="e">
        <f>SUM(H28+#REF!+H35)</f>
        <v>#REF!</v>
      </c>
      <c r="I40" s="338" t="e">
        <f>SUM(I28+#REF!+I35)</f>
        <v>#REF!</v>
      </c>
      <c r="J40" s="338" t="e">
        <f>SUM(J28+#REF!+J35)</f>
        <v>#REF!</v>
      </c>
      <c r="K40" s="338"/>
      <c r="L40" s="338">
        <f>SUM(L28+L35)</f>
        <v>0</v>
      </c>
      <c r="M40" s="1356">
        <f>N40-L40</f>
        <v>1321229739</v>
      </c>
      <c r="N40" s="338">
        <f t="shared" ref="N40:S40" si="20">SUM(N28+N35+N36)</f>
        <v>1321229739</v>
      </c>
      <c r="O40" s="1356">
        <f t="shared" si="20"/>
        <v>76622003</v>
      </c>
      <c r="P40" s="338">
        <f t="shared" si="20"/>
        <v>1397851742</v>
      </c>
      <c r="Q40" s="3325">
        <f t="shared" si="11"/>
        <v>0</v>
      </c>
      <c r="R40" s="338">
        <f t="shared" si="20"/>
        <v>1397851742</v>
      </c>
      <c r="S40" s="338">
        <f t="shared" si="20"/>
        <v>1397851742</v>
      </c>
      <c r="T40" s="344">
        <f t="shared" ref="T40:T46" si="21">SUM(S40/N40)*100</f>
        <v>105.7992944556329</v>
      </c>
      <c r="U40" s="236"/>
    </row>
    <row r="41" spans="1:26" customFormat="1" ht="36" customHeight="1" x14ac:dyDescent="0.25">
      <c r="A41" s="2396"/>
      <c r="B41" s="2399">
        <v>4</v>
      </c>
      <c r="C41" s="2397"/>
      <c r="D41" s="4474" t="s">
        <v>1647</v>
      </c>
      <c r="E41" s="4475"/>
      <c r="F41" s="4475"/>
      <c r="G41" s="4475"/>
      <c r="H41" s="4475"/>
      <c r="I41" s="4475"/>
      <c r="J41" s="4475"/>
      <c r="K41" s="4475"/>
      <c r="L41" s="4476"/>
      <c r="M41" s="2823"/>
      <c r="N41" s="2823"/>
      <c r="O41" s="2823"/>
      <c r="P41" s="2823"/>
      <c r="Q41" s="3429">
        <f t="shared" si="11"/>
        <v>0</v>
      </c>
      <c r="R41" s="2823"/>
      <c r="S41" s="2823"/>
      <c r="T41" t="e">
        <f t="shared" si="21"/>
        <v>#DIV/0!</v>
      </c>
    </row>
    <row r="42" spans="1:26" ht="16.5" x14ac:dyDescent="0.25">
      <c r="A42" s="211"/>
      <c r="B42" s="333"/>
      <c r="C42" s="209" t="s">
        <v>33</v>
      </c>
      <c r="D42" s="2393" t="s">
        <v>46</v>
      </c>
      <c r="E42" s="220" t="e">
        <f>SUM(#REF!)</f>
        <v>#REF!</v>
      </c>
      <c r="F42" s="220" t="e">
        <f>SUM(#REF!)</f>
        <v>#REF!</v>
      </c>
      <c r="G42" s="220" t="e">
        <f>SUM(#REF!)</f>
        <v>#REF!</v>
      </c>
      <c r="H42" s="220" t="e">
        <f>SUM(#REF!)</f>
        <v>#REF!</v>
      </c>
      <c r="I42" s="220" t="e">
        <f>SUM(#REF!)</f>
        <v>#REF!</v>
      </c>
      <c r="J42" s="220" t="e">
        <f>SUM(#REF!)</f>
        <v>#REF!</v>
      </c>
      <c r="K42" s="220"/>
      <c r="L42" s="230"/>
      <c r="M42" s="2837">
        <f>N42-L42</f>
        <v>0</v>
      </c>
      <c r="N42" s="230">
        <f t="shared" ref="N42:S42" si="22">SUM(N43:N44)</f>
        <v>0</v>
      </c>
      <c r="O42" s="2837">
        <f t="shared" si="22"/>
        <v>14757163</v>
      </c>
      <c r="P42" s="230">
        <f t="shared" si="22"/>
        <v>14757163</v>
      </c>
      <c r="Q42" s="3325">
        <f t="shared" si="11"/>
        <v>0</v>
      </c>
      <c r="R42" s="230">
        <f t="shared" si="22"/>
        <v>14757163</v>
      </c>
      <c r="S42" s="230">
        <f t="shared" si="22"/>
        <v>15020650</v>
      </c>
      <c r="T42" s="344" t="e">
        <f t="shared" si="21"/>
        <v>#DIV/0!</v>
      </c>
      <c r="U42" s="236"/>
    </row>
    <row r="43" spans="1:26" ht="16.5" x14ac:dyDescent="0.25">
      <c r="A43" s="211"/>
      <c r="B43" s="333"/>
      <c r="C43" s="224" t="s">
        <v>35</v>
      </c>
      <c r="D43" s="251" t="s">
        <v>50</v>
      </c>
      <c r="E43" s="233">
        <v>1000</v>
      </c>
      <c r="F43" s="233">
        <v>13632</v>
      </c>
      <c r="G43" s="233">
        <v>239</v>
      </c>
      <c r="H43" s="233">
        <v>0</v>
      </c>
      <c r="I43" s="233"/>
      <c r="J43" s="233"/>
      <c r="K43" s="233"/>
      <c r="L43" s="233"/>
      <c r="M43" s="2839">
        <f>N43-L43</f>
        <v>0</v>
      </c>
      <c r="N43" s="233"/>
      <c r="O43" s="2835">
        <f>P43-N43</f>
        <v>3216150</v>
      </c>
      <c r="P43" s="233">
        <v>3216150</v>
      </c>
      <c r="Q43" s="3429">
        <f t="shared" si="11"/>
        <v>0</v>
      </c>
      <c r="R43" s="233">
        <v>3216150</v>
      </c>
      <c r="S43" s="233">
        <v>3216150</v>
      </c>
      <c r="T43" s="344" t="e">
        <f t="shared" si="21"/>
        <v>#DIV/0!</v>
      </c>
      <c r="U43" s="236"/>
    </row>
    <row r="44" spans="1:26" ht="16.5" x14ac:dyDescent="0.25">
      <c r="A44" s="211"/>
      <c r="B44" s="333"/>
      <c r="C44" s="224" t="s">
        <v>37</v>
      </c>
      <c r="D44" s="251" t="s">
        <v>979</v>
      </c>
      <c r="E44" s="233">
        <v>1000</v>
      </c>
      <c r="F44" s="233">
        <v>13632</v>
      </c>
      <c r="G44" s="233">
        <v>239</v>
      </c>
      <c r="H44" s="233">
        <v>0</v>
      </c>
      <c r="I44" s="233"/>
      <c r="J44" s="233"/>
      <c r="K44" s="233"/>
      <c r="L44" s="233"/>
      <c r="M44" s="2839">
        <f>N44-L44</f>
        <v>0</v>
      </c>
      <c r="N44" s="233"/>
      <c r="O44" s="2835">
        <f>P44-N44</f>
        <v>11541013</v>
      </c>
      <c r="P44" s="233">
        <v>11541013</v>
      </c>
      <c r="Q44" s="3429">
        <f t="shared" si="11"/>
        <v>0</v>
      </c>
      <c r="R44" s="233">
        <v>11541013</v>
      </c>
      <c r="S44" s="233">
        <v>11804500</v>
      </c>
      <c r="T44" s="344" t="e">
        <f>SUM(S44/N44)*100</f>
        <v>#DIV/0!</v>
      </c>
      <c r="U44" s="236"/>
    </row>
    <row r="45" spans="1:26" ht="15" customHeight="1" x14ac:dyDescent="0.25">
      <c r="A45" s="211"/>
      <c r="B45" s="333"/>
      <c r="C45" s="209" t="s">
        <v>39</v>
      </c>
      <c r="D45" s="2393" t="s">
        <v>501</v>
      </c>
      <c r="E45" s="220">
        <v>0</v>
      </c>
      <c r="F45" s="220">
        <v>0</v>
      </c>
      <c r="G45" s="220">
        <v>0</v>
      </c>
      <c r="H45" s="220"/>
      <c r="I45" s="220"/>
      <c r="J45" s="220"/>
      <c r="K45" s="220"/>
      <c r="L45" s="230">
        <v>0</v>
      </c>
      <c r="M45" s="2837">
        <f>N45-L45</f>
        <v>0</v>
      </c>
      <c r="N45" s="230"/>
      <c r="O45" s="2837">
        <f>P45-N45</f>
        <v>0</v>
      </c>
      <c r="P45" s="230"/>
      <c r="Q45" s="3429">
        <f t="shared" si="11"/>
        <v>0</v>
      </c>
      <c r="R45" s="230"/>
      <c r="S45" s="230"/>
      <c r="T45" s="344" t="e">
        <f t="shared" si="21"/>
        <v>#DIV/0!</v>
      </c>
      <c r="U45" s="236"/>
    </row>
    <row r="46" spans="1:26" ht="16.5" x14ac:dyDescent="0.25">
      <c r="A46" s="211"/>
      <c r="B46" s="333"/>
      <c r="C46" s="213"/>
      <c r="D46" s="337" t="s">
        <v>299</v>
      </c>
      <c r="E46" s="338" t="e">
        <f>SUM(E42+#REF!+E45)</f>
        <v>#REF!</v>
      </c>
      <c r="F46" s="338" t="e">
        <f>SUM(F42+#REF!+F45)</f>
        <v>#REF!</v>
      </c>
      <c r="G46" s="338" t="e">
        <f>SUM(G42+#REF!+G45)</f>
        <v>#REF!</v>
      </c>
      <c r="H46" s="338" t="e">
        <f>SUM(H42+#REF!+H45)</f>
        <v>#REF!</v>
      </c>
      <c r="I46" s="338" t="e">
        <f>SUM(I42+#REF!+I45)</f>
        <v>#REF!</v>
      </c>
      <c r="J46" s="338" t="e">
        <f>SUM(J42+#REF!+J45)</f>
        <v>#REF!</v>
      </c>
      <c r="K46" s="338"/>
      <c r="L46" s="338">
        <f>SUM(L42+L45)</f>
        <v>0</v>
      </c>
      <c r="M46" s="1356">
        <f>N46-L46</f>
        <v>0</v>
      </c>
      <c r="N46" s="338">
        <f t="shared" ref="N46:S46" si="23">SUM(N42+N45)</f>
        <v>0</v>
      </c>
      <c r="O46" s="1356">
        <f t="shared" si="23"/>
        <v>14757163</v>
      </c>
      <c r="P46" s="338">
        <f t="shared" si="23"/>
        <v>14757163</v>
      </c>
      <c r="Q46" s="3325">
        <f t="shared" si="11"/>
        <v>0</v>
      </c>
      <c r="R46" s="338">
        <f t="shared" si="23"/>
        <v>14757163</v>
      </c>
      <c r="S46" s="338">
        <f t="shared" si="23"/>
        <v>15020650</v>
      </c>
      <c r="T46" s="344" t="e">
        <f t="shared" si="21"/>
        <v>#DIV/0!</v>
      </c>
      <c r="U46" s="236"/>
    </row>
    <row r="47" spans="1:26" customFormat="1" ht="36" customHeight="1" x14ac:dyDescent="0.25">
      <c r="A47" s="2396"/>
      <c r="B47" s="2399" t="s">
        <v>67</v>
      </c>
      <c r="C47" s="2397"/>
      <c r="D47" s="4471" t="s">
        <v>1299</v>
      </c>
      <c r="E47" s="4472"/>
      <c r="F47" s="4472"/>
      <c r="G47" s="4472"/>
      <c r="H47" s="4472"/>
      <c r="I47" s="4472"/>
      <c r="J47" s="4472"/>
      <c r="K47" s="4472"/>
      <c r="L47" s="4473"/>
      <c r="M47" s="2823"/>
      <c r="N47" s="2823"/>
      <c r="O47" s="2835"/>
      <c r="P47" s="2823"/>
      <c r="Q47" s="3429">
        <f t="shared" si="11"/>
        <v>0</v>
      </c>
      <c r="R47" s="2823"/>
      <c r="S47" s="2823"/>
      <c r="T47" t="e">
        <f t="shared" ref="T47:T53" si="24">SUM(S47/N47)*100</f>
        <v>#DIV/0!</v>
      </c>
    </row>
    <row r="48" spans="1:26" ht="16.5" x14ac:dyDescent="0.25">
      <c r="A48" s="211"/>
      <c r="B48" s="333"/>
      <c r="C48" s="209" t="s">
        <v>47</v>
      </c>
      <c r="D48" s="2393" t="s">
        <v>46</v>
      </c>
      <c r="E48" s="220" t="e">
        <f>SUM(#REF!)</f>
        <v>#REF!</v>
      </c>
      <c r="F48" s="220" t="e">
        <f>SUM(#REF!)</f>
        <v>#REF!</v>
      </c>
      <c r="G48" s="220" t="e">
        <f>SUM(#REF!)</f>
        <v>#REF!</v>
      </c>
      <c r="H48" s="220" t="e">
        <f>SUM(#REF!)</f>
        <v>#REF!</v>
      </c>
      <c r="I48" s="220" t="e">
        <f>SUM(#REF!)</f>
        <v>#REF!</v>
      </c>
      <c r="J48" s="220" t="e">
        <f>SUM(#REF!)</f>
        <v>#REF!</v>
      </c>
      <c r="K48" s="220"/>
      <c r="L48" s="230"/>
      <c r="M48" s="2837">
        <f>N48-L48</f>
        <v>0</v>
      </c>
      <c r="N48" s="230"/>
      <c r="O48" s="2837"/>
      <c r="P48" s="230"/>
      <c r="Q48" s="3325">
        <f t="shared" si="11"/>
        <v>0</v>
      </c>
      <c r="R48" s="230"/>
      <c r="S48" s="230"/>
      <c r="T48" s="344" t="e">
        <f t="shared" si="24"/>
        <v>#DIV/0!</v>
      </c>
      <c r="U48" s="236"/>
    </row>
    <row r="49" spans="1:21" ht="15" customHeight="1" x14ac:dyDescent="0.25">
      <c r="A49" s="211"/>
      <c r="B49" s="333"/>
      <c r="C49" s="209" t="s">
        <v>49</v>
      </c>
      <c r="D49" s="2393" t="s">
        <v>501</v>
      </c>
      <c r="E49" s="220">
        <v>0</v>
      </c>
      <c r="F49" s="220">
        <v>0</v>
      </c>
      <c r="G49" s="220">
        <v>0</v>
      </c>
      <c r="H49" s="220"/>
      <c r="I49" s="220"/>
      <c r="J49" s="220"/>
      <c r="K49" s="220"/>
      <c r="L49" s="230">
        <v>0</v>
      </c>
      <c r="M49" s="2837">
        <f>N49-L49</f>
        <v>0</v>
      </c>
      <c r="N49" s="230">
        <f t="shared" ref="N49:S49" si="25">SUM(N50)</f>
        <v>0</v>
      </c>
      <c r="O49" s="2837">
        <f t="shared" si="25"/>
        <v>0</v>
      </c>
      <c r="P49" s="230">
        <f t="shared" si="25"/>
        <v>0</v>
      </c>
      <c r="Q49" s="3325">
        <f t="shared" si="11"/>
        <v>0</v>
      </c>
      <c r="R49" s="230">
        <f t="shared" si="25"/>
        <v>0</v>
      </c>
      <c r="S49" s="230">
        <f t="shared" si="25"/>
        <v>240126</v>
      </c>
      <c r="T49" s="344" t="e">
        <f t="shared" si="24"/>
        <v>#DIV/0!</v>
      </c>
      <c r="U49" s="236"/>
    </row>
    <row r="50" spans="1:21" ht="15" customHeight="1" x14ac:dyDescent="0.25">
      <c r="A50" s="211"/>
      <c r="B50" s="333"/>
      <c r="C50" s="224" t="s">
        <v>1750</v>
      </c>
      <c r="D50" s="251" t="s">
        <v>1648</v>
      </c>
      <c r="E50" s="220">
        <v>0</v>
      </c>
      <c r="F50" s="220">
        <v>0</v>
      </c>
      <c r="G50" s="220">
        <v>0</v>
      </c>
      <c r="H50" s="220"/>
      <c r="I50" s="220"/>
      <c r="J50" s="220"/>
      <c r="K50" s="220"/>
      <c r="L50" s="230">
        <v>0</v>
      </c>
      <c r="M50" s="2837">
        <f>N50-L50</f>
        <v>0</v>
      </c>
      <c r="N50" s="220"/>
      <c r="O50" s="2837">
        <f>P50-N50</f>
        <v>0</v>
      </c>
      <c r="P50" s="220"/>
      <c r="Q50" s="3429">
        <f t="shared" si="11"/>
        <v>0</v>
      </c>
      <c r="R50" s="220"/>
      <c r="S50" s="220">
        <v>240126</v>
      </c>
      <c r="T50" s="344" t="e">
        <f t="shared" si="24"/>
        <v>#DIV/0!</v>
      </c>
      <c r="U50" s="236"/>
    </row>
    <row r="51" spans="1:21" ht="16.5" x14ac:dyDescent="0.25">
      <c r="A51" s="211"/>
      <c r="B51" s="333"/>
      <c r="C51" s="213"/>
      <c r="D51" s="337" t="s">
        <v>299</v>
      </c>
      <c r="E51" s="338" t="e">
        <f>SUM(E48+#REF!+E49)</f>
        <v>#REF!</v>
      </c>
      <c r="F51" s="338" t="e">
        <f>SUM(F48+#REF!+F49)</f>
        <v>#REF!</v>
      </c>
      <c r="G51" s="338" t="e">
        <f>SUM(G48+#REF!+G49)</f>
        <v>#REF!</v>
      </c>
      <c r="H51" s="338" t="e">
        <f>SUM(H48+#REF!+H49)</f>
        <v>#REF!</v>
      </c>
      <c r="I51" s="338" t="e">
        <f>SUM(I48+#REF!+I49)</f>
        <v>#REF!</v>
      </c>
      <c r="J51" s="338" t="e">
        <f>SUM(J48+#REF!+J49)</f>
        <v>#REF!</v>
      </c>
      <c r="K51" s="338"/>
      <c r="L51" s="338">
        <f>SUM(L48+L49)</f>
        <v>0</v>
      </c>
      <c r="M51" s="1356">
        <f>N51-L51</f>
        <v>0</v>
      </c>
      <c r="N51" s="338">
        <f t="shared" ref="N51:S51" si="26">SUM(N48+N49)</f>
        <v>0</v>
      </c>
      <c r="O51" s="2837">
        <f t="shared" si="26"/>
        <v>0</v>
      </c>
      <c r="P51" s="338">
        <f t="shared" si="26"/>
        <v>0</v>
      </c>
      <c r="Q51" s="3325">
        <f t="shared" si="11"/>
        <v>0</v>
      </c>
      <c r="R51" s="338">
        <f t="shared" si="26"/>
        <v>0</v>
      </c>
      <c r="S51" s="338">
        <f t="shared" si="26"/>
        <v>240126</v>
      </c>
      <c r="T51" s="344" t="e">
        <f t="shared" si="24"/>
        <v>#DIV/0!</v>
      </c>
      <c r="U51" s="236"/>
    </row>
    <row r="52" spans="1:21" customFormat="1" ht="30" customHeight="1" x14ac:dyDescent="0.25">
      <c r="A52" s="2396"/>
      <c r="B52" s="2399" t="s">
        <v>79</v>
      </c>
      <c r="C52" s="2397"/>
      <c r="D52" s="4471" t="s">
        <v>1149</v>
      </c>
      <c r="E52" s="4472"/>
      <c r="F52" s="4472"/>
      <c r="G52" s="4472"/>
      <c r="H52" s="4472"/>
      <c r="I52" s="4472"/>
      <c r="J52" s="4472"/>
      <c r="K52" s="4472"/>
      <c r="L52" s="4473"/>
      <c r="M52" s="2823"/>
      <c r="N52" s="2823"/>
      <c r="O52" s="2823"/>
      <c r="P52" s="2823"/>
      <c r="Q52" s="3429">
        <f t="shared" si="11"/>
        <v>0</v>
      </c>
      <c r="R52" s="2823"/>
      <c r="S52" s="2823"/>
      <c r="T52" t="e">
        <f t="shared" si="24"/>
        <v>#DIV/0!</v>
      </c>
    </row>
    <row r="53" spans="1:21" ht="16.5" x14ac:dyDescent="0.25">
      <c r="A53" s="211"/>
      <c r="B53" s="333"/>
      <c r="C53" s="209" t="s">
        <v>69</v>
      </c>
      <c r="D53" s="1335" t="s">
        <v>46</v>
      </c>
      <c r="E53" s="237"/>
      <c r="F53" s="237"/>
      <c r="G53" s="237"/>
      <c r="H53" s="237"/>
      <c r="I53" s="237"/>
      <c r="J53" s="237"/>
      <c r="K53" s="237"/>
      <c r="L53" s="230">
        <f>SUM(L54:L59)</f>
        <v>25660000</v>
      </c>
      <c r="M53" s="2837">
        <f>N53-L53</f>
        <v>19917050</v>
      </c>
      <c r="N53" s="230">
        <f t="shared" ref="N53:S53" si="27">SUM(N54:N61)</f>
        <v>45577050</v>
      </c>
      <c r="O53" s="2837">
        <f t="shared" si="27"/>
        <v>-2017888</v>
      </c>
      <c r="P53" s="230">
        <f t="shared" si="27"/>
        <v>43559162</v>
      </c>
      <c r="Q53" s="3325">
        <f t="shared" si="11"/>
        <v>0</v>
      </c>
      <c r="R53" s="230">
        <f t="shared" si="27"/>
        <v>43559162</v>
      </c>
      <c r="S53" s="230">
        <f t="shared" si="27"/>
        <v>54310130</v>
      </c>
      <c r="T53" s="344">
        <f t="shared" si="24"/>
        <v>119.1611348255317</v>
      </c>
      <c r="U53" s="236"/>
    </row>
    <row r="54" spans="1:21" ht="16.5" x14ac:dyDescent="0.25">
      <c r="A54" s="211"/>
      <c r="B54" s="333"/>
      <c r="C54" s="224" t="s">
        <v>1171</v>
      </c>
      <c r="D54" s="55" t="s">
        <v>50</v>
      </c>
      <c r="E54" s="220">
        <v>1000</v>
      </c>
      <c r="F54" s="220">
        <v>13632</v>
      </c>
      <c r="G54" s="220">
        <v>239</v>
      </c>
      <c r="H54" s="220">
        <v>0</v>
      </c>
      <c r="I54" s="220"/>
      <c r="J54" s="220"/>
      <c r="K54" s="220"/>
      <c r="L54" s="220">
        <v>2500000</v>
      </c>
      <c r="M54" s="2835">
        <f t="shared" ref="M54:M64" si="28">N54-L54</f>
        <v>0</v>
      </c>
      <c r="N54" s="220">
        <v>2500000</v>
      </c>
      <c r="O54" s="2835">
        <f>P54-N54</f>
        <v>2283194</v>
      </c>
      <c r="P54" s="220">
        <v>4783194</v>
      </c>
      <c r="Q54" s="3429">
        <f t="shared" si="11"/>
        <v>0</v>
      </c>
      <c r="R54" s="220">
        <v>4783194</v>
      </c>
      <c r="S54" s="220">
        <v>6073332</v>
      </c>
      <c r="T54" s="344"/>
      <c r="U54" s="236"/>
    </row>
    <row r="55" spans="1:21" ht="16.5" x14ac:dyDescent="0.25">
      <c r="A55" s="211"/>
      <c r="B55" s="333"/>
      <c r="C55" s="224" t="s">
        <v>1198</v>
      </c>
      <c r="D55" s="55" t="s">
        <v>414</v>
      </c>
      <c r="E55" s="220">
        <v>5734</v>
      </c>
      <c r="F55" s="220">
        <v>5734</v>
      </c>
      <c r="G55" s="220">
        <v>6234</v>
      </c>
      <c r="H55" s="220">
        <v>5734</v>
      </c>
      <c r="I55" s="220"/>
      <c r="J55" s="220"/>
      <c r="K55" s="220"/>
      <c r="L55" s="220"/>
      <c r="M55" s="2835">
        <f t="shared" si="28"/>
        <v>0</v>
      </c>
      <c r="N55" s="220">
        <v>0</v>
      </c>
      <c r="O55" s="2835">
        <f t="shared" ref="O55:O63" si="29">P55-N55</f>
        <v>1572125</v>
      </c>
      <c r="P55" s="220">
        <v>1572125</v>
      </c>
      <c r="Q55" s="3429">
        <f t="shared" si="11"/>
        <v>0</v>
      </c>
      <c r="R55" s="220">
        <v>1572125</v>
      </c>
      <c r="S55" s="220">
        <v>1572125</v>
      </c>
      <c r="T55" s="344" t="e">
        <f>SUM(S55/N55)*100</f>
        <v>#DIV/0!</v>
      </c>
      <c r="U55" s="236"/>
    </row>
    <row r="56" spans="1:21" ht="16.5" x14ac:dyDescent="0.25">
      <c r="A56" s="211"/>
      <c r="B56" s="333"/>
      <c r="C56" s="224" t="s">
        <v>1199</v>
      </c>
      <c r="D56" s="55" t="s">
        <v>979</v>
      </c>
      <c r="E56" s="220"/>
      <c r="F56" s="220"/>
      <c r="G56" s="220"/>
      <c r="H56" s="227"/>
      <c r="I56" s="220"/>
      <c r="J56" s="220"/>
      <c r="K56" s="220"/>
      <c r="L56" s="220">
        <v>13000000</v>
      </c>
      <c r="M56" s="2835">
        <f t="shared" si="28"/>
        <v>2572205</v>
      </c>
      <c r="N56" s="220">
        <v>15572205</v>
      </c>
      <c r="O56" s="2835">
        <f t="shared" si="29"/>
        <v>-10676765</v>
      </c>
      <c r="P56" s="220">
        <v>4895440</v>
      </c>
      <c r="Q56" s="3429">
        <f t="shared" si="11"/>
        <v>0</v>
      </c>
      <c r="R56" s="220">
        <v>4895440</v>
      </c>
      <c r="S56" s="220">
        <v>4905440</v>
      </c>
      <c r="T56" s="344"/>
      <c r="U56" s="236"/>
    </row>
    <row r="57" spans="1:21" ht="16.5" x14ac:dyDescent="0.25">
      <c r="A57" s="211"/>
      <c r="B57" s="333"/>
      <c r="C57" s="224" t="s">
        <v>1751</v>
      </c>
      <c r="D57" s="55" t="s">
        <v>343</v>
      </c>
      <c r="E57" s="220"/>
      <c r="F57" s="220"/>
      <c r="G57" s="220"/>
      <c r="H57" s="227"/>
      <c r="I57" s="220"/>
      <c r="J57" s="220"/>
      <c r="K57" s="220"/>
      <c r="L57" s="220">
        <v>8000000</v>
      </c>
      <c r="M57" s="2835">
        <f t="shared" si="28"/>
        <v>16650000</v>
      </c>
      <c r="N57" s="220">
        <v>24650000</v>
      </c>
      <c r="O57" s="2835">
        <f t="shared" si="29"/>
        <v>3775033</v>
      </c>
      <c r="P57" s="220">
        <v>28425033</v>
      </c>
      <c r="Q57" s="3429">
        <f t="shared" si="11"/>
        <v>0</v>
      </c>
      <c r="R57" s="220">
        <v>28425033</v>
      </c>
      <c r="S57" s="220">
        <v>35818304</v>
      </c>
      <c r="T57" s="344"/>
      <c r="U57" s="236"/>
    </row>
    <row r="58" spans="1:21" ht="16.5" x14ac:dyDescent="0.25">
      <c r="A58" s="211"/>
      <c r="B58" s="333"/>
      <c r="C58" s="224" t="s">
        <v>1752</v>
      </c>
      <c r="D58" s="55" t="s">
        <v>58</v>
      </c>
      <c r="E58" s="220"/>
      <c r="F58" s="220"/>
      <c r="G58" s="220"/>
      <c r="H58" s="227"/>
      <c r="I58" s="220"/>
      <c r="J58" s="220"/>
      <c r="K58" s="220"/>
      <c r="L58" s="220">
        <f>SUM(L57)*0.27</f>
        <v>2160000</v>
      </c>
      <c r="M58" s="2835">
        <f>N58-L58</f>
        <v>694504</v>
      </c>
      <c r="N58" s="220">
        <v>2854504</v>
      </c>
      <c r="O58" s="2835">
        <f t="shared" si="29"/>
        <v>805928</v>
      </c>
      <c r="P58" s="220">
        <v>3660432</v>
      </c>
      <c r="Q58" s="3429">
        <f t="shared" si="11"/>
        <v>0</v>
      </c>
      <c r="R58" s="220">
        <v>3660432</v>
      </c>
      <c r="S58" s="220">
        <v>5071307</v>
      </c>
      <c r="T58" s="344"/>
      <c r="U58" s="236"/>
    </row>
    <row r="59" spans="1:21" ht="16.5" x14ac:dyDescent="0.25">
      <c r="A59" s="211"/>
      <c r="B59" s="333"/>
      <c r="C59" s="224" t="s">
        <v>1753</v>
      </c>
      <c r="D59" s="55" t="s">
        <v>1649</v>
      </c>
      <c r="E59" s="220"/>
      <c r="F59" s="220"/>
      <c r="G59" s="220"/>
      <c r="H59" s="227"/>
      <c r="I59" s="220"/>
      <c r="J59" s="220"/>
      <c r="K59" s="220"/>
      <c r="L59" s="220"/>
      <c r="M59" s="2835">
        <f t="shared" si="28"/>
        <v>0</v>
      </c>
      <c r="N59" s="220">
        <v>0</v>
      </c>
      <c r="O59" s="2835">
        <f t="shared" si="29"/>
        <v>0</v>
      </c>
      <c r="P59" s="220"/>
      <c r="Q59" s="3429">
        <f t="shared" si="11"/>
        <v>0</v>
      </c>
      <c r="R59" s="220"/>
      <c r="S59" s="220">
        <v>646612</v>
      </c>
      <c r="T59" s="344"/>
      <c r="U59" s="236"/>
    </row>
    <row r="60" spans="1:21" ht="18" customHeight="1" x14ac:dyDescent="0.25">
      <c r="A60" s="211"/>
      <c r="B60" s="333"/>
      <c r="C60" s="224" t="s">
        <v>1754</v>
      </c>
      <c r="D60" s="1155" t="s">
        <v>1642</v>
      </c>
      <c r="E60" s="220"/>
      <c r="F60" s="220"/>
      <c r="G60" s="220"/>
      <c r="H60" s="220"/>
      <c r="I60" s="220"/>
      <c r="J60" s="220"/>
      <c r="K60" s="220"/>
      <c r="L60" s="220"/>
      <c r="M60" s="2835">
        <f>N60-L60</f>
        <v>341</v>
      </c>
      <c r="N60" s="220">
        <v>341</v>
      </c>
      <c r="O60" s="2835">
        <f t="shared" si="29"/>
        <v>168</v>
      </c>
      <c r="P60" s="220">
        <v>509</v>
      </c>
      <c r="Q60" s="3429">
        <f t="shared" si="11"/>
        <v>0</v>
      </c>
      <c r="R60" s="220">
        <v>509</v>
      </c>
      <c r="S60" s="220">
        <v>509</v>
      </c>
      <c r="T60" s="344"/>
      <c r="U60" s="236"/>
    </row>
    <row r="61" spans="1:21" ht="18" customHeight="1" x14ac:dyDescent="0.25">
      <c r="A61" s="211"/>
      <c r="B61" s="333"/>
      <c r="C61" s="224" t="s">
        <v>1755</v>
      </c>
      <c r="D61" s="1155" t="s">
        <v>64</v>
      </c>
      <c r="E61" s="220"/>
      <c r="F61" s="220"/>
      <c r="G61" s="220"/>
      <c r="H61" s="220"/>
      <c r="I61" s="220"/>
      <c r="J61" s="220"/>
      <c r="K61" s="220"/>
      <c r="L61" s="220"/>
      <c r="M61" s="2835">
        <f t="shared" si="28"/>
        <v>0</v>
      </c>
      <c r="N61" s="220">
        <v>0</v>
      </c>
      <c r="O61" s="2835">
        <f t="shared" si="29"/>
        <v>222429</v>
      </c>
      <c r="P61" s="220">
        <v>222429</v>
      </c>
      <c r="Q61" s="3429">
        <f t="shared" si="11"/>
        <v>0</v>
      </c>
      <c r="R61" s="220">
        <v>222429</v>
      </c>
      <c r="S61" s="220">
        <v>222501</v>
      </c>
      <c r="T61" s="344"/>
      <c r="U61" s="236"/>
    </row>
    <row r="62" spans="1:21" ht="16.5" x14ac:dyDescent="0.25">
      <c r="A62" s="211"/>
      <c r="B62" s="333"/>
      <c r="C62" s="209" t="s">
        <v>1756</v>
      </c>
      <c r="D62" s="2393" t="s">
        <v>501</v>
      </c>
      <c r="E62" s="220">
        <v>0</v>
      </c>
      <c r="F62" s="220">
        <v>0</v>
      </c>
      <c r="G62" s="220">
        <v>0</v>
      </c>
      <c r="H62" s="220"/>
      <c r="I62" s="220">
        <v>0</v>
      </c>
      <c r="J62" s="220"/>
      <c r="K62" s="220"/>
      <c r="L62" s="230">
        <v>0</v>
      </c>
      <c r="M62" s="2837">
        <f t="shared" si="28"/>
        <v>0</v>
      </c>
      <c r="N62" s="230"/>
      <c r="O62" s="2837">
        <f>P62-N62</f>
        <v>0</v>
      </c>
      <c r="P62" s="230"/>
      <c r="Q62" s="3325">
        <f t="shared" si="11"/>
        <v>0</v>
      </c>
      <c r="R62" s="230"/>
      <c r="S62" s="230"/>
      <c r="T62" s="344" t="e">
        <f>SUM(S62/N62)*100</f>
        <v>#DIV/0!</v>
      </c>
      <c r="U62" s="236"/>
    </row>
    <row r="63" spans="1:21" ht="16.5" x14ac:dyDescent="0.25">
      <c r="A63" s="211"/>
      <c r="B63" s="333"/>
      <c r="C63" s="209" t="s">
        <v>1757</v>
      </c>
      <c r="D63" s="2393" t="s">
        <v>434</v>
      </c>
      <c r="E63" s="220"/>
      <c r="F63" s="220"/>
      <c r="G63" s="220"/>
      <c r="H63" s="220"/>
      <c r="I63" s="220"/>
      <c r="J63" s="220"/>
      <c r="K63" s="220"/>
      <c r="L63" s="230"/>
      <c r="M63" s="2837">
        <f t="shared" si="28"/>
        <v>0</v>
      </c>
      <c r="N63" s="230"/>
      <c r="O63" s="2837">
        <f t="shared" si="29"/>
        <v>0</v>
      </c>
      <c r="P63" s="230"/>
      <c r="Q63" s="3325">
        <f t="shared" si="11"/>
        <v>0</v>
      </c>
      <c r="R63" s="230"/>
      <c r="S63" s="230"/>
      <c r="T63" s="344" t="e">
        <f>SUM(S63/N63)*100</f>
        <v>#DIV/0!</v>
      </c>
      <c r="U63" s="236"/>
    </row>
    <row r="64" spans="1:21" ht="16.5" x14ac:dyDescent="0.25">
      <c r="A64" s="211"/>
      <c r="B64" s="333"/>
      <c r="C64" s="209"/>
      <c r="D64" s="337" t="s">
        <v>299</v>
      </c>
      <c r="E64" s="338" t="e">
        <f>SUM(E53+#REF!+E62)</f>
        <v>#REF!</v>
      </c>
      <c r="F64" s="338" t="e">
        <f>SUM(F53+#REF!+F62)</f>
        <v>#REF!</v>
      </c>
      <c r="G64" s="338" t="e">
        <f>SUM(G53+#REF!+G62)</f>
        <v>#REF!</v>
      </c>
      <c r="H64" s="346" t="e">
        <f>SUM(H53+#REF!+H62)</f>
        <v>#REF!</v>
      </c>
      <c r="I64" s="338" t="e">
        <f>SUM(I53+#REF!+I62+#REF!)</f>
        <v>#REF!</v>
      </c>
      <c r="J64" s="338" t="e">
        <f>SUM(J53+#REF!+J62+#REF!)</f>
        <v>#REF!</v>
      </c>
      <c r="K64" s="338"/>
      <c r="L64" s="338">
        <f>SUM(L53+L62)</f>
        <v>25660000</v>
      </c>
      <c r="M64" s="1356">
        <f t="shared" si="28"/>
        <v>19917050</v>
      </c>
      <c r="N64" s="338">
        <f t="shared" ref="N64:S64" si="30">SUM(N53+N62)</f>
        <v>45577050</v>
      </c>
      <c r="O64" s="2837">
        <f t="shared" si="30"/>
        <v>-2017888</v>
      </c>
      <c r="P64" s="338">
        <f t="shared" si="30"/>
        <v>43559162</v>
      </c>
      <c r="Q64" s="3325">
        <f t="shared" si="11"/>
        <v>0</v>
      </c>
      <c r="R64" s="338">
        <f t="shared" si="30"/>
        <v>43559162</v>
      </c>
      <c r="S64" s="338">
        <f t="shared" si="30"/>
        <v>54310130</v>
      </c>
      <c r="T64" s="344">
        <f>SUM(S64/N64)*100</f>
        <v>119.1611348255317</v>
      </c>
      <c r="U64" s="236"/>
    </row>
    <row r="65" spans="1:26" customFormat="1" ht="29.45" customHeight="1" x14ac:dyDescent="0.25">
      <c r="A65" s="2414"/>
      <c r="B65" s="2399" t="s">
        <v>89</v>
      </c>
      <c r="C65" s="2397"/>
      <c r="D65" s="4471" t="s">
        <v>1139</v>
      </c>
      <c r="E65" s="4472"/>
      <c r="F65" s="4472"/>
      <c r="G65" s="4472"/>
      <c r="H65" s="4472"/>
      <c r="I65" s="4472"/>
      <c r="J65" s="4472"/>
      <c r="K65" s="4472"/>
      <c r="L65" s="4473"/>
      <c r="M65" s="2823"/>
      <c r="N65" s="2823"/>
      <c r="O65" s="2823"/>
      <c r="P65" s="2823"/>
      <c r="Q65" s="3429">
        <f t="shared" si="11"/>
        <v>0</v>
      </c>
      <c r="R65" s="2823"/>
      <c r="S65" s="2823"/>
      <c r="T65" t="e">
        <f>SUM(S65/N65)*100</f>
        <v>#DIV/0!</v>
      </c>
    </row>
    <row r="66" spans="1:26" ht="16.5" x14ac:dyDescent="0.25">
      <c r="A66" s="211"/>
      <c r="B66" s="333"/>
      <c r="C66" s="209" t="s">
        <v>81</v>
      </c>
      <c r="D66" s="1335" t="s">
        <v>46</v>
      </c>
      <c r="E66" s="237"/>
      <c r="F66" s="237"/>
      <c r="G66" s="237">
        <v>0</v>
      </c>
      <c r="H66" s="237">
        <v>0</v>
      </c>
      <c r="I66" s="237"/>
      <c r="J66" s="237"/>
      <c r="K66" s="237"/>
      <c r="L66" s="230">
        <f>SUM(L68)</f>
        <v>0</v>
      </c>
      <c r="M66" s="2837">
        <f t="shared" ref="M66:M73" si="31">N66-L66</f>
        <v>0</v>
      </c>
      <c r="N66" s="230">
        <f t="shared" ref="N66:S66" si="32">SUM(N68+N67+N72)</f>
        <v>0</v>
      </c>
      <c r="O66" s="2837">
        <f t="shared" si="32"/>
        <v>0</v>
      </c>
      <c r="P66" s="230">
        <f t="shared" si="32"/>
        <v>0</v>
      </c>
      <c r="Q66" s="3325">
        <f t="shared" si="11"/>
        <v>0</v>
      </c>
      <c r="R66" s="230">
        <f t="shared" si="32"/>
        <v>0</v>
      </c>
      <c r="S66" s="230">
        <f t="shared" si="32"/>
        <v>50000</v>
      </c>
      <c r="T66" s="344" t="e">
        <f>SUM(S66/N66)*100</f>
        <v>#DIV/0!</v>
      </c>
      <c r="U66" s="236"/>
    </row>
    <row r="67" spans="1:26" ht="18" customHeight="1" x14ac:dyDescent="0.25">
      <c r="A67" s="211"/>
      <c r="B67" s="333"/>
      <c r="C67" s="224" t="s">
        <v>407</v>
      </c>
      <c r="D67" s="1155" t="s">
        <v>1642</v>
      </c>
      <c r="E67" s="220"/>
      <c r="F67" s="220"/>
      <c r="G67" s="220"/>
      <c r="H67" s="220"/>
      <c r="I67" s="220"/>
      <c r="J67" s="220"/>
      <c r="K67" s="220"/>
      <c r="L67" s="220"/>
      <c r="M67" s="2835">
        <f t="shared" si="31"/>
        <v>0</v>
      </c>
      <c r="N67" s="220"/>
      <c r="O67" s="2835">
        <f>P67-N67</f>
        <v>0</v>
      </c>
      <c r="P67" s="220"/>
      <c r="Q67" s="3429">
        <f t="shared" si="11"/>
        <v>0</v>
      </c>
      <c r="R67" s="220">
        <f>SUM(R68)</f>
        <v>0</v>
      </c>
      <c r="S67" s="220"/>
      <c r="T67" s="344"/>
      <c r="U67" s="236"/>
    </row>
    <row r="68" spans="1:26" ht="18" customHeight="1" x14ac:dyDescent="0.25">
      <c r="A68" s="211"/>
      <c r="B68" s="333"/>
      <c r="C68" s="224" t="s">
        <v>358</v>
      </c>
      <c r="D68" s="1155" t="s">
        <v>353</v>
      </c>
      <c r="E68" s="220"/>
      <c r="F68" s="220"/>
      <c r="G68" s="220"/>
      <c r="H68" s="220"/>
      <c r="I68" s="220"/>
      <c r="J68" s="220"/>
      <c r="K68" s="220"/>
      <c r="L68" s="220">
        <f>SUM(L69)</f>
        <v>0</v>
      </c>
      <c r="M68" s="2835">
        <f t="shared" si="31"/>
        <v>0</v>
      </c>
      <c r="N68" s="220"/>
      <c r="O68" s="2835">
        <f>SUM(O69+O71)</f>
        <v>0</v>
      </c>
      <c r="P68" s="220">
        <f>SUM(P69+P71)</f>
        <v>0</v>
      </c>
      <c r="Q68" s="3429">
        <f t="shared" si="11"/>
        <v>0</v>
      </c>
      <c r="R68" s="220">
        <f>SUM(R69+R71)</f>
        <v>0</v>
      </c>
      <c r="S68" s="220">
        <f>SUM(S69+S71)</f>
        <v>0</v>
      </c>
      <c r="T68" s="344"/>
      <c r="U68" s="236"/>
    </row>
    <row r="69" spans="1:26" ht="16.5" x14ac:dyDescent="0.25">
      <c r="A69" s="211"/>
      <c r="B69" s="333"/>
      <c r="C69" s="224" t="s">
        <v>1165</v>
      </c>
      <c r="D69" s="1155" t="s">
        <v>355</v>
      </c>
      <c r="E69" s="220"/>
      <c r="F69" s="220"/>
      <c r="G69" s="220"/>
      <c r="H69" s="220"/>
      <c r="I69" s="220"/>
      <c r="J69" s="220"/>
      <c r="K69" s="220"/>
      <c r="L69" s="220">
        <f>SUM(L70)</f>
        <v>0</v>
      </c>
      <c r="M69" s="2835">
        <f t="shared" si="31"/>
        <v>0</v>
      </c>
      <c r="N69" s="220">
        <f t="shared" ref="N69:S69" si="33">SUM(N70)</f>
        <v>0</v>
      </c>
      <c r="O69" s="2835">
        <f t="shared" si="33"/>
        <v>0</v>
      </c>
      <c r="P69" s="220">
        <f t="shared" si="33"/>
        <v>0</v>
      </c>
      <c r="Q69" s="3429">
        <f t="shared" si="11"/>
        <v>0</v>
      </c>
      <c r="R69" s="220">
        <f t="shared" si="33"/>
        <v>0</v>
      </c>
      <c r="S69" s="220">
        <f t="shared" si="33"/>
        <v>0</v>
      </c>
      <c r="T69" s="344"/>
      <c r="U69" s="236"/>
    </row>
    <row r="70" spans="1:26" ht="16.5" x14ac:dyDescent="0.25">
      <c r="A70" s="211"/>
      <c r="B70" s="333"/>
      <c r="C70" s="222" t="s">
        <v>1166</v>
      </c>
      <c r="D70" s="2377" t="s">
        <v>1130</v>
      </c>
      <c r="E70" s="221"/>
      <c r="F70" s="221"/>
      <c r="G70" s="221"/>
      <c r="H70" s="221"/>
      <c r="I70" s="221"/>
      <c r="J70" s="221"/>
      <c r="K70" s="221"/>
      <c r="L70" s="221"/>
      <c r="M70" s="2836">
        <f t="shared" si="31"/>
        <v>0</v>
      </c>
      <c r="N70" s="221"/>
      <c r="O70" s="2836">
        <f>P70-N70</f>
        <v>0</v>
      </c>
      <c r="P70" s="221"/>
      <c r="Q70" s="3429">
        <f t="shared" si="11"/>
        <v>0</v>
      </c>
      <c r="R70" s="221"/>
      <c r="S70" s="221"/>
      <c r="T70" s="344"/>
      <c r="U70" s="236"/>
    </row>
    <row r="71" spans="1:26" ht="30" x14ac:dyDescent="0.25">
      <c r="A71" s="211"/>
      <c r="B71" s="333"/>
      <c r="C71" s="224" t="s">
        <v>1643</v>
      </c>
      <c r="D71" s="1155" t="s">
        <v>1644</v>
      </c>
      <c r="E71" s="220"/>
      <c r="F71" s="220"/>
      <c r="G71" s="220"/>
      <c r="H71" s="220"/>
      <c r="I71" s="220"/>
      <c r="J71" s="220"/>
      <c r="K71" s="220"/>
      <c r="L71" s="220">
        <f>SUM(L73)</f>
        <v>0</v>
      </c>
      <c r="M71" s="2835">
        <f t="shared" si="31"/>
        <v>0</v>
      </c>
      <c r="N71" s="220"/>
      <c r="O71" s="2835">
        <f>P71-N71</f>
        <v>0</v>
      </c>
      <c r="P71" s="220"/>
      <c r="Q71" s="3429">
        <f t="shared" si="11"/>
        <v>0</v>
      </c>
      <c r="R71" s="220">
        <f>SUM(R73)</f>
        <v>0</v>
      </c>
      <c r="S71" s="220"/>
      <c r="T71" s="344"/>
      <c r="U71" s="236"/>
    </row>
    <row r="72" spans="1:26" ht="16.5" x14ac:dyDescent="0.25">
      <c r="A72" s="211"/>
      <c r="B72" s="333"/>
      <c r="C72" s="224" t="s">
        <v>1172</v>
      </c>
      <c r="D72" s="1155" t="s">
        <v>80</v>
      </c>
      <c r="E72" s="220"/>
      <c r="F72" s="220"/>
      <c r="G72" s="220"/>
      <c r="H72" s="220"/>
      <c r="I72" s="220"/>
      <c r="J72" s="220"/>
      <c r="K72" s="220"/>
      <c r="L72" s="220">
        <f>SUM(L74)</f>
        <v>0</v>
      </c>
      <c r="M72" s="2835">
        <f t="shared" si="31"/>
        <v>0</v>
      </c>
      <c r="N72" s="220">
        <v>0</v>
      </c>
      <c r="O72" s="2835">
        <f>P72-N72</f>
        <v>0</v>
      </c>
      <c r="P72" s="220"/>
      <c r="Q72" s="3429">
        <f t="shared" si="11"/>
        <v>0</v>
      </c>
      <c r="R72" s="220"/>
      <c r="S72" s="220">
        <v>50000</v>
      </c>
      <c r="T72" s="344"/>
      <c r="U72" s="236"/>
    </row>
    <row r="73" spans="1:26" ht="15" customHeight="1" x14ac:dyDescent="0.25">
      <c r="A73" s="211"/>
      <c r="B73" s="333"/>
      <c r="C73" s="209" t="s">
        <v>83</v>
      </c>
      <c r="D73" s="2393" t="s">
        <v>501</v>
      </c>
      <c r="E73" s="220">
        <v>0</v>
      </c>
      <c r="F73" s="220">
        <v>0</v>
      </c>
      <c r="G73" s="220">
        <v>0</v>
      </c>
      <c r="H73" s="220"/>
      <c r="I73" s="220"/>
      <c r="J73" s="220"/>
      <c r="K73" s="220"/>
      <c r="L73" s="230"/>
      <c r="M73" s="2837">
        <f t="shared" si="31"/>
        <v>0</v>
      </c>
      <c r="N73" s="230">
        <v>0</v>
      </c>
      <c r="O73" s="2837">
        <f>P73-N73</f>
        <v>0</v>
      </c>
      <c r="P73" s="230"/>
      <c r="Q73" s="3325">
        <f t="shared" si="11"/>
        <v>0</v>
      </c>
      <c r="R73" s="230"/>
      <c r="S73" s="230">
        <v>0</v>
      </c>
      <c r="T73" s="344" t="e">
        <f>SUM(S73/N73)*100</f>
        <v>#DIV/0!</v>
      </c>
      <c r="U73" s="236"/>
    </row>
    <row r="74" spans="1:26" ht="16.5" x14ac:dyDescent="0.25">
      <c r="A74" s="211"/>
      <c r="B74" s="333"/>
      <c r="C74" s="209" t="s">
        <v>1758</v>
      </c>
      <c r="D74" s="2393" t="s">
        <v>503</v>
      </c>
      <c r="E74" s="220"/>
      <c r="F74" s="220"/>
      <c r="G74" s="220"/>
      <c r="H74" s="227"/>
      <c r="I74" s="220"/>
      <c r="J74" s="220"/>
      <c r="K74" s="220"/>
      <c r="L74" s="230">
        <f>SUM(L75)</f>
        <v>0</v>
      </c>
      <c r="M74" s="2837">
        <f>N74-L74</f>
        <v>0</v>
      </c>
      <c r="N74" s="230">
        <f t="shared" ref="N74:S74" si="34">SUM(N75)</f>
        <v>0</v>
      </c>
      <c r="O74" s="2837">
        <f>P74-N74</f>
        <v>0</v>
      </c>
      <c r="P74" s="230">
        <f t="shared" si="34"/>
        <v>0</v>
      </c>
      <c r="Q74" s="3325">
        <f t="shared" si="11"/>
        <v>0</v>
      </c>
      <c r="R74" s="230">
        <f t="shared" si="34"/>
        <v>0</v>
      </c>
      <c r="S74" s="230">
        <f t="shared" si="34"/>
        <v>0</v>
      </c>
      <c r="T74" s="344" t="e">
        <f>SUM(S74/N74)*100</f>
        <v>#DIV/0!</v>
      </c>
      <c r="U74" s="236"/>
    </row>
    <row r="75" spans="1:26" ht="16.5" x14ac:dyDescent="0.25">
      <c r="A75" s="211"/>
      <c r="B75" s="333"/>
      <c r="C75" s="224" t="s">
        <v>313</v>
      </c>
      <c r="D75" s="251" t="s">
        <v>126</v>
      </c>
      <c r="E75" s="233">
        <v>8092</v>
      </c>
      <c r="F75" s="233">
        <v>10134</v>
      </c>
      <c r="G75" s="233">
        <v>11732</v>
      </c>
      <c r="H75" s="2392"/>
      <c r="I75" s="233">
        <v>26394</v>
      </c>
      <c r="J75" s="233">
        <v>26394</v>
      </c>
      <c r="K75" s="233"/>
      <c r="L75" s="233">
        <f>SUM(L77)</f>
        <v>0</v>
      </c>
      <c r="M75" s="2839">
        <f>N75-L75</f>
        <v>0</v>
      </c>
      <c r="N75" s="233">
        <f t="shared" ref="N75:S75" si="35">SUM(N77+N76)</f>
        <v>0</v>
      </c>
      <c r="O75" s="2837">
        <f t="shared" si="35"/>
        <v>0</v>
      </c>
      <c r="P75" s="233">
        <f t="shared" si="35"/>
        <v>0</v>
      </c>
      <c r="Q75" s="3429">
        <f t="shared" si="11"/>
        <v>0</v>
      </c>
      <c r="R75" s="233">
        <f t="shared" si="35"/>
        <v>0</v>
      </c>
      <c r="S75" s="233">
        <f t="shared" si="35"/>
        <v>0</v>
      </c>
      <c r="T75" s="344" t="e">
        <f>SUM(S75/N75)*100</f>
        <v>#DIV/0!</v>
      </c>
      <c r="U75" s="236"/>
      <c r="Z75" s="231">
        <v>958050000</v>
      </c>
    </row>
    <row r="76" spans="1:26" ht="16.5" x14ac:dyDescent="0.25">
      <c r="A76" s="211"/>
      <c r="B76" s="333"/>
      <c r="C76" s="224" t="s">
        <v>1645</v>
      </c>
      <c r="D76" s="1276" t="s">
        <v>1646</v>
      </c>
      <c r="E76" s="604"/>
      <c r="F76" s="604"/>
      <c r="G76" s="604"/>
      <c r="H76" s="2389"/>
      <c r="I76" s="604"/>
      <c r="J76" s="604"/>
      <c r="K76" s="604"/>
      <c r="L76" s="604">
        <v>0</v>
      </c>
      <c r="M76" s="2835">
        <f>N76-L76</f>
        <v>0</v>
      </c>
      <c r="N76" s="604"/>
      <c r="O76" s="2837"/>
      <c r="P76" s="604"/>
      <c r="Q76" s="3429">
        <f t="shared" si="11"/>
        <v>0</v>
      </c>
      <c r="R76" s="604"/>
      <c r="S76" s="604"/>
      <c r="T76" s="344"/>
      <c r="U76" s="236"/>
      <c r="Z76" s="2549">
        <v>403800000</v>
      </c>
    </row>
    <row r="77" spans="1:26" ht="16.5" x14ac:dyDescent="0.25">
      <c r="A77" s="211"/>
      <c r="B77" s="333"/>
      <c r="C77" s="224" t="s">
        <v>1641</v>
      </c>
      <c r="D77" s="950" t="s">
        <v>1067</v>
      </c>
      <c r="E77" s="604"/>
      <c r="F77" s="604"/>
      <c r="G77" s="604"/>
      <c r="H77" s="2389"/>
      <c r="I77" s="604"/>
      <c r="J77" s="604"/>
      <c r="K77" s="604"/>
      <c r="L77" s="604">
        <v>0</v>
      </c>
      <c r="M77" s="2835">
        <f>N77-L77</f>
        <v>0</v>
      </c>
      <c r="N77" s="604"/>
      <c r="O77" s="2837"/>
      <c r="P77" s="604"/>
      <c r="Q77" s="3429">
        <f t="shared" si="11"/>
        <v>0</v>
      </c>
      <c r="R77" s="604"/>
      <c r="S77" s="604"/>
      <c r="T77" s="344"/>
      <c r="U77" s="236"/>
      <c r="Z77" s="2549">
        <v>403800000</v>
      </c>
    </row>
    <row r="78" spans="1:26" ht="16.5" x14ac:dyDescent="0.25">
      <c r="A78" s="211"/>
      <c r="B78" s="333"/>
      <c r="C78" s="213"/>
      <c r="D78" s="337" t="s">
        <v>299</v>
      </c>
      <c r="E78" s="338" t="e">
        <f>SUM(E66+#REF!+E73)</f>
        <v>#REF!</v>
      </c>
      <c r="F78" s="338" t="e">
        <f>SUM(F66+#REF!+F73)</f>
        <v>#REF!</v>
      </c>
      <c r="G78" s="338" t="e">
        <f>SUM(G66+#REF!+G73)</f>
        <v>#REF!</v>
      </c>
      <c r="H78" s="338" t="e">
        <f>SUM(H66+#REF!+H73)</f>
        <v>#REF!</v>
      </c>
      <c r="I78" s="338" t="e">
        <f>SUM(I66+#REF!+I73)</f>
        <v>#REF!</v>
      </c>
      <c r="J78" s="338" t="e">
        <f>SUM(J66+#REF!+J73)</f>
        <v>#REF!</v>
      </c>
      <c r="K78" s="338"/>
      <c r="L78" s="338">
        <f>SUM(L66+L73)</f>
        <v>0</v>
      </c>
      <c r="M78" s="1356">
        <f>N78-L78</f>
        <v>0</v>
      </c>
      <c r="N78" s="338">
        <f t="shared" ref="N78:S78" si="36">SUM(N66+N73+N74)</f>
        <v>0</v>
      </c>
      <c r="O78" s="2837">
        <f t="shared" si="36"/>
        <v>0</v>
      </c>
      <c r="P78" s="338">
        <f t="shared" si="36"/>
        <v>0</v>
      </c>
      <c r="Q78" s="3325">
        <f t="shared" si="11"/>
        <v>0</v>
      </c>
      <c r="R78" s="338">
        <f t="shared" si="36"/>
        <v>0</v>
      </c>
      <c r="S78" s="338">
        <f t="shared" si="36"/>
        <v>50000</v>
      </c>
      <c r="T78" s="344" t="e">
        <f>SUM(S78/N78)*100</f>
        <v>#DIV/0!</v>
      </c>
      <c r="U78" s="236"/>
    </row>
    <row r="79" spans="1:26" customFormat="1" ht="36" customHeight="1" x14ac:dyDescent="0.25">
      <c r="A79" s="2383"/>
      <c r="B79" s="2415" t="s">
        <v>99</v>
      </c>
      <c r="C79" s="2416"/>
      <c r="D79" s="4484" t="s">
        <v>1158</v>
      </c>
      <c r="E79" s="4485"/>
      <c r="F79" s="4485"/>
      <c r="G79" s="4485"/>
      <c r="H79" s="4485"/>
      <c r="I79" s="4485"/>
      <c r="J79" s="4485"/>
      <c r="K79" s="4485"/>
      <c r="L79" s="4486"/>
      <c r="M79" s="2823"/>
      <c r="N79" s="2823"/>
      <c r="O79" s="2823"/>
      <c r="P79" s="2823"/>
      <c r="Q79" s="3429">
        <f t="shared" si="11"/>
        <v>0</v>
      </c>
      <c r="R79" s="2823"/>
      <c r="S79" s="2823"/>
    </row>
    <row r="80" spans="1:26" ht="16.5" x14ac:dyDescent="0.25">
      <c r="A80" s="211"/>
      <c r="B80" s="333"/>
      <c r="C80" s="209" t="s">
        <v>91</v>
      </c>
      <c r="D80" s="2393" t="s">
        <v>46</v>
      </c>
      <c r="E80" s="220"/>
      <c r="F80" s="220"/>
      <c r="G80" s="220"/>
      <c r="H80" s="220"/>
      <c r="I80" s="220"/>
      <c r="J80" s="220"/>
      <c r="K80" s="220"/>
      <c r="L80" s="230">
        <f>SUM(L83+L81)</f>
        <v>5715000</v>
      </c>
      <c r="M80" s="2837">
        <f>N80-L80</f>
        <v>0</v>
      </c>
      <c r="N80" s="230">
        <f t="shared" ref="N80:S80" si="37">SUM(N83+N81)</f>
        <v>5715000</v>
      </c>
      <c r="O80" s="2837">
        <f t="shared" si="37"/>
        <v>-303180</v>
      </c>
      <c r="P80" s="230">
        <f t="shared" si="37"/>
        <v>5411820</v>
      </c>
      <c r="Q80" s="3325">
        <f t="shared" si="11"/>
        <v>0</v>
      </c>
      <c r="R80" s="230">
        <f t="shared" si="37"/>
        <v>5411820</v>
      </c>
      <c r="S80" s="230">
        <f t="shared" si="37"/>
        <v>5411825</v>
      </c>
      <c r="T80" s="344"/>
      <c r="U80" s="236"/>
    </row>
    <row r="81" spans="1:23" ht="16.5" x14ac:dyDescent="0.25">
      <c r="A81" s="211"/>
      <c r="B81" s="333"/>
      <c r="C81" s="224" t="s">
        <v>1201</v>
      </c>
      <c r="D81" s="251" t="s">
        <v>414</v>
      </c>
      <c r="E81" s="2394"/>
      <c r="F81" s="2394"/>
      <c r="G81" s="2394"/>
      <c r="H81" s="2394"/>
      <c r="I81" s="2394"/>
      <c r="J81" s="2394"/>
      <c r="K81" s="2394"/>
      <c r="L81" s="233">
        <f>SUM(L82)</f>
        <v>4500000</v>
      </c>
      <c r="M81" s="2839">
        <f>N81-L81</f>
        <v>0</v>
      </c>
      <c r="N81" s="233">
        <f t="shared" ref="N81:S81" si="38">SUM(N82)</f>
        <v>4500000</v>
      </c>
      <c r="O81" s="2835">
        <f t="shared" si="38"/>
        <v>-238679</v>
      </c>
      <c r="P81" s="233">
        <f t="shared" si="38"/>
        <v>4261321</v>
      </c>
      <c r="Q81" s="3429">
        <f t="shared" si="11"/>
        <v>0</v>
      </c>
      <c r="R81" s="233">
        <f t="shared" si="38"/>
        <v>4261321</v>
      </c>
      <c r="S81" s="233">
        <f t="shared" si="38"/>
        <v>4261326</v>
      </c>
      <c r="T81" s="344"/>
      <c r="U81" s="236"/>
    </row>
    <row r="82" spans="1:23" ht="16.5" x14ac:dyDescent="0.25">
      <c r="A82" s="211"/>
      <c r="B82" s="333"/>
      <c r="C82" s="224" t="s">
        <v>1759</v>
      </c>
      <c r="D82" s="177" t="s">
        <v>1129</v>
      </c>
      <c r="E82" s="2390"/>
      <c r="F82" s="2390"/>
      <c r="G82" s="2390"/>
      <c r="H82" s="2390"/>
      <c r="I82" s="2390"/>
      <c r="J82" s="2390"/>
      <c r="K82" s="2390"/>
      <c r="L82" s="233">
        <v>4500000</v>
      </c>
      <c r="M82" s="2839">
        <f>N82-L82</f>
        <v>0</v>
      </c>
      <c r="N82" s="233">
        <v>4500000</v>
      </c>
      <c r="O82" s="2835">
        <f>P82-N82</f>
        <v>-238679</v>
      </c>
      <c r="P82" s="233">
        <v>4261321</v>
      </c>
      <c r="Q82" s="3429">
        <f t="shared" si="11"/>
        <v>0</v>
      </c>
      <c r="R82" s="233">
        <v>4261321</v>
      </c>
      <c r="S82" s="233">
        <v>4261326</v>
      </c>
      <c r="T82" s="344"/>
      <c r="U82" s="236"/>
    </row>
    <row r="83" spans="1:23" ht="16.5" x14ac:dyDescent="0.25">
      <c r="A83" s="211"/>
      <c r="B83" s="333"/>
      <c r="C83" s="224" t="s">
        <v>1760</v>
      </c>
      <c r="D83" s="55" t="s">
        <v>58</v>
      </c>
      <c r="E83" s="2390"/>
      <c r="F83" s="2390"/>
      <c r="G83" s="2390"/>
      <c r="H83" s="2390"/>
      <c r="I83" s="2390"/>
      <c r="J83" s="2390"/>
      <c r="K83" s="2390"/>
      <c r="L83" s="233">
        <f>SUM(L82*0.27)</f>
        <v>1215000</v>
      </c>
      <c r="M83" s="2839">
        <f>N83-L83</f>
        <v>0</v>
      </c>
      <c r="N83" s="233">
        <f>SUM(N82*0.27)</f>
        <v>1215000</v>
      </c>
      <c r="O83" s="2835">
        <f>P83-N83</f>
        <v>-64501</v>
      </c>
      <c r="P83" s="233">
        <v>1150499</v>
      </c>
      <c r="Q83" s="3429">
        <f t="shared" ref="Q83:Q110" si="39">SUM(R83-P83)</f>
        <v>0</v>
      </c>
      <c r="R83" s="233">
        <v>1150499</v>
      </c>
      <c r="S83" s="233">
        <v>1150499</v>
      </c>
      <c r="T83" s="344"/>
      <c r="U83" s="236"/>
    </row>
    <row r="84" spans="1:23" ht="16.5" x14ac:dyDescent="0.25">
      <c r="A84" s="211"/>
      <c r="B84" s="333"/>
      <c r="C84" s="209"/>
      <c r="D84" s="337" t="s">
        <v>299</v>
      </c>
      <c r="E84" s="2390"/>
      <c r="F84" s="2390"/>
      <c r="G84" s="2390"/>
      <c r="H84" s="2390"/>
      <c r="I84" s="2390"/>
      <c r="J84" s="2390"/>
      <c r="K84" s="2390"/>
      <c r="L84" s="338">
        <f>SUM(L80)</f>
        <v>5715000</v>
      </c>
      <c r="M84" s="1356">
        <f>N84-L84</f>
        <v>0</v>
      </c>
      <c r="N84" s="338">
        <f t="shared" ref="N84:S84" si="40">SUM(N80)</f>
        <v>5715000</v>
      </c>
      <c r="O84" s="2837">
        <f t="shared" si="40"/>
        <v>-303180</v>
      </c>
      <c r="P84" s="338">
        <f t="shared" si="40"/>
        <v>5411820</v>
      </c>
      <c r="Q84" s="3325">
        <f t="shared" si="39"/>
        <v>0</v>
      </c>
      <c r="R84" s="338">
        <f t="shared" si="40"/>
        <v>5411820</v>
      </c>
      <c r="S84" s="338">
        <f t="shared" si="40"/>
        <v>5411825</v>
      </c>
      <c r="T84" s="344"/>
      <c r="U84" s="236"/>
    </row>
    <row r="85" spans="1:23" customFormat="1" ht="36" customHeight="1" x14ac:dyDescent="0.25">
      <c r="A85" s="2396"/>
      <c r="B85" s="2399" t="s">
        <v>101</v>
      </c>
      <c r="C85" s="2397"/>
      <c r="D85" s="4471" t="s">
        <v>1296</v>
      </c>
      <c r="E85" s="4472"/>
      <c r="F85" s="4472"/>
      <c r="G85" s="4472"/>
      <c r="H85" s="4472"/>
      <c r="I85" s="4472"/>
      <c r="J85" s="4472"/>
      <c r="K85" s="4472"/>
      <c r="L85" s="4473"/>
      <c r="M85" s="2823"/>
      <c r="N85" s="2823"/>
      <c r="O85" s="2823"/>
      <c r="P85" s="2823"/>
      <c r="Q85" s="3429">
        <f t="shared" si="39"/>
        <v>0</v>
      </c>
      <c r="R85" s="2823"/>
      <c r="S85" s="2823"/>
      <c r="T85" t="e">
        <f>SUM(S85/N85)*100</f>
        <v>#DIV/0!</v>
      </c>
    </row>
    <row r="86" spans="1:23" ht="16.5" x14ac:dyDescent="0.25">
      <c r="A86" s="211"/>
      <c r="B86" s="333"/>
      <c r="C86" s="209" t="s">
        <v>1202</v>
      </c>
      <c r="D86" s="2393" t="s">
        <v>46</v>
      </c>
      <c r="E86" s="220"/>
      <c r="F86" s="220"/>
      <c r="G86" s="220">
        <v>2</v>
      </c>
      <c r="H86" s="220">
        <v>0</v>
      </c>
      <c r="I86" s="220"/>
      <c r="J86" s="220"/>
      <c r="K86" s="220"/>
      <c r="L86" s="230">
        <f>SUM(L87)</f>
        <v>2600000000</v>
      </c>
      <c r="M86" s="2837">
        <f>N86-L86</f>
        <v>47687737</v>
      </c>
      <c r="N86" s="230">
        <f t="shared" ref="N86:S86" si="41">SUM(N87)</f>
        <v>2647687737</v>
      </c>
      <c r="O86" s="2837">
        <f t="shared" si="41"/>
        <v>946738494</v>
      </c>
      <c r="P86" s="230">
        <f t="shared" si="41"/>
        <v>3595076031</v>
      </c>
      <c r="Q86" s="3325">
        <f t="shared" si="39"/>
        <v>0</v>
      </c>
      <c r="R86" s="230">
        <f t="shared" si="41"/>
        <v>3595076031</v>
      </c>
      <c r="S86" s="230">
        <f t="shared" si="41"/>
        <v>3595076031</v>
      </c>
      <c r="T86" s="344"/>
      <c r="U86" s="509"/>
    </row>
    <row r="87" spans="1:23" ht="16.5" x14ac:dyDescent="0.25">
      <c r="A87" s="211"/>
      <c r="B87" s="333"/>
      <c r="C87" s="209" t="s">
        <v>1761</v>
      </c>
      <c r="D87" s="228" t="s">
        <v>32</v>
      </c>
      <c r="E87" s="220"/>
      <c r="F87" s="220"/>
      <c r="G87" s="220"/>
      <c r="H87" s="220"/>
      <c r="I87" s="220"/>
      <c r="J87" s="220"/>
      <c r="K87" s="220"/>
      <c r="L87" s="230">
        <f>SUM(L88+L90+L98)</f>
        <v>2600000000</v>
      </c>
      <c r="M87" s="2837">
        <f t="shared" ref="M87:M101" si="42">N87-L87</f>
        <v>47687737</v>
      </c>
      <c r="N87" s="230">
        <f t="shared" ref="N87:S87" si="43">SUM(N88+N90+N98)</f>
        <v>2647687737</v>
      </c>
      <c r="O87" s="2837">
        <f t="shared" si="43"/>
        <v>946738494</v>
      </c>
      <c r="P87" s="230">
        <f t="shared" si="43"/>
        <v>3595076031</v>
      </c>
      <c r="Q87" s="3325">
        <f t="shared" si="39"/>
        <v>0</v>
      </c>
      <c r="R87" s="230">
        <f t="shared" si="43"/>
        <v>3595076031</v>
      </c>
      <c r="S87" s="230">
        <f t="shared" si="43"/>
        <v>3595076031</v>
      </c>
      <c r="T87" s="3569">
        <f>SUM(S87/R87)</f>
        <v>1</v>
      </c>
      <c r="U87" s="509"/>
    </row>
    <row r="88" spans="1:23" ht="16.5" x14ac:dyDescent="0.25">
      <c r="A88" s="211"/>
      <c r="B88" s="333"/>
      <c r="C88" s="209" t="s">
        <v>1762</v>
      </c>
      <c r="D88" s="217" t="s">
        <v>344</v>
      </c>
      <c r="E88" s="220"/>
      <c r="F88" s="220"/>
      <c r="G88" s="220"/>
      <c r="H88" s="220"/>
      <c r="I88" s="220"/>
      <c r="J88" s="220"/>
      <c r="K88" s="220"/>
      <c r="L88" s="230">
        <f>SUM(L89)</f>
        <v>280000000</v>
      </c>
      <c r="M88" s="2837">
        <f t="shared" si="42"/>
        <v>0</v>
      </c>
      <c r="N88" s="230">
        <f t="shared" ref="N88:S88" si="44">SUM(N89)</f>
        <v>280000000</v>
      </c>
      <c r="O88" s="2837">
        <f t="shared" si="44"/>
        <v>59646379</v>
      </c>
      <c r="P88" s="230">
        <f t="shared" si="44"/>
        <v>339646379</v>
      </c>
      <c r="Q88" s="3325">
        <f t="shared" si="39"/>
        <v>0</v>
      </c>
      <c r="R88" s="230">
        <f t="shared" si="44"/>
        <v>339646379</v>
      </c>
      <c r="S88" s="230">
        <f t="shared" si="44"/>
        <v>339646379</v>
      </c>
      <c r="T88" s="3569">
        <f t="shared" ref="T88:T96" si="45">SUM(S88/R88)</f>
        <v>1</v>
      </c>
      <c r="U88" s="509"/>
    </row>
    <row r="89" spans="1:23" ht="16.5" x14ac:dyDescent="0.25">
      <c r="A89" s="211"/>
      <c r="B89" s="333"/>
      <c r="C89" s="224" t="s">
        <v>1763</v>
      </c>
      <c r="D89" s="219" t="s">
        <v>345</v>
      </c>
      <c r="E89" s="220"/>
      <c r="F89" s="220"/>
      <c r="G89" s="220"/>
      <c r="H89" s="220"/>
      <c r="I89" s="220"/>
      <c r="J89" s="220"/>
      <c r="K89" s="220"/>
      <c r="L89" s="220">
        <v>280000000</v>
      </c>
      <c r="M89" s="2835">
        <f t="shared" si="42"/>
        <v>0</v>
      </c>
      <c r="N89" s="220">
        <v>280000000</v>
      </c>
      <c r="O89" s="2835">
        <f>P89-N89</f>
        <v>59646379</v>
      </c>
      <c r="P89" s="220">
        <v>339646379</v>
      </c>
      <c r="Q89" s="3429">
        <f t="shared" si="39"/>
        <v>0</v>
      </c>
      <c r="R89" s="220">
        <v>339646379</v>
      </c>
      <c r="S89" s="220">
        <v>339646379</v>
      </c>
      <c r="T89" s="3569">
        <f t="shared" si="45"/>
        <v>1</v>
      </c>
      <c r="U89" s="509"/>
      <c r="W89" s="207">
        <f>SUM(S89/S87)</f>
        <v>9.4475436978595576E-2</v>
      </c>
    </row>
    <row r="90" spans="1:23" ht="16.5" x14ac:dyDescent="0.25">
      <c r="A90" s="211"/>
      <c r="B90" s="333"/>
      <c r="C90" s="209" t="s">
        <v>1764</v>
      </c>
      <c r="D90" s="217" t="s">
        <v>346</v>
      </c>
      <c r="E90" s="220"/>
      <c r="F90" s="220"/>
      <c r="G90" s="220"/>
      <c r="H90" s="220"/>
      <c r="I90" s="220"/>
      <c r="J90" s="220"/>
      <c r="K90" s="220"/>
      <c r="L90" s="230">
        <f>SUM(L95+L93+L91)</f>
        <v>2310000000</v>
      </c>
      <c r="M90" s="2837">
        <f t="shared" si="42"/>
        <v>47687737</v>
      </c>
      <c r="N90" s="230">
        <f t="shared" ref="N90:S90" si="46">SUM(N95+N93+N91)</f>
        <v>2357687737</v>
      </c>
      <c r="O90" s="2837">
        <f t="shared" si="46"/>
        <v>891057864</v>
      </c>
      <c r="P90" s="230">
        <f t="shared" si="46"/>
        <v>3248745601</v>
      </c>
      <c r="Q90" s="3325">
        <f t="shared" si="39"/>
        <v>0</v>
      </c>
      <c r="R90" s="230">
        <f t="shared" si="46"/>
        <v>3248745601</v>
      </c>
      <c r="S90" s="230">
        <f t="shared" si="46"/>
        <v>3248745601</v>
      </c>
      <c r="T90" s="3569">
        <f t="shared" si="45"/>
        <v>1</v>
      </c>
      <c r="U90" s="509"/>
      <c r="W90" s="231"/>
    </row>
    <row r="91" spans="1:23" ht="16.5" x14ac:dyDescent="0.25">
      <c r="A91" s="211"/>
      <c r="B91" s="333"/>
      <c r="C91" s="222" t="s">
        <v>1765</v>
      </c>
      <c r="D91" s="225" t="s">
        <v>347</v>
      </c>
      <c r="E91" s="220"/>
      <c r="F91" s="220"/>
      <c r="G91" s="220"/>
      <c r="H91" s="220"/>
      <c r="I91" s="220"/>
      <c r="J91" s="220"/>
      <c r="K91" s="220"/>
      <c r="L91" s="220">
        <f>SUM(L92)</f>
        <v>2200000000</v>
      </c>
      <c r="M91" s="2835">
        <f t="shared" si="42"/>
        <v>47687737</v>
      </c>
      <c r="N91" s="220">
        <f t="shared" ref="N91:S91" si="47">SUM(N92)</f>
        <v>2247687737</v>
      </c>
      <c r="O91" s="2835">
        <f t="shared" si="47"/>
        <v>850981103</v>
      </c>
      <c r="P91" s="220">
        <f t="shared" si="47"/>
        <v>3098668840</v>
      </c>
      <c r="Q91" s="3429">
        <f t="shared" si="39"/>
        <v>0</v>
      </c>
      <c r="R91" s="220">
        <f t="shared" si="47"/>
        <v>3098668840</v>
      </c>
      <c r="S91" s="220">
        <f t="shared" si="47"/>
        <v>3098668840</v>
      </c>
      <c r="T91" s="3569">
        <f t="shared" si="45"/>
        <v>1</v>
      </c>
      <c r="U91" s="509"/>
    </row>
    <row r="92" spans="1:23" ht="16.5" x14ac:dyDescent="0.25">
      <c r="A92" s="211"/>
      <c r="B92" s="333"/>
      <c r="C92" s="224" t="s">
        <v>1766</v>
      </c>
      <c r="D92" s="226" t="s">
        <v>348</v>
      </c>
      <c r="E92" s="220"/>
      <c r="F92" s="220"/>
      <c r="G92" s="220"/>
      <c r="H92" s="220"/>
      <c r="I92" s="220"/>
      <c r="J92" s="220"/>
      <c r="K92" s="220"/>
      <c r="L92" s="220">
        <v>2200000000</v>
      </c>
      <c r="M92" s="2835">
        <f t="shared" si="42"/>
        <v>47687737</v>
      </c>
      <c r="N92" s="220">
        <v>2247687737</v>
      </c>
      <c r="O92" s="2835">
        <f>P92-N92</f>
        <v>850981103</v>
      </c>
      <c r="P92" s="220">
        <v>3098668840</v>
      </c>
      <c r="Q92" s="3429">
        <f t="shared" si="39"/>
        <v>0</v>
      </c>
      <c r="R92" s="220">
        <v>3098668840</v>
      </c>
      <c r="S92" s="220">
        <v>3098668840</v>
      </c>
      <c r="T92" s="3569">
        <f t="shared" si="45"/>
        <v>1</v>
      </c>
      <c r="U92" s="509"/>
      <c r="W92" s="207">
        <f>SUM(S92/S87)</f>
        <v>0.86192025238978875</v>
      </c>
    </row>
    <row r="93" spans="1:23" ht="16.5" x14ac:dyDescent="0.25">
      <c r="A93" s="211"/>
      <c r="B93" s="333"/>
      <c r="C93" s="224" t="s">
        <v>1767</v>
      </c>
      <c r="D93" s="225" t="s">
        <v>349</v>
      </c>
      <c r="E93" s="220"/>
      <c r="F93" s="220"/>
      <c r="G93" s="220"/>
      <c r="H93" s="220"/>
      <c r="I93" s="220"/>
      <c r="J93" s="220"/>
      <c r="K93" s="220"/>
      <c r="L93" s="220">
        <f>SUM(L94)</f>
        <v>100000000</v>
      </c>
      <c r="M93" s="2835">
        <f t="shared" si="42"/>
        <v>0</v>
      </c>
      <c r="N93" s="220">
        <f t="shared" ref="N93:S93" si="48">SUM(N94)</f>
        <v>100000000</v>
      </c>
      <c r="O93" s="2835">
        <f t="shared" si="48"/>
        <v>20587758</v>
      </c>
      <c r="P93" s="220">
        <f t="shared" si="48"/>
        <v>120587758</v>
      </c>
      <c r="Q93" s="3429">
        <f t="shared" si="39"/>
        <v>0</v>
      </c>
      <c r="R93" s="220">
        <f t="shared" si="48"/>
        <v>120587758</v>
      </c>
      <c r="S93" s="220">
        <f t="shared" si="48"/>
        <v>120587758</v>
      </c>
      <c r="T93" s="3569">
        <f t="shared" si="45"/>
        <v>1</v>
      </c>
      <c r="U93" s="509"/>
    </row>
    <row r="94" spans="1:23" ht="16.5" x14ac:dyDescent="0.25">
      <c r="A94" s="211"/>
      <c r="B94" s="333"/>
      <c r="C94" s="222" t="s">
        <v>1768</v>
      </c>
      <c r="D94" s="226" t="s">
        <v>350</v>
      </c>
      <c r="E94" s="220"/>
      <c r="F94" s="220"/>
      <c r="G94" s="220"/>
      <c r="H94" s="220"/>
      <c r="I94" s="220"/>
      <c r="J94" s="220"/>
      <c r="K94" s="220"/>
      <c r="L94" s="220">
        <v>100000000</v>
      </c>
      <c r="M94" s="2835">
        <f t="shared" si="42"/>
        <v>0</v>
      </c>
      <c r="N94" s="220">
        <v>100000000</v>
      </c>
      <c r="O94" s="2835">
        <f>P94-N94</f>
        <v>20587758</v>
      </c>
      <c r="P94" s="220">
        <v>120587758</v>
      </c>
      <c r="Q94" s="3429">
        <f t="shared" si="39"/>
        <v>0</v>
      </c>
      <c r="R94" s="220">
        <v>120587758</v>
      </c>
      <c r="S94" s="220">
        <v>120587758</v>
      </c>
      <c r="T94" s="3569">
        <f t="shared" si="45"/>
        <v>1</v>
      </c>
      <c r="U94" s="509"/>
    </row>
    <row r="95" spans="1:23" ht="16.5" x14ac:dyDescent="0.25">
      <c r="A95" s="211"/>
      <c r="B95" s="333"/>
      <c r="C95" s="224" t="s">
        <v>1769</v>
      </c>
      <c r="D95" s="225" t="s">
        <v>42</v>
      </c>
      <c r="E95" s="220"/>
      <c r="F95" s="220"/>
      <c r="G95" s="220"/>
      <c r="H95" s="220"/>
      <c r="I95" s="220"/>
      <c r="J95" s="220"/>
      <c r="K95" s="220"/>
      <c r="L95" s="220">
        <f>SUM(L96:L97)</f>
        <v>10000000</v>
      </c>
      <c r="M95" s="2835">
        <f t="shared" si="42"/>
        <v>0</v>
      </c>
      <c r="N95" s="220">
        <f t="shared" ref="N95:S95" si="49">SUM(N96:N97)</f>
        <v>10000000</v>
      </c>
      <c r="O95" s="2835">
        <f t="shared" si="49"/>
        <v>19489003</v>
      </c>
      <c r="P95" s="220">
        <f t="shared" ref="P95" si="50">SUM(P96:P97)</f>
        <v>29489003</v>
      </c>
      <c r="Q95" s="3429">
        <f t="shared" si="39"/>
        <v>0</v>
      </c>
      <c r="R95" s="220">
        <f t="shared" si="49"/>
        <v>29489003</v>
      </c>
      <c r="S95" s="220">
        <f t="shared" si="49"/>
        <v>29489003</v>
      </c>
      <c r="T95" s="3569">
        <f t="shared" si="45"/>
        <v>1</v>
      </c>
      <c r="U95" s="509"/>
    </row>
    <row r="96" spans="1:23" ht="16.5" x14ac:dyDescent="0.25">
      <c r="A96" s="211"/>
      <c r="B96" s="333"/>
      <c r="C96" s="222" t="s">
        <v>1770</v>
      </c>
      <c r="D96" s="226" t="s">
        <v>351</v>
      </c>
      <c r="E96" s="220"/>
      <c r="F96" s="220"/>
      <c r="G96" s="220"/>
      <c r="H96" s="220"/>
      <c r="I96" s="220"/>
      <c r="J96" s="220"/>
      <c r="K96" s="220"/>
      <c r="L96" s="221">
        <v>10000000</v>
      </c>
      <c r="M96" s="2836">
        <f t="shared" si="42"/>
        <v>0</v>
      </c>
      <c r="N96" s="221">
        <v>10000000</v>
      </c>
      <c r="O96" s="2836">
        <f>P96-N96</f>
        <v>19489003</v>
      </c>
      <c r="P96" s="221">
        <v>29489003</v>
      </c>
      <c r="Q96" s="3430">
        <f t="shared" si="39"/>
        <v>0</v>
      </c>
      <c r="R96" s="221">
        <v>29489003</v>
      </c>
      <c r="S96" s="221">
        <v>29489003</v>
      </c>
      <c r="T96" s="3569">
        <f t="shared" si="45"/>
        <v>1</v>
      </c>
      <c r="U96" s="509"/>
    </row>
    <row r="97" spans="1:26" ht="16.5" x14ac:dyDescent="0.25">
      <c r="A97" s="211"/>
      <c r="B97" s="333"/>
      <c r="C97" s="222" t="s">
        <v>1771</v>
      </c>
      <c r="D97" s="226" t="s">
        <v>352</v>
      </c>
      <c r="E97" s="220"/>
      <c r="F97" s="220"/>
      <c r="G97" s="220"/>
      <c r="H97" s="220"/>
      <c r="I97" s="220"/>
      <c r="J97" s="220"/>
      <c r="K97" s="220"/>
      <c r="L97" s="221">
        <v>0</v>
      </c>
      <c r="M97" s="2836">
        <f t="shared" si="42"/>
        <v>0</v>
      </c>
      <c r="N97" s="345"/>
      <c r="O97" s="2836">
        <v>0</v>
      </c>
      <c r="P97" s="345">
        <v>0</v>
      </c>
      <c r="Q97" s="3430">
        <f t="shared" si="39"/>
        <v>0</v>
      </c>
      <c r="R97" s="345"/>
      <c r="S97" s="345"/>
      <c r="T97" s="344"/>
      <c r="U97" s="509"/>
    </row>
    <row r="98" spans="1:26" ht="16.5" x14ac:dyDescent="0.25">
      <c r="A98" s="211"/>
      <c r="B98" s="333"/>
      <c r="C98" s="209" t="s">
        <v>1772</v>
      </c>
      <c r="D98" s="217" t="s">
        <v>44</v>
      </c>
      <c r="E98" s="220"/>
      <c r="F98" s="220"/>
      <c r="G98" s="220"/>
      <c r="H98" s="220"/>
      <c r="I98" s="220"/>
      <c r="J98" s="220"/>
      <c r="K98" s="220"/>
      <c r="L98" s="230">
        <f>SUM(L99)</f>
        <v>10000000</v>
      </c>
      <c r="M98" s="2837">
        <f t="shared" si="42"/>
        <v>0</v>
      </c>
      <c r="N98" s="230">
        <f t="shared" ref="N98:T98" si="51">SUM(N99)+N100</f>
        <v>10000000</v>
      </c>
      <c r="O98" s="2835">
        <f t="shared" si="51"/>
        <v>-3965749</v>
      </c>
      <c r="P98" s="230">
        <f t="shared" ref="P98" si="52">SUM(P99)+P100</f>
        <v>6684051</v>
      </c>
      <c r="Q98" s="3325">
        <f t="shared" si="39"/>
        <v>0</v>
      </c>
      <c r="R98" s="230">
        <f t="shared" si="51"/>
        <v>6684051</v>
      </c>
      <c r="S98" s="230">
        <f t="shared" si="51"/>
        <v>6684051</v>
      </c>
      <c r="T98" s="230">
        <f t="shared" si="51"/>
        <v>0</v>
      </c>
      <c r="U98" s="509"/>
    </row>
    <row r="99" spans="1:26" ht="16.5" x14ac:dyDescent="0.25">
      <c r="A99" s="211"/>
      <c r="B99" s="333"/>
      <c r="C99" s="222" t="s">
        <v>1773</v>
      </c>
      <c r="D99" s="663" t="s">
        <v>919</v>
      </c>
      <c r="E99" s="220"/>
      <c r="F99" s="220"/>
      <c r="G99" s="220"/>
      <c r="H99" s="220"/>
      <c r="I99" s="220"/>
      <c r="J99" s="220"/>
      <c r="K99" s="220"/>
      <c r="L99" s="220">
        <v>10000000</v>
      </c>
      <c r="M99" s="2835">
        <f t="shared" si="42"/>
        <v>0</v>
      </c>
      <c r="N99" s="220">
        <v>10000000</v>
      </c>
      <c r="O99" s="2835">
        <f>P99-N99</f>
        <v>-3965749</v>
      </c>
      <c r="P99" s="221">
        <f>5873702+160549</f>
        <v>6034251</v>
      </c>
      <c r="Q99" s="3430">
        <f t="shared" si="39"/>
        <v>0</v>
      </c>
      <c r="R99" s="221">
        <f>5873702+160549</f>
        <v>6034251</v>
      </c>
      <c r="S99" s="221">
        <f>5873702+160549</f>
        <v>6034251</v>
      </c>
      <c r="T99" s="344"/>
      <c r="U99" s="509"/>
    </row>
    <row r="100" spans="1:26" ht="16.5" x14ac:dyDescent="0.25">
      <c r="A100" s="211"/>
      <c r="B100" s="333"/>
      <c r="C100" s="222" t="s">
        <v>1774</v>
      </c>
      <c r="D100" s="226" t="s">
        <v>352</v>
      </c>
      <c r="E100" s="220"/>
      <c r="F100" s="220"/>
      <c r="G100" s="220"/>
      <c r="H100" s="220"/>
      <c r="I100" s="220"/>
      <c r="J100" s="220"/>
      <c r="K100" s="220"/>
      <c r="L100" s="220">
        <v>0</v>
      </c>
      <c r="M100" s="2835">
        <f>N100-L100</f>
        <v>0</v>
      </c>
      <c r="N100" s="220">
        <v>0</v>
      </c>
      <c r="O100" s="2835">
        <v>0</v>
      </c>
      <c r="P100" s="221">
        <v>649800</v>
      </c>
      <c r="Q100" s="3430">
        <f t="shared" si="39"/>
        <v>0</v>
      </c>
      <c r="R100" s="221">
        <v>649800</v>
      </c>
      <c r="S100" s="221">
        <v>649800</v>
      </c>
      <c r="T100" s="344"/>
      <c r="U100" s="509"/>
    </row>
    <row r="101" spans="1:26" ht="16.5" x14ac:dyDescent="0.25">
      <c r="A101" s="211"/>
      <c r="B101" s="330"/>
      <c r="C101" s="213"/>
      <c r="D101" s="337" t="s">
        <v>299</v>
      </c>
      <c r="E101" s="338" t="e">
        <f>SUM(E86+#REF!+#REF!)</f>
        <v>#REF!</v>
      </c>
      <c r="F101" s="338" t="e">
        <f>SUM(F86+#REF!+#REF!)</f>
        <v>#REF!</v>
      </c>
      <c r="G101" s="338" t="e">
        <f>SUM(G86+#REF!+#REF!)</f>
        <v>#REF!</v>
      </c>
      <c r="H101" s="338" t="e">
        <f>SUM(H86+#REF!+#REF!)</f>
        <v>#REF!</v>
      </c>
      <c r="I101" s="338" t="e">
        <f>SUM(I86+#REF!+#REF!)</f>
        <v>#REF!</v>
      </c>
      <c r="J101" s="338" t="e">
        <f>SUM(J86+#REF!+#REF!)</f>
        <v>#REF!</v>
      </c>
      <c r="K101" s="338"/>
      <c r="L101" s="338">
        <f>SUM(L86)</f>
        <v>2600000000</v>
      </c>
      <c r="M101" s="1356">
        <f t="shared" si="42"/>
        <v>47687737</v>
      </c>
      <c r="N101" s="338">
        <f t="shared" ref="N101:S101" si="53">SUM(N86)</f>
        <v>2647687737</v>
      </c>
      <c r="O101" s="2837">
        <f t="shared" si="53"/>
        <v>946738494</v>
      </c>
      <c r="P101" s="338">
        <f t="shared" si="53"/>
        <v>3595076031</v>
      </c>
      <c r="Q101" s="3325">
        <f t="shared" si="39"/>
        <v>0</v>
      </c>
      <c r="R101" s="338">
        <f t="shared" si="53"/>
        <v>3595076031</v>
      </c>
      <c r="S101" s="338">
        <f t="shared" si="53"/>
        <v>3595076031</v>
      </c>
      <c r="T101" s="344">
        <f t="shared" ref="T101:T107" si="54">SUM(S101/N101)*100</f>
        <v>135.78172307711225</v>
      </c>
      <c r="U101" s="509"/>
    </row>
    <row r="102" spans="1:26" customFormat="1" ht="25.9" customHeight="1" x14ac:dyDescent="0.25">
      <c r="A102" s="2396"/>
      <c r="B102" s="2399" t="s">
        <v>109</v>
      </c>
      <c r="C102" s="2397"/>
      <c r="D102" s="4471" t="s">
        <v>1295</v>
      </c>
      <c r="E102" s="4472"/>
      <c r="F102" s="4472"/>
      <c r="G102" s="4472"/>
      <c r="H102" s="4472"/>
      <c r="I102" s="4472"/>
      <c r="J102" s="4472"/>
      <c r="K102" s="4472"/>
      <c r="L102" s="4473"/>
      <c r="M102" s="2823"/>
      <c r="N102" s="2823"/>
      <c r="O102" s="2823"/>
      <c r="P102" s="2823"/>
      <c r="Q102" s="3429">
        <f t="shared" si="39"/>
        <v>0</v>
      </c>
      <c r="R102" s="2823"/>
      <c r="S102" s="2823"/>
      <c r="T102" t="e">
        <f t="shared" si="54"/>
        <v>#DIV/0!</v>
      </c>
    </row>
    <row r="103" spans="1:26" ht="16.5" x14ac:dyDescent="0.25">
      <c r="A103" s="211"/>
      <c r="B103" s="333"/>
      <c r="C103" s="209" t="s">
        <v>596</v>
      </c>
      <c r="D103" s="2393" t="s">
        <v>46</v>
      </c>
      <c r="E103" s="220">
        <f t="shared" ref="E103:J103" si="55">SUM(E104:E107)</f>
        <v>27927</v>
      </c>
      <c r="F103" s="220">
        <f t="shared" si="55"/>
        <v>30134</v>
      </c>
      <c r="G103" s="220">
        <f t="shared" si="55"/>
        <v>31732</v>
      </c>
      <c r="H103" s="227">
        <f t="shared" si="55"/>
        <v>0</v>
      </c>
      <c r="I103" s="220">
        <f t="shared" si="55"/>
        <v>26394</v>
      </c>
      <c r="J103" s="220">
        <f t="shared" si="55"/>
        <v>26394</v>
      </c>
      <c r="K103" s="220"/>
      <c r="L103" s="230">
        <f>SUM(L104)</f>
        <v>0</v>
      </c>
      <c r="M103" s="2837">
        <f>SUM(N103-L103)</f>
        <v>0</v>
      </c>
      <c r="N103" s="230">
        <f t="shared" ref="N103:S103" si="56">SUM(N104)+N105</f>
        <v>0</v>
      </c>
      <c r="O103" s="2835">
        <f t="shared" si="56"/>
        <v>33675245</v>
      </c>
      <c r="P103" s="230">
        <f t="shared" si="56"/>
        <v>33675245</v>
      </c>
      <c r="Q103" s="3325">
        <f t="shared" si="39"/>
        <v>0</v>
      </c>
      <c r="R103" s="230">
        <f t="shared" si="56"/>
        <v>33675245</v>
      </c>
      <c r="S103" s="230">
        <f t="shared" si="56"/>
        <v>33945560</v>
      </c>
      <c r="T103" s="344" t="e">
        <f t="shared" si="54"/>
        <v>#DIV/0!</v>
      </c>
      <c r="U103" s="236"/>
    </row>
    <row r="104" spans="1:26" ht="16.5" x14ac:dyDescent="0.25">
      <c r="A104" s="211"/>
      <c r="B104" s="333"/>
      <c r="C104" s="224" t="s">
        <v>1207</v>
      </c>
      <c r="D104" s="2376" t="s">
        <v>1650</v>
      </c>
      <c r="E104" s="237">
        <v>19835</v>
      </c>
      <c r="F104" s="237">
        <v>20000</v>
      </c>
      <c r="G104" s="237">
        <v>20000</v>
      </c>
      <c r="H104" s="1154"/>
      <c r="I104" s="237"/>
      <c r="J104" s="237"/>
      <c r="K104" s="237"/>
      <c r="L104" s="237">
        <v>0</v>
      </c>
      <c r="M104" s="1355">
        <f>SUM(N104-L104)</f>
        <v>0</v>
      </c>
      <c r="N104" s="220">
        <v>0</v>
      </c>
      <c r="O104" s="2835">
        <f>SUM(P104-N104)</f>
        <v>0</v>
      </c>
      <c r="P104" s="220"/>
      <c r="Q104" s="3429">
        <f t="shared" si="39"/>
        <v>0</v>
      </c>
      <c r="R104" s="220"/>
      <c r="S104" s="220">
        <v>270315</v>
      </c>
      <c r="T104" s="344" t="e">
        <f t="shared" si="54"/>
        <v>#DIV/0!</v>
      </c>
      <c r="U104" s="236"/>
    </row>
    <row r="105" spans="1:26" ht="18" customHeight="1" x14ac:dyDescent="0.25">
      <c r="A105" s="211"/>
      <c r="B105" s="333"/>
      <c r="C105" s="224" t="s">
        <v>1775</v>
      </c>
      <c r="D105" s="1155" t="s">
        <v>1642</v>
      </c>
      <c r="E105" s="220"/>
      <c r="F105" s="220"/>
      <c r="G105" s="220"/>
      <c r="H105" s="220"/>
      <c r="I105" s="220"/>
      <c r="J105" s="220"/>
      <c r="K105" s="220"/>
      <c r="L105" s="220"/>
      <c r="M105" s="2835">
        <f t="shared" ref="M105:M111" si="57">N105-L105</f>
        <v>0</v>
      </c>
      <c r="N105" s="220">
        <v>0</v>
      </c>
      <c r="O105" s="2835">
        <f>P105-N105</f>
        <v>33675245</v>
      </c>
      <c r="P105" s="220">
        <v>33675245</v>
      </c>
      <c r="Q105" s="3429">
        <f t="shared" si="39"/>
        <v>0</v>
      </c>
      <c r="R105" s="220">
        <v>33675245</v>
      </c>
      <c r="S105" s="220">
        <v>33675245</v>
      </c>
      <c r="T105" s="344"/>
      <c r="U105" s="236"/>
    </row>
    <row r="106" spans="1:26" ht="16.5" x14ac:dyDescent="0.25">
      <c r="A106" s="211"/>
      <c r="B106" s="333"/>
      <c r="C106" s="209" t="s">
        <v>863</v>
      </c>
      <c r="D106" s="2393" t="s">
        <v>503</v>
      </c>
      <c r="E106" s="220"/>
      <c r="F106" s="220"/>
      <c r="G106" s="220"/>
      <c r="H106" s="227"/>
      <c r="I106" s="220"/>
      <c r="J106" s="220"/>
      <c r="K106" s="220"/>
      <c r="L106" s="230">
        <f>SUM(L107)</f>
        <v>1361850000</v>
      </c>
      <c r="M106" s="2837">
        <f t="shared" si="57"/>
        <v>1296200000</v>
      </c>
      <c r="N106" s="230">
        <f t="shared" ref="N106:S106" si="58">SUM(N107)</f>
        <v>2658050000</v>
      </c>
      <c r="O106" s="2837">
        <f t="shared" si="58"/>
        <v>-1000000000</v>
      </c>
      <c r="P106" s="230">
        <f t="shared" si="58"/>
        <v>1658050000</v>
      </c>
      <c r="Q106" s="3325">
        <f t="shared" si="39"/>
        <v>0</v>
      </c>
      <c r="R106" s="230">
        <f t="shared" si="58"/>
        <v>1658050000</v>
      </c>
      <c r="S106" s="230">
        <f t="shared" si="58"/>
        <v>1658050000</v>
      </c>
      <c r="T106" s="344">
        <f t="shared" si="54"/>
        <v>62.378435319124925</v>
      </c>
      <c r="U106" s="236"/>
    </row>
    <row r="107" spans="1:26" ht="16.5" x14ac:dyDescent="0.25">
      <c r="A107" s="211"/>
      <c r="B107" s="333"/>
      <c r="C107" s="224" t="s">
        <v>1776</v>
      </c>
      <c r="D107" s="251" t="s">
        <v>126</v>
      </c>
      <c r="E107" s="233">
        <v>8092</v>
      </c>
      <c r="F107" s="233">
        <v>10134</v>
      </c>
      <c r="G107" s="233">
        <v>11732</v>
      </c>
      <c r="H107" s="2392"/>
      <c r="I107" s="233">
        <v>26394</v>
      </c>
      <c r="J107" s="233">
        <v>26394</v>
      </c>
      <c r="K107" s="233"/>
      <c r="L107" s="233">
        <f>SUM(L109)+L108</f>
        <v>1361850000</v>
      </c>
      <c r="M107" s="2839">
        <f t="shared" si="57"/>
        <v>1296200000</v>
      </c>
      <c r="N107" s="233">
        <f t="shared" ref="N107:S107" si="59">SUM(N109)+N108</f>
        <v>2658050000</v>
      </c>
      <c r="O107" s="233">
        <f t="shared" si="59"/>
        <v>-1000000000</v>
      </c>
      <c r="P107" s="233">
        <f t="shared" si="59"/>
        <v>1658050000</v>
      </c>
      <c r="Q107" s="3429">
        <f t="shared" si="39"/>
        <v>0</v>
      </c>
      <c r="R107" s="233">
        <f t="shared" si="59"/>
        <v>1658050000</v>
      </c>
      <c r="S107" s="233">
        <f t="shared" si="59"/>
        <v>1658050000</v>
      </c>
      <c r="T107" s="344">
        <f t="shared" si="54"/>
        <v>62.378435319124925</v>
      </c>
      <c r="U107" s="236"/>
      <c r="Z107" s="231">
        <v>958050000</v>
      </c>
    </row>
    <row r="108" spans="1:26" ht="16.5" x14ac:dyDescent="0.25">
      <c r="A108" s="211"/>
      <c r="B108" s="333"/>
      <c r="C108" s="224" t="s">
        <v>1777</v>
      </c>
      <c r="D108" s="663" t="s">
        <v>110</v>
      </c>
      <c r="E108" s="2371"/>
      <c r="F108" s="2371"/>
      <c r="G108" s="2371"/>
      <c r="H108" s="2858"/>
      <c r="I108" s="2371"/>
      <c r="J108" s="2371"/>
      <c r="K108" s="2371"/>
      <c r="L108" s="2371">
        <v>1361850000</v>
      </c>
      <c r="M108" s="2836">
        <f t="shared" si="57"/>
        <v>1096200000</v>
      </c>
      <c r="N108" s="2371">
        <v>2458050000</v>
      </c>
      <c r="O108" s="2836">
        <f>P108-N108</f>
        <v>-800000000</v>
      </c>
      <c r="P108" s="2371">
        <v>1658050000</v>
      </c>
      <c r="Q108" s="3429">
        <f t="shared" si="39"/>
        <v>0</v>
      </c>
      <c r="R108" s="2371">
        <v>1658050000</v>
      </c>
      <c r="S108" s="2371">
        <v>1658050000</v>
      </c>
      <c r="T108" s="344"/>
      <c r="U108" s="236"/>
      <c r="Z108" s="2549">
        <v>403800000</v>
      </c>
    </row>
    <row r="109" spans="1:26" ht="16.5" x14ac:dyDescent="0.25">
      <c r="A109" s="211"/>
      <c r="B109" s="333"/>
      <c r="C109" s="224" t="s">
        <v>1778</v>
      </c>
      <c r="D109" s="663" t="s">
        <v>102</v>
      </c>
      <c r="E109" s="2371"/>
      <c r="F109" s="2371"/>
      <c r="G109" s="2371"/>
      <c r="H109" s="2858"/>
      <c r="I109" s="2371"/>
      <c r="J109" s="2371"/>
      <c r="K109" s="2371"/>
      <c r="L109" s="2371"/>
      <c r="M109" s="2836">
        <f t="shared" si="57"/>
        <v>200000000</v>
      </c>
      <c r="N109" s="2371">
        <v>200000000</v>
      </c>
      <c r="O109" s="2836">
        <f>P109-N109</f>
        <v>-200000000</v>
      </c>
      <c r="P109" s="2371"/>
      <c r="Q109" s="3430">
        <f t="shared" si="39"/>
        <v>0</v>
      </c>
      <c r="R109" s="2371"/>
      <c r="S109" s="2371"/>
      <c r="T109" s="344"/>
      <c r="U109" s="236"/>
      <c r="Z109" s="2549">
        <v>403800000</v>
      </c>
    </row>
    <row r="110" spans="1:26" ht="15" x14ac:dyDescent="0.25">
      <c r="A110" s="2396"/>
      <c r="B110" s="2397"/>
      <c r="C110" s="2397"/>
      <c r="D110" s="2403" t="s">
        <v>299</v>
      </c>
      <c r="E110" s="2404" t="e">
        <f>SUM(#REF!+#REF!+#REF!)</f>
        <v>#REF!</v>
      </c>
      <c r="F110" s="2404" t="e">
        <f>SUM(#REF!+#REF!+#REF!)</f>
        <v>#REF!</v>
      </c>
      <c r="G110" s="2404" t="e">
        <f>SUM(#REF!+#REF!+#REF!)</f>
        <v>#REF!</v>
      </c>
      <c r="H110" s="2404" t="e">
        <f>SUM(#REF!+#REF!+#REF!)</f>
        <v>#REF!</v>
      </c>
      <c r="I110" s="2404" t="e">
        <f>SUM(#REF!+#REF!+#REF!)</f>
        <v>#REF!</v>
      </c>
      <c r="J110" s="2404" t="e">
        <f>SUM(#REF!+#REF!+#REF!)</f>
        <v>#REF!</v>
      </c>
      <c r="K110" s="2404"/>
      <c r="L110" s="2404">
        <f>SUM(L106)</f>
        <v>1361850000</v>
      </c>
      <c r="M110" s="2840">
        <f t="shared" si="57"/>
        <v>1296200000</v>
      </c>
      <c r="N110" s="2404">
        <f t="shared" ref="N110:S110" si="60">SUM(N106)+N103</f>
        <v>2658050000</v>
      </c>
      <c r="O110" s="2837">
        <f t="shared" si="60"/>
        <v>-966324755</v>
      </c>
      <c r="P110" s="2404">
        <f t="shared" si="60"/>
        <v>1691725245</v>
      </c>
      <c r="Q110" s="3325">
        <f t="shared" si="39"/>
        <v>0</v>
      </c>
      <c r="R110" s="2404">
        <f t="shared" si="60"/>
        <v>1691725245</v>
      </c>
      <c r="S110" s="2404">
        <f t="shared" si="60"/>
        <v>1691995560</v>
      </c>
      <c r="T110" s="344">
        <f>SUM(S110/N110)*100</f>
        <v>63.655520400293454</v>
      </c>
      <c r="U110" s="236"/>
      <c r="Z110" s="231">
        <f>SUM(Z107:Z109)</f>
        <v>1765650000</v>
      </c>
    </row>
    <row r="111" spans="1:26" customFormat="1" ht="32.25" customHeight="1" x14ac:dyDescent="0.25">
      <c r="A111" s="2409"/>
      <c r="B111" s="2410"/>
      <c r="C111" s="2411"/>
      <c r="D111" s="2408" t="s">
        <v>299</v>
      </c>
      <c r="E111" s="2412" t="e">
        <f>SUM(E64+E51+E26+E15)</f>
        <v>#REF!</v>
      </c>
      <c r="F111" s="2412" t="e">
        <f>SUM(F64+F51+F26+F15)</f>
        <v>#REF!</v>
      </c>
      <c r="G111" s="2412" t="e">
        <f>SUM(G64+G51+G26+G15)</f>
        <v>#REF!</v>
      </c>
      <c r="H111" s="2412" t="e">
        <f>SUM(H64+H51+H26+H15+H101)</f>
        <v>#REF!</v>
      </c>
      <c r="I111" s="2412" t="e">
        <f>SUM(I64+I51+I26+I15+I101+I110+#REF!+#REF!)</f>
        <v>#REF!</v>
      </c>
      <c r="J111" s="2412" t="e">
        <f>SUM(J64+J51+J26+J15+J101+J110+#REF!+#REF!)</f>
        <v>#REF!</v>
      </c>
      <c r="K111" s="2412"/>
      <c r="L111" s="2413">
        <f>SUM(L64+L51+L26+L15+L101+L110)+L84</f>
        <v>4890832130</v>
      </c>
      <c r="M111" s="2841">
        <f t="shared" si="57"/>
        <v>2949552131</v>
      </c>
      <c r="N111" s="2413">
        <f t="shared" ref="N111:S111" si="61">SUM(N64+N51+N26+N15+N101+N110)+N84+N40+N78+N46</f>
        <v>7840384261</v>
      </c>
      <c r="O111" s="2841">
        <f t="shared" si="61"/>
        <v>174403628</v>
      </c>
      <c r="P111" s="2413">
        <f t="shared" si="61"/>
        <v>8016207689</v>
      </c>
      <c r="Q111" s="3441">
        <f>SUM(R111-P111)</f>
        <v>1747959</v>
      </c>
      <c r="R111" s="2413">
        <f t="shared" si="61"/>
        <v>8017955648</v>
      </c>
      <c r="S111" s="2413">
        <f t="shared" si="61"/>
        <v>8027848167</v>
      </c>
    </row>
    <row r="112" spans="1:26" ht="16.5" x14ac:dyDescent="0.25">
      <c r="A112" s="360"/>
      <c r="B112" s="361"/>
      <c r="C112" s="362"/>
      <c r="D112" s="363"/>
      <c r="E112" s="364"/>
      <c r="F112" s="364"/>
      <c r="G112" s="364"/>
      <c r="H112" s="364"/>
      <c r="I112" s="364"/>
      <c r="J112" s="364"/>
      <c r="K112" s="364"/>
      <c r="L112" s="364"/>
      <c r="M112" s="1350"/>
      <c r="N112" s="364"/>
      <c r="O112" s="1350"/>
      <c r="P112" s="364"/>
      <c r="Q112" s="1350"/>
      <c r="R112" s="364"/>
      <c r="S112" s="364"/>
      <c r="T112" s="364"/>
      <c r="U112" s="364"/>
    </row>
    <row r="113" spans="1:21" ht="16.5" x14ac:dyDescent="0.25">
      <c r="A113" s="360"/>
      <c r="B113" s="361"/>
      <c r="C113" s="362"/>
      <c r="D113" s="363"/>
      <c r="E113" s="364"/>
      <c r="F113" s="364"/>
      <c r="G113" s="364"/>
      <c r="H113" s="364"/>
      <c r="I113" s="364"/>
      <c r="J113" s="364"/>
      <c r="K113" s="364"/>
      <c r="L113" s="364"/>
      <c r="M113" s="1350"/>
      <c r="N113" s="364"/>
      <c r="O113" s="1350"/>
      <c r="P113" s="364"/>
      <c r="Q113" s="1350"/>
      <c r="R113" s="364"/>
      <c r="S113" s="364"/>
      <c r="T113" s="364"/>
      <c r="U113" s="364"/>
    </row>
    <row r="114" spans="1:21" ht="16.5" x14ac:dyDescent="0.25">
      <c r="A114" s="360"/>
      <c r="B114" s="361"/>
      <c r="C114" s="362"/>
      <c r="D114" s="363"/>
      <c r="E114" s="364"/>
      <c r="F114" s="364"/>
      <c r="G114" s="364"/>
      <c r="H114" s="364"/>
      <c r="I114" s="364"/>
      <c r="J114" s="364"/>
      <c r="K114" s="364"/>
      <c r="L114" s="364"/>
      <c r="M114" s="1350"/>
      <c r="N114" s="364"/>
      <c r="O114" s="1350"/>
      <c r="P114" s="364"/>
      <c r="Q114" s="1350"/>
      <c r="R114" s="364"/>
      <c r="S114" s="364"/>
      <c r="T114" s="364"/>
      <c r="U114" s="364"/>
    </row>
    <row r="115" spans="1:21" ht="16.5" x14ac:dyDescent="0.25">
      <c r="A115" s="360"/>
      <c r="B115" s="361"/>
      <c r="C115" s="362"/>
      <c r="D115" s="363"/>
      <c r="E115" s="364"/>
      <c r="F115" s="364"/>
      <c r="G115" s="364"/>
      <c r="H115" s="364"/>
      <c r="I115" s="364"/>
      <c r="J115" s="364"/>
      <c r="K115" s="364"/>
      <c r="L115" s="364"/>
      <c r="M115" s="1350"/>
      <c r="N115" s="364"/>
      <c r="O115" s="1350"/>
      <c r="P115" s="364"/>
      <c r="Q115" s="1350"/>
      <c r="R115" s="364"/>
      <c r="S115" s="364"/>
      <c r="T115" s="364"/>
      <c r="U115" s="364"/>
    </row>
    <row r="116" spans="1:21" ht="16.5" x14ac:dyDescent="0.25">
      <c r="A116" s="360"/>
      <c r="B116" s="361"/>
      <c r="C116" s="362"/>
      <c r="D116" s="363"/>
      <c r="E116" s="364"/>
      <c r="F116" s="364"/>
      <c r="G116" s="364"/>
      <c r="H116" s="364"/>
      <c r="I116" s="364"/>
      <c r="J116" s="364"/>
      <c r="K116" s="364"/>
      <c r="L116" s="364"/>
      <c r="M116" s="1350"/>
      <c r="N116" s="364"/>
      <c r="O116" s="1350"/>
      <c r="P116" s="364"/>
      <c r="Q116" s="1350"/>
      <c r="R116" s="364"/>
      <c r="S116" s="364"/>
      <c r="T116" s="364"/>
      <c r="U116" s="364"/>
    </row>
    <row r="117" spans="1:21" ht="16.5" x14ac:dyDescent="0.25">
      <c r="A117" s="360"/>
      <c r="B117" s="361"/>
      <c r="C117" s="362"/>
      <c r="D117" s="363"/>
      <c r="E117" s="364"/>
      <c r="F117" s="364"/>
      <c r="G117" s="364"/>
      <c r="H117" s="364"/>
      <c r="I117" s="364"/>
      <c r="J117" s="364"/>
      <c r="K117" s="364"/>
      <c r="L117" s="364"/>
      <c r="M117" s="1350"/>
      <c r="N117" s="364"/>
      <c r="O117" s="1350"/>
      <c r="P117" s="364"/>
      <c r="Q117" s="1350"/>
      <c r="R117" s="364"/>
      <c r="S117" s="364"/>
      <c r="T117" s="364"/>
      <c r="U117" s="364"/>
    </row>
    <row r="118" spans="1:21" ht="16.5" x14ac:dyDescent="0.25">
      <c r="A118" s="360"/>
      <c r="B118" s="361"/>
      <c r="C118" s="362"/>
      <c r="D118" s="363"/>
      <c r="E118" s="364"/>
      <c r="F118" s="364"/>
      <c r="G118" s="364"/>
      <c r="H118" s="364"/>
      <c r="I118" s="364"/>
      <c r="J118" s="364"/>
      <c r="K118" s="364"/>
      <c r="L118" s="364"/>
      <c r="M118" s="1350"/>
      <c r="N118" s="364"/>
      <c r="O118" s="1350"/>
      <c r="P118" s="364"/>
      <c r="Q118" s="1350"/>
      <c r="R118" s="364"/>
      <c r="S118" s="364"/>
      <c r="T118" s="364"/>
      <c r="U118" s="364"/>
    </row>
    <row r="119" spans="1:21" ht="16.5" x14ac:dyDescent="0.25">
      <c r="A119" s="360"/>
      <c r="B119" s="361"/>
      <c r="C119" s="362"/>
      <c r="D119" s="363"/>
      <c r="E119" s="364"/>
      <c r="F119" s="364"/>
      <c r="G119" s="364"/>
      <c r="H119" s="364"/>
      <c r="I119" s="364"/>
      <c r="J119" s="364"/>
      <c r="K119" s="364"/>
      <c r="L119" s="364"/>
      <c r="M119" s="1350"/>
      <c r="N119" s="364"/>
      <c r="O119" s="1350"/>
      <c r="P119" s="364"/>
      <c r="Q119" s="1350"/>
      <c r="R119" s="364"/>
      <c r="S119" s="364"/>
      <c r="T119" s="364"/>
      <c r="U119" s="364"/>
    </row>
    <row r="120" spans="1:21" ht="17.25" x14ac:dyDescent="0.3">
      <c r="A120" s="360"/>
      <c r="B120" s="361"/>
      <c r="C120" s="362"/>
      <c r="D120" s="365"/>
      <c r="E120" s="364"/>
      <c r="F120" s="364"/>
      <c r="G120" s="364"/>
      <c r="H120" s="364"/>
      <c r="I120" s="364"/>
      <c r="J120" s="364"/>
      <c r="K120" s="364"/>
      <c r="L120" s="364"/>
      <c r="M120" s="1350"/>
      <c r="N120" s="364"/>
      <c r="O120" s="1350"/>
      <c r="P120" s="364"/>
      <c r="Q120" s="1350"/>
      <c r="R120" s="364"/>
      <c r="S120" s="364"/>
      <c r="T120" s="364"/>
      <c r="U120" s="364"/>
    </row>
    <row r="129" spans="5:6" x14ac:dyDescent="0.2">
      <c r="E129" s="231" t="e">
        <v>#NAME?</v>
      </c>
      <c r="F129" s="231" t="e">
        <v>#NAME?</v>
      </c>
    </row>
  </sheetData>
  <mergeCells count="12">
    <mergeCell ref="D102:L102"/>
    <mergeCell ref="D85:L85"/>
    <mergeCell ref="D79:L79"/>
    <mergeCell ref="D52:L52"/>
    <mergeCell ref="D47:L47"/>
    <mergeCell ref="D27:L27"/>
    <mergeCell ref="D41:L41"/>
    <mergeCell ref="D65:L65"/>
    <mergeCell ref="A1:C1"/>
    <mergeCell ref="D3:L3"/>
    <mergeCell ref="A2:L2"/>
    <mergeCell ref="D16:L16"/>
  </mergeCells>
  <printOptions horizontalCentered="1"/>
  <pageMargins left="0.15748031496062992" right="0.15748031496062992" top="0.78740157480314965" bottom="0.51181102362204722" header="0.19685039370078741" footer="0.23622047244094491"/>
  <pageSetup paperSize="9" scale="65" firstPageNumber="25" orientation="portrait" useFirstPageNumber="1" r:id="rId1"/>
  <headerFooter>
    <oddHeader>&amp;C&amp;"Times New Roman,Félkövér"&amp;14Vecsés Város Önkormányzatának 2018. évi
 bevételei COFOG szerinti bontásban &amp;R&amp;12 3.1. sz. melléklet
Forint</oddHeader>
    <oddFooter>&amp;C&amp;12- &amp;P -</oddFooter>
  </headerFooter>
  <rowBreaks count="1" manualBreakCount="1">
    <brk id="51" max="1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299"/>
  <sheetViews>
    <sheetView view="pageBreakPreview" topLeftCell="A13" zoomScale="85" zoomScaleNormal="100" zoomScaleSheetLayoutView="85" zoomScalePageLayoutView="60" workbookViewId="0">
      <selection activeCell="C32" sqref="C32"/>
    </sheetView>
  </sheetViews>
  <sheetFormatPr defaultColWidth="9.33203125" defaultRowHeight="14.25" x14ac:dyDescent="0.2"/>
  <cols>
    <col min="1" max="1" width="2.5" style="207" customWidth="1"/>
    <col min="2" max="2" width="4.6640625" style="207" customWidth="1"/>
    <col min="3" max="3" width="14.33203125" style="323" customWidth="1"/>
    <col min="4" max="4" width="65.6640625" style="207" customWidth="1"/>
    <col min="5" max="5" width="16.5" style="231" customWidth="1"/>
    <col min="6" max="6" width="18.5" style="1351" hidden="1" customWidth="1"/>
    <col min="7" max="7" width="16.6640625" style="231" hidden="1" customWidth="1"/>
    <col min="8" max="8" width="15.33203125" style="1351" hidden="1" customWidth="1"/>
    <col min="9" max="9" width="17.6640625" style="231" customWidth="1"/>
    <col min="10" max="10" width="15.5" style="2361" customWidth="1"/>
    <col min="11" max="11" width="17.5" style="231" customWidth="1"/>
    <col min="12" max="12" width="17.83203125" style="231" customWidth="1"/>
    <col min="13" max="13" width="18.1640625" style="510" customWidth="1"/>
    <col min="14" max="14" width="10" style="510" customWidth="1"/>
    <col min="15" max="15" width="16.5" style="207" customWidth="1"/>
    <col min="16" max="16" width="16" style="207" customWidth="1"/>
    <col min="17" max="16384" width="9.33203125" style="207"/>
  </cols>
  <sheetData>
    <row r="1" spans="1:15" ht="51" customHeight="1" thickBot="1" x14ac:dyDescent="0.25">
      <c r="A1" s="4477" t="s">
        <v>332</v>
      </c>
      <c r="B1" s="4477"/>
      <c r="C1" s="4477"/>
      <c r="D1" s="208" t="s">
        <v>283</v>
      </c>
      <c r="E1" s="325" t="s">
        <v>1081</v>
      </c>
      <c r="F1" s="3069" t="s">
        <v>1030</v>
      </c>
      <c r="G1" s="325" t="s">
        <v>1028</v>
      </c>
      <c r="H1" s="3069" t="s">
        <v>1031</v>
      </c>
      <c r="I1" s="325" t="s">
        <v>234</v>
      </c>
      <c r="J1" s="3432" t="s">
        <v>1038</v>
      </c>
      <c r="K1" s="325" t="s">
        <v>234</v>
      </c>
      <c r="L1" s="442" t="s">
        <v>1945</v>
      </c>
      <c r="M1" s="2872" t="s">
        <v>290</v>
      </c>
      <c r="N1" s="508"/>
    </row>
    <row r="2" spans="1:15" ht="28.5" customHeight="1" thickTop="1" thickBot="1" x14ac:dyDescent="0.25">
      <c r="A2" s="4490" t="s">
        <v>1310</v>
      </c>
      <c r="B2" s="4482"/>
      <c r="C2" s="4482"/>
      <c r="D2" s="4482"/>
      <c r="E2" s="4483"/>
      <c r="F2" s="2827"/>
      <c r="G2" s="2822"/>
      <c r="H2" s="2827"/>
      <c r="I2" s="3433"/>
      <c r="J2" s="3434"/>
      <c r="K2" s="2822"/>
      <c r="L2" s="2822"/>
      <c r="M2" s="508"/>
      <c r="N2" s="508"/>
    </row>
    <row r="3" spans="1:15" customFormat="1" ht="36" customHeight="1" thickTop="1" x14ac:dyDescent="0.2">
      <c r="A3" s="2400"/>
      <c r="B3" s="2401" t="s">
        <v>3</v>
      </c>
      <c r="C3" s="2398"/>
      <c r="D3" s="4491" t="s">
        <v>1174</v>
      </c>
      <c r="E3" s="4492"/>
      <c r="F3" s="2828"/>
      <c r="G3" s="2397"/>
      <c r="H3" s="2828"/>
      <c r="I3" s="3435"/>
      <c r="J3" s="3436"/>
      <c r="K3" s="3425"/>
      <c r="L3" s="3053"/>
      <c r="M3" s="2397"/>
    </row>
    <row r="4" spans="1:15" ht="18" customHeight="1" thickTop="1" x14ac:dyDescent="0.25">
      <c r="A4" s="329"/>
      <c r="B4" s="2384"/>
      <c r="C4" s="210" t="s">
        <v>152</v>
      </c>
      <c r="D4" s="228" t="s">
        <v>1144</v>
      </c>
      <c r="E4" s="2379">
        <f>SUM(E8)+E5+E6</f>
        <v>230089917</v>
      </c>
      <c r="F4" s="2829">
        <f>G4-E4</f>
        <v>16121891</v>
      </c>
      <c r="G4" s="2379">
        <f t="shared" ref="G4:L4" si="0">SUM(G8)+G5+G6+G7</f>
        <v>246211808</v>
      </c>
      <c r="H4" s="2829">
        <f t="shared" si="0"/>
        <v>-66500908</v>
      </c>
      <c r="I4" s="3424">
        <f>SUM(I8)+I5+I6+I7</f>
        <v>179710900</v>
      </c>
      <c r="J4" s="3510">
        <f>K4-I4</f>
        <v>0</v>
      </c>
      <c r="K4" s="2379">
        <f t="shared" si="0"/>
        <v>179710900</v>
      </c>
      <c r="L4" s="2379">
        <f t="shared" si="0"/>
        <v>94707049</v>
      </c>
      <c r="M4" s="431"/>
      <c r="N4" s="431"/>
    </row>
    <row r="5" spans="1:15" ht="18" customHeight="1" x14ac:dyDescent="0.25">
      <c r="A5" s="329"/>
      <c r="B5" s="333"/>
      <c r="C5" s="234" t="s">
        <v>333</v>
      </c>
      <c r="D5" s="219" t="s">
        <v>370</v>
      </c>
      <c r="E5" s="1197">
        <v>84770149</v>
      </c>
      <c r="F5" s="2830">
        <f>G5-E5</f>
        <v>0</v>
      </c>
      <c r="G5" s="1197">
        <v>84770149</v>
      </c>
      <c r="H5" s="2830">
        <f>I5-G5</f>
        <v>9225000</v>
      </c>
      <c r="I5" s="1197">
        <v>93995149</v>
      </c>
      <c r="J5" s="3437">
        <f>K5-I5</f>
        <v>0</v>
      </c>
      <c r="K5" s="1197">
        <v>93995149</v>
      </c>
      <c r="L5" s="1197">
        <v>79987499</v>
      </c>
      <c r="M5" s="431"/>
      <c r="N5" s="431"/>
    </row>
    <row r="6" spans="1:15" ht="18" customHeight="1" x14ac:dyDescent="0.25">
      <c r="A6" s="329"/>
      <c r="B6" s="333"/>
      <c r="C6" s="234" t="s">
        <v>335</v>
      </c>
      <c r="D6" s="219" t="s">
        <v>408</v>
      </c>
      <c r="E6" s="1197">
        <v>16346768</v>
      </c>
      <c r="F6" s="2830">
        <f t="shared" ref="F6:F16" si="1">G6-E6</f>
        <v>0</v>
      </c>
      <c r="G6" s="1197">
        <v>16346768</v>
      </c>
      <c r="H6" s="2830">
        <f>I6-G6</f>
        <v>1798875</v>
      </c>
      <c r="I6" s="1197">
        <v>18145643</v>
      </c>
      <c r="J6" s="3437">
        <f>K6-I6</f>
        <v>0</v>
      </c>
      <c r="K6" s="1197">
        <v>18145643</v>
      </c>
      <c r="L6" s="1197">
        <v>14387845</v>
      </c>
      <c r="M6" s="431"/>
      <c r="N6" s="431"/>
      <c r="O6" s="231">
        <f>SUM(E5:E6)</f>
        <v>101116917</v>
      </c>
    </row>
    <row r="7" spans="1:15" ht="18" customHeight="1" x14ac:dyDescent="0.25">
      <c r="A7" s="329"/>
      <c r="B7" s="333"/>
      <c r="C7" s="234" t="s">
        <v>336</v>
      </c>
      <c r="D7" s="219" t="s">
        <v>240</v>
      </c>
      <c r="E7" s="1197"/>
      <c r="F7" s="2830">
        <f t="shared" si="1"/>
        <v>350000</v>
      </c>
      <c r="G7" s="1197">
        <v>350000</v>
      </c>
      <c r="H7" s="2830">
        <f>I7-G7</f>
        <v>0</v>
      </c>
      <c r="I7" s="1197">
        <v>350000</v>
      </c>
      <c r="J7" s="3437">
        <f>K7-I7</f>
        <v>0</v>
      </c>
      <c r="K7" s="1197">
        <v>350000</v>
      </c>
      <c r="L7" s="1197">
        <v>331705</v>
      </c>
      <c r="M7" s="431"/>
      <c r="N7" s="431"/>
    </row>
    <row r="8" spans="1:15" ht="18" customHeight="1" x14ac:dyDescent="0.25">
      <c r="A8" s="329"/>
      <c r="B8" s="333"/>
      <c r="C8" s="234" t="s">
        <v>337</v>
      </c>
      <c r="D8" s="219" t="s">
        <v>1134</v>
      </c>
      <c r="E8" s="1197">
        <f>SUM(E9)</f>
        <v>128973000</v>
      </c>
      <c r="F8" s="2830">
        <f t="shared" si="1"/>
        <v>15771891</v>
      </c>
      <c r="G8" s="1197">
        <f t="shared" ref="G8:L8" si="2">SUM(G9)</f>
        <v>144744891</v>
      </c>
      <c r="H8" s="2830">
        <f t="shared" si="2"/>
        <v>-77524783</v>
      </c>
      <c r="I8" s="1197">
        <f t="shared" si="2"/>
        <v>67220108</v>
      </c>
      <c r="J8" s="3437">
        <f>K8-I8</f>
        <v>0</v>
      </c>
      <c r="K8" s="1197">
        <f t="shared" si="2"/>
        <v>67220108</v>
      </c>
      <c r="L8" s="1197">
        <f t="shared" si="2"/>
        <v>0</v>
      </c>
      <c r="M8" s="431"/>
      <c r="N8" s="431"/>
    </row>
    <row r="9" spans="1:15" ht="18" customHeight="1" x14ac:dyDescent="0.25">
      <c r="A9" s="329"/>
      <c r="B9" s="333"/>
      <c r="C9" s="234" t="s">
        <v>1300</v>
      </c>
      <c r="D9" s="219" t="s">
        <v>1142</v>
      </c>
      <c r="E9" s="1197">
        <f>SUM(E10:E11)</f>
        <v>128973000</v>
      </c>
      <c r="F9" s="2830">
        <f t="shared" si="1"/>
        <v>15771891</v>
      </c>
      <c r="G9" s="1197">
        <f t="shared" ref="G9:L9" si="3">SUM(G10:G11)</f>
        <v>144744891</v>
      </c>
      <c r="H9" s="2830">
        <f t="shared" si="3"/>
        <v>-77524783</v>
      </c>
      <c r="I9" s="1197">
        <f t="shared" ref="I9" si="4">SUM(I10:I11)</f>
        <v>67220108</v>
      </c>
      <c r="J9" s="3428">
        <f t="shared" ref="J9:J72" si="5">K9-I9</f>
        <v>0</v>
      </c>
      <c r="K9" s="1197">
        <f t="shared" si="3"/>
        <v>67220108</v>
      </c>
      <c r="L9" s="1197">
        <f t="shared" si="3"/>
        <v>0</v>
      </c>
      <c r="M9" s="431"/>
      <c r="N9" s="431"/>
    </row>
    <row r="10" spans="1:15" ht="18" customHeight="1" x14ac:dyDescent="0.25">
      <c r="A10" s="329"/>
      <c r="B10" s="333"/>
      <c r="C10" s="222" t="s">
        <v>1301</v>
      </c>
      <c r="D10" s="223" t="s">
        <v>1182</v>
      </c>
      <c r="E10" s="2391">
        <v>10000000</v>
      </c>
      <c r="F10" s="2831">
        <f t="shared" si="1"/>
        <v>3839016</v>
      </c>
      <c r="G10" s="2391">
        <v>13839016</v>
      </c>
      <c r="H10" s="2831">
        <f>I10-G10</f>
        <v>-13312350</v>
      </c>
      <c r="I10" s="2391">
        <v>526666</v>
      </c>
      <c r="J10" s="3428">
        <f t="shared" si="5"/>
        <v>0</v>
      </c>
      <c r="K10" s="2391">
        <v>526666</v>
      </c>
      <c r="L10" s="2391"/>
      <c r="M10" s="431"/>
      <c r="N10" s="431"/>
    </row>
    <row r="11" spans="1:15" ht="18" customHeight="1" x14ac:dyDescent="0.25">
      <c r="A11" s="4248"/>
      <c r="B11" s="3551"/>
      <c r="C11" s="4249" t="s">
        <v>1302</v>
      </c>
      <c r="D11" s="4250" t="s">
        <v>1183</v>
      </c>
      <c r="E11" s="4251">
        <f>SUM('7.1. sz mell.'!J102)</f>
        <v>118973000</v>
      </c>
      <c r="F11" s="4251">
        <f t="shared" si="1"/>
        <v>11932875</v>
      </c>
      <c r="G11" s="4251">
        <f>SUM('7.1. sz mell.'!L102)</f>
        <v>130905875</v>
      </c>
      <c r="H11" s="4251">
        <f>I11-G11</f>
        <v>-64212433</v>
      </c>
      <c r="I11" s="4251">
        <f>SUM('7.1. sz mell.'!N102)</f>
        <v>66693442</v>
      </c>
      <c r="J11" s="3428">
        <f t="shared" si="5"/>
        <v>0</v>
      </c>
      <c r="K11" s="2391">
        <f>SUM('7.1. sz mell.'!P102)</f>
        <v>66693442</v>
      </c>
      <c r="L11" s="2391">
        <f>SUM('7.1. sz mell.'!Q102)</f>
        <v>0</v>
      </c>
      <c r="M11" s="431"/>
      <c r="N11" s="431"/>
    </row>
    <row r="12" spans="1:15" ht="18" customHeight="1" x14ac:dyDescent="0.25">
      <c r="A12" s="4248"/>
      <c r="B12" s="3551"/>
      <c r="C12" s="4252" t="s">
        <v>154</v>
      </c>
      <c r="D12" s="4253" t="s">
        <v>182</v>
      </c>
      <c r="E12" s="4254">
        <f>SUM(E13)</f>
        <v>218575000</v>
      </c>
      <c r="F12" s="4254">
        <f t="shared" si="1"/>
        <v>336393473</v>
      </c>
      <c r="G12" s="4254">
        <f>SUM(G13)</f>
        <v>554968473</v>
      </c>
      <c r="H12" s="4254">
        <f t="shared" ref="H12:L14" si="6">SUM(H13)</f>
        <v>-493264901</v>
      </c>
      <c r="I12" s="4254">
        <f t="shared" si="6"/>
        <v>61703572</v>
      </c>
      <c r="J12" s="3428">
        <f t="shared" si="5"/>
        <v>0</v>
      </c>
      <c r="K12" s="2379">
        <f t="shared" si="6"/>
        <v>61703572</v>
      </c>
      <c r="L12" s="2379">
        <f t="shared" si="6"/>
        <v>0</v>
      </c>
      <c r="M12" s="431"/>
      <c r="N12" s="431"/>
    </row>
    <row r="13" spans="1:15" ht="18" customHeight="1" x14ac:dyDescent="0.25">
      <c r="A13" s="4248"/>
      <c r="B13" s="3551"/>
      <c r="C13" s="4255" t="s">
        <v>1175</v>
      </c>
      <c r="D13" s="4256" t="s">
        <v>1141</v>
      </c>
      <c r="E13" s="4247">
        <f>SUM(E14)</f>
        <v>218575000</v>
      </c>
      <c r="F13" s="4247">
        <f t="shared" si="1"/>
        <v>336393473</v>
      </c>
      <c r="G13" s="4247">
        <f>SUM(G14)</f>
        <v>554968473</v>
      </c>
      <c r="H13" s="4247">
        <f t="shared" si="6"/>
        <v>-493264901</v>
      </c>
      <c r="I13" s="4247">
        <f t="shared" si="6"/>
        <v>61703572</v>
      </c>
      <c r="J13" s="3428">
        <f t="shared" si="5"/>
        <v>0</v>
      </c>
      <c r="K13" s="1197">
        <f t="shared" si="6"/>
        <v>61703572</v>
      </c>
      <c r="L13" s="1197">
        <f t="shared" si="6"/>
        <v>0</v>
      </c>
      <c r="M13" s="431"/>
      <c r="N13" s="431"/>
    </row>
    <row r="14" spans="1:15" ht="18" customHeight="1" x14ac:dyDescent="0.25">
      <c r="A14" s="4248"/>
      <c r="B14" s="3551"/>
      <c r="C14" s="4255" t="s">
        <v>1176</v>
      </c>
      <c r="D14" s="4256" t="s">
        <v>1142</v>
      </c>
      <c r="E14" s="4247">
        <f>SUM(E15)</f>
        <v>218575000</v>
      </c>
      <c r="F14" s="4247">
        <f t="shared" si="1"/>
        <v>336393473</v>
      </c>
      <c r="G14" s="4247">
        <f>SUM(G15)</f>
        <v>554968473</v>
      </c>
      <c r="H14" s="4247">
        <f t="shared" si="6"/>
        <v>-493264901</v>
      </c>
      <c r="I14" s="4247">
        <f t="shared" si="6"/>
        <v>61703572</v>
      </c>
      <c r="J14" s="3428">
        <f t="shared" si="5"/>
        <v>0</v>
      </c>
      <c r="K14" s="1197">
        <f t="shared" si="6"/>
        <v>61703572</v>
      </c>
      <c r="L14" s="1197">
        <f t="shared" si="6"/>
        <v>0</v>
      </c>
      <c r="M14" s="431"/>
      <c r="N14" s="431"/>
    </row>
    <row r="15" spans="1:15" ht="18" customHeight="1" x14ac:dyDescent="0.25">
      <c r="A15" s="4248"/>
      <c r="B15" s="3551"/>
      <c r="C15" s="4249" t="s">
        <v>1177</v>
      </c>
      <c r="D15" s="4250" t="s">
        <v>1184</v>
      </c>
      <c r="E15" s="4251">
        <f>SUM('7.2.. sz mell.'!G47)</f>
        <v>218575000</v>
      </c>
      <c r="F15" s="4247">
        <f t="shared" si="1"/>
        <v>336393473</v>
      </c>
      <c r="G15" s="4251">
        <f>SUM('7.2.. sz mell.'!I47)</f>
        <v>554968473</v>
      </c>
      <c r="H15" s="4251">
        <f>I15-G15</f>
        <v>-493264901</v>
      </c>
      <c r="I15" s="4251">
        <f>SUM('7.2.. sz mell.'!K47)</f>
        <v>61703572</v>
      </c>
      <c r="J15" s="3428">
        <f t="shared" si="5"/>
        <v>0</v>
      </c>
      <c r="K15" s="2391">
        <f>SUM('7.2.. sz mell.'!M47)</f>
        <v>61703572</v>
      </c>
      <c r="L15" s="2391"/>
      <c r="M15" s="431"/>
      <c r="N15" s="431"/>
    </row>
    <row r="16" spans="1:15" ht="18" customHeight="1" x14ac:dyDescent="0.25">
      <c r="A16" s="329"/>
      <c r="B16" s="333"/>
      <c r="C16" s="222"/>
      <c r="D16" s="339" t="s">
        <v>517</v>
      </c>
      <c r="E16" s="338">
        <f>SUM(E4+E12)</f>
        <v>448664917</v>
      </c>
      <c r="F16" s="1356">
        <f t="shared" si="1"/>
        <v>352515364</v>
      </c>
      <c r="G16" s="338">
        <f t="shared" ref="G16:L16" si="7">SUM(G4+G12)</f>
        <v>801180281</v>
      </c>
      <c r="H16" s="1356">
        <f t="shared" si="7"/>
        <v>-559765809</v>
      </c>
      <c r="I16" s="338">
        <f t="shared" si="7"/>
        <v>241414472</v>
      </c>
      <c r="J16" s="3428">
        <f t="shared" si="5"/>
        <v>0</v>
      </c>
      <c r="K16" s="338">
        <f t="shared" si="7"/>
        <v>241414472</v>
      </c>
      <c r="L16" s="338">
        <f t="shared" si="7"/>
        <v>94707049</v>
      </c>
      <c r="M16" s="431"/>
      <c r="N16" s="431"/>
    </row>
    <row r="17" spans="1:14" ht="18" customHeight="1" x14ac:dyDescent="0.25">
      <c r="A17" s="329"/>
      <c r="B17" s="333"/>
      <c r="C17" s="234"/>
      <c r="D17" s="340" t="s">
        <v>518</v>
      </c>
      <c r="E17" s="2419">
        <v>2</v>
      </c>
      <c r="F17" s="2832"/>
      <c r="G17" s="2419">
        <v>2</v>
      </c>
      <c r="H17" s="3153">
        <v>2</v>
      </c>
      <c r="I17" s="3438">
        <v>2</v>
      </c>
      <c r="J17" s="3428">
        <f t="shared" si="5"/>
        <v>0</v>
      </c>
      <c r="K17" s="2419">
        <v>2</v>
      </c>
      <c r="L17" s="2419">
        <v>2</v>
      </c>
      <c r="M17" s="431"/>
      <c r="N17" s="431"/>
    </row>
    <row r="18" spans="1:14" customFormat="1" ht="36" customHeight="1" x14ac:dyDescent="0.25">
      <c r="A18" s="2396"/>
      <c r="B18" s="2399" t="s">
        <v>17</v>
      </c>
      <c r="C18" s="2397"/>
      <c r="D18" s="4488" t="s">
        <v>1146</v>
      </c>
      <c r="E18" s="4489"/>
      <c r="F18" s="1355"/>
      <c r="G18" s="2823"/>
      <c r="H18" s="1347"/>
      <c r="I18" s="2938"/>
      <c r="J18" s="3428">
        <f t="shared" si="5"/>
        <v>0</v>
      </c>
      <c r="K18" s="3300"/>
      <c r="L18" s="2823"/>
      <c r="M18" s="2397"/>
    </row>
    <row r="19" spans="1:14" ht="18" customHeight="1" x14ac:dyDescent="0.25">
      <c r="A19" s="329"/>
      <c r="B19" s="333"/>
      <c r="C19" s="209" t="s">
        <v>309</v>
      </c>
      <c r="D19" s="228" t="s">
        <v>1147</v>
      </c>
      <c r="E19" s="2380">
        <f>SUM(E20)</f>
        <v>20701000</v>
      </c>
      <c r="F19" s="2833">
        <f>G19-E19</f>
        <v>867338</v>
      </c>
      <c r="G19" s="2380">
        <f t="shared" ref="G19:L19" si="8">SUM(G20)</f>
        <v>21568338</v>
      </c>
      <c r="H19" s="2833">
        <f t="shared" si="8"/>
        <v>9569878</v>
      </c>
      <c r="I19" s="2380">
        <f t="shared" si="8"/>
        <v>31138216</v>
      </c>
      <c r="J19" s="3428">
        <f t="shared" si="5"/>
        <v>0</v>
      </c>
      <c r="K19" s="2380">
        <f t="shared" si="8"/>
        <v>31138216</v>
      </c>
      <c r="L19" s="2380">
        <f t="shared" si="8"/>
        <v>26958824</v>
      </c>
      <c r="M19" s="431"/>
      <c r="N19" s="431"/>
    </row>
    <row r="20" spans="1:14" ht="18" customHeight="1" x14ac:dyDescent="0.25">
      <c r="A20" s="329"/>
      <c r="B20" s="333"/>
      <c r="C20" s="224" t="s">
        <v>421</v>
      </c>
      <c r="D20" s="219" t="s">
        <v>240</v>
      </c>
      <c r="E20" s="1197">
        <v>20701000</v>
      </c>
      <c r="F20" s="2830">
        <f>G20-E20</f>
        <v>867338</v>
      </c>
      <c r="G20" s="1197">
        <v>21568338</v>
      </c>
      <c r="H20" s="2830">
        <f>I20-G20</f>
        <v>9569878</v>
      </c>
      <c r="I20" s="1197">
        <v>31138216</v>
      </c>
      <c r="J20" s="3428">
        <f t="shared" si="5"/>
        <v>0</v>
      </c>
      <c r="K20" s="1197">
        <v>31138216</v>
      </c>
      <c r="L20" s="1197">
        <v>26958824</v>
      </c>
      <c r="M20" s="431"/>
      <c r="N20" s="431"/>
    </row>
    <row r="21" spans="1:14" ht="18" customHeight="1" x14ac:dyDescent="0.25">
      <c r="A21" s="329"/>
      <c r="B21" s="333"/>
      <c r="C21" s="224"/>
      <c r="D21" s="339" t="s">
        <v>517</v>
      </c>
      <c r="E21" s="338">
        <f>SUM(E19)</f>
        <v>20701000</v>
      </c>
      <c r="F21" s="1356">
        <f>G21-E21</f>
        <v>867338</v>
      </c>
      <c r="G21" s="338">
        <f t="shared" ref="G21:L21" si="9">SUM(G19)</f>
        <v>21568338</v>
      </c>
      <c r="H21" s="1356">
        <f t="shared" si="9"/>
        <v>9569878</v>
      </c>
      <c r="I21" s="338">
        <f t="shared" si="9"/>
        <v>31138216</v>
      </c>
      <c r="J21" s="3428">
        <f t="shared" si="5"/>
        <v>0</v>
      </c>
      <c r="K21" s="1332">
        <f t="shared" si="9"/>
        <v>31138216</v>
      </c>
      <c r="L21" s="338">
        <f t="shared" si="9"/>
        <v>26958824</v>
      </c>
      <c r="M21" s="431"/>
      <c r="N21" s="431"/>
    </row>
    <row r="22" spans="1:14" customFormat="1" ht="36" customHeight="1" x14ac:dyDescent="0.25">
      <c r="A22" s="2402"/>
      <c r="B22" s="2399" t="s">
        <v>31</v>
      </c>
      <c r="C22" s="2397"/>
      <c r="D22" s="4488" t="s">
        <v>1303</v>
      </c>
      <c r="E22" s="4489"/>
      <c r="F22" s="1355"/>
      <c r="G22" s="2823"/>
      <c r="H22" s="1347"/>
      <c r="I22" s="2938"/>
      <c r="J22" s="3428">
        <f t="shared" si="5"/>
        <v>0</v>
      </c>
      <c r="K22" s="3300"/>
      <c r="L22" s="2823"/>
      <c r="M22" s="2397"/>
    </row>
    <row r="23" spans="1:14" ht="18" customHeight="1" x14ac:dyDescent="0.25">
      <c r="A23" s="329"/>
      <c r="B23" s="333"/>
      <c r="C23" s="213" t="s">
        <v>19</v>
      </c>
      <c r="D23" s="228" t="s">
        <v>797</v>
      </c>
      <c r="E23" s="2379">
        <f>SUM(E24)</f>
        <v>0</v>
      </c>
      <c r="F23" s="2829">
        <f t="shared" ref="F23:F32" si="10">G23-E23</f>
        <v>1766504</v>
      </c>
      <c r="G23" s="2379">
        <f t="shared" ref="G23:L23" si="11">SUM(G24)+G26</f>
        <v>1766504</v>
      </c>
      <c r="H23" s="2829">
        <f t="shared" si="11"/>
        <v>0</v>
      </c>
      <c r="I23" s="2379">
        <f t="shared" si="11"/>
        <v>1766504</v>
      </c>
      <c r="J23" s="3428">
        <f t="shared" si="5"/>
        <v>1747959</v>
      </c>
      <c r="K23" s="2379">
        <f t="shared" si="11"/>
        <v>3514463</v>
      </c>
      <c r="L23" s="2379">
        <f t="shared" si="11"/>
        <v>1766504</v>
      </c>
      <c r="M23" s="431"/>
      <c r="N23" s="431"/>
    </row>
    <row r="24" spans="1:14" ht="18" customHeight="1" x14ac:dyDescent="0.25">
      <c r="A24" s="329"/>
      <c r="B24" s="333"/>
      <c r="C24" s="234" t="s">
        <v>820</v>
      </c>
      <c r="D24" s="219" t="s">
        <v>936</v>
      </c>
      <c r="E24" s="1197">
        <f>SUM(E25)</f>
        <v>0</v>
      </c>
      <c r="F24" s="2830">
        <f t="shared" si="10"/>
        <v>1517798</v>
      </c>
      <c r="G24" s="1197">
        <f t="shared" ref="G24:L24" si="12">G25</f>
        <v>1517798</v>
      </c>
      <c r="H24" s="2830">
        <f t="shared" si="12"/>
        <v>0</v>
      </c>
      <c r="I24" s="1197">
        <f t="shared" si="12"/>
        <v>1517798</v>
      </c>
      <c r="J24" s="3428">
        <f t="shared" si="5"/>
        <v>1747959</v>
      </c>
      <c r="K24" s="1197">
        <f t="shared" si="12"/>
        <v>3265757</v>
      </c>
      <c r="L24" s="1197">
        <f t="shared" si="12"/>
        <v>1517798</v>
      </c>
      <c r="M24" s="431"/>
      <c r="N24" s="431"/>
    </row>
    <row r="25" spans="1:14" ht="18" customHeight="1" x14ac:dyDescent="0.25">
      <c r="A25" s="329"/>
      <c r="B25" s="333"/>
      <c r="C25" s="234" t="s">
        <v>2636</v>
      </c>
      <c r="D25" s="219" t="s">
        <v>1138</v>
      </c>
      <c r="E25" s="1197"/>
      <c r="F25" s="2830">
        <f t="shared" si="10"/>
        <v>1517798</v>
      </c>
      <c r="G25" s="1197">
        <v>1517798</v>
      </c>
      <c r="H25" s="2830">
        <f>I25-G25</f>
        <v>0</v>
      </c>
      <c r="I25" s="1197">
        <v>1517798</v>
      </c>
      <c r="J25" s="3428">
        <f t="shared" si="5"/>
        <v>1747959</v>
      </c>
      <c r="K25" s="1197">
        <v>3265757</v>
      </c>
      <c r="L25" s="1197">
        <v>1517798</v>
      </c>
      <c r="M25" s="431"/>
      <c r="N25" s="431"/>
    </row>
    <row r="26" spans="1:14" ht="18" customHeight="1" x14ac:dyDescent="0.25">
      <c r="A26" s="329"/>
      <c r="B26" s="333"/>
      <c r="C26" s="234" t="s">
        <v>821</v>
      </c>
      <c r="D26" s="219" t="s">
        <v>161</v>
      </c>
      <c r="E26" s="1197">
        <f>SUM(E28)</f>
        <v>0</v>
      </c>
      <c r="F26" s="2830">
        <f t="shared" si="10"/>
        <v>248706</v>
      </c>
      <c r="G26" s="1197">
        <f t="shared" ref="G26:L26" si="13">G27</f>
        <v>248706</v>
      </c>
      <c r="H26" s="2830">
        <f t="shared" si="13"/>
        <v>0</v>
      </c>
      <c r="I26" s="1197">
        <f t="shared" si="13"/>
        <v>248706</v>
      </c>
      <c r="J26" s="3428">
        <f t="shared" si="5"/>
        <v>0</v>
      </c>
      <c r="K26" s="1197">
        <f t="shared" si="13"/>
        <v>248706</v>
      </c>
      <c r="L26" s="1197">
        <f t="shared" si="13"/>
        <v>248706</v>
      </c>
      <c r="M26" s="431"/>
      <c r="N26" s="431"/>
    </row>
    <row r="27" spans="1:14" ht="18" customHeight="1" x14ac:dyDescent="0.25">
      <c r="A27" s="329"/>
      <c r="B27" s="333"/>
      <c r="C27" s="234" t="s">
        <v>2637</v>
      </c>
      <c r="D27" s="219" t="s">
        <v>2000</v>
      </c>
      <c r="E27" s="1197"/>
      <c r="F27" s="2830">
        <f t="shared" si="10"/>
        <v>248706</v>
      </c>
      <c r="G27" s="1197">
        <v>248706</v>
      </c>
      <c r="H27" s="2830">
        <f>I27-G27</f>
        <v>0</v>
      </c>
      <c r="I27" s="1197">
        <v>248706</v>
      </c>
      <c r="J27" s="3428">
        <f t="shared" si="5"/>
        <v>0</v>
      </c>
      <c r="K27" s="1197">
        <v>248706</v>
      </c>
      <c r="L27" s="1197">
        <v>248706</v>
      </c>
      <c r="M27" s="431"/>
      <c r="N27" s="431"/>
    </row>
    <row r="28" spans="1:14" ht="16.5" x14ac:dyDescent="0.25">
      <c r="A28" s="211"/>
      <c r="B28" s="333"/>
      <c r="C28" s="213" t="s">
        <v>21</v>
      </c>
      <c r="D28" s="2381" t="s">
        <v>1051</v>
      </c>
      <c r="E28" s="664">
        <f>SUM(E29)</f>
        <v>0</v>
      </c>
      <c r="F28" s="2837">
        <f t="shared" si="10"/>
        <v>224907461</v>
      </c>
      <c r="G28" s="664">
        <f t="shared" ref="G28:L28" si="14">SUM(G29)+G31</f>
        <v>224907461</v>
      </c>
      <c r="H28" s="2837">
        <f t="shared" si="14"/>
        <v>856879192</v>
      </c>
      <c r="I28" s="2379">
        <f>SUM(I31)</f>
        <v>500465647</v>
      </c>
      <c r="J28" s="3428">
        <f t="shared" si="5"/>
        <v>0</v>
      </c>
      <c r="K28" s="2379">
        <f>SUM(K31)</f>
        <v>500465647</v>
      </c>
      <c r="L28" s="664">
        <f t="shared" si="14"/>
        <v>478742247</v>
      </c>
      <c r="M28" s="1331"/>
      <c r="N28" s="236"/>
    </row>
    <row r="29" spans="1:14" ht="16.5" hidden="1" x14ac:dyDescent="0.25">
      <c r="A29" s="211"/>
      <c r="B29" s="333"/>
      <c r="C29" s="234"/>
      <c r="D29" s="2382" t="s">
        <v>761</v>
      </c>
      <c r="E29" s="604">
        <f>SUM(E30)</f>
        <v>0</v>
      </c>
      <c r="F29" s="2835">
        <f t="shared" si="10"/>
        <v>0</v>
      </c>
      <c r="G29" s="604">
        <f t="shared" ref="G29:L29" si="15">SUM(G30)</f>
        <v>0</v>
      </c>
      <c r="H29" s="2835">
        <f t="shared" si="15"/>
        <v>581321006</v>
      </c>
      <c r="I29" s="1197">
        <f t="shared" si="15"/>
        <v>581321006</v>
      </c>
      <c r="J29" s="3428">
        <f t="shared" si="5"/>
        <v>0</v>
      </c>
      <c r="K29" s="1197">
        <f t="shared" si="15"/>
        <v>581321006</v>
      </c>
      <c r="L29" s="604">
        <f t="shared" si="15"/>
        <v>0</v>
      </c>
      <c r="M29" s="1331"/>
      <c r="N29" s="236"/>
    </row>
    <row r="30" spans="1:14" ht="16.5" hidden="1" x14ac:dyDescent="0.25">
      <c r="A30" s="211"/>
      <c r="B30" s="333"/>
      <c r="C30" s="234"/>
      <c r="D30" s="2395" t="s">
        <v>1157</v>
      </c>
      <c r="E30" s="604"/>
      <c r="F30" s="2835">
        <f t="shared" si="10"/>
        <v>0</v>
      </c>
      <c r="G30" s="604"/>
      <c r="H30" s="2835">
        <f>I30-G30</f>
        <v>581321006</v>
      </c>
      <c r="I30" s="1197">
        <v>581321006</v>
      </c>
      <c r="J30" s="3428">
        <f t="shared" si="5"/>
        <v>0</v>
      </c>
      <c r="K30" s="1197">
        <v>581321006</v>
      </c>
      <c r="L30" s="604"/>
      <c r="M30" s="1331"/>
      <c r="N30" s="236"/>
    </row>
    <row r="31" spans="1:14" ht="16.5" x14ac:dyDescent="0.25">
      <c r="A31" s="211"/>
      <c r="B31" s="333"/>
      <c r="C31" s="234" t="s">
        <v>2638</v>
      </c>
      <c r="D31" s="2382" t="s">
        <v>216</v>
      </c>
      <c r="E31" s="604"/>
      <c r="F31" s="2835">
        <f t="shared" si="10"/>
        <v>224907461</v>
      </c>
      <c r="G31" s="604">
        <v>224907461</v>
      </c>
      <c r="H31" s="2835">
        <f>I31-G31</f>
        <v>275558186</v>
      </c>
      <c r="I31" s="1197">
        <v>500465647</v>
      </c>
      <c r="J31" s="3428">
        <f t="shared" si="5"/>
        <v>0</v>
      </c>
      <c r="K31" s="1197">
        <v>500465647</v>
      </c>
      <c r="L31" s="604">
        <v>478742247</v>
      </c>
      <c r="M31" s="1331"/>
      <c r="N31" s="236"/>
    </row>
    <row r="32" spans="1:14" ht="18" customHeight="1" x14ac:dyDescent="0.25">
      <c r="A32" s="2383"/>
      <c r="B32" s="333"/>
      <c r="C32" s="234"/>
      <c r="D32" s="339" t="s">
        <v>517</v>
      </c>
      <c r="E32" s="338">
        <f>SUM(E23)</f>
        <v>0</v>
      </c>
      <c r="F32" s="1356">
        <f t="shared" si="10"/>
        <v>226673965</v>
      </c>
      <c r="G32" s="338">
        <f t="shared" ref="G32:L32" si="16">SUM(G23)+G28</f>
        <v>226673965</v>
      </c>
      <c r="H32" s="1356">
        <f t="shared" si="16"/>
        <v>856879192</v>
      </c>
      <c r="I32" s="338">
        <f t="shared" si="16"/>
        <v>502232151</v>
      </c>
      <c r="J32" s="3428">
        <f t="shared" si="5"/>
        <v>1747959</v>
      </c>
      <c r="K32" s="1332">
        <f t="shared" si="16"/>
        <v>503980110</v>
      </c>
      <c r="L32" s="338">
        <f t="shared" si="16"/>
        <v>480508751</v>
      </c>
      <c r="M32" s="431"/>
      <c r="N32" s="431"/>
    </row>
    <row r="33" spans="1:14" customFormat="1" ht="36" customHeight="1" x14ac:dyDescent="0.25">
      <c r="A33" s="2396"/>
      <c r="B33" s="2399" t="s">
        <v>45</v>
      </c>
      <c r="C33" s="2397"/>
      <c r="D33" s="4488" t="s">
        <v>1304</v>
      </c>
      <c r="E33" s="4489"/>
      <c r="F33" s="1355"/>
      <c r="G33" s="2823"/>
      <c r="H33" s="1347"/>
      <c r="I33" s="2938"/>
      <c r="J33" s="3428">
        <f t="shared" si="5"/>
        <v>0</v>
      </c>
      <c r="K33" s="3300"/>
      <c r="L33" s="2823"/>
      <c r="M33" s="2397"/>
    </row>
    <row r="34" spans="1:14" ht="18" customHeight="1" x14ac:dyDescent="0.25">
      <c r="A34" s="211"/>
      <c r="B34" s="333"/>
      <c r="C34" s="213" t="s">
        <v>33</v>
      </c>
      <c r="D34" s="228" t="s">
        <v>797</v>
      </c>
      <c r="E34" s="2379">
        <f>SUM(+E35+E37)</f>
        <v>361963424</v>
      </c>
      <c r="F34" s="2829">
        <f t="shared" ref="F34:F41" si="17">G34-E34</f>
        <v>265047702</v>
      </c>
      <c r="G34" s="2379">
        <f t="shared" ref="G34:L34" si="18">SUM(+G35+G37)</f>
        <v>627011126</v>
      </c>
      <c r="H34" s="2829">
        <f t="shared" si="18"/>
        <v>4308779</v>
      </c>
      <c r="I34" s="2379">
        <f t="shared" si="18"/>
        <v>631316905</v>
      </c>
      <c r="J34" s="3428">
        <f t="shared" si="5"/>
        <v>0</v>
      </c>
      <c r="K34" s="2379">
        <f t="shared" si="18"/>
        <v>631316905</v>
      </c>
      <c r="L34" s="2379">
        <f t="shared" si="18"/>
        <v>556854862</v>
      </c>
      <c r="M34" s="431"/>
      <c r="N34" s="431"/>
    </row>
    <row r="35" spans="1:14" ht="18" customHeight="1" x14ac:dyDescent="0.25">
      <c r="A35" s="211"/>
      <c r="B35" s="333"/>
      <c r="C35" s="234" t="s">
        <v>37</v>
      </c>
      <c r="D35" s="219" t="s">
        <v>240</v>
      </c>
      <c r="E35" s="1197">
        <f>SUM(E36)</f>
        <v>17500000</v>
      </c>
      <c r="F35" s="2830">
        <f t="shared" si="17"/>
        <v>265047702</v>
      </c>
      <c r="G35" s="1197">
        <f>SUM(G36)+3000</f>
        <v>282547702</v>
      </c>
      <c r="H35" s="2830">
        <f>SUM(H36)</f>
        <v>4308779</v>
      </c>
      <c r="I35" s="1197">
        <f>SUM(I36)</f>
        <v>286853481</v>
      </c>
      <c r="J35" s="3428">
        <f t="shared" si="5"/>
        <v>0</v>
      </c>
      <c r="K35" s="1197">
        <f>SUM(K36)</f>
        <v>286853481</v>
      </c>
      <c r="L35" s="1197">
        <f>SUM(L36)</f>
        <v>212391438</v>
      </c>
      <c r="M35" s="431"/>
      <c r="N35" s="431"/>
    </row>
    <row r="36" spans="1:14" ht="18" customHeight="1" x14ac:dyDescent="0.25">
      <c r="A36" s="211"/>
      <c r="B36" s="333"/>
      <c r="C36" s="222" t="s">
        <v>1178</v>
      </c>
      <c r="D36" s="223" t="s">
        <v>1922</v>
      </c>
      <c r="E36" s="2391">
        <v>17500000</v>
      </c>
      <c r="F36" s="2831">
        <f t="shared" si="17"/>
        <v>265044702</v>
      </c>
      <c r="G36" s="2391">
        <v>282544702</v>
      </c>
      <c r="H36" s="2831">
        <f>I36-G36</f>
        <v>4308779</v>
      </c>
      <c r="I36" s="2391">
        <v>286853481</v>
      </c>
      <c r="J36" s="3428">
        <f t="shared" si="5"/>
        <v>0</v>
      </c>
      <c r="K36" s="2391">
        <v>286853481</v>
      </c>
      <c r="L36" s="2391">
        <v>212391438</v>
      </c>
      <c r="M36" s="431"/>
      <c r="N36" s="431"/>
    </row>
    <row r="37" spans="1:14" ht="18" customHeight="1" x14ac:dyDescent="0.25">
      <c r="A37" s="211"/>
      <c r="B37" s="333"/>
      <c r="C37" s="213" t="s">
        <v>39</v>
      </c>
      <c r="D37" s="228" t="s">
        <v>1134</v>
      </c>
      <c r="E37" s="2379">
        <f>SUM(E38)</f>
        <v>344463424</v>
      </c>
      <c r="F37" s="2829">
        <f t="shared" si="17"/>
        <v>0</v>
      </c>
      <c r="G37" s="2379">
        <f t="shared" ref="G37:L38" si="19">SUM(G38)</f>
        <v>344463424</v>
      </c>
      <c r="H37" s="2829">
        <f t="shared" si="19"/>
        <v>0</v>
      </c>
      <c r="I37" s="2379">
        <f t="shared" si="19"/>
        <v>344463424</v>
      </c>
      <c r="J37" s="3428">
        <f t="shared" si="5"/>
        <v>0</v>
      </c>
      <c r="K37" s="2379">
        <f t="shared" si="19"/>
        <v>344463424</v>
      </c>
      <c r="L37" s="2379">
        <f t="shared" si="19"/>
        <v>344463424</v>
      </c>
      <c r="M37" s="431"/>
      <c r="N37" s="431"/>
    </row>
    <row r="38" spans="1:14" ht="18" customHeight="1" x14ac:dyDescent="0.25">
      <c r="A38" s="211"/>
      <c r="B38" s="333"/>
      <c r="C38" s="224" t="s">
        <v>1179</v>
      </c>
      <c r="D38" s="219" t="s">
        <v>936</v>
      </c>
      <c r="E38" s="1197">
        <f>SUM(E39)</f>
        <v>344463424</v>
      </c>
      <c r="F38" s="2830">
        <f t="shared" si="17"/>
        <v>0</v>
      </c>
      <c r="G38" s="1197">
        <f t="shared" si="19"/>
        <v>344463424</v>
      </c>
      <c r="H38" s="2830">
        <f t="shared" si="19"/>
        <v>0</v>
      </c>
      <c r="I38" s="1197">
        <f t="shared" si="19"/>
        <v>344463424</v>
      </c>
      <c r="J38" s="3428">
        <f t="shared" si="5"/>
        <v>0</v>
      </c>
      <c r="K38" s="1197">
        <f t="shared" si="19"/>
        <v>344463424</v>
      </c>
      <c r="L38" s="1197">
        <f t="shared" si="19"/>
        <v>344463424</v>
      </c>
      <c r="M38" s="431"/>
      <c r="N38" s="431"/>
    </row>
    <row r="39" spans="1:14" ht="18" customHeight="1" x14ac:dyDescent="0.25">
      <c r="A39" s="211"/>
      <c r="B39" s="333"/>
      <c r="C39" s="222" t="s">
        <v>1180</v>
      </c>
      <c r="D39" s="223" t="s">
        <v>1185</v>
      </c>
      <c r="E39" s="2391">
        <v>344463424</v>
      </c>
      <c r="F39" s="2831">
        <f t="shared" si="17"/>
        <v>0</v>
      </c>
      <c r="G39" s="2391">
        <v>344463424</v>
      </c>
      <c r="H39" s="2831">
        <f>I39-G39</f>
        <v>0</v>
      </c>
      <c r="I39" s="2391">
        <v>344463424</v>
      </c>
      <c r="J39" s="3428">
        <f t="shared" si="5"/>
        <v>0</v>
      </c>
      <c r="K39" s="2391">
        <v>344463424</v>
      </c>
      <c r="L39" s="2391">
        <v>344463424</v>
      </c>
      <c r="M39" s="431"/>
      <c r="N39" s="431"/>
    </row>
    <row r="40" spans="1:14" ht="18" customHeight="1" x14ac:dyDescent="0.25">
      <c r="A40" s="211"/>
      <c r="B40" s="333"/>
      <c r="C40" s="222" t="s">
        <v>1181</v>
      </c>
      <c r="D40" s="223" t="s">
        <v>1186</v>
      </c>
      <c r="E40" s="2391"/>
      <c r="F40" s="2831">
        <f t="shared" si="17"/>
        <v>0</v>
      </c>
      <c r="G40" s="2391"/>
      <c r="H40" s="2831"/>
      <c r="I40" s="2391"/>
      <c r="J40" s="3428">
        <f t="shared" si="5"/>
        <v>0</v>
      </c>
      <c r="K40" s="2391"/>
      <c r="L40" s="2391"/>
      <c r="M40" s="431"/>
      <c r="N40" s="431"/>
    </row>
    <row r="41" spans="1:14" ht="18" customHeight="1" x14ac:dyDescent="0.25">
      <c r="A41" s="211"/>
      <c r="B41" s="333"/>
      <c r="C41" s="224"/>
      <c r="D41" s="339" t="s">
        <v>517</v>
      </c>
      <c r="E41" s="338">
        <f>SUM(E34)</f>
        <v>361963424</v>
      </c>
      <c r="F41" s="1356">
        <f t="shared" si="17"/>
        <v>265047702</v>
      </c>
      <c r="G41" s="338">
        <f t="shared" ref="G41:L41" si="20">SUM(G34)</f>
        <v>627011126</v>
      </c>
      <c r="H41" s="1356">
        <f t="shared" si="20"/>
        <v>4308779</v>
      </c>
      <c r="I41" s="338">
        <f t="shared" si="20"/>
        <v>631316905</v>
      </c>
      <c r="J41" s="3428">
        <f t="shared" si="5"/>
        <v>0</v>
      </c>
      <c r="K41" s="1332">
        <f t="shared" si="20"/>
        <v>631316905</v>
      </c>
      <c r="L41" s="338">
        <f t="shared" si="20"/>
        <v>556854862</v>
      </c>
      <c r="M41" s="431"/>
      <c r="N41" s="431"/>
    </row>
    <row r="42" spans="1:14" customFormat="1" ht="36" customHeight="1" x14ac:dyDescent="0.25">
      <c r="A42" s="2396"/>
      <c r="B42" s="2399" t="s">
        <v>67</v>
      </c>
      <c r="C42" s="2397"/>
      <c r="D42" s="4488" t="s">
        <v>1305</v>
      </c>
      <c r="E42" s="4489"/>
      <c r="F42" s="1355"/>
      <c r="G42" s="2823"/>
      <c r="H42" s="1355"/>
      <c r="I42" s="2938"/>
      <c r="J42" s="3428">
        <f t="shared" si="5"/>
        <v>0</v>
      </c>
      <c r="K42" s="3300"/>
      <c r="L42" s="2823"/>
      <c r="M42" s="2397"/>
    </row>
    <row r="43" spans="1:14" ht="18" customHeight="1" x14ac:dyDescent="0.25">
      <c r="A43" s="211"/>
      <c r="B43" s="333"/>
      <c r="C43" s="213" t="s">
        <v>47</v>
      </c>
      <c r="D43" s="228" t="s">
        <v>797</v>
      </c>
      <c r="E43" s="2379">
        <f>SUM(E44+E54)</f>
        <v>1478618961</v>
      </c>
      <c r="F43" s="2829">
        <f>G43-E43</f>
        <v>146546151</v>
      </c>
      <c r="G43" s="2379">
        <f t="shared" ref="G43:L43" si="21">SUM(G44+G54)</f>
        <v>1625165112</v>
      </c>
      <c r="H43" s="2829">
        <f t="shared" si="21"/>
        <v>62592258</v>
      </c>
      <c r="I43" s="2379">
        <f>SUM(I44+I54)</f>
        <v>1687757370</v>
      </c>
      <c r="J43" s="3428">
        <f t="shared" si="5"/>
        <v>0</v>
      </c>
      <c r="K43" s="2379">
        <f t="shared" si="21"/>
        <v>1687757370</v>
      </c>
      <c r="L43" s="2379">
        <f t="shared" si="21"/>
        <v>1681733790</v>
      </c>
      <c r="M43" s="431"/>
      <c r="N43" s="431"/>
    </row>
    <row r="44" spans="1:14" ht="18" customHeight="1" x14ac:dyDescent="0.25">
      <c r="A44" s="211"/>
      <c r="B44" s="333"/>
      <c r="C44" s="224" t="s">
        <v>1187</v>
      </c>
      <c r="D44" s="219" t="s">
        <v>1134</v>
      </c>
      <c r="E44" s="1197">
        <f>SUM(E45)+E52+E51</f>
        <v>5000000</v>
      </c>
      <c r="F44" s="2830">
        <f t="shared" ref="F44:F58" si="22">G44-E44</f>
        <v>963500</v>
      </c>
      <c r="G44" s="1197">
        <f t="shared" ref="G44:L44" si="23">SUM(G45)+G52</f>
        <v>5963500</v>
      </c>
      <c r="H44" s="2830">
        <f t="shared" si="23"/>
        <v>17000000</v>
      </c>
      <c r="I44" s="1197">
        <f t="shared" ref="I44" si="24">SUM(I45)+I52</f>
        <v>22963500</v>
      </c>
      <c r="J44" s="3428">
        <f t="shared" si="5"/>
        <v>0</v>
      </c>
      <c r="K44" s="1197">
        <f t="shared" si="23"/>
        <v>22963500</v>
      </c>
      <c r="L44" s="1197">
        <f t="shared" si="23"/>
        <v>16939920</v>
      </c>
      <c r="M44" s="431"/>
      <c r="N44" s="431"/>
    </row>
    <row r="45" spans="1:14" ht="18" customHeight="1" x14ac:dyDescent="0.25">
      <c r="A45" s="211"/>
      <c r="B45" s="333"/>
      <c r="C45" s="224" t="s">
        <v>1170</v>
      </c>
      <c r="D45" s="225" t="s">
        <v>763</v>
      </c>
      <c r="E45" s="1197">
        <f>SUM(E46)</f>
        <v>5000000</v>
      </c>
      <c r="F45" s="2830">
        <f t="shared" si="22"/>
        <v>963500</v>
      </c>
      <c r="G45" s="1197">
        <f t="shared" ref="G45:L45" si="25">SUM(G46)+G51+G49+G50</f>
        <v>5963500</v>
      </c>
      <c r="H45" s="2830">
        <f t="shared" si="25"/>
        <v>7000000</v>
      </c>
      <c r="I45" s="1197">
        <f t="shared" ref="I45" si="26">SUM(I46)+I51+I49+I50</f>
        <v>12963500</v>
      </c>
      <c r="J45" s="3428">
        <f t="shared" si="5"/>
        <v>0</v>
      </c>
      <c r="K45" s="1197">
        <f t="shared" si="25"/>
        <v>12963500</v>
      </c>
      <c r="L45" s="1197">
        <f t="shared" si="25"/>
        <v>6939920</v>
      </c>
      <c r="M45" s="431"/>
      <c r="N45" s="431"/>
    </row>
    <row r="46" spans="1:14" ht="18" customHeight="1" x14ac:dyDescent="0.25">
      <c r="A46" s="211"/>
      <c r="B46" s="333"/>
      <c r="C46" s="224" t="s">
        <v>1188</v>
      </c>
      <c r="D46" s="225" t="s">
        <v>1653</v>
      </c>
      <c r="E46" s="604">
        <f>SUM(E47:E48)</f>
        <v>5000000</v>
      </c>
      <c r="F46" s="2835">
        <f t="shared" si="22"/>
        <v>378000</v>
      </c>
      <c r="G46" s="604">
        <f t="shared" ref="G46:L46" si="27">SUM(G47:G48)</f>
        <v>5378000</v>
      </c>
      <c r="H46" s="2830">
        <f>SUM(H47:H48)</f>
        <v>6550000</v>
      </c>
      <c r="I46" s="1197">
        <f t="shared" ref="I46" si="28">SUM(I47:I48)</f>
        <v>11928000</v>
      </c>
      <c r="J46" s="3428">
        <f t="shared" si="5"/>
        <v>0</v>
      </c>
      <c r="K46" s="1197">
        <f t="shared" si="27"/>
        <v>11928000</v>
      </c>
      <c r="L46" s="604">
        <f t="shared" si="27"/>
        <v>5908000</v>
      </c>
      <c r="M46" s="431"/>
      <c r="N46" s="431"/>
    </row>
    <row r="47" spans="1:14" ht="18" customHeight="1" x14ac:dyDescent="0.25">
      <c r="A47" s="211"/>
      <c r="B47" s="333"/>
      <c r="C47" s="222" t="s">
        <v>1189</v>
      </c>
      <c r="D47" s="2358" t="s">
        <v>1191</v>
      </c>
      <c r="E47" s="2371">
        <v>3500000</v>
      </c>
      <c r="F47" s="2836">
        <f t="shared" si="22"/>
        <v>378000</v>
      </c>
      <c r="G47" s="2371">
        <f>3500000+378000</f>
        <v>3878000</v>
      </c>
      <c r="H47" s="2836">
        <f>I47-G47</f>
        <v>6050000</v>
      </c>
      <c r="I47" s="2391">
        <v>9928000</v>
      </c>
      <c r="J47" s="3428">
        <f t="shared" si="5"/>
        <v>0</v>
      </c>
      <c r="K47" s="2391">
        <v>9928000</v>
      </c>
      <c r="L47" s="2371">
        <v>3908000</v>
      </c>
      <c r="M47" s="431"/>
      <c r="N47" s="431"/>
    </row>
    <row r="48" spans="1:14" ht="18" customHeight="1" x14ac:dyDescent="0.25">
      <c r="A48" s="329"/>
      <c r="B48" s="330"/>
      <c r="C48" s="222" t="s">
        <v>1190</v>
      </c>
      <c r="D48" s="2358" t="s">
        <v>1192</v>
      </c>
      <c r="E48" s="2371">
        <v>1500000</v>
      </c>
      <c r="F48" s="2836">
        <f t="shared" si="22"/>
        <v>0</v>
      </c>
      <c r="G48" s="2371">
        <v>1500000</v>
      </c>
      <c r="H48" s="2836">
        <f>I48-G48</f>
        <v>500000</v>
      </c>
      <c r="I48" s="2391">
        <v>2000000</v>
      </c>
      <c r="J48" s="3428">
        <f t="shared" si="5"/>
        <v>0</v>
      </c>
      <c r="K48" s="2391">
        <v>2000000</v>
      </c>
      <c r="L48" s="2371">
        <v>2000000</v>
      </c>
      <c r="M48" s="431"/>
      <c r="N48" s="431"/>
    </row>
    <row r="49" spans="1:14" ht="18" customHeight="1" x14ac:dyDescent="0.25">
      <c r="A49" s="329"/>
      <c r="B49" s="330"/>
      <c r="C49" s="224" t="s">
        <v>1193</v>
      </c>
      <c r="D49" s="225" t="s">
        <v>1651</v>
      </c>
      <c r="E49" s="1197"/>
      <c r="F49" s="2831">
        <f>G49-E49</f>
        <v>555000</v>
      </c>
      <c r="G49" s="1197">
        <v>555000</v>
      </c>
      <c r="H49" s="2836">
        <f>I49-G49</f>
        <v>450000</v>
      </c>
      <c r="I49" s="1197">
        <v>1005000</v>
      </c>
      <c r="J49" s="3428">
        <f t="shared" si="5"/>
        <v>0</v>
      </c>
      <c r="K49" s="1197">
        <v>1005000</v>
      </c>
      <c r="L49" s="1197">
        <v>1001420</v>
      </c>
      <c r="M49" s="431"/>
      <c r="N49" s="431"/>
    </row>
    <row r="50" spans="1:14" ht="18" customHeight="1" x14ac:dyDescent="0.25">
      <c r="A50" s="329"/>
      <c r="B50" s="330"/>
      <c r="C50" s="224"/>
      <c r="D50" s="225" t="s">
        <v>1652</v>
      </c>
      <c r="E50" s="1197"/>
      <c r="F50" s="2830">
        <f>G50-E50</f>
        <v>30500</v>
      </c>
      <c r="G50" s="1197">
        <v>30500</v>
      </c>
      <c r="H50" s="2835">
        <f>I50-G50</f>
        <v>0</v>
      </c>
      <c r="I50" s="1197">
        <v>30500</v>
      </c>
      <c r="J50" s="3428">
        <f t="shared" si="5"/>
        <v>0</v>
      </c>
      <c r="K50" s="1197">
        <v>30500</v>
      </c>
      <c r="L50" s="1197">
        <v>30500</v>
      </c>
      <c r="M50" s="431"/>
      <c r="N50" s="431"/>
    </row>
    <row r="51" spans="1:14" ht="18" customHeight="1" x14ac:dyDescent="0.25">
      <c r="A51" s="329"/>
      <c r="B51" s="330"/>
      <c r="C51" s="224"/>
      <c r="D51" s="225" t="s">
        <v>1902</v>
      </c>
      <c r="E51" s="1197"/>
      <c r="F51" s="2830">
        <f t="shared" si="22"/>
        <v>0</v>
      </c>
      <c r="G51" s="1197"/>
      <c r="H51" s="2830">
        <f>I51-G51</f>
        <v>0</v>
      </c>
      <c r="I51" s="1197"/>
      <c r="J51" s="3428">
        <f t="shared" si="5"/>
        <v>0</v>
      </c>
      <c r="K51" s="1197"/>
      <c r="L51" s="1197"/>
      <c r="M51" s="431"/>
      <c r="N51" s="431"/>
    </row>
    <row r="52" spans="1:14" ht="30" x14ac:dyDescent="0.25">
      <c r="A52" s="329"/>
      <c r="B52" s="330"/>
      <c r="C52" s="224" t="s">
        <v>1194</v>
      </c>
      <c r="D52" s="177" t="s">
        <v>2012</v>
      </c>
      <c r="E52" s="1197">
        <f>SUM(E53)</f>
        <v>0</v>
      </c>
      <c r="F52" s="2830">
        <f t="shared" si="22"/>
        <v>0</v>
      </c>
      <c r="G52" s="1197">
        <f t="shared" ref="G52:L52" si="29">SUM(G53)</f>
        <v>0</v>
      </c>
      <c r="H52" s="2830">
        <f t="shared" si="29"/>
        <v>10000000</v>
      </c>
      <c r="I52" s="1197">
        <f t="shared" si="29"/>
        <v>10000000</v>
      </c>
      <c r="J52" s="3428">
        <f t="shared" si="5"/>
        <v>0</v>
      </c>
      <c r="K52" s="1197">
        <f t="shared" si="29"/>
        <v>10000000</v>
      </c>
      <c r="L52" s="1197">
        <f t="shared" si="29"/>
        <v>10000000</v>
      </c>
      <c r="M52" s="431"/>
      <c r="N52" s="431"/>
    </row>
    <row r="53" spans="1:14" ht="18" customHeight="1" x14ac:dyDescent="0.25">
      <c r="A53" s="329"/>
      <c r="B53" s="330"/>
      <c r="C53" s="209"/>
      <c r="D53" s="2386" t="s">
        <v>1063</v>
      </c>
      <c r="E53" s="1197"/>
      <c r="F53" s="2830">
        <f t="shared" si="22"/>
        <v>0</v>
      </c>
      <c r="G53" s="1197"/>
      <c r="H53" s="2830">
        <f>I53-G53</f>
        <v>10000000</v>
      </c>
      <c r="I53" s="1197">
        <v>10000000</v>
      </c>
      <c r="J53" s="3428">
        <f t="shared" si="5"/>
        <v>0</v>
      </c>
      <c r="K53" s="1197">
        <v>10000000</v>
      </c>
      <c r="L53" s="1197">
        <v>10000000</v>
      </c>
      <c r="M53" s="431"/>
      <c r="N53" s="431"/>
    </row>
    <row r="54" spans="1:14" ht="21" customHeight="1" x14ac:dyDescent="0.25">
      <c r="A54" s="329"/>
      <c r="B54" s="330"/>
      <c r="C54" s="209" t="s">
        <v>49</v>
      </c>
      <c r="D54" s="1846" t="s">
        <v>376</v>
      </c>
      <c r="E54" s="664">
        <f>SUM(E55+E56+E57)</f>
        <v>1473618961</v>
      </c>
      <c r="F54" s="2837">
        <f t="shared" si="22"/>
        <v>145582651</v>
      </c>
      <c r="G54" s="664">
        <f t="shared" ref="G54:L54" si="30">SUM(G55+G56+G57)</f>
        <v>1619201612</v>
      </c>
      <c r="H54" s="2837">
        <f t="shared" si="30"/>
        <v>45592258</v>
      </c>
      <c r="I54" s="3431">
        <f t="shared" si="30"/>
        <v>1664793870</v>
      </c>
      <c r="J54" s="3428">
        <f t="shared" si="5"/>
        <v>0</v>
      </c>
      <c r="K54" s="2379">
        <f t="shared" si="30"/>
        <v>1664793870</v>
      </c>
      <c r="L54" s="664">
        <f t="shared" si="30"/>
        <v>1664793870</v>
      </c>
      <c r="M54" s="431"/>
      <c r="N54" s="431"/>
    </row>
    <row r="55" spans="1:14" ht="38.25" customHeight="1" x14ac:dyDescent="0.25">
      <c r="A55" s="329"/>
      <c r="B55" s="330"/>
      <c r="C55" s="4245" t="s">
        <v>1195</v>
      </c>
      <c r="D55" s="4246" t="s">
        <v>377</v>
      </c>
      <c r="E55" s="3616">
        <f>SUM('5.10 sz. mell '!F40)</f>
        <v>95000000</v>
      </c>
      <c r="F55" s="3616">
        <f t="shared" si="22"/>
        <v>39409749</v>
      </c>
      <c r="G55" s="3616">
        <f>SUM('5.10 sz. mell '!H40)</f>
        <v>134409749</v>
      </c>
      <c r="H55" s="3616">
        <f>I55-G55</f>
        <v>95836464</v>
      </c>
      <c r="I55" s="3529">
        <f>SUM('5.10 sz. mell '!J40)</f>
        <v>230246213</v>
      </c>
      <c r="J55" s="3428">
        <f t="shared" si="5"/>
        <v>0</v>
      </c>
      <c r="K55" s="1197">
        <f>SUM('5.10 sz. mell '!L40)</f>
        <v>230246213</v>
      </c>
      <c r="L55" s="604">
        <f>SUM('5.10 sz. mell '!M40)</f>
        <v>230246213</v>
      </c>
      <c r="M55" s="431"/>
      <c r="N55" s="431"/>
    </row>
    <row r="56" spans="1:14" ht="38.25" customHeight="1" x14ac:dyDescent="0.25">
      <c r="A56" s="329"/>
      <c r="B56" s="330"/>
      <c r="C56" s="4245" t="s">
        <v>1196</v>
      </c>
      <c r="D56" s="4246" t="s">
        <v>378</v>
      </c>
      <c r="E56" s="4247">
        <f>SUM('5. sz. mell. '!F40-'5.10 sz. mell '!F40)</f>
        <v>831416660</v>
      </c>
      <c r="F56" s="4247">
        <f t="shared" si="22"/>
        <v>49040315</v>
      </c>
      <c r="G56" s="4247">
        <f>SUM('5. sz. mell. '!H40-'5.10 sz. mell '!H40)</f>
        <v>880456975</v>
      </c>
      <c r="H56" s="3616">
        <f>I56-G56</f>
        <v>627062</v>
      </c>
      <c r="I56" s="3529">
        <f>SUM('5. sz. mell. '!J40-'5.10 sz. mell '!J40)</f>
        <v>881084037</v>
      </c>
      <c r="J56" s="3428">
        <f t="shared" si="5"/>
        <v>0</v>
      </c>
      <c r="K56" s="1197">
        <f>SUM('5. sz. mell. '!L40-'5.10 sz. mell '!L40)</f>
        <v>881084037</v>
      </c>
      <c r="L56" s="1197">
        <f>SUM('5. sz. mell. '!M40-'5.10 sz. mell '!M40)</f>
        <v>881084037</v>
      </c>
      <c r="M56" s="431"/>
      <c r="N56" s="431"/>
    </row>
    <row r="57" spans="1:14" ht="38.25" customHeight="1" x14ac:dyDescent="0.25">
      <c r="A57" s="329"/>
      <c r="B57" s="330"/>
      <c r="C57" s="4245" t="s">
        <v>1197</v>
      </c>
      <c r="D57" s="4246" t="s">
        <v>379</v>
      </c>
      <c r="E57" s="4247">
        <f>SUM('4. sz. mell.'!F39)</f>
        <v>547202301</v>
      </c>
      <c r="F57" s="4247">
        <f t="shared" si="22"/>
        <v>57132587</v>
      </c>
      <c r="G57" s="4247">
        <f>SUM('4. sz. mell.'!H39)</f>
        <v>604334888</v>
      </c>
      <c r="H57" s="3616">
        <f>I57-G57</f>
        <v>-50871268</v>
      </c>
      <c r="I57" s="3529">
        <f>SUM('4. sz. mell.'!J39)</f>
        <v>553463620</v>
      </c>
      <c r="J57" s="3428">
        <f t="shared" si="5"/>
        <v>0</v>
      </c>
      <c r="K57" s="1197">
        <f>SUM('4. sz. mell.'!L39)</f>
        <v>553463620</v>
      </c>
      <c r="L57" s="1197">
        <f>SUM('4. sz. mell.'!M39)</f>
        <v>553463620</v>
      </c>
      <c r="M57" s="431"/>
      <c r="N57" s="431"/>
    </row>
    <row r="58" spans="1:14" ht="18.75" customHeight="1" x14ac:dyDescent="0.25">
      <c r="A58" s="329"/>
      <c r="B58" s="330"/>
      <c r="C58" s="209"/>
      <c r="D58" s="339" t="s">
        <v>517</v>
      </c>
      <c r="E58" s="338">
        <f>SUM(E43)</f>
        <v>1478618961</v>
      </c>
      <c r="F58" s="1356">
        <f t="shared" si="22"/>
        <v>146546151</v>
      </c>
      <c r="G58" s="338">
        <f t="shared" ref="G58:L58" si="31">SUM(G43)</f>
        <v>1625165112</v>
      </c>
      <c r="H58" s="1356">
        <f t="shared" si="31"/>
        <v>62592258</v>
      </c>
      <c r="I58" s="3431">
        <f t="shared" si="31"/>
        <v>1687757370</v>
      </c>
      <c r="J58" s="3428">
        <f t="shared" si="5"/>
        <v>0</v>
      </c>
      <c r="K58" s="1332">
        <f t="shared" si="31"/>
        <v>1687757370</v>
      </c>
      <c r="L58" s="338">
        <f t="shared" si="31"/>
        <v>1681733790</v>
      </c>
      <c r="M58" s="236"/>
      <c r="N58" s="236"/>
    </row>
    <row r="59" spans="1:14" customFormat="1" ht="36" customHeight="1" x14ac:dyDescent="0.25">
      <c r="A59" s="2396"/>
      <c r="B59" s="2399" t="s">
        <v>79</v>
      </c>
      <c r="C59" s="2397"/>
      <c r="D59" s="4488" t="s">
        <v>1306</v>
      </c>
      <c r="E59" s="4489"/>
      <c r="F59" s="2828"/>
      <c r="G59" s="2397"/>
      <c r="H59" s="3152"/>
      <c r="I59" s="2938"/>
      <c r="J59" s="3428">
        <f t="shared" si="5"/>
        <v>0</v>
      </c>
      <c r="K59" s="2397"/>
      <c r="L59" s="3053"/>
      <c r="M59" s="2397" t="e">
        <f>SUM(L59/G59)*100</f>
        <v>#DIV/0!</v>
      </c>
    </row>
    <row r="60" spans="1:14" ht="18.75" customHeight="1" x14ac:dyDescent="0.25">
      <c r="A60" s="211"/>
      <c r="B60" s="330"/>
      <c r="C60" s="213" t="s">
        <v>69</v>
      </c>
      <c r="D60" s="228" t="s">
        <v>797</v>
      </c>
      <c r="E60" s="2379">
        <f>SUM(E61:E63)</f>
        <v>20010120</v>
      </c>
      <c r="F60" s="2837">
        <f t="shared" ref="F60:F77" si="32">SUM(G60-E60)</f>
        <v>14211721</v>
      </c>
      <c r="G60" s="230">
        <f t="shared" ref="G60:L60" si="33">SUM(G61:G63)</f>
        <v>34221841</v>
      </c>
      <c r="H60" s="2837">
        <f t="shared" si="33"/>
        <v>16803575</v>
      </c>
      <c r="I60" s="2379">
        <f t="shared" si="33"/>
        <v>51025416</v>
      </c>
      <c r="J60" s="3428">
        <f t="shared" si="5"/>
        <v>0</v>
      </c>
      <c r="K60" s="632">
        <f t="shared" si="33"/>
        <v>51025416</v>
      </c>
      <c r="L60" s="230">
        <f t="shared" si="33"/>
        <v>39631115</v>
      </c>
      <c r="M60" s="1331">
        <f t="shared" ref="M60:M79" si="34">SUM(L60/G60)*100</f>
        <v>115.80649620807952</v>
      </c>
      <c r="N60" s="236"/>
    </row>
    <row r="61" spans="1:14" ht="16.5" x14ac:dyDescent="0.25">
      <c r="A61" s="211"/>
      <c r="B61" s="333"/>
      <c r="C61" s="234" t="s">
        <v>1171</v>
      </c>
      <c r="D61" s="219" t="s">
        <v>370</v>
      </c>
      <c r="E61" s="220">
        <v>7460000</v>
      </c>
      <c r="F61" s="1355">
        <f t="shared" si="32"/>
        <v>11892653</v>
      </c>
      <c r="G61" s="220">
        <v>19352653</v>
      </c>
      <c r="H61" s="1347">
        <f>I61-G61</f>
        <v>14053581</v>
      </c>
      <c r="I61" s="344">
        <v>33406234</v>
      </c>
      <c r="J61" s="3428">
        <f t="shared" si="5"/>
        <v>0</v>
      </c>
      <c r="K61" s="344">
        <v>33406234</v>
      </c>
      <c r="L61" s="220">
        <v>29304945</v>
      </c>
      <c r="M61" s="1331">
        <f t="shared" si="34"/>
        <v>151.42598278385915</v>
      </c>
      <c r="N61" s="236"/>
    </row>
    <row r="62" spans="1:14" ht="16.5" x14ac:dyDescent="0.25">
      <c r="A62" s="211"/>
      <c r="B62" s="333"/>
      <c r="C62" s="234" t="s">
        <v>1198</v>
      </c>
      <c r="D62" s="219" t="s">
        <v>408</v>
      </c>
      <c r="E62" s="220">
        <v>1577320</v>
      </c>
      <c r="F62" s="1355">
        <f t="shared" si="32"/>
        <v>2319068</v>
      </c>
      <c r="G62" s="220">
        <v>3896388</v>
      </c>
      <c r="H62" s="1347">
        <f>I62-G62</f>
        <v>2749994</v>
      </c>
      <c r="I62" s="344">
        <v>6646382</v>
      </c>
      <c r="J62" s="3428">
        <f t="shared" si="5"/>
        <v>0</v>
      </c>
      <c r="K62" s="344">
        <v>6646382</v>
      </c>
      <c r="L62" s="220">
        <v>3316680</v>
      </c>
      <c r="M62" s="1331">
        <f t="shared" si="34"/>
        <v>85.121912910110595</v>
      </c>
      <c r="N62" s="236"/>
    </row>
    <row r="63" spans="1:14" ht="16.5" x14ac:dyDescent="0.25">
      <c r="A63" s="211"/>
      <c r="B63" s="333"/>
      <c r="C63" s="234" t="s">
        <v>1199</v>
      </c>
      <c r="D63" s="219" t="s">
        <v>240</v>
      </c>
      <c r="E63" s="220">
        <v>10972800</v>
      </c>
      <c r="F63" s="1355">
        <f t="shared" si="32"/>
        <v>0</v>
      </c>
      <c r="G63" s="220">
        <v>10972800</v>
      </c>
      <c r="H63" s="1347">
        <f>I63-G63</f>
        <v>0</v>
      </c>
      <c r="I63" s="344">
        <v>10972800</v>
      </c>
      <c r="J63" s="3428">
        <f t="shared" si="5"/>
        <v>0</v>
      </c>
      <c r="K63" s="344">
        <v>10972800</v>
      </c>
      <c r="L63" s="220">
        <v>7009490</v>
      </c>
      <c r="M63" s="1331">
        <f t="shared" si="34"/>
        <v>63.880595654709829</v>
      </c>
      <c r="N63" s="236"/>
    </row>
    <row r="64" spans="1:14" ht="16.5" x14ac:dyDescent="0.25">
      <c r="A64" s="211"/>
      <c r="B64" s="333"/>
      <c r="C64" s="213" t="s">
        <v>71</v>
      </c>
      <c r="D64" s="228" t="s">
        <v>182</v>
      </c>
      <c r="E64" s="2379"/>
      <c r="F64" s="2837">
        <f>SUM(G64-E64)</f>
        <v>0</v>
      </c>
      <c r="G64" s="230"/>
      <c r="H64" s="1347">
        <f>I64-G64</f>
        <v>0</v>
      </c>
      <c r="I64" s="2938"/>
      <c r="J64" s="3428">
        <f t="shared" si="5"/>
        <v>0</v>
      </c>
      <c r="K64" s="632"/>
      <c r="L64" s="230"/>
      <c r="M64" s="1331" t="e">
        <f t="shared" si="34"/>
        <v>#DIV/0!</v>
      </c>
      <c r="N64" s="236"/>
    </row>
    <row r="65" spans="1:14" ht="15.75" customHeight="1" x14ac:dyDescent="0.25">
      <c r="A65" s="211"/>
      <c r="B65" s="333"/>
      <c r="C65" s="234"/>
      <c r="D65" s="339" t="s">
        <v>517</v>
      </c>
      <c r="E65" s="338">
        <f>SUM(E61:E64)</f>
        <v>20010120</v>
      </c>
      <c r="F65" s="1356">
        <f t="shared" si="32"/>
        <v>14211721</v>
      </c>
      <c r="G65" s="338">
        <f t="shared" ref="G65:L65" si="35">SUM(G61:G64)</f>
        <v>34221841</v>
      </c>
      <c r="H65" s="1356">
        <f t="shared" si="35"/>
        <v>16803575</v>
      </c>
      <c r="I65" s="338">
        <f t="shared" si="35"/>
        <v>51025416</v>
      </c>
      <c r="J65" s="3428">
        <f t="shared" si="5"/>
        <v>0</v>
      </c>
      <c r="K65" s="1332">
        <f t="shared" si="35"/>
        <v>51025416</v>
      </c>
      <c r="L65" s="338">
        <f t="shared" si="35"/>
        <v>39631115</v>
      </c>
      <c r="M65" s="1331">
        <f t="shared" si="34"/>
        <v>115.80649620807952</v>
      </c>
      <c r="N65" s="236"/>
    </row>
    <row r="66" spans="1:14" ht="16.5" x14ac:dyDescent="0.25">
      <c r="A66" s="211"/>
      <c r="B66" s="330"/>
      <c r="C66" s="210"/>
      <c r="D66" s="340" t="s">
        <v>518</v>
      </c>
      <c r="E66" s="238">
        <v>30</v>
      </c>
      <c r="F66" s="1355"/>
      <c r="G66" s="238">
        <v>30</v>
      </c>
      <c r="H66" s="3154">
        <v>30</v>
      </c>
      <c r="I66" s="1333">
        <v>24</v>
      </c>
      <c r="J66" s="3428">
        <f t="shared" si="5"/>
        <v>0</v>
      </c>
      <c r="K66" s="1333">
        <v>24</v>
      </c>
      <c r="L66" s="238">
        <v>24</v>
      </c>
      <c r="M66" s="1331">
        <f t="shared" si="34"/>
        <v>80</v>
      </c>
      <c r="N66" s="236"/>
    </row>
    <row r="67" spans="1:14" customFormat="1" ht="36" customHeight="1" x14ac:dyDescent="0.25">
      <c r="A67" s="2396"/>
      <c r="B67" s="2399" t="s">
        <v>89</v>
      </c>
      <c r="C67" s="2397"/>
      <c r="D67" s="4488" t="s">
        <v>1307</v>
      </c>
      <c r="E67" s="4489"/>
      <c r="F67" s="1355"/>
      <c r="G67" s="2823"/>
      <c r="H67" s="1347"/>
      <c r="I67" s="2938"/>
      <c r="J67" s="3428">
        <f t="shared" si="5"/>
        <v>0</v>
      </c>
      <c r="K67" s="3300"/>
      <c r="L67" s="2823"/>
      <c r="M67" s="2397" t="e">
        <f t="shared" si="34"/>
        <v>#DIV/0!</v>
      </c>
    </row>
    <row r="68" spans="1:14" ht="16.5" x14ac:dyDescent="0.25">
      <c r="A68" s="211"/>
      <c r="B68" s="333"/>
      <c r="C68" s="213" t="s">
        <v>81</v>
      </c>
      <c r="D68" s="228" t="s">
        <v>182</v>
      </c>
      <c r="E68" s="2379">
        <f>SUM(E69:E71)</f>
        <v>62500000</v>
      </c>
      <c r="F68" s="2837">
        <f t="shared" si="32"/>
        <v>79539941</v>
      </c>
      <c r="G68" s="230">
        <f t="shared" ref="G68:L68" si="36">SUM(G69:G71)</f>
        <v>142039941</v>
      </c>
      <c r="H68" s="2837">
        <f t="shared" si="36"/>
        <v>78014435</v>
      </c>
      <c r="I68" s="2379">
        <f t="shared" si="36"/>
        <v>220054376</v>
      </c>
      <c r="J68" s="3428">
        <f t="shared" si="5"/>
        <v>0</v>
      </c>
      <c r="K68" s="632">
        <f t="shared" si="36"/>
        <v>220054376</v>
      </c>
      <c r="L68" s="230">
        <f t="shared" si="36"/>
        <v>148653225</v>
      </c>
      <c r="M68" s="1331">
        <f t="shared" si="34"/>
        <v>104.65593265770225</v>
      </c>
      <c r="N68" s="236"/>
    </row>
    <row r="69" spans="1:14" ht="16.5" x14ac:dyDescent="0.25">
      <c r="A69" s="211"/>
      <c r="B69" s="333"/>
      <c r="C69" s="234" t="s">
        <v>1172</v>
      </c>
      <c r="D69" s="219" t="s">
        <v>513</v>
      </c>
      <c r="E69" s="220">
        <f>SUM('6.1.sz.mell. '!H5)</f>
        <v>25000000</v>
      </c>
      <c r="F69" s="1355">
        <f t="shared" si="32"/>
        <v>5216575</v>
      </c>
      <c r="G69" s="220">
        <f>'6.1.sz.mell. '!J97</f>
        <v>30216575</v>
      </c>
      <c r="H69" s="2835">
        <f>I69-G69</f>
        <v>26329258</v>
      </c>
      <c r="I69" s="344">
        <f>'6.1.sz.mell. '!L97</f>
        <v>56545833</v>
      </c>
      <c r="J69" s="3428">
        <f t="shared" si="5"/>
        <v>0</v>
      </c>
      <c r="K69" s="344">
        <f>'6.1.sz.mell. '!N97</f>
        <v>56545833</v>
      </c>
      <c r="L69" s="220">
        <f>'6.1.sz.mell. '!O97</f>
        <v>54138021</v>
      </c>
      <c r="M69" s="1331">
        <f t="shared" si="34"/>
        <v>179.16663619222231</v>
      </c>
      <c r="N69" s="236"/>
    </row>
    <row r="70" spans="1:14" ht="16.5" x14ac:dyDescent="0.25">
      <c r="A70" s="211"/>
      <c r="B70" s="333"/>
      <c r="C70" s="4255" t="s">
        <v>1173</v>
      </c>
      <c r="D70" s="4256" t="s">
        <v>515</v>
      </c>
      <c r="E70" s="3616">
        <f>SUM('6.2.sz.mell.'!H60)+'6.2.sz.mell.'!H59+'6.2.sz.mell.'!H58+'6.2.sz.mell.'!H57+'6.2.sz.mell.'!H61</f>
        <v>37500000</v>
      </c>
      <c r="F70" s="4257">
        <f t="shared" si="32"/>
        <v>74323366</v>
      </c>
      <c r="G70" s="3616">
        <f>'6.2.sz.mell.'!J215</f>
        <v>111823366</v>
      </c>
      <c r="H70" s="3616">
        <f>I70-G70</f>
        <v>51685177</v>
      </c>
      <c r="I70" s="4247">
        <f>'6.2.sz.mell.'!L215</f>
        <v>163508543</v>
      </c>
      <c r="J70" s="3428">
        <f t="shared" si="5"/>
        <v>0</v>
      </c>
      <c r="K70" s="344">
        <f>'6.2.sz.mell.'!N215</f>
        <v>163508543</v>
      </c>
      <c r="L70" s="3070">
        <f>'6.2.sz.mell.'!O215</f>
        <v>94515204</v>
      </c>
      <c r="M70" s="1331">
        <f t="shared" si="34"/>
        <v>84.52187354117028</v>
      </c>
      <c r="N70" s="236"/>
    </row>
    <row r="71" spans="1:14" ht="16.5" customHeight="1" x14ac:dyDescent="0.25">
      <c r="A71" s="211"/>
      <c r="B71" s="333"/>
      <c r="C71" s="234" t="s">
        <v>1200</v>
      </c>
      <c r="D71" s="219" t="s">
        <v>444</v>
      </c>
      <c r="E71" s="220"/>
      <c r="F71" s="1355">
        <f t="shared" si="32"/>
        <v>0</v>
      </c>
      <c r="G71" s="220"/>
      <c r="H71" s="1347">
        <f t="shared" ref="H71:H76" si="37">SUM(I71-G71)</f>
        <v>0</v>
      </c>
      <c r="I71" s="2938"/>
      <c r="J71" s="3428">
        <f t="shared" si="5"/>
        <v>0</v>
      </c>
      <c r="K71" s="344"/>
      <c r="L71" s="220"/>
      <c r="M71" s="1331" t="e">
        <f t="shared" si="34"/>
        <v>#DIV/0!</v>
      </c>
      <c r="N71" s="236"/>
    </row>
    <row r="72" spans="1:14" ht="16.5" x14ac:dyDescent="0.25">
      <c r="A72" s="211"/>
      <c r="B72" s="333"/>
      <c r="C72" s="234"/>
      <c r="D72" s="339" t="s">
        <v>517</v>
      </c>
      <c r="E72" s="338">
        <f>SUM(E68)</f>
        <v>62500000</v>
      </c>
      <c r="F72" s="1356">
        <f t="shared" si="32"/>
        <v>79539941</v>
      </c>
      <c r="G72" s="338">
        <f t="shared" ref="G72:L72" si="38">SUM(G68)</f>
        <v>142039941</v>
      </c>
      <c r="H72" s="1356">
        <f t="shared" si="38"/>
        <v>78014435</v>
      </c>
      <c r="I72" s="338">
        <f t="shared" si="38"/>
        <v>220054376</v>
      </c>
      <c r="J72" s="3428">
        <f t="shared" si="5"/>
        <v>0</v>
      </c>
      <c r="K72" s="1332">
        <f t="shared" si="38"/>
        <v>220054376</v>
      </c>
      <c r="L72" s="338">
        <f t="shared" si="38"/>
        <v>148653225</v>
      </c>
      <c r="M72" s="1331">
        <f t="shared" si="34"/>
        <v>104.65593265770225</v>
      </c>
      <c r="N72" s="236"/>
    </row>
    <row r="73" spans="1:14" ht="16.5" x14ac:dyDescent="0.25">
      <c r="A73" s="211"/>
      <c r="B73" s="330"/>
      <c r="C73" s="210"/>
      <c r="D73" s="340" t="s">
        <v>518</v>
      </c>
      <c r="E73" s="239"/>
      <c r="F73" s="1355"/>
      <c r="G73" s="239"/>
      <c r="H73" s="1347">
        <f t="shared" si="37"/>
        <v>0</v>
      </c>
      <c r="I73" s="2938"/>
      <c r="J73" s="3428">
        <f t="shared" ref="J73:J136" si="39">K73-I73</f>
        <v>0</v>
      </c>
      <c r="K73" s="1200"/>
      <c r="L73" s="239"/>
      <c r="M73" s="1331" t="e">
        <f t="shared" si="34"/>
        <v>#DIV/0!</v>
      </c>
      <c r="N73" s="509"/>
    </row>
    <row r="74" spans="1:14" customFormat="1" ht="36" customHeight="1" x14ac:dyDescent="0.25">
      <c r="A74" s="2396"/>
      <c r="B74" s="2399" t="s">
        <v>99</v>
      </c>
      <c r="C74" s="2397"/>
      <c r="D74" s="4488" t="s">
        <v>1148</v>
      </c>
      <c r="E74" s="4489"/>
      <c r="F74" s="1355"/>
      <c r="G74" s="2823"/>
      <c r="H74" s="1347"/>
      <c r="I74" s="2938"/>
      <c r="J74" s="3428">
        <f t="shared" si="39"/>
        <v>0</v>
      </c>
      <c r="K74" s="3300"/>
      <c r="L74" s="2823"/>
      <c r="M74" s="2397" t="e">
        <f t="shared" si="34"/>
        <v>#DIV/0!</v>
      </c>
    </row>
    <row r="75" spans="1:14" ht="16.5" customHeight="1" x14ac:dyDescent="0.25">
      <c r="A75" s="211"/>
      <c r="B75" s="330"/>
      <c r="C75" s="213" t="s">
        <v>91</v>
      </c>
      <c r="D75" s="228" t="s">
        <v>797</v>
      </c>
      <c r="E75" s="2379">
        <f>SUM(E76:E76)</f>
        <v>40000000</v>
      </c>
      <c r="F75" s="2837">
        <f t="shared" si="32"/>
        <v>10981662</v>
      </c>
      <c r="G75" s="230">
        <f t="shared" ref="G75:L75" si="40">SUM(G76:G76)</f>
        <v>50981662</v>
      </c>
      <c r="H75" s="2837">
        <f t="shared" si="40"/>
        <v>18837310</v>
      </c>
      <c r="I75" s="2379">
        <f t="shared" si="40"/>
        <v>69818972</v>
      </c>
      <c r="J75" s="3428">
        <f t="shared" si="39"/>
        <v>0</v>
      </c>
      <c r="K75" s="632">
        <f t="shared" si="40"/>
        <v>69818972</v>
      </c>
      <c r="L75" s="230">
        <f t="shared" si="40"/>
        <v>40572158</v>
      </c>
      <c r="M75" s="1331">
        <f t="shared" si="34"/>
        <v>79.581866122763913</v>
      </c>
      <c r="N75" s="509"/>
    </row>
    <row r="76" spans="1:14" ht="16.5" x14ac:dyDescent="0.25">
      <c r="A76" s="211"/>
      <c r="B76" s="333"/>
      <c r="C76" s="234" t="s">
        <v>1201</v>
      </c>
      <c r="D76" s="219" t="s">
        <v>240</v>
      </c>
      <c r="E76" s="220">
        <v>40000000</v>
      </c>
      <c r="F76" s="1355">
        <f t="shared" si="32"/>
        <v>10981662</v>
      </c>
      <c r="G76" s="220">
        <v>50981662</v>
      </c>
      <c r="H76" s="1347">
        <f t="shared" si="37"/>
        <v>18837310</v>
      </c>
      <c r="I76" s="344">
        <v>69818972</v>
      </c>
      <c r="J76" s="3428">
        <f t="shared" si="39"/>
        <v>0</v>
      </c>
      <c r="K76" s="344">
        <v>69818972</v>
      </c>
      <c r="L76" s="220">
        <v>40572158</v>
      </c>
      <c r="M76" s="1331">
        <f t="shared" si="34"/>
        <v>79.581866122763913</v>
      </c>
      <c r="N76" s="509"/>
    </row>
    <row r="77" spans="1:14" ht="16.5" x14ac:dyDescent="0.25">
      <c r="A77" s="211"/>
      <c r="B77" s="333"/>
      <c r="C77" s="234"/>
      <c r="D77" s="339" t="s">
        <v>517</v>
      </c>
      <c r="E77" s="338">
        <f>SUM(E75)</f>
        <v>40000000</v>
      </c>
      <c r="F77" s="1356">
        <f t="shared" si="32"/>
        <v>10981662</v>
      </c>
      <c r="G77" s="338">
        <f t="shared" ref="G77:L77" si="41">SUM(G75)</f>
        <v>50981662</v>
      </c>
      <c r="H77" s="1356">
        <f t="shared" si="41"/>
        <v>18837310</v>
      </c>
      <c r="I77" s="338">
        <f t="shared" si="41"/>
        <v>69818972</v>
      </c>
      <c r="J77" s="3428">
        <f t="shared" si="39"/>
        <v>0</v>
      </c>
      <c r="K77" s="1332">
        <f t="shared" si="41"/>
        <v>69818972</v>
      </c>
      <c r="L77" s="338">
        <f t="shared" si="41"/>
        <v>40572158</v>
      </c>
      <c r="M77" s="1331">
        <f t="shared" si="34"/>
        <v>79.581866122763913</v>
      </c>
      <c r="N77" s="509"/>
    </row>
    <row r="78" spans="1:14" ht="16.5" x14ac:dyDescent="0.25">
      <c r="A78" s="211"/>
      <c r="B78" s="330"/>
      <c r="C78" s="210"/>
      <c r="D78" s="340" t="s">
        <v>518</v>
      </c>
      <c r="E78" s="238"/>
      <c r="F78" s="1355"/>
      <c r="G78" s="238"/>
      <c r="H78" s="1347">
        <f>SUM(I78-G78)</f>
        <v>0</v>
      </c>
      <c r="I78" s="2938"/>
      <c r="J78" s="3428">
        <f t="shared" si="39"/>
        <v>0</v>
      </c>
      <c r="K78" s="1333"/>
      <c r="L78" s="238"/>
      <c r="M78" s="1331" t="e">
        <f t="shared" si="34"/>
        <v>#DIV/0!</v>
      </c>
      <c r="N78" s="509"/>
    </row>
    <row r="79" spans="1:14" customFormat="1" ht="27.75" customHeight="1" x14ac:dyDescent="0.25">
      <c r="A79" s="2396"/>
      <c r="B79" s="2399" t="s">
        <v>101</v>
      </c>
      <c r="C79" s="2397"/>
      <c r="D79" s="4488" t="s">
        <v>1118</v>
      </c>
      <c r="E79" s="4489"/>
      <c r="F79" s="1355"/>
      <c r="G79" s="2823"/>
      <c r="H79" s="1347"/>
      <c r="I79" s="2938"/>
      <c r="J79" s="3428">
        <f t="shared" si="39"/>
        <v>0</v>
      </c>
      <c r="K79" s="3300"/>
      <c r="L79" s="2823"/>
      <c r="M79" s="2397" t="e">
        <f t="shared" si="34"/>
        <v>#DIV/0!</v>
      </c>
    </row>
    <row r="80" spans="1:14" ht="16.5" customHeight="1" x14ac:dyDescent="0.25">
      <c r="A80" s="211"/>
      <c r="B80" s="330"/>
      <c r="C80" s="213" t="s">
        <v>1202</v>
      </c>
      <c r="D80" s="228" t="s">
        <v>797</v>
      </c>
      <c r="E80" s="2379">
        <f>SUM(E81:E81)</f>
        <v>38100000</v>
      </c>
      <c r="F80" s="2837">
        <f t="shared" ref="F80:F85" si="42">SUM(G80-E80)</f>
        <v>0</v>
      </c>
      <c r="G80" s="230">
        <f t="shared" ref="G80:L80" si="43">SUM(G81:G81)</f>
        <v>38100000</v>
      </c>
      <c r="H80" s="2837">
        <f t="shared" si="43"/>
        <v>217135</v>
      </c>
      <c r="I80" s="2379">
        <f t="shared" si="43"/>
        <v>38317135</v>
      </c>
      <c r="J80" s="3428">
        <f t="shared" si="39"/>
        <v>0</v>
      </c>
      <c r="K80" s="632">
        <f t="shared" si="43"/>
        <v>38317135</v>
      </c>
      <c r="L80" s="230">
        <f t="shared" si="43"/>
        <v>27969836</v>
      </c>
      <c r="M80" s="1331">
        <f t="shared" ref="M80:M93" si="44">SUM(L80/G80)*100</f>
        <v>73.411643044619424</v>
      </c>
      <c r="N80" s="236"/>
    </row>
    <row r="81" spans="1:14" ht="16.5" x14ac:dyDescent="0.25">
      <c r="A81" s="211"/>
      <c r="B81" s="333"/>
      <c r="C81" s="234" t="s">
        <v>1203</v>
      </c>
      <c r="D81" s="219" t="s">
        <v>240</v>
      </c>
      <c r="E81" s="220">
        <v>38100000</v>
      </c>
      <c r="F81" s="2835">
        <f t="shared" si="42"/>
        <v>0</v>
      </c>
      <c r="G81" s="220">
        <v>38100000</v>
      </c>
      <c r="H81" s="1347">
        <f>I81-G81</f>
        <v>217135</v>
      </c>
      <c r="I81" s="344">
        <v>38317135</v>
      </c>
      <c r="J81" s="3428">
        <f t="shared" si="39"/>
        <v>0</v>
      </c>
      <c r="K81" s="344">
        <v>38317135</v>
      </c>
      <c r="L81" s="220">
        <v>27969836</v>
      </c>
      <c r="M81" s="1331">
        <f t="shared" si="44"/>
        <v>73.411643044619424</v>
      </c>
      <c r="N81" s="236"/>
    </row>
    <row r="82" spans="1:14" ht="16.5" x14ac:dyDescent="0.25">
      <c r="A82" s="211"/>
      <c r="B82" s="333"/>
      <c r="C82" s="213" t="s">
        <v>1204</v>
      </c>
      <c r="D82" s="228" t="s">
        <v>182</v>
      </c>
      <c r="E82" s="2379">
        <f>SUM(E83:E84)</f>
        <v>3000000</v>
      </c>
      <c r="F82" s="2837">
        <f t="shared" si="42"/>
        <v>700000</v>
      </c>
      <c r="G82" s="230">
        <f t="shared" ref="G82:L82" si="45">SUM(G83:G84)</f>
        <v>3700000</v>
      </c>
      <c r="H82" s="2837">
        <f t="shared" si="45"/>
        <v>34617135</v>
      </c>
      <c r="I82" s="632">
        <f t="shared" ref="I82" si="46">SUM(I83:I84)</f>
        <v>0</v>
      </c>
      <c r="J82" s="3428">
        <f t="shared" si="39"/>
        <v>0</v>
      </c>
      <c r="K82" s="632">
        <f t="shared" si="45"/>
        <v>0</v>
      </c>
      <c r="L82" s="230">
        <f t="shared" si="45"/>
        <v>0</v>
      </c>
      <c r="M82" s="1331">
        <f t="shared" si="44"/>
        <v>0</v>
      </c>
      <c r="N82" s="236"/>
    </row>
    <row r="83" spans="1:14" ht="16.5" x14ac:dyDescent="0.25">
      <c r="A83" s="211"/>
      <c r="B83" s="333"/>
      <c r="C83" s="2397" t="s">
        <v>1205</v>
      </c>
      <c r="D83" s="219" t="s">
        <v>513</v>
      </c>
      <c r="E83" s="220"/>
      <c r="F83" s="2835">
        <f t="shared" si="42"/>
        <v>0</v>
      </c>
      <c r="G83" s="220"/>
      <c r="H83" s="2835"/>
      <c r="I83" s="344"/>
      <c r="J83" s="3428">
        <f t="shared" si="39"/>
        <v>0</v>
      </c>
      <c r="K83" s="344"/>
      <c r="L83" s="220"/>
      <c r="M83" s="1331"/>
      <c r="N83" s="236"/>
    </row>
    <row r="84" spans="1:14" ht="16.5" x14ac:dyDescent="0.25">
      <c r="A84" s="211"/>
      <c r="B84" s="333"/>
      <c r="C84" s="4258" t="s">
        <v>1206</v>
      </c>
      <c r="D84" s="4256" t="s">
        <v>515</v>
      </c>
      <c r="E84" s="3616">
        <f>SUM('6.2.sz.mell.'!H11)</f>
        <v>3000000</v>
      </c>
      <c r="F84" s="3616">
        <f t="shared" si="42"/>
        <v>700000</v>
      </c>
      <c r="G84" s="3616">
        <f>'6.2.sz.mell.'!J216</f>
        <v>3700000</v>
      </c>
      <c r="H84" s="3616">
        <f>I85-G84</f>
        <v>34617135</v>
      </c>
      <c r="I84" s="3616">
        <f>'6.2.sz.mell.'!L216</f>
        <v>0</v>
      </c>
      <c r="J84" s="3428">
        <f t="shared" si="39"/>
        <v>0</v>
      </c>
      <c r="K84">
        <f>'6.2.sz.mell.'!N216</f>
        <v>0</v>
      </c>
      <c r="L84" s="220">
        <f>'6.2.sz.mell.'!O216</f>
        <v>0</v>
      </c>
      <c r="M84" s="1331"/>
      <c r="N84" s="236"/>
    </row>
    <row r="85" spans="1:14" ht="16.5" x14ac:dyDescent="0.25">
      <c r="A85" s="211"/>
      <c r="B85" s="333"/>
      <c r="C85" s="234"/>
      <c r="D85" s="339" t="s">
        <v>517</v>
      </c>
      <c r="E85" s="338">
        <f>SUM(E80+E82)</f>
        <v>41100000</v>
      </c>
      <c r="F85" s="1356">
        <f t="shared" si="42"/>
        <v>700000</v>
      </c>
      <c r="G85" s="338">
        <f t="shared" ref="G85:L85" si="47">SUM(G80+G82)</f>
        <v>41800000</v>
      </c>
      <c r="H85" s="1356">
        <f t="shared" si="47"/>
        <v>34834270</v>
      </c>
      <c r="I85" s="338">
        <f t="shared" si="47"/>
        <v>38317135</v>
      </c>
      <c r="J85" s="3428">
        <f t="shared" si="39"/>
        <v>0</v>
      </c>
      <c r="K85" s="1332">
        <f t="shared" si="47"/>
        <v>38317135</v>
      </c>
      <c r="L85" s="338">
        <f t="shared" si="47"/>
        <v>27969836</v>
      </c>
      <c r="M85" s="1331">
        <f t="shared" si="44"/>
        <v>66.91348325358851</v>
      </c>
      <c r="N85" s="236"/>
    </row>
    <row r="86" spans="1:14" ht="16.5" x14ac:dyDescent="0.25">
      <c r="A86" s="211"/>
      <c r="B86" s="330"/>
      <c r="C86" s="210"/>
      <c r="D86" s="340" t="s">
        <v>518</v>
      </c>
      <c r="E86" s="238">
        <v>0</v>
      </c>
      <c r="F86" s="1355"/>
      <c r="G86" s="238"/>
      <c r="H86" s="1347"/>
      <c r="I86" s="2938"/>
      <c r="J86" s="3428">
        <f t="shared" si="39"/>
        <v>0</v>
      </c>
      <c r="K86" s="1333"/>
      <c r="L86" s="238"/>
      <c r="M86" s="1331"/>
      <c r="N86" s="236"/>
    </row>
    <row r="87" spans="1:14" customFormat="1" ht="28.5" customHeight="1" x14ac:dyDescent="0.25">
      <c r="A87" s="2396"/>
      <c r="B87" s="2399" t="s">
        <v>109</v>
      </c>
      <c r="C87" s="2397"/>
      <c r="D87" s="4488" t="s">
        <v>1119</v>
      </c>
      <c r="E87" s="4489"/>
      <c r="F87" s="1355"/>
      <c r="G87" s="2823"/>
      <c r="H87" s="1347"/>
      <c r="I87" s="2938"/>
      <c r="J87" s="3428">
        <f t="shared" si="39"/>
        <v>0</v>
      </c>
      <c r="K87" s="3300"/>
      <c r="L87" s="2823"/>
      <c r="M87" s="2397" t="e">
        <f t="shared" si="44"/>
        <v>#DIV/0!</v>
      </c>
    </row>
    <row r="88" spans="1:14" ht="16.5" customHeight="1" x14ac:dyDescent="0.25">
      <c r="A88" s="211"/>
      <c r="B88" s="330"/>
      <c r="C88" s="213" t="s">
        <v>103</v>
      </c>
      <c r="D88" s="228" t="s">
        <v>797</v>
      </c>
      <c r="E88" s="2379">
        <f>SUM(E89:E89)</f>
        <v>52324000</v>
      </c>
      <c r="F88" s="2837">
        <f>SUM(G88-E88)</f>
        <v>11045374</v>
      </c>
      <c r="G88" s="230">
        <f t="shared" ref="G88:L88" si="48">SUM(G89:G89)</f>
        <v>63369374</v>
      </c>
      <c r="H88" s="2837">
        <f t="shared" si="48"/>
        <v>7464499</v>
      </c>
      <c r="I88" s="2379">
        <f t="shared" si="48"/>
        <v>70833873</v>
      </c>
      <c r="J88" s="3428">
        <f t="shared" si="39"/>
        <v>0</v>
      </c>
      <c r="K88" s="632">
        <f t="shared" si="48"/>
        <v>70833873</v>
      </c>
      <c r="L88" s="230">
        <f t="shared" si="48"/>
        <v>53494966</v>
      </c>
      <c r="M88" s="1331">
        <f t="shared" si="44"/>
        <v>84.417696788357105</v>
      </c>
      <c r="N88" s="236"/>
    </row>
    <row r="89" spans="1:14" ht="16.5" x14ac:dyDescent="0.25">
      <c r="A89" s="211"/>
      <c r="B89" s="333"/>
      <c r="C89" s="234" t="s">
        <v>1207</v>
      </c>
      <c r="D89" s="219" t="s">
        <v>240</v>
      </c>
      <c r="E89" s="220">
        <v>52324000</v>
      </c>
      <c r="F89" s="1355">
        <f>SUM(G89-E89)</f>
        <v>11045374</v>
      </c>
      <c r="G89" s="220">
        <v>63369374</v>
      </c>
      <c r="H89" s="1347">
        <f>SUM(I89-G89)</f>
        <v>7464499</v>
      </c>
      <c r="I89" s="344">
        <v>70833873</v>
      </c>
      <c r="J89" s="3428">
        <f t="shared" si="39"/>
        <v>0</v>
      </c>
      <c r="K89" s="344">
        <v>70833873</v>
      </c>
      <c r="L89" s="220">
        <v>53494966</v>
      </c>
      <c r="M89" s="1331">
        <f t="shared" si="44"/>
        <v>84.417696788357105</v>
      </c>
      <c r="N89" s="236"/>
    </row>
    <row r="90" spans="1:14" ht="16.5" x14ac:dyDescent="0.25">
      <c r="A90" s="211"/>
      <c r="B90" s="333"/>
      <c r="C90" s="213" t="s">
        <v>105</v>
      </c>
      <c r="D90" s="228" t="s">
        <v>182</v>
      </c>
      <c r="E90" s="2379"/>
      <c r="F90" s="2837">
        <f>SUM(G90-E90)</f>
        <v>0</v>
      </c>
      <c r="G90" s="230"/>
      <c r="H90" s="2837">
        <f>SUM(I90-G90)</f>
        <v>0</v>
      </c>
      <c r="I90" s="2938"/>
      <c r="J90" s="3428">
        <f t="shared" si="39"/>
        <v>0</v>
      </c>
      <c r="K90" s="632"/>
      <c r="L90" s="230"/>
      <c r="M90" s="1331" t="e">
        <f t="shared" si="44"/>
        <v>#DIV/0!</v>
      </c>
      <c r="N90" s="236"/>
    </row>
    <row r="91" spans="1:14" ht="16.5" x14ac:dyDescent="0.25">
      <c r="A91" s="211"/>
      <c r="B91" s="333"/>
      <c r="C91" s="234"/>
      <c r="D91" s="339" t="s">
        <v>517</v>
      </c>
      <c r="E91" s="338">
        <f>SUM(E88+E90)</f>
        <v>52324000</v>
      </c>
      <c r="F91" s="1356">
        <f>SUM(G91-E91)</f>
        <v>11045374</v>
      </c>
      <c r="G91" s="338">
        <f t="shared" ref="G91:L91" si="49">SUM(G88+G90)</f>
        <v>63369374</v>
      </c>
      <c r="H91" s="1356">
        <f t="shared" si="49"/>
        <v>7464499</v>
      </c>
      <c r="I91" s="338">
        <f t="shared" si="49"/>
        <v>70833873</v>
      </c>
      <c r="J91" s="3428">
        <f t="shared" si="39"/>
        <v>0</v>
      </c>
      <c r="K91" s="1332">
        <f t="shared" si="49"/>
        <v>70833873</v>
      </c>
      <c r="L91" s="338">
        <f t="shared" si="49"/>
        <v>53494966</v>
      </c>
      <c r="M91" s="1331">
        <f t="shared" si="44"/>
        <v>84.417696788357105</v>
      </c>
      <c r="N91" s="236"/>
    </row>
    <row r="92" spans="1:14" ht="16.5" x14ac:dyDescent="0.25">
      <c r="A92" s="211"/>
      <c r="B92" s="330"/>
      <c r="C92" s="210"/>
      <c r="D92" s="340" t="s">
        <v>518</v>
      </c>
      <c r="E92" s="239"/>
      <c r="F92" s="1355"/>
      <c r="G92" s="239"/>
      <c r="H92" s="1347">
        <f>SUM(I92-G92)</f>
        <v>0</v>
      </c>
      <c r="I92" s="2938"/>
      <c r="J92" s="3428">
        <f t="shared" si="39"/>
        <v>0</v>
      </c>
      <c r="K92" s="1200"/>
      <c r="L92" s="239"/>
      <c r="M92" s="1331" t="e">
        <f t="shared" si="44"/>
        <v>#DIV/0!</v>
      </c>
      <c r="N92" s="236"/>
    </row>
    <row r="93" spans="1:14" customFormat="1" ht="27.75" customHeight="1" x14ac:dyDescent="0.25">
      <c r="A93" s="2396"/>
      <c r="B93" s="2399" t="s">
        <v>119</v>
      </c>
      <c r="C93" s="2397"/>
      <c r="D93" s="4488" t="s">
        <v>1149</v>
      </c>
      <c r="E93" s="4489"/>
      <c r="F93" s="1355"/>
      <c r="G93" s="2823"/>
      <c r="H93" s="1347"/>
      <c r="I93" s="2938"/>
      <c r="J93" s="3428">
        <f t="shared" si="39"/>
        <v>0</v>
      </c>
      <c r="K93" s="3300"/>
      <c r="L93" s="2823"/>
      <c r="M93" s="2397" t="e">
        <f t="shared" si="44"/>
        <v>#DIV/0!</v>
      </c>
    </row>
    <row r="94" spans="1:14" ht="16.5" x14ac:dyDescent="0.25">
      <c r="A94" s="211"/>
      <c r="B94" s="330"/>
      <c r="C94" s="213" t="s">
        <v>111</v>
      </c>
      <c r="D94" s="228" t="s">
        <v>797</v>
      </c>
      <c r="E94" s="2379">
        <f>SUM(E95:E97)</f>
        <v>289994836</v>
      </c>
      <c r="F94" s="2837">
        <f t="shared" ref="F94:F103" si="50">SUM(G94-E94)</f>
        <v>258994508</v>
      </c>
      <c r="G94" s="230">
        <f t="shared" ref="G94:L94" si="51">SUM(G95:G97)</f>
        <v>548989344</v>
      </c>
      <c r="H94" s="2837">
        <f t="shared" si="51"/>
        <v>76913991</v>
      </c>
      <c r="I94" s="2379">
        <f t="shared" si="51"/>
        <v>625903335</v>
      </c>
      <c r="J94" s="3428">
        <f t="shared" si="39"/>
        <v>0</v>
      </c>
      <c r="K94" s="632">
        <f t="shared" si="51"/>
        <v>625903335</v>
      </c>
      <c r="L94" s="230">
        <f t="shared" si="51"/>
        <v>492079430</v>
      </c>
      <c r="M94" s="1331">
        <f t="shared" ref="M94:M105" si="52">SUM(L94/G94)*100</f>
        <v>89.633694237970502</v>
      </c>
      <c r="N94" s="236"/>
    </row>
    <row r="95" spans="1:14" ht="16.5" x14ac:dyDescent="0.25">
      <c r="A95" s="211"/>
      <c r="B95" s="333"/>
      <c r="C95" s="234" t="s">
        <v>1208</v>
      </c>
      <c r="D95" s="219" t="s">
        <v>370</v>
      </c>
      <c r="E95" s="220">
        <v>36571400</v>
      </c>
      <c r="F95" s="1355">
        <f t="shared" si="50"/>
        <v>12817833</v>
      </c>
      <c r="G95" s="220">
        <v>49389233</v>
      </c>
      <c r="H95" s="1347">
        <f>SUM(I95-G95)</f>
        <v>22351028</v>
      </c>
      <c r="I95" s="344">
        <v>71740261</v>
      </c>
      <c r="J95" s="3428">
        <f t="shared" si="39"/>
        <v>0</v>
      </c>
      <c r="K95" s="344">
        <v>71740261</v>
      </c>
      <c r="L95" s="220">
        <v>59731551</v>
      </c>
      <c r="M95" s="1331">
        <f t="shared" si="52"/>
        <v>120.94043047803558</v>
      </c>
      <c r="N95" s="236"/>
    </row>
    <row r="96" spans="1:14" ht="16.5" x14ac:dyDescent="0.25">
      <c r="A96" s="211"/>
      <c r="B96" s="333"/>
      <c r="C96" s="234" t="s">
        <v>1209</v>
      </c>
      <c r="D96" s="219" t="s">
        <v>408</v>
      </c>
      <c r="E96" s="220">
        <v>7810393</v>
      </c>
      <c r="F96" s="1355">
        <f t="shared" si="50"/>
        <v>3544419</v>
      </c>
      <c r="G96" s="220">
        <v>11354812</v>
      </c>
      <c r="H96" s="1347">
        <f>SUM(I96-G96)</f>
        <v>2773435</v>
      </c>
      <c r="I96" s="344">
        <v>14128247</v>
      </c>
      <c r="J96" s="3428">
        <f t="shared" si="39"/>
        <v>0</v>
      </c>
      <c r="K96" s="344">
        <v>14128247</v>
      </c>
      <c r="L96" s="220">
        <v>12406665</v>
      </c>
      <c r="M96" s="1331">
        <f t="shared" si="52"/>
        <v>109.26349991527822</v>
      </c>
      <c r="N96" s="236"/>
    </row>
    <row r="97" spans="1:16" ht="16.5" x14ac:dyDescent="0.25">
      <c r="A97" s="211"/>
      <c r="B97" s="333"/>
      <c r="C97" s="234" t="s">
        <v>1210</v>
      </c>
      <c r="D97" s="219" t="s">
        <v>240</v>
      </c>
      <c r="E97" s="220">
        <f>SUM(E98)</f>
        <v>245613043</v>
      </c>
      <c r="F97" s="1355">
        <f t="shared" si="50"/>
        <v>242632256</v>
      </c>
      <c r="G97" s="2834">
        <f t="shared" ref="G97:L97" si="53">SUM(G98)</f>
        <v>488245299</v>
      </c>
      <c r="H97" s="1355">
        <f t="shared" si="53"/>
        <v>51789528</v>
      </c>
      <c r="I97" s="344">
        <f t="shared" si="53"/>
        <v>540034827</v>
      </c>
      <c r="J97" s="3428">
        <f t="shared" si="39"/>
        <v>0</v>
      </c>
      <c r="K97" s="344">
        <f t="shared" si="53"/>
        <v>540034827</v>
      </c>
      <c r="L97" s="1442">
        <f t="shared" si="53"/>
        <v>419941214</v>
      </c>
      <c r="M97" s="1331">
        <f t="shared" si="52"/>
        <v>86.010293362804092</v>
      </c>
      <c r="N97" s="236"/>
    </row>
    <row r="98" spans="1:16" s="605" customFormat="1" ht="16.5" x14ac:dyDescent="0.25">
      <c r="A98" s="1275"/>
      <c r="B98" s="2397"/>
      <c r="C98" s="234" t="s">
        <v>1211</v>
      </c>
      <c r="D98" s="2397" t="s">
        <v>925</v>
      </c>
      <c r="E98" s="220">
        <v>245613043</v>
      </c>
      <c r="F98" s="1355">
        <f t="shared" si="50"/>
        <v>242632256</v>
      </c>
      <c r="G98" s="604">
        <v>488245299</v>
      </c>
      <c r="H98" s="3155">
        <f>I98-G98</f>
        <v>51789528</v>
      </c>
      <c r="I98" s="1197">
        <v>540034827</v>
      </c>
      <c r="J98" s="3428">
        <f t="shared" si="39"/>
        <v>0</v>
      </c>
      <c r="K98" s="1197">
        <v>540034827</v>
      </c>
      <c r="L98" s="604">
        <v>419941214</v>
      </c>
      <c r="M98" s="1330"/>
      <c r="N98" s="2372"/>
    </row>
    <row r="99" spans="1:16" ht="16.5" x14ac:dyDescent="0.25">
      <c r="A99" s="211"/>
      <c r="B99" s="333"/>
      <c r="C99" s="213" t="s">
        <v>599</v>
      </c>
      <c r="D99" s="228" t="s">
        <v>182</v>
      </c>
      <c r="E99" s="2379">
        <f>SUM(E100:E102)</f>
        <v>1123650300</v>
      </c>
      <c r="F99" s="2837">
        <f t="shared" si="50"/>
        <v>411008604</v>
      </c>
      <c r="G99" s="230">
        <f t="shared" ref="G99:L99" si="54">SUM(G100:G102)</f>
        <v>1534658904</v>
      </c>
      <c r="H99" s="2837">
        <f t="shared" si="54"/>
        <v>23309673</v>
      </c>
      <c r="I99" s="2938">
        <f t="shared" si="54"/>
        <v>1880655207</v>
      </c>
      <c r="J99" s="3428">
        <f t="shared" si="39"/>
        <v>0</v>
      </c>
      <c r="K99" s="632">
        <f t="shared" si="54"/>
        <v>1880655207</v>
      </c>
      <c r="L99" s="664">
        <f t="shared" si="54"/>
        <v>1061366125</v>
      </c>
      <c r="M99" s="1331">
        <f t="shared" si="52"/>
        <v>69.159741114693986</v>
      </c>
      <c r="N99" s="236"/>
    </row>
    <row r="100" spans="1:16" ht="16.5" x14ac:dyDescent="0.25">
      <c r="A100" s="211"/>
      <c r="B100" s="333"/>
      <c r="C100" s="234" t="s">
        <v>1212</v>
      </c>
      <c r="D100" s="4256" t="s">
        <v>513</v>
      </c>
      <c r="E100" s="3616">
        <f>SUM('6.1.sz.mell. '!H4-'6.1.sz.mell. '!H5)</f>
        <v>4310000</v>
      </c>
      <c r="F100" s="4257">
        <f t="shared" si="50"/>
        <v>177833142</v>
      </c>
      <c r="G100" s="3616">
        <f>'6.1.sz.mell. '!J98</f>
        <v>182143142</v>
      </c>
      <c r="H100" s="3616">
        <f>I101-G100</f>
        <v>1375825435</v>
      </c>
      <c r="I100" s="4023">
        <f>'6.1.sz.mell. '!L98</f>
        <v>322686630</v>
      </c>
      <c r="J100" s="3428">
        <f t="shared" si="39"/>
        <v>0</v>
      </c>
      <c r="K100" s="344">
        <f>'6.1.sz.mell. '!N98</f>
        <v>322686630</v>
      </c>
      <c r="L100" s="604">
        <f>'6.1.sz.mell. '!O98</f>
        <v>228923816</v>
      </c>
      <c r="M100" s="1331">
        <f t="shared" si="52"/>
        <v>125.68346712718946</v>
      </c>
      <c r="N100" s="236"/>
      <c r="P100" s="231">
        <f>SUM(E100+E69)</f>
        <v>29310000</v>
      </c>
    </row>
    <row r="101" spans="1:16" ht="16.5" x14ac:dyDescent="0.25">
      <c r="A101" s="211"/>
      <c r="B101" s="333"/>
      <c r="C101" s="234" t="s">
        <v>1213</v>
      </c>
      <c r="D101" s="4256" t="s">
        <v>515</v>
      </c>
      <c r="E101" s="3616">
        <f>SUM('6.2.sz.mell.'!H3)-'6.2.sz.mell.'!H60-'6.2.sz.mell.'!H11-'6.2.sz.mell.'!H57-'6.2.sz.mell.'!H58-'6.2.sz.mell.'!H59-'6.2.sz.mell.'!H61</f>
        <v>1119340300</v>
      </c>
      <c r="F101" s="4257">
        <f t="shared" si="50"/>
        <v>233175462</v>
      </c>
      <c r="G101" s="3616">
        <f>'6.2.sz.mell.'!J217</f>
        <v>1352515762</v>
      </c>
      <c r="H101" s="3616">
        <f>I102-G101</f>
        <v>-1352515762</v>
      </c>
      <c r="I101" s="4023">
        <f>'6.2.sz.mell.'!L217</f>
        <v>1557968577</v>
      </c>
      <c r="J101" s="3428">
        <f t="shared" si="39"/>
        <v>0</v>
      </c>
      <c r="K101" s="344">
        <f>'6.2.sz.mell.'!N217</f>
        <v>1557968577</v>
      </c>
      <c r="L101" s="604">
        <f>'6.2.sz.mell.'!O217</f>
        <v>832442309</v>
      </c>
      <c r="M101" s="1331">
        <f t="shared" si="52"/>
        <v>61.547697438220318</v>
      </c>
      <c r="N101" s="236"/>
      <c r="P101" s="231">
        <f>SUM(E101+E70)</f>
        <v>1156840300</v>
      </c>
    </row>
    <row r="102" spans="1:16" ht="16.5" x14ac:dyDescent="0.25">
      <c r="A102" s="211"/>
      <c r="B102" s="333"/>
      <c r="C102" s="234" t="s">
        <v>1214</v>
      </c>
      <c r="D102" s="219" t="s">
        <v>444</v>
      </c>
      <c r="E102" s="220"/>
      <c r="F102" s="1355">
        <f t="shared" si="50"/>
        <v>0</v>
      </c>
      <c r="G102" s="220"/>
      <c r="H102" s="1347">
        <f>SUM(I102-G102)</f>
        <v>0</v>
      </c>
      <c r="I102" s="2938"/>
      <c r="J102" s="3428">
        <f t="shared" si="39"/>
        <v>0</v>
      </c>
      <c r="K102" s="344"/>
      <c r="L102" s="220"/>
      <c r="M102" s="1331" t="e">
        <f t="shared" si="52"/>
        <v>#DIV/0!</v>
      </c>
      <c r="N102" s="236"/>
    </row>
    <row r="103" spans="1:16" ht="16.5" x14ac:dyDescent="0.25">
      <c r="A103" s="211"/>
      <c r="B103" s="333"/>
      <c r="C103" s="234"/>
      <c r="D103" s="339" t="s">
        <v>517</v>
      </c>
      <c r="E103" s="338">
        <f>SUM(E94+E99)</f>
        <v>1413645136</v>
      </c>
      <c r="F103" s="1356">
        <f t="shared" si="50"/>
        <v>670003112</v>
      </c>
      <c r="G103" s="338">
        <f t="shared" ref="G103:L103" si="55">SUM(G94+G99)</f>
        <v>2083648248</v>
      </c>
      <c r="H103" s="1356">
        <f t="shared" si="55"/>
        <v>100223664</v>
      </c>
      <c r="I103" s="338">
        <f t="shared" si="55"/>
        <v>2506558542</v>
      </c>
      <c r="J103" s="3319">
        <f t="shared" si="39"/>
        <v>0</v>
      </c>
      <c r="K103" s="1332">
        <f t="shared" si="55"/>
        <v>2506558542</v>
      </c>
      <c r="L103" s="338">
        <f t="shared" si="55"/>
        <v>1553445555</v>
      </c>
      <c r="M103" s="1331">
        <f t="shared" si="52"/>
        <v>74.554117111229417</v>
      </c>
      <c r="N103" s="236"/>
    </row>
    <row r="104" spans="1:16" ht="16.5" x14ac:dyDescent="0.25">
      <c r="A104" s="211"/>
      <c r="B104" s="330"/>
      <c r="C104" s="210"/>
      <c r="D104" s="340" t="s">
        <v>518</v>
      </c>
      <c r="E104" s="238">
        <v>14</v>
      </c>
      <c r="F104" s="1356"/>
      <c r="G104" s="238">
        <v>14</v>
      </c>
      <c r="H104" s="3154"/>
      <c r="I104" s="2938">
        <v>14</v>
      </c>
      <c r="J104" s="3428">
        <f t="shared" si="39"/>
        <v>0</v>
      </c>
      <c r="K104" s="1333">
        <v>14</v>
      </c>
      <c r="L104" s="238">
        <v>14</v>
      </c>
      <c r="M104" s="236"/>
      <c r="N104" s="236"/>
    </row>
    <row r="105" spans="1:16" customFormat="1" ht="39.75" customHeight="1" x14ac:dyDescent="0.25">
      <c r="A105" s="2396"/>
      <c r="B105" s="2399" t="s">
        <v>125</v>
      </c>
      <c r="C105" s="2397"/>
      <c r="D105" s="4488" t="s">
        <v>1150</v>
      </c>
      <c r="E105" s="4489"/>
      <c r="F105" s="1355"/>
      <c r="G105" s="2823"/>
      <c r="H105" s="1347"/>
      <c r="I105" s="2938"/>
      <c r="J105" s="3428">
        <f t="shared" si="39"/>
        <v>0</v>
      </c>
      <c r="K105" s="3300"/>
      <c r="L105" s="2823"/>
      <c r="M105" s="2397" t="e">
        <f t="shared" si="52"/>
        <v>#DIV/0!</v>
      </c>
    </row>
    <row r="106" spans="1:16" ht="16.5" x14ac:dyDescent="0.25">
      <c r="A106" s="211"/>
      <c r="B106" s="330"/>
      <c r="C106" s="213" t="s">
        <v>606</v>
      </c>
      <c r="D106" s="228" t="s">
        <v>797</v>
      </c>
      <c r="E106" s="2379">
        <f>SUM(E107:E109)</f>
        <v>15563338</v>
      </c>
      <c r="F106" s="2837">
        <f t="shared" ref="F106:F114" si="56">SUM(G106-E106)</f>
        <v>-18806</v>
      </c>
      <c r="G106" s="230">
        <f t="shared" ref="G106:L106" si="57">SUM(G107:G109)</f>
        <v>15544532</v>
      </c>
      <c r="H106" s="2837">
        <f t="shared" si="57"/>
        <v>940075</v>
      </c>
      <c r="I106" s="2379">
        <f t="shared" si="57"/>
        <v>16484607</v>
      </c>
      <c r="J106" s="3319">
        <f t="shared" si="39"/>
        <v>0</v>
      </c>
      <c r="K106" s="632">
        <f t="shared" si="57"/>
        <v>16484607</v>
      </c>
      <c r="L106" s="230">
        <f t="shared" si="57"/>
        <v>15435578</v>
      </c>
      <c r="M106" s="1331">
        <f t="shared" ref="M106:M114" si="58">SUM(L106/G106)*100</f>
        <v>99.299084719951679</v>
      </c>
      <c r="N106" s="236"/>
    </row>
    <row r="107" spans="1:16" ht="16.5" x14ac:dyDescent="0.25">
      <c r="A107" s="211"/>
      <c r="B107" s="333"/>
      <c r="C107" s="234" t="s">
        <v>1215</v>
      </c>
      <c r="D107" s="219" t="s">
        <v>370</v>
      </c>
      <c r="E107" s="220">
        <v>1961000</v>
      </c>
      <c r="F107" s="1355">
        <f t="shared" si="56"/>
        <v>3000</v>
      </c>
      <c r="G107" s="220">
        <v>1964000</v>
      </c>
      <c r="H107" s="1347">
        <f>I107-G107</f>
        <v>200000</v>
      </c>
      <c r="I107" s="344">
        <v>2164000</v>
      </c>
      <c r="J107" s="3428">
        <f t="shared" si="39"/>
        <v>0</v>
      </c>
      <c r="K107" s="344">
        <v>2164000</v>
      </c>
      <c r="L107" s="220">
        <v>2164000</v>
      </c>
      <c r="M107" s="1331">
        <f t="shared" si="58"/>
        <v>110.18329938900204</v>
      </c>
      <c r="N107" s="236"/>
    </row>
    <row r="108" spans="1:16" ht="16.5" x14ac:dyDescent="0.25">
      <c r="A108" s="211"/>
      <c r="B108" s="333"/>
      <c r="C108" s="234" t="s">
        <v>1216</v>
      </c>
      <c r="D108" s="219" t="s">
        <v>408</v>
      </c>
      <c r="E108" s="220">
        <v>413388</v>
      </c>
      <c r="F108" s="1355">
        <f t="shared" si="56"/>
        <v>0</v>
      </c>
      <c r="G108" s="220">
        <v>413388</v>
      </c>
      <c r="H108" s="1347">
        <f>SUM(I108-G108)</f>
        <v>39000</v>
      </c>
      <c r="I108" s="344">
        <v>452388</v>
      </c>
      <c r="J108" s="3428">
        <f t="shared" si="39"/>
        <v>0</v>
      </c>
      <c r="K108" s="344">
        <v>452388</v>
      </c>
      <c r="L108" s="220">
        <v>448105</v>
      </c>
      <c r="M108" s="1331">
        <f t="shared" si="58"/>
        <v>108.39816346870252</v>
      </c>
      <c r="N108" s="236"/>
    </row>
    <row r="109" spans="1:16" ht="16.5" x14ac:dyDescent="0.25">
      <c r="A109" s="211"/>
      <c r="B109" s="333"/>
      <c r="C109" s="234" t="s">
        <v>1217</v>
      </c>
      <c r="D109" s="219" t="s">
        <v>240</v>
      </c>
      <c r="E109" s="220">
        <v>13188950</v>
      </c>
      <c r="F109" s="1355">
        <f t="shared" si="56"/>
        <v>-21806</v>
      </c>
      <c r="G109" s="220">
        <v>13167144</v>
      </c>
      <c r="H109" s="1347">
        <f>SUM(I109-G109)</f>
        <v>701075</v>
      </c>
      <c r="I109" s="344">
        <v>13868219</v>
      </c>
      <c r="J109" s="3428">
        <f t="shared" si="39"/>
        <v>0</v>
      </c>
      <c r="K109" s="344">
        <v>13868219</v>
      </c>
      <c r="L109" s="220">
        <v>12823473</v>
      </c>
      <c r="M109" s="1331">
        <f t="shared" si="58"/>
        <v>97.389935129440374</v>
      </c>
      <c r="N109" s="236"/>
    </row>
    <row r="110" spans="1:16" ht="16.5" x14ac:dyDescent="0.25">
      <c r="A110" s="211"/>
      <c r="B110" s="333"/>
      <c r="C110" s="213" t="s">
        <v>123</v>
      </c>
      <c r="D110" s="228" t="s">
        <v>182</v>
      </c>
      <c r="E110" s="2379">
        <f>SUM(E111:E113)</f>
        <v>0</v>
      </c>
      <c r="F110" s="2837">
        <f t="shared" si="56"/>
        <v>671806</v>
      </c>
      <c r="G110" s="230">
        <f t="shared" ref="G110:L110" si="59">SUM(G111:G113)</f>
        <v>671806</v>
      </c>
      <c r="H110" s="2837">
        <f t="shared" si="59"/>
        <v>0</v>
      </c>
      <c r="I110" s="2938">
        <f t="shared" si="59"/>
        <v>671806</v>
      </c>
      <c r="J110" s="3428">
        <f t="shared" si="39"/>
        <v>0</v>
      </c>
      <c r="K110" s="632">
        <f t="shared" si="59"/>
        <v>671806</v>
      </c>
      <c r="L110" s="230">
        <f t="shared" si="59"/>
        <v>671806</v>
      </c>
      <c r="M110" s="1331">
        <f t="shared" si="58"/>
        <v>100</v>
      </c>
      <c r="N110" s="236"/>
    </row>
    <row r="111" spans="1:16" ht="16.5" x14ac:dyDescent="0.25">
      <c r="A111" s="211"/>
      <c r="B111" s="333"/>
      <c r="C111" s="2842" t="s">
        <v>1630</v>
      </c>
      <c r="D111" s="219" t="s">
        <v>513</v>
      </c>
      <c r="E111" s="220"/>
      <c r="F111" s="1355">
        <f t="shared" si="56"/>
        <v>0</v>
      </c>
      <c r="G111" s="220"/>
      <c r="H111" s="1347">
        <f>SUM(I111-G111)</f>
        <v>0</v>
      </c>
      <c r="I111" s="2938"/>
      <c r="J111" s="3428">
        <f t="shared" si="39"/>
        <v>0</v>
      </c>
      <c r="K111" s="344"/>
      <c r="L111" s="220"/>
      <c r="M111" s="1331" t="e">
        <f t="shared" si="58"/>
        <v>#DIV/0!</v>
      </c>
      <c r="N111" s="236"/>
    </row>
    <row r="112" spans="1:16" ht="16.5" x14ac:dyDescent="0.25">
      <c r="A112" s="211"/>
      <c r="B112" s="333"/>
      <c r="C112" s="2842" t="s">
        <v>1632</v>
      </c>
      <c r="D112" s="219" t="s">
        <v>515</v>
      </c>
      <c r="E112" s="220"/>
      <c r="F112" s="1355">
        <f t="shared" si="56"/>
        <v>671806</v>
      </c>
      <c r="G112" s="220">
        <f>'6.2.sz.mell.'!J218</f>
        <v>671806</v>
      </c>
      <c r="H112" s="2835">
        <f>I112-G112</f>
        <v>0</v>
      </c>
      <c r="I112" s="2938">
        <f>'6.2.sz.mell.'!L218</f>
        <v>671806</v>
      </c>
      <c r="J112" s="3428">
        <f t="shared" si="39"/>
        <v>0</v>
      </c>
      <c r="K112" s="344">
        <f>'6.2.sz.mell.'!N218</f>
        <v>671806</v>
      </c>
      <c r="L112" s="220">
        <f>'6.2.sz.mell.'!O218</f>
        <v>671806</v>
      </c>
      <c r="M112" s="1331">
        <f t="shared" si="58"/>
        <v>100</v>
      </c>
      <c r="N112" s="236"/>
    </row>
    <row r="113" spans="1:15" ht="16.5" x14ac:dyDescent="0.25">
      <c r="A113" s="211"/>
      <c r="B113" s="333"/>
      <c r="C113" s="2842" t="s">
        <v>1631</v>
      </c>
      <c r="D113" s="219" t="s">
        <v>444</v>
      </c>
      <c r="E113" s="220"/>
      <c r="F113" s="1355">
        <f t="shared" si="56"/>
        <v>0</v>
      </c>
      <c r="G113" s="220"/>
      <c r="H113" s="1347">
        <f>SUM(I113-G113)</f>
        <v>0</v>
      </c>
      <c r="I113" s="2938"/>
      <c r="J113" s="3428">
        <f t="shared" si="39"/>
        <v>0</v>
      </c>
      <c r="K113" s="344"/>
      <c r="L113" s="220"/>
      <c r="M113" s="1331" t="e">
        <f t="shared" si="58"/>
        <v>#DIV/0!</v>
      </c>
      <c r="N113" s="236"/>
    </row>
    <row r="114" spans="1:15" ht="16.5" x14ac:dyDescent="0.25">
      <c r="A114" s="211"/>
      <c r="B114" s="333"/>
      <c r="C114" s="234"/>
      <c r="D114" s="339" t="s">
        <v>517</v>
      </c>
      <c r="E114" s="338">
        <f>SUM(E106+E110)</f>
        <v>15563338</v>
      </c>
      <c r="F114" s="1356">
        <f t="shared" si="56"/>
        <v>653000</v>
      </c>
      <c r="G114" s="338">
        <f t="shared" ref="G114:L114" si="60">G106+G110</f>
        <v>16216338</v>
      </c>
      <c r="H114" s="1356">
        <f t="shared" si="60"/>
        <v>940075</v>
      </c>
      <c r="I114" s="338">
        <f t="shared" si="60"/>
        <v>17156413</v>
      </c>
      <c r="J114" s="3319">
        <f t="shared" si="39"/>
        <v>0</v>
      </c>
      <c r="K114" s="1332">
        <f t="shared" si="60"/>
        <v>17156413</v>
      </c>
      <c r="L114" s="338">
        <f t="shared" si="60"/>
        <v>16107384</v>
      </c>
      <c r="M114" s="1331">
        <f t="shared" si="58"/>
        <v>99.32812204580344</v>
      </c>
      <c r="N114" s="236"/>
    </row>
    <row r="115" spans="1:15" ht="16.5" x14ac:dyDescent="0.25">
      <c r="A115" s="2417"/>
      <c r="B115" s="360"/>
      <c r="C115" s="2418"/>
      <c r="D115" s="340" t="s">
        <v>518</v>
      </c>
      <c r="E115" s="238">
        <v>1</v>
      </c>
      <c r="F115" s="1356"/>
      <c r="G115" s="238">
        <v>1</v>
      </c>
      <c r="H115" s="3154">
        <v>1</v>
      </c>
      <c r="I115" s="2938">
        <v>1</v>
      </c>
      <c r="J115" s="3428">
        <f t="shared" si="39"/>
        <v>0</v>
      </c>
      <c r="K115" s="1333">
        <v>1</v>
      </c>
      <c r="L115" s="238">
        <v>1</v>
      </c>
      <c r="M115" s="236"/>
      <c r="N115" s="236"/>
    </row>
    <row r="116" spans="1:15" customFormat="1" ht="36" customHeight="1" x14ac:dyDescent="0.25">
      <c r="A116" s="2396"/>
      <c r="B116" s="2399" t="s">
        <v>133</v>
      </c>
      <c r="C116" s="2397"/>
      <c r="D116" s="4488" t="s">
        <v>1139</v>
      </c>
      <c r="E116" s="4489"/>
      <c r="F116" s="1355"/>
      <c r="G116" s="2823"/>
      <c r="H116" s="1347"/>
      <c r="I116" s="2938"/>
      <c r="J116" s="3428">
        <f t="shared" si="39"/>
        <v>0</v>
      </c>
      <c r="K116" s="3300"/>
      <c r="L116" s="2823"/>
      <c r="M116" s="2397"/>
    </row>
    <row r="117" spans="1:15" ht="16.5" x14ac:dyDescent="0.25">
      <c r="A117" s="211"/>
      <c r="B117" s="333"/>
      <c r="C117" s="209" t="s">
        <v>1218</v>
      </c>
      <c r="D117" s="2381" t="s">
        <v>797</v>
      </c>
      <c r="E117" s="2379">
        <f>SUM(E118)</f>
        <v>75887000</v>
      </c>
      <c r="F117" s="2837">
        <f>G117-E117</f>
        <v>90320773</v>
      </c>
      <c r="G117" s="664">
        <f t="shared" ref="G117:L117" si="61">SUM(G118)</f>
        <v>166207773</v>
      </c>
      <c r="H117" s="2837">
        <f t="shared" si="61"/>
        <v>48867250</v>
      </c>
      <c r="I117" s="2379">
        <f t="shared" si="61"/>
        <v>225063823</v>
      </c>
      <c r="J117" s="3428">
        <f t="shared" si="39"/>
        <v>0</v>
      </c>
      <c r="K117" s="2379">
        <f t="shared" si="61"/>
        <v>225063823</v>
      </c>
      <c r="L117" s="664">
        <f t="shared" si="61"/>
        <v>166102019</v>
      </c>
      <c r="M117" s="1331"/>
      <c r="N117" s="236"/>
    </row>
    <row r="118" spans="1:15" ht="16.5" x14ac:dyDescent="0.25">
      <c r="A118" s="211"/>
      <c r="B118" s="333"/>
      <c r="C118" s="224" t="s">
        <v>1219</v>
      </c>
      <c r="D118" s="2382" t="s">
        <v>161</v>
      </c>
      <c r="E118" s="1197">
        <f>SUM(E119)</f>
        <v>75887000</v>
      </c>
      <c r="F118" s="2835">
        <f t="shared" ref="F118:F203" si="62">G118-E118</f>
        <v>90320773</v>
      </c>
      <c r="G118" s="604">
        <f t="shared" ref="G118:L118" si="63">SUM(G119)</f>
        <v>166207773</v>
      </c>
      <c r="H118" s="2835">
        <f t="shared" si="63"/>
        <v>48867250</v>
      </c>
      <c r="I118" s="1197">
        <f t="shared" si="63"/>
        <v>225063823</v>
      </c>
      <c r="J118" s="3428">
        <f t="shared" si="39"/>
        <v>0</v>
      </c>
      <c r="K118" s="1197">
        <f t="shared" si="63"/>
        <v>225063823</v>
      </c>
      <c r="L118" s="604">
        <f t="shared" si="63"/>
        <v>166102019</v>
      </c>
      <c r="M118" s="1331"/>
      <c r="N118" s="236"/>
    </row>
    <row r="119" spans="1:15" ht="16.5" x14ac:dyDescent="0.25">
      <c r="A119" s="211"/>
      <c r="B119" s="333"/>
      <c r="C119" s="224" t="s">
        <v>1220</v>
      </c>
      <c r="D119" s="2382" t="s">
        <v>305</v>
      </c>
      <c r="E119" s="1197">
        <f>SUM(E120+E132+E157)</f>
        <v>75887000</v>
      </c>
      <c r="F119" s="2835">
        <f t="shared" si="62"/>
        <v>90320773</v>
      </c>
      <c r="G119" s="604">
        <f t="shared" ref="G119:L119" si="64">SUM(G120+G132+G157)</f>
        <v>166207773</v>
      </c>
      <c r="H119" s="2835">
        <f t="shared" si="64"/>
        <v>48867250</v>
      </c>
      <c r="I119" s="1197">
        <f t="shared" ref="I119" si="65">SUM(I120+I132+I157)</f>
        <v>225063823</v>
      </c>
      <c r="J119" s="3428">
        <f t="shared" si="39"/>
        <v>0</v>
      </c>
      <c r="K119" s="1197">
        <f t="shared" si="64"/>
        <v>225063823</v>
      </c>
      <c r="L119" s="604">
        <f t="shared" si="64"/>
        <v>166102019</v>
      </c>
      <c r="M119" s="1331"/>
      <c r="N119" s="236"/>
    </row>
    <row r="120" spans="1:15" ht="16.5" x14ac:dyDescent="0.25">
      <c r="A120" s="211"/>
      <c r="B120" s="333"/>
      <c r="C120" s="216" t="s">
        <v>1221</v>
      </c>
      <c r="D120" s="217" t="s">
        <v>380</v>
      </c>
      <c r="E120" s="2387">
        <f>SUM(E121:E131)-E128</f>
        <v>9310000</v>
      </c>
      <c r="F120" s="3071">
        <f t="shared" si="62"/>
        <v>5410000</v>
      </c>
      <c r="G120" s="3072">
        <f t="shared" ref="G120:L120" si="66">SUM(G121:G131)-G128</f>
        <v>14720000</v>
      </c>
      <c r="H120" s="3071">
        <f t="shared" si="66"/>
        <v>2200000</v>
      </c>
      <c r="I120" s="2387">
        <f t="shared" ref="I120" si="67">SUM(I121:I131)-I128</f>
        <v>16920000</v>
      </c>
      <c r="J120" s="3428">
        <f t="shared" si="39"/>
        <v>0</v>
      </c>
      <c r="K120" s="2387">
        <f t="shared" si="66"/>
        <v>16920000</v>
      </c>
      <c r="L120" s="3072">
        <f t="shared" si="66"/>
        <v>13250000</v>
      </c>
      <c r="M120" s="1331"/>
      <c r="N120" s="236"/>
      <c r="O120" s="231" t="e">
        <f>SUM(#REF!-'3.2 Cofogos'!E120)</f>
        <v>#REF!</v>
      </c>
    </row>
    <row r="121" spans="1:15" ht="16.5" x14ac:dyDescent="0.25">
      <c r="A121" s="211"/>
      <c r="B121" s="333"/>
      <c r="C121" s="224" t="s">
        <v>1223</v>
      </c>
      <c r="D121" s="219" t="s">
        <v>381</v>
      </c>
      <c r="E121" s="1197">
        <v>2690000</v>
      </c>
      <c r="F121" s="2835">
        <f t="shared" si="62"/>
        <v>500000</v>
      </c>
      <c r="G121" s="604">
        <v>3190000</v>
      </c>
      <c r="H121" s="2835">
        <f>I121-G121</f>
        <v>0</v>
      </c>
      <c r="I121" s="1197">
        <v>3190000</v>
      </c>
      <c r="J121" s="3428">
        <f t="shared" si="39"/>
        <v>0</v>
      </c>
      <c r="K121" s="1197">
        <v>3190000</v>
      </c>
      <c r="L121" s="604">
        <v>0</v>
      </c>
      <c r="M121" s="1331"/>
      <c r="N121" s="236"/>
    </row>
    <row r="122" spans="1:15" ht="16.5" x14ac:dyDescent="0.25">
      <c r="A122" s="211"/>
      <c r="B122" s="333"/>
      <c r="C122" s="224" t="s">
        <v>1224</v>
      </c>
      <c r="D122" s="1847" t="s">
        <v>382</v>
      </c>
      <c r="E122" s="1197">
        <v>140000</v>
      </c>
      <c r="F122" s="2835">
        <f t="shared" si="62"/>
        <v>0</v>
      </c>
      <c r="G122" s="604">
        <v>140000</v>
      </c>
      <c r="H122" s="2835">
        <f t="shared" ref="H122:H131" si="68">I122-G122</f>
        <v>0</v>
      </c>
      <c r="I122" s="1197">
        <v>140000</v>
      </c>
      <c r="J122" s="3428">
        <f t="shared" si="39"/>
        <v>0</v>
      </c>
      <c r="K122" s="1197">
        <v>140000</v>
      </c>
      <c r="L122" s="604"/>
      <c r="M122" s="1331"/>
      <c r="N122" s="236"/>
    </row>
    <row r="123" spans="1:15" ht="16.5" x14ac:dyDescent="0.25">
      <c r="A123" s="211"/>
      <c r="B123" s="333"/>
      <c r="C123" s="224" t="s">
        <v>1225</v>
      </c>
      <c r="D123" s="1847" t="s">
        <v>383</v>
      </c>
      <c r="E123" s="1197">
        <v>140000</v>
      </c>
      <c r="F123" s="2835">
        <f t="shared" si="62"/>
        <v>360000</v>
      </c>
      <c r="G123" s="604">
        <v>500000</v>
      </c>
      <c r="H123" s="2835">
        <f t="shared" si="68"/>
        <v>0</v>
      </c>
      <c r="I123" s="1197">
        <v>500000</v>
      </c>
      <c r="J123" s="3428">
        <f t="shared" si="39"/>
        <v>0</v>
      </c>
      <c r="K123" s="1197">
        <v>500000</v>
      </c>
      <c r="L123" s="604">
        <v>500000</v>
      </c>
      <c r="M123" s="1331"/>
      <c r="N123" s="236"/>
    </row>
    <row r="124" spans="1:15" ht="16.5" x14ac:dyDescent="0.25">
      <c r="A124" s="211"/>
      <c r="B124" s="333"/>
      <c r="C124" s="224" t="s">
        <v>1226</v>
      </c>
      <c r="D124" s="1847" t="s">
        <v>384</v>
      </c>
      <c r="E124" s="1197">
        <v>140000</v>
      </c>
      <c r="F124" s="2835">
        <f t="shared" si="62"/>
        <v>0</v>
      </c>
      <c r="G124" s="604">
        <v>140000</v>
      </c>
      <c r="H124" s="2835">
        <f t="shared" si="68"/>
        <v>0</v>
      </c>
      <c r="I124" s="1197">
        <v>140000</v>
      </c>
      <c r="J124" s="3428">
        <f t="shared" si="39"/>
        <v>0</v>
      </c>
      <c r="K124" s="1197">
        <v>140000</v>
      </c>
      <c r="L124" s="604"/>
      <c r="M124" s="1331"/>
      <c r="N124" s="236"/>
    </row>
    <row r="125" spans="1:15" ht="16.5" x14ac:dyDescent="0.25">
      <c r="A125" s="211"/>
      <c r="B125" s="333"/>
      <c r="C125" s="224" t="s">
        <v>1227</v>
      </c>
      <c r="D125" s="1847" t="s">
        <v>385</v>
      </c>
      <c r="E125" s="1197">
        <v>2800000</v>
      </c>
      <c r="F125" s="2835">
        <f t="shared" si="62"/>
        <v>4000000</v>
      </c>
      <c r="G125" s="604">
        <v>6800000</v>
      </c>
      <c r="H125" s="2835">
        <f t="shared" si="68"/>
        <v>1950000</v>
      </c>
      <c r="I125" s="1197">
        <v>8750000</v>
      </c>
      <c r="J125" s="3428">
        <f t="shared" si="39"/>
        <v>0</v>
      </c>
      <c r="K125" s="1197">
        <v>8750000</v>
      </c>
      <c r="L125" s="604">
        <v>8750000</v>
      </c>
      <c r="M125" s="1331"/>
      <c r="N125" s="236"/>
    </row>
    <row r="126" spans="1:15" ht="16.5" x14ac:dyDescent="0.25">
      <c r="A126" s="211"/>
      <c r="B126" s="333"/>
      <c r="C126" s="224" t="s">
        <v>1228</v>
      </c>
      <c r="D126" s="1847" t="s">
        <v>386</v>
      </c>
      <c r="E126" s="1197">
        <v>350000</v>
      </c>
      <c r="F126" s="2835">
        <f t="shared" si="62"/>
        <v>0</v>
      </c>
      <c r="G126" s="604">
        <v>350000</v>
      </c>
      <c r="H126" s="2835">
        <f t="shared" si="68"/>
        <v>100000</v>
      </c>
      <c r="I126" s="1197">
        <v>450000</v>
      </c>
      <c r="J126" s="3428">
        <f t="shared" si="39"/>
        <v>0</v>
      </c>
      <c r="K126" s="1197">
        <v>450000</v>
      </c>
      <c r="L126" s="604">
        <v>450000</v>
      </c>
      <c r="M126" s="1331"/>
      <c r="N126" s="236"/>
    </row>
    <row r="127" spans="1:15" ht="16.5" x14ac:dyDescent="0.25">
      <c r="A127" s="211"/>
      <c r="B127" s="333"/>
      <c r="C127" s="224" t="s">
        <v>1229</v>
      </c>
      <c r="D127" s="1847" t="s">
        <v>387</v>
      </c>
      <c r="E127" s="1197">
        <f>SUM(E128)</f>
        <v>1050000</v>
      </c>
      <c r="F127" s="2835">
        <f t="shared" si="62"/>
        <v>200000</v>
      </c>
      <c r="G127" s="604">
        <f>SUM(G128)</f>
        <v>1250000</v>
      </c>
      <c r="H127" s="2835">
        <f t="shared" si="68"/>
        <v>0</v>
      </c>
      <c r="I127" s="1197">
        <f>SUM(I128)</f>
        <v>1250000</v>
      </c>
      <c r="J127" s="3428">
        <f t="shared" si="39"/>
        <v>0</v>
      </c>
      <c r="K127" s="1197">
        <f>SUM(K128)</f>
        <v>1250000</v>
      </c>
      <c r="L127" s="604">
        <f>SUM(L128)</f>
        <v>1050000</v>
      </c>
      <c r="M127" s="1331"/>
      <c r="N127" s="236"/>
    </row>
    <row r="128" spans="1:15" ht="16.5" x14ac:dyDescent="0.25">
      <c r="A128" s="211"/>
      <c r="B128" s="333"/>
      <c r="C128" s="224" t="s">
        <v>1230</v>
      </c>
      <c r="D128" s="1848" t="s">
        <v>388</v>
      </c>
      <c r="E128" s="1197">
        <v>1050000</v>
      </c>
      <c r="F128" s="2835">
        <f t="shared" si="62"/>
        <v>200000</v>
      </c>
      <c r="G128" s="604">
        <v>1250000</v>
      </c>
      <c r="H128" s="2835">
        <f t="shared" si="68"/>
        <v>0</v>
      </c>
      <c r="I128" s="1197">
        <v>1250000</v>
      </c>
      <c r="J128" s="3428">
        <f t="shared" si="39"/>
        <v>0</v>
      </c>
      <c r="K128" s="1197">
        <v>1250000</v>
      </c>
      <c r="L128" s="604">
        <v>1050000</v>
      </c>
      <c r="M128" s="1331"/>
      <c r="N128" s="236"/>
    </row>
    <row r="129" spans="1:14" ht="16.5" x14ac:dyDescent="0.25">
      <c r="A129" s="211"/>
      <c r="B129" s="333"/>
      <c r="C129" s="224" t="s">
        <v>1231</v>
      </c>
      <c r="D129" s="1849" t="s">
        <v>396</v>
      </c>
      <c r="E129" s="1197">
        <v>500000</v>
      </c>
      <c r="F129" s="2830">
        <f t="shared" si="62"/>
        <v>0</v>
      </c>
      <c r="G129" s="1197">
        <v>500000</v>
      </c>
      <c r="H129" s="2835">
        <f t="shared" si="68"/>
        <v>0</v>
      </c>
      <c r="I129" s="1197">
        <v>500000</v>
      </c>
      <c r="J129" s="3428">
        <f t="shared" si="39"/>
        <v>0</v>
      </c>
      <c r="K129" s="1197">
        <v>500000</v>
      </c>
      <c r="L129" s="1197">
        <v>500000</v>
      </c>
      <c r="M129" s="1331"/>
      <c r="N129" s="236"/>
    </row>
    <row r="130" spans="1:14" ht="16.5" x14ac:dyDescent="0.25">
      <c r="A130" s="211"/>
      <c r="B130" s="333"/>
      <c r="C130" s="224" t="s">
        <v>1232</v>
      </c>
      <c r="D130" s="2359" t="s">
        <v>920</v>
      </c>
      <c r="E130" s="1197">
        <v>1500000</v>
      </c>
      <c r="F130" s="2830">
        <f>G130-E130</f>
        <v>0</v>
      </c>
      <c r="G130" s="1197">
        <v>1500000</v>
      </c>
      <c r="H130" s="2835">
        <f t="shared" si="68"/>
        <v>0</v>
      </c>
      <c r="I130" s="1197">
        <v>1500000</v>
      </c>
      <c r="J130" s="3428">
        <f t="shared" si="39"/>
        <v>0</v>
      </c>
      <c r="K130" s="1197">
        <v>1500000</v>
      </c>
      <c r="L130" s="1197">
        <v>1500000</v>
      </c>
      <c r="M130" s="1331"/>
      <c r="N130" s="236"/>
    </row>
    <row r="131" spans="1:14" ht="16.5" x14ac:dyDescent="0.25">
      <c r="A131" s="211"/>
      <c r="B131" s="333"/>
      <c r="C131" s="224" t="s">
        <v>2115</v>
      </c>
      <c r="D131" s="2359" t="s">
        <v>1669</v>
      </c>
      <c r="E131" s="1197"/>
      <c r="F131" s="2830">
        <f t="shared" si="62"/>
        <v>350000</v>
      </c>
      <c r="G131" s="1197">
        <v>350000</v>
      </c>
      <c r="H131" s="2835">
        <f t="shared" si="68"/>
        <v>150000</v>
      </c>
      <c r="I131" s="1197">
        <v>500000</v>
      </c>
      <c r="J131" s="3428">
        <f t="shared" si="39"/>
        <v>0</v>
      </c>
      <c r="K131" s="1197">
        <v>500000</v>
      </c>
      <c r="L131" s="1197">
        <v>500000</v>
      </c>
      <c r="M131" s="1331"/>
      <c r="N131" s="236"/>
    </row>
    <row r="132" spans="1:14" ht="16.5" x14ac:dyDescent="0.25">
      <c r="A132" s="211"/>
      <c r="B132" s="333"/>
      <c r="C132" s="216" t="s">
        <v>1222</v>
      </c>
      <c r="D132" s="217" t="s">
        <v>389</v>
      </c>
      <c r="E132" s="2387">
        <f>SUM(E133+E136+E137)</f>
        <v>31485000</v>
      </c>
      <c r="F132" s="2838">
        <f t="shared" si="62"/>
        <v>58154213</v>
      </c>
      <c r="G132" s="2387">
        <f t="shared" ref="G132:L132" si="69">SUM(G133+G136+G137+G156)+SUM(G139:G155)</f>
        <v>89639213</v>
      </c>
      <c r="H132" s="2838">
        <f t="shared" si="69"/>
        <v>20329250</v>
      </c>
      <c r="I132" s="2387">
        <f t="shared" ref="I132" si="70">SUM(I133+I136+I137+I156)+SUM(I139:I155)</f>
        <v>110088463</v>
      </c>
      <c r="J132" s="3428">
        <f t="shared" si="39"/>
        <v>0</v>
      </c>
      <c r="K132" s="2387">
        <f t="shared" si="69"/>
        <v>110088463</v>
      </c>
      <c r="L132" s="2387">
        <f t="shared" si="69"/>
        <v>103157369</v>
      </c>
      <c r="M132" s="1331"/>
      <c r="N132" s="236"/>
    </row>
    <row r="133" spans="1:14" ht="16.5" x14ac:dyDescent="0.25">
      <c r="A133" s="211"/>
      <c r="B133" s="333"/>
      <c r="C133" s="224" t="s">
        <v>1233</v>
      </c>
      <c r="D133" s="1847" t="s">
        <v>390</v>
      </c>
      <c r="E133" s="1197">
        <f>SUM(E134:E135)</f>
        <v>17150000</v>
      </c>
      <c r="F133" s="2830">
        <f t="shared" si="62"/>
        <v>27380813</v>
      </c>
      <c r="G133" s="1197">
        <f t="shared" ref="G133:L133" si="71">SUM(G134:G135)</f>
        <v>44530813</v>
      </c>
      <c r="H133" s="2830">
        <f t="shared" si="71"/>
        <v>8949250</v>
      </c>
      <c r="I133" s="1197">
        <f t="shared" ref="I133" si="72">SUM(I134:I135)</f>
        <v>53480063</v>
      </c>
      <c r="J133" s="3428">
        <f t="shared" si="39"/>
        <v>0</v>
      </c>
      <c r="K133" s="1197">
        <f t="shared" si="71"/>
        <v>53480063</v>
      </c>
      <c r="L133" s="1197">
        <f t="shared" si="71"/>
        <v>46880063</v>
      </c>
      <c r="M133" s="1331"/>
      <c r="N133" s="236"/>
    </row>
    <row r="134" spans="1:14" ht="16.5" x14ac:dyDescent="0.25">
      <c r="A134" s="211"/>
      <c r="B134" s="333"/>
      <c r="C134" s="224" t="s">
        <v>1234</v>
      </c>
      <c r="D134" s="1847" t="s">
        <v>391</v>
      </c>
      <c r="E134" s="1197">
        <v>11900000</v>
      </c>
      <c r="F134" s="2830">
        <f t="shared" si="62"/>
        <v>24380813</v>
      </c>
      <c r="G134" s="1197">
        <v>36280813</v>
      </c>
      <c r="H134" s="2830">
        <f>I134-G134</f>
        <v>8600000</v>
      </c>
      <c r="I134" s="1197">
        <v>44880813</v>
      </c>
      <c r="J134" s="3428">
        <f t="shared" si="39"/>
        <v>0</v>
      </c>
      <c r="K134" s="1197">
        <v>44880813</v>
      </c>
      <c r="L134" s="1197">
        <v>38280813</v>
      </c>
      <c r="M134" s="1331"/>
      <c r="N134" s="236"/>
    </row>
    <row r="135" spans="1:14" ht="16.5" x14ac:dyDescent="0.25">
      <c r="A135" s="211"/>
      <c r="B135" s="333"/>
      <c r="C135" s="224" t="s">
        <v>1235</v>
      </c>
      <c r="D135" s="1847" t="s">
        <v>392</v>
      </c>
      <c r="E135" s="1197">
        <v>5250000</v>
      </c>
      <c r="F135" s="2830">
        <f t="shared" si="62"/>
        <v>3000000</v>
      </c>
      <c r="G135" s="1197">
        <v>8250000</v>
      </c>
      <c r="H135" s="2830">
        <f t="shared" ref="H135:H155" si="73">I135-G135</f>
        <v>349250</v>
      </c>
      <c r="I135" s="1197">
        <v>8599250</v>
      </c>
      <c r="J135" s="3428">
        <f t="shared" si="39"/>
        <v>0</v>
      </c>
      <c r="K135" s="1197">
        <v>8599250</v>
      </c>
      <c r="L135" s="1197">
        <v>8599250</v>
      </c>
      <c r="M135" s="1331"/>
      <c r="N135" s="236"/>
    </row>
    <row r="136" spans="1:14" ht="16.5" x14ac:dyDescent="0.25">
      <c r="A136" s="211"/>
      <c r="B136" s="333"/>
      <c r="C136" s="224" t="s">
        <v>1236</v>
      </c>
      <c r="D136" s="1850" t="s">
        <v>393</v>
      </c>
      <c r="E136" s="1197">
        <v>10135000</v>
      </c>
      <c r="F136" s="2830">
        <f t="shared" si="62"/>
        <v>533400</v>
      </c>
      <c r="G136" s="1197">
        <v>10668400</v>
      </c>
      <c r="H136" s="2830">
        <f t="shared" si="73"/>
        <v>0</v>
      </c>
      <c r="I136" s="1197">
        <v>10668400</v>
      </c>
      <c r="J136" s="3428">
        <f t="shared" si="39"/>
        <v>0</v>
      </c>
      <c r="K136" s="1197">
        <v>10668400</v>
      </c>
      <c r="L136" s="1197">
        <v>10667450</v>
      </c>
      <c r="M136" s="1331"/>
      <c r="N136" s="236"/>
    </row>
    <row r="137" spans="1:14" ht="16.5" x14ac:dyDescent="0.25">
      <c r="A137" s="211"/>
      <c r="B137" s="333"/>
      <c r="C137" s="224" t="s">
        <v>1237</v>
      </c>
      <c r="D137" s="1851" t="s">
        <v>394</v>
      </c>
      <c r="E137" s="1197">
        <v>4200000</v>
      </c>
      <c r="F137" s="2830">
        <f t="shared" si="62"/>
        <v>2000000</v>
      </c>
      <c r="G137" s="1197">
        <v>6200000</v>
      </c>
      <c r="H137" s="2830">
        <f t="shared" si="73"/>
        <v>0</v>
      </c>
      <c r="I137" s="1197">
        <v>6200000</v>
      </c>
      <c r="J137" s="3428">
        <f t="shared" ref="J137:J200" si="74">K137-I137</f>
        <v>0</v>
      </c>
      <c r="K137" s="1197">
        <v>6200000</v>
      </c>
      <c r="L137" s="1197">
        <v>6200000</v>
      </c>
      <c r="M137" s="1331"/>
      <c r="N137" s="236"/>
    </row>
    <row r="138" spans="1:14" ht="16.5" x14ac:dyDescent="0.25">
      <c r="A138" s="211"/>
      <c r="B138" s="333"/>
      <c r="C138" s="222" t="s">
        <v>1238</v>
      </c>
      <c r="D138" s="423" t="s">
        <v>395</v>
      </c>
      <c r="E138" s="1197">
        <v>1750000</v>
      </c>
      <c r="F138" s="2830">
        <f t="shared" si="62"/>
        <v>0</v>
      </c>
      <c r="G138" s="1197">
        <v>1750000</v>
      </c>
      <c r="H138" s="2830">
        <f t="shared" si="73"/>
        <v>0</v>
      </c>
      <c r="I138" s="1197">
        <v>1750000</v>
      </c>
      <c r="J138" s="3428">
        <f t="shared" si="74"/>
        <v>0</v>
      </c>
      <c r="K138" s="1197">
        <v>1750000</v>
      </c>
      <c r="L138" s="1197">
        <v>1750000</v>
      </c>
      <c r="M138" s="1331"/>
      <c r="N138" s="236"/>
    </row>
    <row r="139" spans="1:14" ht="16.5" x14ac:dyDescent="0.25">
      <c r="A139" s="211"/>
      <c r="B139" s="333"/>
      <c r="C139" s="224" t="s">
        <v>1805</v>
      </c>
      <c r="D139" s="2360" t="s">
        <v>1655</v>
      </c>
      <c r="E139" s="1197"/>
      <c r="F139" s="2830">
        <f t="shared" si="62"/>
        <v>540000</v>
      </c>
      <c r="G139" s="1197">
        <v>540000</v>
      </c>
      <c r="H139" s="2830">
        <f t="shared" si="73"/>
        <v>0</v>
      </c>
      <c r="I139" s="1197">
        <v>540000</v>
      </c>
      <c r="J139" s="3428">
        <f t="shared" si="74"/>
        <v>0</v>
      </c>
      <c r="K139" s="1197">
        <v>540000</v>
      </c>
      <c r="L139" s="1197">
        <v>485856</v>
      </c>
      <c r="M139" s="1331"/>
      <c r="N139" s="236"/>
    </row>
    <row r="140" spans="1:14" ht="16.5" x14ac:dyDescent="0.25">
      <c r="A140" s="211"/>
      <c r="B140" s="333"/>
      <c r="C140" s="224" t="s">
        <v>1806</v>
      </c>
      <c r="D140" s="2360" t="s">
        <v>1656</v>
      </c>
      <c r="E140" s="1197"/>
      <c r="F140" s="2830">
        <f t="shared" si="62"/>
        <v>1200000</v>
      </c>
      <c r="G140" s="1197">
        <v>1200000</v>
      </c>
      <c r="H140" s="2830">
        <f t="shared" si="73"/>
        <v>0</v>
      </c>
      <c r="I140" s="1197">
        <v>1200000</v>
      </c>
      <c r="J140" s="3428">
        <f t="shared" si="74"/>
        <v>0</v>
      </c>
      <c r="K140" s="1197">
        <v>1200000</v>
      </c>
      <c r="L140" s="1197">
        <v>1200000</v>
      </c>
      <c r="M140" s="1331"/>
      <c r="N140" s="236"/>
    </row>
    <row r="141" spans="1:14" ht="16.5" x14ac:dyDescent="0.25">
      <c r="A141" s="211"/>
      <c r="B141" s="333"/>
      <c r="C141" s="224" t="s">
        <v>1807</v>
      </c>
      <c r="D141" s="2360" t="s">
        <v>1657</v>
      </c>
      <c r="E141" s="1197"/>
      <c r="F141" s="2830">
        <f t="shared" si="62"/>
        <v>24000000</v>
      </c>
      <c r="G141" s="1197">
        <v>24000000</v>
      </c>
      <c r="H141" s="2830">
        <f t="shared" si="73"/>
        <v>11000000</v>
      </c>
      <c r="I141" s="1197">
        <v>35000000</v>
      </c>
      <c r="J141" s="3428">
        <f t="shared" si="74"/>
        <v>0</v>
      </c>
      <c r="K141" s="1197">
        <v>35000000</v>
      </c>
      <c r="L141" s="1197">
        <v>35000000</v>
      </c>
      <c r="M141" s="1331"/>
      <c r="N141" s="236"/>
    </row>
    <row r="142" spans="1:14" ht="16.5" x14ac:dyDescent="0.25">
      <c r="A142" s="211"/>
      <c r="B142" s="333"/>
      <c r="C142" s="224" t="s">
        <v>1808</v>
      </c>
      <c r="D142" s="2360" t="s">
        <v>1658</v>
      </c>
      <c r="E142" s="1197"/>
      <c r="F142" s="2830">
        <f t="shared" si="62"/>
        <v>100000</v>
      </c>
      <c r="G142" s="1197">
        <v>100000</v>
      </c>
      <c r="H142" s="2830">
        <f t="shared" si="73"/>
        <v>0</v>
      </c>
      <c r="I142" s="1197">
        <v>100000</v>
      </c>
      <c r="J142" s="3428">
        <f t="shared" si="74"/>
        <v>0</v>
      </c>
      <c r="K142" s="1197">
        <v>100000</v>
      </c>
      <c r="L142" s="1197">
        <v>100000</v>
      </c>
      <c r="M142" s="1331"/>
      <c r="N142" s="236"/>
    </row>
    <row r="143" spans="1:14" ht="16.5" x14ac:dyDescent="0.25">
      <c r="A143" s="211"/>
      <c r="B143" s="333"/>
      <c r="C143" s="224" t="s">
        <v>1809</v>
      </c>
      <c r="D143" s="2360" t="s">
        <v>1659</v>
      </c>
      <c r="E143" s="1197"/>
      <c r="F143" s="2830">
        <f t="shared" si="62"/>
        <v>100000</v>
      </c>
      <c r="G143" s="1197">
        <v>100000</v>
      </c>
      <c r="H143" s="2830">
        <f t="shared" si="73"/>
        <v>0</v>
      </c>
      <c r="I143" s="1197">
        <v>100000</v>
      </c>
      <c r="J143" s="3428">
        <f t="shared" si="74"/>
        <v>0</v>
      </c>
      <c r="K143" s="1197">
        <v>100000</v>
      </c>
      <c r="L143" s="1197">
        <v>100000</v>
      </c>
      <c r="M143" s="1331"/>
      <c r="N143" s="236"/>
    </row>
    <row r="144" spans="1:14" ht="16.5" x14ac:dyDescent="0.25">
      <c r="A144" s="211"/>
      <c r="B144" s="333"/>
      <c r="C144" s="224" t="s">
        <v>1810</v>
      </c>
      <c r="D144" s="2360" t="s">
        <v>1660</v>
      </c>
      <c r="E144" s="1197"/>
      <c r="F144" s="2830">
        <f t="shared" si="62"/>
        <v>100000</v>
      </c>
      <c r="G144" s="1197">
        <v>100000</v>
      </c>
      <c r="H144" s="2830">
        <f t="shared" si="73"/>
        <v>0</v>
      </c>
      <c r="I144" s="1197">
        <v>100000</v>
      </c>
      <c r="J144" s="3428">
        <f t="shared" si="74"/>
        <v>0</v>
      </c>
      <c r="K144" s="1197">
        <v>100000</v>
      </c>
      <c r="L144" s="1197">
        <v>100000</v>
      </c>
      <c r="M144" s="1331"/>
      <c r="N144" s="236"/>
    </row>
    <row r="145" spans="1:16" ht="16.5" x14ac:dyDescent="0.25">
      <c r="A145" s="211"/>
      <c r="B145" s="333"/>
      <c r="C145" s="224" t="s">
        <v>1811</v>
      </c>
      <c r="D145" s="2360" t="s">
        <v>1661</v>
      </c>
      <c r="E145" s="1197"/>
      <c r="F145" s="2830">
        <f>G145-E145</f>
        <v>100000</v>
      </c>
      <c r="G145" s="1197">
        <v>100000</v>
      </c>
      <c r="H145" s="2830">
        <f t="shared" si="73"/>
        <v>50000</v>
      </c>
      <c r="I145" s="1197">
        <v>150000</v>
      </c>
      <c r="J145" s="3428">
        <f t="shared" si="74"/>
        <v>0</v>
      </c>
      <c r="K145" s="1197">
        <v>150000</v>
      </c>
      <c r="L145" s="1197">
        <v>150000</v>
      </c>
      <c r="M145" s="1331"/>
      <c r="N145" s="236"/>
    </row>
    <row r="146" spans="1:16" ht="16.5" x14ac:dyDescent="0.25">
      <c r="A146" s="211"/>
      <c r="B146" s="333"/>
      <c r="C146" s="224" t="s">
        <v>1812</v>
      </c>
      <c r="D146" s="2360" t="s">
        <v>1663</v>
      </c>
      <c r="E146" s="1197"/>
      <c r="F146" s="2830">
        <f>G146-E146</f>
        <v>100000</v>
      </c>
      <c r="G146" s="1197">
        <v>100000</v>
      </c>
      <c r="H146" s="2830">
        <f t="shared" si="73"/>
        <v>180000</v>
      </c>
      <c r="I146" s="1197">
        <v>280000</v>
      </c>
      <c r="J146" s="3428">
        <f t="shared" si="74"/>
        <v>0</v>
      </c>
      <c r="K146" s="1197">
        <v>280000</v>
      </c>
      <c r="L146" s="1197">
        <v>204000</v>
      </c>
      <c r="M146" s="1331"/>
      <c r="N146" s="236"/>
    </row>
    <row r="147" spans="1:16" ht="16.5" x14ac:dyDescent="0.25">
      <c r="A147" s="211"/>
      <c r="B147" s="333"/>
      <c r="C147" s="224" t="s">
        <v>1813</v>
      </c>
      <c r="D147" s="2360" t="s">
        <v>1664</v>
      </c>
      <c r="E147" s="1197"/>
      <c r="F147" s="2830">
        <f>G147-E147</f>
        <v>100000</v>
      </c>
      <c r="G147" s="1197">
        <v>100000</v>
      </c>
      <c r="H147" s="2830">
        <f t="shared" si="73"/>
        <v>50000</v>
      </c>
      <c r="I147" s="1197">
        <v>150000</v>
      </c>
      <c r="J147" s="3428">
        <f t="shared" si="74"/>
        <v>0</v>
      </c>
      <c r="K147" s="1197">
        <v>150000</v>
      </c>
      <c r="L147" s="1197">
        <v>50000</v>
      </c>
      <c r="M147" s="1331"/>
      <c r="N147" s="236"/>
    </row>
    <row r="148" spans="1:16" ht="16.5" x14ac:dyDescent="0.25">
      <c r="A148" s="211"/>
      <c r="B148" s="333"/>
      <c r="C148" s="224" t="s">
        <v>1814</v>
      </c>
      <c r="D148" s="2360" t="s">
        <v>1665</v>
      </c>
      <c r="E148" s="3407"/>
      <c r="F148" s="2830">
        <f t="shared" ref="F148:F153" si="75">G148-E148</f>
        <v>700000</v>
      </c>
      <c r="G148" s="1197">
        <v>700000</v>
      </c>
      <c r="H148" s="2830">
        <f t="shared" si="73"/>
        <v>0</v>
      </c>
      <c r="I148" s="1197">
        <v>700000</v>
      </c>
      <c r="J148" s="3428">
        <f t="shared" si="74"/>
        <v>0</v>
      </c>
      <c r="K148" s="1197">
        <v>700000</v>
      </c>
      <c r="L148" s="1197">
        <v>700000</v>
      </c>
      <c r="M148" s="1331"/>
      <c r="N148" s="236"/>
    </row>
    <row r="149" spans="1:16" ht="16.5" x14ac:dyDescent="0.25">
      <c r="A149" s="211"/>
      <c r="B149"/>
      <c r="C149" s="224" t="s">
        <v>1815</v>
      </c>
      <c r="D149" s="2360" t="s">
        <v>1666</v>
      </c>
      <c r="E149" s="2823"/>
      <c r="F149">
        <f t="shared" si="75"/>
        <v>300000</v>
      </c>
      <c r="G149">
        <v>300000</v>
      </c>
      <c r="H149" s="2830">
        <f t="shared" si="73"/>
        <v>-300000</v>
      </c>
      <c r="I149" s="4222"/>
      <c r="J149" s="3428">
        <f t="shared" si="74"/>
        <v>0</v>
      </c>
      <c r="K149"/>
      <c r="L149"/>
      <c r="M149" s="1331"/>
      <c r="N149" s="236"/>
    </row>
    <row r="150" spans="1:16" ht="16.5" x14ac:dyDescent="0.25">
      <c r="A150" s="211"/>
      <c r="B150" s="333"/>
      <c r="C150" s="224" t="s">
        <v>1816</v>
      </c>
      <c r="D150" s="2360" t="s">
        <v>1667</v>
      </c>
      <c r="E150" s="1197"/>
      <c r="F150" s="2830">
        <f t="shared" si="75"/>
        <v>100000</v>
      </c>
      <c r="G150" s="1197">
        <v>100000</v>
      </c>
      <c r="H150" s="2830">
        <f t="shared" si="73"/>
        <v>200000</v>
      </c>
      <c r="I150" s="1197">
        <v>300000</v>
      </c>
      <c r="J150" s="3428">
        <f t="shared" si="74"/>
        <v>0</v>
      </c>
      <c r="K150" s="1197">
        <v>300000</v>
      </c>
      <c r="L150" s="1197">
        <v>200000</v>
      </c>
      <c r="M150" s="1331"/>
      <c r="N150" s="236"/>
    </row>
    <row r="151" spans="1:16" ht="16.5" x14ac:dyDescent="0.25">
      <c r="A151" s="211"/>
      <c r="B151" s="333"/>
      <c r="C151" s="224" t="s">
        <v>1817</v>
      </c>
      <c r="D151" s="2360" t="s">
        <v>1670</v>
      </c>
      <c r="E151" s="1197"/>
      <c r="F151" s="2830">
        <f t="shared" si="75"/>
        <v>50000</v>
      </c>
      <c r="G151" s="1197">
        <v>50000</v>
      </c>
      <c r="H151" s="2830">
        <f t="shared" si="73"/>
        <v>0</v>
      </c>
      <c r="I151" s="1197">
        <v>50000</v>
      </c>
      <c r="J151" s="3428">
        <f t="shared" si="74"/>
        <v>0</v>
      </c>
      <c r="K151" s="1197">
        <v>50000</v>
      </c>
      <c r="L151" s="1197">
        <v>50000</v>
      </c>
      <c r="M151" s="1331"/>
      <c r="N151" s="236"/>
    </row>
    <row r="152" spans="1:16" ht="16.5" x14ac:dyDescent="0.25">
      <c r="A152" s="211"/>
      <c r="B152" s="333"/>
      <c r="C152" s="224" t="s">
        <v>1818</v>
      </c>
      <c r="D152" s="2360" t="s">
        <v>1672</v>
      </c>
      <c r="E152" s="1197"/>
      <c r="F152" s="2830">
        <f t="shared" si="75"/>
        <v>200000</v>
      </c>
      <c r="G152" s="1197">
        <v>200000</v>
      </c>
      <c r="H152" s="2830">
        <f t="shared" si="73"/>
        <v>200000</v>
      </c>
      <c r="I152" s="1197">
        <v>400000</v>
      </c>
      <c r="J152" s="3428">
        <f t="shared" si="74"/>
        <v>0</v>
      </c>
      <c r="K152" s="1197">
        <v>400000</v>
      </c>
      <c r="L152" s="1197">
        <v>400000</v>
      </c>
      <c r="M152" s="1331"/>
      <c r="N152" s="236"/>
    </row>
    <row r="153" spans="1:16" ht="16.5" x14ac:dyDescent="0.25">
      <c r="A153" s="211"/>
      <c r="B153" s="333"/>
      <c r="C153" s="224" t="s">
        <v>1819</v>
      </c>
      <c r="D153" s="2360" t="s">
        <v>1680</v>
      </c>
      <c r="E153" s="1197"/>
      <c r="F153" s="2830">
        <f t="shared" si="75"/>
        <v>350000</v>
      </c>
      <c r="G153" s="1197">
        <v>350000</v>
      </c>
      <c r="H153" s="2830">
        <f t="shared" si="73"/>
        <v>0</v>
      </c>
      <c r="I153" s="1197">
        <v>350000</v>
      </c>
      <c r="J153" s="3428">
        <f t="shared" si="74"/>
        <v>0</v>
      </c>
      <c r="K153" s="1197">
        <v>350000</v>
      </c>
      <c r="L153" s="1197">
        <v>350000</v>
      </c>
      <c r="M153" s="1331"/>
      <c r="N153" s="236"/>
    </row>
    <row r="154" spans="1:16" ht="16.5" x14ac:dyDescent="0.25">
      <c r="A154" s="211"/>
      <c r="B154" s="333"/>
      <c r="C154" s="224" t="s">
        <v>1820</v>
      </c>
      <c r="D154" s="2360" t="s">
        <v>1681</v>
      </c>
      <c r="E154" s="1197"/>
      <c r="F154" s="2830">
        <f t="shared" si="62"/>
        <v>100000</v>
      </c>
      <c r="G154" s="1197">
        <v>100000</v>
      </c>
      <c r="H154" s="2830">
        <f t="shared" si="73"/>
        <v>0</v>
      </c>
      <c r="I154" s="1197">
        <v>100000</v>
      </c>
      <c r="J154" s="3428">
        <f t="shared" si="74"/>
        <v>0</v>
      </c>
      <c r="K154" s="1197">
        <v>100000</v>
      </c>
      <c r="L154" s="1197">
        <v>100000</v>
      </c>
      <c r="M154" s="1331"/>
      <c r="N154" s="236"/>
    </row>
    <row r="155" spans="1:16" ht="16.5" x14ac:dyDescent="0.25">
      <c r="A155" s="211"/>
      <c r="B155" s="333"/>
      <c r="C155" s="224" t="s">
        <v>1821</v>
      </c>
      <c r="D155" s="2360" t="s">
        <v>1689</v>
      </c>
      <c r="E155" s="1197"/>
      <c r="F155" s="2830">
        <f t="shared" si="62"/>
        <v>100000</v>
      </c>
      <c r="G155" s="1197">
        <v>100000</v>
      </c>
      <c r="H155" s="2830">
        <f t="shared" si="73"/>
        <v>0</v>
      </c>
      <c r="I155" s="1197">
        <v>100000</v>
      </c>
      <c r="J155" s="3428">
        <f t="shared" si="74"/>
        <v>0</v>
      </c>
      <c r="K155" s="1197">
        <v>100000</v>
      </c>
      <c r="L155" s="1197">
        <v>100000</v>
      </c>
      <c r="M155" s="1331"/>
      <c r="N155" s="236"/>
    </row>
    <row r="156" spans="1:16" ht="16.5" x14ac:dyDescent="0.25">
      <c r="A156" s="211"/>
      <c r="B156" s="333"/>
      <c r="C156" s="224" t="s">
        <v>1822</v>
      </c>
      <c r="D156" s="2360" t="s">
        <v>1957</v>
      </c>
      <c r="E156" s="1197"/>
      <c r="F156" s="2830">
        <f>G156-E156</f>
        <v>0</v>
      </c>
      <c r="G156" s="1197"/>
      <c r="H156" s="2830"/>
      <c r="I156" s="1197">
        <v>120000</v>
      </c>
      <c r="J156" s="3428">
        <f t="shared" si="74"/>
        <v>0</v>
      </c>
      <c r="K156" s="1197">
        <v>120000</v>
      </c>
      <c r="L156" s="1197">
        <v>120000</v>
      </c>
      <c r="M156" s="1331"/>
      <c r="N156" s="236"/>
    </row>
    <row r="157" spans="1:16" ht="16.5" x14ac:dyDescent="0.25">
      <c r="A157" s="211"/>
      <c r="B157" s="333"/>
      <c r="C157" s="216" t="s">
        <v>1239</v>
      </c>
      <c r="D157" s="217" t="s">
        <v>397</v>
      </c>
      <c r="E157" s="2387">
        <f>SUM(E158:E168)-E161-E162</f>
        <v>35092000</v>
      </c>
      <c r="F157" s="2838">
        <f t="shared" si="62"/>
        <v>26756560</v>
      </c>
      <c r="G157" s="2387">
        <f>SUM(G158:G186)-G161-G162</f>
        <v>61848560</v>
      </c>
      <c r="H157" s="2838">
        <f>SUM(H158:H186)-H161-H162</f>
        <v>26338000</v>
      </c>
      <c r="I157" s="2387">
        <f>SUM(I158:I197)-I161-I162</f>
        <v>98055360</v>
      </c>
      <c r="J157" s="3428">
        <f t="shared" si="74"/>
        <v>0</v>
      </c>
      <c r="K157" s="2387">
        <f>SUM(K158:K197)-K161-K162</f>
        <v>98055360</v>
      </c>
      <c r="L157" s="2387">
        <f>SUM(L158:L197)-L161-L162</f>
        <v>49694650</v>
      </c>
      <c r="M157" s="2387"/>
      <c r="N157" s="236"/>
      <c r="P157" s="231"/>
    </row>
    <row r="158" spans="1:16" ht="16.5" x14ac:dyDescent="0.25">
      <c r="A158" s="211"/>
      <c r="B158" s="333"/>
      <c r="C158" s="224" t="s">
        <v>1240</v>
      </c>
      <c r="D158" s="1850" t="s">
        <v>832</v>
      </c>
      <c r="E158" s="1197">
        <v>700000</v>
      </c>
      <c r="F158" s="2830">
        <f t="shared" si="62"/>
        <v>-700000</v>
      </c>
      <c r="G158" s="1197">
        <v>0</v>
      </c>
      <c r="H158" s="2830">
        <f>I158-G158</f>
        <v>0</v>
      </c>
      <c r="I158" s="1197"/>
      <c r="J158" s="3428">
        <f t="shared" si="74"/>
        <v>0</v>
      </c>
      <c r="K158" s="1197"/>
      <c r="L158" s="1197"/>
      <c r="M158" s="1331"/>
      <c r="N158" s="236"/>
    </row>
    <row r="159" spans="1:16" ht="16.5" x14ac:dyDescent="0.25">
      <c r="A159" s="211"/>
      <c r="B159" s="333"/>
      <c r="C159" s="224" t="s">
        <v>1241</v>
      </c>
      <c r="D159" s="1849" t="s">
        <v>985</v>
      </c>
      <c r="E159" s="1197">
        <v>1000000</v>
      </c>
      <c r="F159" s="2830">
        <f t="shared" si="62"/>
        <v>310000</v>
      </c>
      <c r="G159" s="1197">
        <v>1310000</v>
      </c>
      <c r="H159" s="2830">
        <f t="shared" ref="H159:H186" si="76">I159-G159</f>
        <v>0</v>
      </c>
      <c r="I159" s="1197">
        <v>1310000</v>
      </c>
      <c r="J159" s="3428">
        <f t="shared" si="74"/>
        <v>0</v>
      </c>
      <c r="K159" s="1197">
        <v>1310000</v>
      </c>
      <c r="L159" s="1197">
        <v>310000</v>
      </c>
      <c r="M159" s="1331"/>
      <c r="N159" s="236"/>
    </row>
    <row r="160" spans="1:16" ht="16.5" x14ac:dyDescent="0.25">
      <c r="A160" s="211"/>
      <c r="B160" s="333"/>
      <c r="C160" s="224" t="s">
        <v>1242</v>
      </c>
      <c r="D160" s="2385" t="s">
        <v>398</v>
      </c>
      <c r="E160" s="1197">
        <f>SUM(E161:E162)</f>
        <v>1100000</v>
      </c>
      <c r="F160" s="2830">
        <f t="shared" si="62"/>
        <v>-480000</v>
      </c>
      <c r="G160" s="1197">
        <f t="shared" ref="G160:L160" si="77">SUM(G161:G162)</f>
        <v>620000</v>
      </c>
      <c r="H160" s="2830">
        <f t="shared" si="76"/>
        <v>0</v>
      </c>
      <c r="I160" s="1197">
        <f t="shared" ref="I160" si="78">SUM(I161:I162)</f>
        <v>620000</v>
      </c>
      <c r="J160" s="3428">
        <f t="shared" si="74"/>
        <v>0</v>
      </c>
      <c r="K160" s="1197">
        <f t="shared" si="77"/>
        <v>620000</v>
      </c>
      <c r="L160" s="1197">
        <f t="shared" si="77"/>
        <v>280000</v>
      </c>
      <c r="M160" s="1331"/>
      <c r="N160" s="236"/>
    </row>
    <row r="161" spans="1:14" ht="16.5" x14ac:dyDescent="0.25">
      <c r="A161" s="211"/>
      <c r="B161" s="333"/>
      <c r="C161" s="224" t="s">
        <v>1244</v>
      </c>
      <c r="D161" s="2386" t="s">
        <v>399</v>
      </c>
      <c r="E161" s="1197">
        <v>600000</v>
      </c>
      <c r="F161" s="2830">
        <f t="shared" si="62"/>
        <v>-600000</v>
      </c>
      <c r="G161" s="2389"/>
      <c r="H161" s="2830">
        <f t="shared" si="76"/>
        <v>0</v>
      </c>
      <c r="I161" s="2844"/>
      <c r="J161" s="3428">
        <f t="shared" si="74"/>
        <v>0</v>
      </c>
      <c r="K161" s="2844"/>
      <c r="L161" s="2844"/>
      <c r="M161" s="1331"/>
      <c r="N161" s="236"/>
    </row>
    <row r="162" spans="1:14" ht="16.5" x14ac:dyDescent="0.25">
      <c r="A162" s="211"/>
      <c r="B162" s="333"/>
      <c r="C162" s="224" t="s">
        <v>1245</v>
      </c>
      <c r="D162" s="2386" t="s">
        <v>400</v>
      </c>
      <c r="E162" s="1197">
        <v>500000</v>
      </c>
      <c r="F162" s="2830">
        <f t="shared" si="62"/>
        <v>120000</v>
      </c>
      <c r="G162" s="1197">
        <v>620000</v>
      </c>
      <c r="H162" s="2830">
        <f t="shared" si="76"/>
        <v>0</v>
      </c>
      <c r="I162" s="1197">
        <v>620000</v>
      </c>
      <c r="J162" s="3428">
        <f t="shared" si="74"/>
        <v>0</v>
      </c>
      <c r="K162" s="1197">
        <v>620000</v>
      </c>
      <c r="L162" s="1197">
        <v>280000</v>
      </c>
      <c r="M162" s="1331"/>
      <c r="N162" s="236"/>
    </row>
    <row r="163" spans="1:14" ht="16.5" x14ac:dyDescent="0.25">
      <c r="A163" s="211"/>
      <c r="B163" s="333"/>
      <c r="C163" s="224" t="s">
        <v>1243</v>
      </c>
      <c r="D163" s="1849" t="s">
        <v>401</v>
      </c>
      <c r="E163" s="1197">
        <v>0</v>
      </c>
      <c r="F163" s="2830">
        <f t="shared" si="62"/>
        <v>9900000</v>
      </c>
      <c r="G163" s="1197">
        <v>9900000</v>
      </c>
      <c r="H163" s="2830">
        <f t="shared" si="76"/>
        <v>-4600000</v>
      </c>
      <c r="I163" s="1197">
        <v>5300000</v>
      </c>
      <c r="J163" s="3428">
        <f t="shared" si="74"/>
        <v>0</v>
      </c>
      <c r="K163" s="1197">
        <v>5300000</v>
      </c>
      <c r="L163" s="1197">
        <v>0</v>
      </c>
      <c r="M163" s="1331"/>
      <c r="N163" s="236"/>
    </row>
    <row r="164" spans="1:14" ht="16.5" x14ac:dyDescent="0.25">
      <c r="A164" s="211"/>
      <c r="B164" s="333"/>
      <c r="C164" s="224" t="s">
        <v>1246</v>
      </c>
      <c r="D164" s="1849" t="s">
        <v>402</v>
      </c>
      <c r="E164" s="1197">
        <v>25000000</v>
      </c>
      <c r="F164" s="2830">
        <f t="shared" si="62"/>
        <v>0</v>
      </c>
      <c r="G164" s="1197">
        <v>25000000</v>
      </c>
      <c r="H164" s="2830">
        <f t="shared" si="76"/>
        <v>14720000</v>
      </c>
      <c r="I164" s="1197">
        <v>39720000</v>
      </c>
      <c r="J164" s="3428">
        <f t="shared" si="74"/>
        <v>0</v>
      </c>
      <c r="K164" s="1197">
        <v>39720000</v>
      </c>
      <c r="L164" s="1197">
        <v>0</v>
      </c>
      <c r="M164" s="1331"/>
      <c r="N164" s="236"/>
    </row>
    <row r="165" spans="1:14" ht="16.5" x14ac:dyDescent="0.25">
      <c r="A165" s="211"/>
      <c r="B165" s="333"/>
      <c r="C165" s="224" t="s">
        <v>1247</v>
      </c>
      <c r="D165" s="2362" t="s">
        <v>762</v>
      </c>
      <c r="E165" s="1197">
        <v>1000000</v>
      </c>
      <c r="F165" s="2830">
        <f t="shared" si="62"/>
        <v>0</v>
      </c>
      <c r="G165" s="1197">
        <v>1000000</v>
      </c>
      <c r="H165" s="2830">
        <f t="shared" si="76"/>
        <v>0</v>
      </c>
      <c r="I165" s="1197">
        <v>1000000</v>
      </c>
      <c r="J165" s="3428">
        <f t="shared" si="74"/>
        <v>0</v>
      </c>
      <c r="K165" s="1197">
        <v>1000000</v>
      </c>
      <c r="L165" s="1197">
        <v>1000000</v>
      </c>
      <c r="M165" s="1331"/>
      <c r="N165" s="236"/>
    </row>
    <row r="166" spans="1:14" ht="16.5" x14ac:dyDescent="0.25">
      <c r="A166" s="211"/>
      <c r="B166" s="333"/>
      <c r="C166" s="224" t="s">
        <v>1248</v>
      </c>
      <c r="D166" s="1852" t="s">
        <v>1048</v>
      </c>
      <c r="E166" s="1197">
        <v>4000000</v>
      </c>
      <c r="F166" s="2830">
        <f t="shared" si="62"/>
        <v>0</v>
      </c>
      <c r="G166" s="1197">
        <v>4000000</v>
      </c>
      <c r="H166" s="2830">
        <f t="shared" si="76"/>
        <v>0</v>
      </c>
      <c r="I166" s="1197">
        <v>4000000</v>
      </c>
      <c r="J166" s="3428">
        <f t="shared" si="74"/>
        <v>0</v>
      </c>
      <c r="K166" s="1197">
        <v>4000000</v>
      </c>
      <c r="L166" s="1197">
        <v>4000000</v>
      </c>
      <c r="M166" s="1331"/>
      <c r="N166" s="236"/>
    </row>
    <row r="167" spans="1:14" ht="16.5" x14ac:dyDescent="0.25">
      <c r="A167" s="211"/>
      <c r="B167" s="333"/>
      <c r="C167" s="224" t="s">
        <v>1249</v>
      </c>
      <c r="D167" s="2359" t="s">
        <v>1115</v>
      </c>
      <c r="E167" s="1197">
        <v>2136000</v>
      </c>
      <c r="F167" s="2830">
        <f t="shared" si="62"/>
        <v>226560</v>
      </c>
      <c r="G167" s="1197">
        <v>2362560</v>
      </c>
      <c r="H167" s="2830">
        <f t="shared" si="76"/>
        <v>0</v>
      </c>
      <c r="I167" s="1197">
        <v>2362560</v>
      </c>
      <c r="J167" s="3428">
        <f t="shared" si="74"/>
        <v>0</v>
      </c>
      <c r="K167" s="1197">
        <v>2362560</v>
      </c>
      <c r="L167" s="1197">
        <v>2362560</v>
      </c>
      <c r="M167" s="1331"/>
      <c r="N167" s="236"/>
    </row>
    <row r="168" spans="1:14" ht="16.5" x14ac:dyDescent="0.25">
      <c r="A168" s="211"/>
      <c r="B168" s="333"/>
      <c r="C168" s="224" t="s">
        <v>1250</v>
      </c>
      <c r="D168" s="2359" t="s">
        <v>987</v>
      </c>
      <c r="E168" s="1197">
        <v>156000</v>
      </c>
      <c r="F168" s="2830">
        <f t="shared" si="62"/>
        <v>0</v>
      </c>
      <c r="G168" s="1197">
        <v>156000</v>
      </c>
      <c r="H168" s="2830">
        <f t="shared" si="76"/>
        <v>0</v>
      </c>
      <c r="I168" s="1197">
        <v>156000</v>
      </c>
      <c r="J168" s="3428">
        <f t="shared" si="74"/>
        <v>0</v>
      </c>
      <c r="K168" s="1197">
        <v>156000</v>
      </c>
      <c r="L168" s="1197">
        <v>156000</v>
      </c>
      <c r="M168" s="1331"/>
      <c r="N168" s="236"/>
    </row>
    <row r="169" spans="1:14" ht="16.5" x14ac:dyDescent="0.25">
      <c r="A169" s="211"/>
      <c r="B169" s="333"/>
      <c r="C169" s="224" t="s">
        <v>1779</v>
      </c>
      <c r="D169" s="2359" t="s">
        <v>1662</v>
      </c>
      <c r="E169" s="1197"/>
      <c r="F169" s="2830">
        <f t="shared" ref="F169:F175" si="79">G169-E169</f>
        <v>200000</v>
      </c>
      <c r="G169" s="1197">
        <v>200000</v>
      </c>
      <c r="H169" s="2830">
        <f t="shared" si="76"/>
        <v>0</v>
      </c>
      <c r="I169" s="1197">
        <v>200000</v>
      </c>
      <c r="J169" s="3428">
        <f t="shared" si="74"/>
        <v>0</v>
      </c>
      <c r="K169" s="1197">
        <v>200000</v>
      </c>
      <c r="L169" s="1197">
        <v>200000</v>
      </c>
      <c r="M169" s="1331"/>
      <c r="N169" s="236"/>
    </row>
    <row r="170" spans="1:14" ht="16.5" x14ac:dyDescent="0.25">
      <c r="A170" s="211"/>
      <c r="B170" s="333"/>
      <c r="C170" s="224" t="s">
        <v>1780</v>
      </c>
      <c r="D170" s="2359" t="s">
        <v>1668</v>
      </c>
      <c r="E170" s="1197"/>
      <c r="F170" s="2830">
        <f t="shared" si="79"/>
        <v>100000</v>
      </c>
      <c r="G170" s="1197">
        <v>100000</v>
      </c>
      <c r="H170" s="2830">
        <f t="shared" si="76"/>
        <v>0</v>
      </c>
      <c r="I170" s="1197">
        <v>100000</v>
      </c>
      <c r="J170" s="3428">
        <f t="shared" si="74"/>
        <v>0</v>
      </c>
      <c r="K170" s="1197">
        <v>100000</v>
      </c>
      <c r="L170" s="1197"/>
      <c r="M170" s="1331"/>
      <c r="N170" s="236"/>
    </row>
    <row r="171" spans="1:14" ht="16.5" x14ac:dyDescent="0.25">
      <c r="A171" s="211"/>
      <c r="B171" s="333"/>
      <c r="C171" s="224" t="s">
        <v>1781</v>
      </c>
      <c r="D171" s="2359" t="s">
        <v>1671</v>
      </c>
      <c r="E171" s="1197"/>
      <c r="F171" s="2830">
        <f t="shared" si="79"/>
        <v>208000</v>
      </c>
      <c r="G171" s="1197">
        <v>208000</v>
      </c>
      <c r="H171" s="2830">
        <f t="shared" si="76"/>
        <v>0</v>
      </c>
      <c r="I171" s="1197">
        <v>208000</v>
      </c>
      <c r="J171" s="3428">
        <f t="shared" si="74"/>
        <v>0</v>
      </c>
      <c r="K171" s="1197">
        <v>208000</v>
      </c>
      <c r="L171" s="1197">
        <v>208000</v>
      </c>
      <c r="M171" s="1331"/>
      <c r="N171" s="236"/>
    </row>
    <row r="172" spans="1:14" ht="16.5" x14ac:dyDescent="0.25">
      <c r="A172" s="211"/>
      <c r="B172" s="333"/>
      <c r="C172" s="224" t="s">
        <v>1782</v>
      </c>
      <c r="D172" s="2359" t="s">
        <v>2035</v>
      </c>
      <c r="E172" s="1197"/>
      <c r="F172" s="2830">
        <f>G172-E172</f>
        <v>230000</v>
      </c>
      <c r="G172" s="1197">
        <v>230000</v>
      </c>
      <c r="H172" s="2830">
        <f t="shared" si="76"/>
        <v>5000000</v>
      </c>
      <c r="I172" s="1197">
        <v>5230000</v>
      </c>
      <c r="J172" s="3428">
        <f t="shared" si="74"/>
        <v>0</v>
      </c>
      <c r="K172" s="1197">
        <v>5230000</v>
      </c>
      <c r="L172" s="1197">
        <v>5230000</v>
      </c>
      <c r="M172" s="1331"/>
      <c r="N172" s="236"/>
    </row>
    <row r="173" spans="1:14" ht="16.5" x14ac:dyDescent="0.25">
      <c r="A173" s="211"/>
      <c r="B173" s="333"/>
      <c r="C173" s="224" t="s">
        <v>1783</v>
      </c>
      <c r="D173" s="2359" t="s">
        <v>1673</v>
      </c>
      <c r="E173" s="1197"/>
      <c r="F173" s="2830">
        <f>G173-E173</f>
        <v>527000</v>
      </c>
      <c r="G173" s="1197">
        <v>527000</v>
      </c>
      <c r="H173" s="2830">
        <f t="shared" si="76"/>
        <v>240000</v>
      </c>
      <c r="I173" s="1197">
        <v>767000</v>
      </c>
      <c r="J173" s="3428">
        <f t="shared" si="74"/>
        <v>0</v>
      </c>
      <c r="K173" s="1197">
        <v>767000</v>
      </c>
      <c r="L173" s="1197">
        <v>741290</v>
      </c>
      <c r="M173" s="1331"/>
      <c r="N173" s="236"/>
    </row>
    <row r="174" spans="1:14" ht="16.5" x14ac:dyDescent="0.25">
      <c r="A174" s="211"/>
      <c r="B174" s="333"/>
      <c r="C174" s="224" t="s">
        <v>1784</v>
      </c>
      <c r="D174" s="2359" t="s">
        <v>1674</v>
      </c>
      <c r="E174" s="1197"/>
      <c r="F174" s="2830">
        <f>G174-E174</f>
        <v>590000</v>
      </c>
      <c r="G174" s="1197">
        <v>590000</v>
      </c>
      <c r="H174" s="2830">
        <f t="shared" si="76"/>
        <v>0</v>
      </c>
      <c r="I174" s="1197">
        <v>590000</v>
      </c>
      <c r="J174" s="3428">
        <f t="shared" si="74"/>
        <v>0</v>
      </c>
      <c r="K174" s="1197">
        <v>590000</v>
      </c>
      <c r="L174" s="1197">
        <v>590000</v>
      </c>
      <c r="M174" s="1331"/>
      <c r="N174" s="236"/>
    </row>
    <row r="175" spans="1:14" ht="16.5" x14ac:dyDescent="0.25">
      <c r="A175" s="211"/>
      <c r="B175" s="333"/>
      <c r="C175" s="224" t="s">
        <v>1785</v>
      </c>
      <c r="D175" s="2359" t="s">
        <v>1675</v>
      </c>
      <c r="E175" s="1197"/>
      <c r="F175" s="2830">
        <f t="shared" si="79"/>
        <v>300000</v>
      </c>
      <c r="G175" s="1197">
        <v>300000</v>
      </c>
      <c r="H175" s="2830">
        <f t="shared" si="76"/>
        <v>50000</v>
      </c>
      <c r="I175" s="1197">
        <v>350000</v>
      </c>
      <c r="J175" s="3428">
        <f t="shared" si="74"/>
        <v>0</v>
      </c>
      <c r="K175" s="1197">
        <v>350000</v>
      </c>
      <c r="L175" s="1197">
        <v>350000</v>
      </c>
      <c r="M175" s="1331"/>
      <c r="N175" s="236"/>
    </row>
    <row r="176" spans="1:14" ht="16.5" x14ac:dyDescent="0.25">
      <c r="A176" s="211"/>
      <c r="B176" s="333"/>
      <c r="C176" s="224" t="s">
        <v>1786</v>
      </c>
      <c r="D176" s="2359" t="s">
        <v>1676</v>
      </c>
      <c r="E176" s="1197"/>
      <c r="F176" s="2830">
        <f t="shared" si="62"/>
        <v>330000</v>
      </c>
      <c r="G176" s="1197">
        <v>330000</v>
      </c>
      <c r="H176" s="2830">
        <f t="shared" si="76"/>
        <v>0</v>
      </c>
      <c r="I176" s="1197">
        <v>330000</v>
      </c>
      <c r="J176" s="3428">
        <f t="shared" si="74"/>
        <v>0</v>
      </c>
      <c r="K176" s="1197">
        <v>330000</v>
      </c>
      <c r="L176" s="1197">
        <v>330000</v>
      </c>
      <c r="M176" s="1331"/>
      <c r="N176" s="236"/>
    </row>
    <row r="177" spans="1:14" ht="16.5" x14ac:dyDescent="0.25">
      <c r="A177" s="211"/>
      <c r="B177" s="333"/>
      <c r="C177" s="224" t="s">
        <v>1787</v>
      </c>
      <c r="D177" s="2359" t="s">
        <v>1677</v>
      </c>
      <c r="E177" s="1197"/>
      <c r="F177" s="2830">
        <f t="shared" si="62"/>
        <v>100000</v>
      </c>
      <c r="G177" s="1197">
        <v>100000</v>
      </c>
      <c r="H177" s="2830">
        <f t="shared" si="76"/>
        <v>0</v>
      </c>
      <c r="I177" s="1197">
        <v>100000</v>
      </c>
      <c r="J177" s="3428">
        <f t="shared" si="74"/>
        <v>0</v>
      </c>
      <c r="K177" s="1197">
        <v>100000</v>
      </c>
      <c r="L177" s="1197">
        <v>100000</v>
      </c>
      <c r="M177" s="1331"/>
      <c r="N177" s="236"/>
    </row>
    <row r="178" spans="1:14" ht="16.5" x14ac:dyDescent="0.25">
      <c r="A178" s="211"/>
      <c r="B178" s="333"/>
      <c r="C178" s="224" t="s">
        <v>1788</v>
      </c>
      <c r="D178" s="2359" t="s">
        <v>1678</v>
      </c>
      <c r="E178" s="1197"/>
      <c r="F178" s="2830">
        <f t="shared" si="62"/>
        <v>75000</v>
      </c>
      <c r="G178" s="1197">
        <v>75000</v>
      </c>
      <c r="H178" s="2830">
        <f t="shared" si="76"/>
        <v>0</v>
      </c>
      <c r="I178" s="1197">
        <v>75000</v>
      </c>
      <c r="J178" s="3428">
        <f t="shared" si="74"/>
        <v>0</v>
      </c>
      <c r="K178" s="1197">
        <v>75000</v>
      </c>
      <c r="L178" s="1197">
        <v>0</v>
      </c>
      <c r="M178" s="1331"/>
      <c r="N178" s="236"/>
    </row>
    <row r="179" spans="1:14" ht="16.5" x14ac:dyDescent="0.25">
      <c r="A179" s="211"/>
      <c r="B179" s="333"/>
      <c r="C179" s="224" t="s">
        <v>1789</v>
      </c>
      <c r="D179" s="2359" t="s">
        <v>1679</v>
      </c>
      <c r="E179" s="1197"/>
      <c r="F179" s="2830">
        <f t="shared" si="62"/>
        <v>650000</v>
      </c>
      <c r="G179" s="1197">
        <v>650000</v>
      </c>
      <c r="H179" s="2830">
        <f t="shared" si="76"/>
        <v>300000</v>
      </c>
      <c r="I179" s="1197">
        <v>950000</v>
      </c>
      <c r="J179" s="3428">
        <f t="shared" si="74"/>
        <v>0</v>
      </c>
      <c r="K179" s="1197">
        <v>950000</v>
      </c>
      <c r="L179" s="1197">
        <v>950000</v>
      </c>
      <c r="M179" s="1331"/>
      <c r="N179" s="236"/>
    </row>
    <row r="180" spans="1:14" ht="16.5" x14ac:dyDescent="0.25">
      <c r="A180" s="211"/>
      <c r="B180" s="333"/>
      <c r="C180" s="224" t="s">
        <v>1790</v>
      </c>
      <c r="D180" s="2359" t="s">
        <v>1682</v>
      </c>
      <c r="E180" s="1197"/>
      <c r="F180" s="2830">
        <f t="shared" si="62"/>
        <v>140000</v>
      </c>
      <c r="G180" s="1197">
        <v>140000</v>
      </c>
      <c r="H180" s="2830">
        <f t="shared" si="76"/>
        <v>0</v>
      </c>
      <c r="I180" s="1197">
        <v>140000</v>
      </c>
      <c r="J180" s="3428">
        <f t="shared" si="74"/>
        <v>0</v>
      </c>
      <c r="K180" s="1197">
        <v>140000</v>
      </c>
      <c r="L180" s="1197">
        <v>140000</v>
      </c>
      <c r="M180" s="1331"/>
      <c r="N180" s="236"/>
    </row>
    <row r="181" spans="1:14" ht="16.5" x14ac:dyDescent="0.25">
      <c r="A181" s="211"/>
      <c r="B181" s="333"/>
      <c r="C181" s="224" t="s">
        <v>1791</v>
      </c>
      <c r="D181" s="2359" t="s">
        <v>1683</v>
      </c>
      <c r="E181" s="1197"/>
      <c r="F181" s="2830">
        <f t="shared" si="62"/>
        <v>8000000</v>
      </c>
      <c r="G181" s="1197">
        <v>8000000</v>
      </c>
      <c r="H181" s="2830">
        <f t="shared" si="76"/>
        <v>10328000</v>
      </c>
      <c r="I181" s="1197">
        <v>18328000</v>
      </c>
      <c r="J181" s="3428">
        <f t="shared" si="74"/>
        <v>0</v>
      </c>
      <c r="K181" s="1197">
        <v>18328000</v>
      </c>
      <c r="L181" s="1197">
        <v>16528000</v>
      </c>
      <c r="M181" s="1331"/>
      <c r="N181" s="236"/>
    </row>
    <row r="182" spans="1:14" ht="16.5" x14ac:dyDescent="0.25">
      <c r="A182" s="211"/>
      <c r="B182" s="333"/>
      <c r="C182" s="224" t="s">
        <v>1792</v>
      </c>
      <c r="D182" s="2359" t="s">
        <v>1684</v>
      </c>
      <c r="E182" s="1197"/>
      <c r="F182" s="2830">
        <f>G182-E182</f>
        <v>50000</v>
      </c>
      <c r="G182" s="1197">
        <v>50000</v>
      </c>
      <c r="H182" s="2830">
        <f t="shared" si="76"/>
        <v>0</v>
      </c>
      <c r="I182" s="1197">
        <v>50000</v>
      </c>
      <c r="J182" s="3428">
        <f t="shared" si="74"/>
        <v>0</v>
      </c>
      <c r="K182" s="1197">
        <v>50000</v>
      </c>
      <c r="L182" s="1197">
        <v>50000</v>
      </c>
      <c r="M182" s="1331"/>
      <c r="N182" s="236"/>
    </row>
    <row r="183" spans="1:14" ht="16.5" x14ac:dyDescent="0.25">
      <c r="A183" s="211"/>
      <c r="B183" s="333"/>
      <c r="C183" s="224" t="s">
        <v>1793</v>
      </c>
      <c r="D183" s="2359" t="s">
        <v>1685</v>
      </c>
      <c r="E183" s="1197"/>
      <c r="F183" s="2830">
        <f>G183-E183</f>
        <v>5000000</v>
      </c>
      <c r="G183" s="1197">
        <v>5000000</v>
      </c>
      <c r="H183" s="2830">
        <f t="shared" si="76"/>
        <v>0</v>
      </c>
      <c r="I183" s="1197">
        <v>5000000</v>
      </c>
      <c r="J183" s="3428">
        <f t="shared" si="74"/>
        <v>0</v>
      </c>
      <c r="K183" s="1197">
        <v>5000000</v>
      </c>
      <c r="L183" s="1197">
        <v>5000000</v>
      </c>
      <c r="M183" s="1331"/>
      <c r="N183" s="236"/>
    </row>
    <row r="184" spans="1:14" ht="16.5" x14ac:dyDescent="0.25">
      <c r="A184" s="211"/>
      <c r="B184" s="333"/>
      <c r="C184" s="224" t="s">
        <v>1794</v>
      </c>
      <c r="D184" s="2359" t="s">
        <v>1686</v>
      </c>
      <c r="E184" s="1197"/>
      <c r="F184" s="2830">
        <f>G184-E184</f>
        <v>50000</v>
      </c>
      <c r="G184" s="1197">
        <v>50000</v>
      </c>
      <c r="H184" s="2830">
        <f t="shared" si="76"/>
        <v>0</v>
      </c>
      <c r="I184" s="1197">
        <v>50000</v>
      </c>
      <c r="J184" s="3428">
        <f t="shared" si="74"/>
        <v>0</v>
      </c>
      <c r="K184" s="1197">
        <v>50000</v>
      </c>
      <c r="L184" s="1197">
        <v>50000</v>
      </c>
      <c r="M184" s="1331"/>
      <c r="N184" s="236"/>
    </row>
    <row r="185" spans="1:14" ht="16.5" x14ac:dyDescent="0.25">
      <c r="A185" s="211"/>
      <c r="B185" s="333"/>
      <c r="C185" s="224" t="s">
        <v>1795</v>
      </c>
      <c r="D185" s="2359" t="s">
        <v>1687</v>
      </c>
      <c r="E185" s="1197"/>
      <c r="F185" s="2830">
        <f t="shared" si="62"/>
        <v>500000</v>
      </c>
      <c r="G185" s="1197">
        <v>500000</v>
      </c>
      <c r="H185" s="2830">
        <f t="shared" si="76"/>
        <v>300000</v>
      </c>
      <c r="I185" s="1197">
        <v>800000</v>
      </c>
      <c r="J185" s="3428">
        <f t="shared" si="74"/>
        <v>0</v>
      </c>
      <c r="K185" s="1197">
        <v>800000</v>
      </c>
      <c r="L185" s="1197">
        <v>800000</v>
      </c>
      <c r="M185" s="1331"/>
      <c r="N185" s="236"/>
    </row>
    <row r="186" spans="1:14" ht="16.5" x14ac:dyDescent="0.25">
      <c r="A186" s="211"/>
      <c r="B186" s="333"/>
      <c r="C186" s="224" t="s">
        <v>1796</v>
      </c>
      <c r="D186" s="2359" t="s">
        <v>1688</v>
      </c>
      <c r="E186" s="1197"/>
      <c r="F186" s="2830">
        <f t="shared" si="62"/>
        <v>450000</v>
      </c>
      <c r="G186" s="1197">
        <v>450000</v>
      </c>
      <c r="H186" s="2830">
        <f t="shared" si="76"/>
        <v>0</v>
      </c>
      <c r="I186" s="1197">
        <v>450000</v>
      </c>
      <c r="J186" s="3428">
        <f t="shared" si="74"/>
        <v>0</v>
      </c>
      <c r="K186" s="1197">
        <v>450000</v>
      </c>
      <c r="L186" s="1197">
        <v>450000</v>
      </c>
      <c r="M186" s="1331"/>
      <c r="N186" s="236"/>
    </row>
    <row r="187" spans="1:14" ht="16.5" x14ac:dyDescent="0.25">
      <c r="A187" s="211"/>
      <c r="B187" s="333"/>
      <c r="C187" s="224" t="s">
        <v>1797</v>
      </c>
      <c r="D187" s="2359" t="s">
        <v>1903</v>
      </c>
      <c r="E187" s="1197"/>
      <c r="F187" s="2830">
        <f t="shared" ref="F187:F197" si="80">G187-E187</f>
        <v>0</v>
      </c>
      <c r="G187" s="1197"/>
      <c r="H187" s="2830"/>
      <c r="I187" s="1197">
        <v>50000</v>
      </c>
      <c r="J187" s="3428">
        <f t="shared" si="74"/>
        <v>0</v>
      </c>
      <c r="K187" s="1197">
        <v>50000</v>
      </c>
      <c r="L187" s="1197">
        <v>50000</v>
      </c>
      <c r="M187" s="1331"/>
      <c r="N187" s="236"/>
    </row>
    <row r="188" spans="1:14" ht="16.5" x14ac:dyDescent="0.25">
      <c r="A188" s="211"/>
      <c r="B188" s="333"/>
      <c r="C188" s="224" t="s">
        <v>1904</v>
      </c>
      <c r="D188" s="2359" t="s">
        <v>1905</v>
      </c>
      <c r="E188" s="1197"/>
      <c r="F188" s="2830">
        <f t="shared" si="80"/>
        <v>0</v>
      </c>
      <c r="G188" s="1197"/>
      <c r="H188" s="2830"/>
      <c r="I188" s="1197">
        <v>200000</v>
      </c>
      <c r="J188" s="3428">
        <f t="shared" si="74"/>
        <v>0</v>
      </c>
      <c r="K188" s="1197">
        <v>200000</v>
      </c>
      <c r="L188" s="1197">
        <v>200000</v>
      </c>
      <c r="M188" s="1331"/>
      <c r="N188" s="236"/>
    </row>
    <row r="189" spans="1:14" ht="16.5" x14ac:dyDescent="0.25">
      <c r="A189" s="211"/>
      <c r="B189" s="333"/>
      <c r="C189" s="224" t="s">
        <v>1906</v>
      </c>
      <c r="D189" s="2359" t="s">
        <v>1907</v>
      </c>
      <c r="E189" s="1197"/>
      <c r="F189" s="2830">
        <f t="shared" si="80"/>
        <v>0</v>
      </c>
      <c r="G189" s="1197"/>
      <c r="H189" s="2830"/>
      <c r="I189" s="1197">
        <v>7456800</v>
      </c>
      <c r="J189" s="3428">
        <f t="shared" si="74"/>
        <v>0</v>
      </c>
      <c r="K189" s="1197">
        <v>7456800</v>
      </c>
      <c r="L189" s="1197">
        <v>7456800</v>
      </c>
      <c r="M189" s="1331"/>
      <c r="N189" s="236"/>
    </row>
    <row r="190" spans="1:14" ht="16.5" x14ac:dyDescent="0.25">
      <c r="A190" s="211"/>
      <c r="B190" s="333"/>
      <c r="C190" s="224" t="s">
        <v>1908</v>
      </c>
      <c r="D190" s="2359" t="s">
        <v>1909</v>
      </c>
      <c r="E190" s="1197"/>
      <c r="F190" s="2830">
        <f t="shared" si="80"/>
        <v>0</v>
      </c>
      <c r="G190" s="1197"/>
      <c r="H190" s="2830"/>
      <c r="I190" s="1197">
        <v>50000</v>
      </c>
      <c r="J190" s="3428">
        <f t="shared" si="74"/>
        <v>0</v>
      </c>
      <c r="K190" s="1197">
        <v>50000</v>
      </c>
      <c r="L190" s="1197">
        <v>50000</v>
      </c>
      <c r="M190" s="1331"/>
      <c r="N190" s="236"/>
    </row>
    <row r="191" spans="1:14" ht="16.5" x14ac:dyDescent="0.25">
      <c r="A191" s="211"/>
      <c r="B191" s="333"/>
      <c r="C191" s="224" t="s">
        <v>1910</v>
      </c>
      <c r="D191" s="2359" t="s">
        <v>1911</v>
      </c>
      <c r="E191" s="1197"/>
      <c r="F191" s="2830">
        <f t="shared" si="80"/>
        <v>0</v>
      </c>
      <c r="G191" s="1197"/>
      <c r="H191" s="2830"/>
      <c r="I191" s="1197">
        <v>50000</v>
      </c>
      <c r="J191" s="3428">
        <f t="shared" si="74"/>
        <v>0</v>
      </c>
      <c r="K191" s="1197">
        <v>50000</v>
      </c>
      <c r="L191" s="1197">
        <v>50000</v>
      </c>
      <c r="M191" s="1331"/>
      <c r="N191" s="236"/>
    </row>
    <row r="192" spans="1:14" ht="16.5" x14ac:dyDescent="0.25">
      <c r="A192" s="211"/>
      <c r="B192" s="333"/>
      <c r="C192" s="224" t="s">
        <v>1912</v>
      </c>
      <c r="D192" s="2359" t="s">
        <v>1914</v>
      </c>
      <c r="E192" s="1197"/>
      <c r="F192" s="2830">
        <f t="shared" si="80"/>
        <v>0</v>
      </c>
      <c r="G192" s="1197"/>
      <c r="H192" s="2830"/>
      <c r="I192" s="1197">
        <v>112000</v>
      </c>
      <c r="J192" s="3428">
        <f t="shared" si="74"/>
        <v>0</v>
      </c>
      <c r="K192" s="1197">
        <v>112000</v>
      </c>
      <c r="L192" s="1197">
        <v>112000</v>
      </c>
      <c r="M192" s="1331"/>
      <c r="N192" s="236"/>
    </row>
    <row r="193" spans="1:14" ht="16.5" x14ac:dyDescent="0.25">
      <c r="A193" s="211"/>
      <c r="B193" s="333"/>
      <c r="C193" s="224" t="s">
        <v>1913</v>
      </c>
      <c r="D193" s="2359" t="s">
        <v>1915</v>
      </c>
      <c r="E193" s="1197"/>
      <c r="F193" s="2830">
        <f t="shared" si="80"/>
        <v>0</v>
      </c>
      <c r="G193" s="1197"/>
      <c r="H193" s="2830"/>
      <c r="I193" s="1197">
        <v>1000000</v>
      </c>
      <c r="J193" s="3428">
        <f t="shared" si="74"/>
        <v>0</v>
      </c>
      <c r="K193" s="1197">
        <v>1000000</v>
      </c>
      <c r="L193" s="1197">
        <v>1000000</v>
      </c>
      <c r="M193" s="1331"/>
      <c r="N193" s="236"/>
    </row>
    <row r="194" spans="1:14" ht="16.5" x14ac:dyDescent="0.25">
      <c r="A194" s="211"/>
      <c r="B194" s="333"/>
      <c r="C194" s="224" t="s">
        <v>1916</v>
      </c>
      <c r="D194" s="2359" t="s">
        <v>1918</v>
      </c>
      <c r="E194" s="1197"/>
      <c r="F194" s="2830">
        <f>G194-E194</f>
        <v>0</v>
      </c>
      <c r="G194" s="1197"/>
      <c r="H194" s="2830"/>
      <c r="I194" s="1197">
        <v>200000</v>
      </c>
      <c r="J194" s="3428">
        <f t="shared" si="74"/>
        <v>0</v>
      </c>
      <c r="K194" s="1197">
        <v>200000</v>
      </c>
      <c r="L194" s="1197">
        <v>200000</v>
      </c>
      <c r="M194" s="1331"/>
      <c r="N194" s="236"/>
    </row>
    <row r="195" spans="1:14" ht="16.5" x14ac:dyDescent="0.25">
      <c r="A195" s="211"/>
      <c r="B195" s="333"/>
      <c r="C195" s="224" t="s">
        <v>1917</v>
      </c>
      <c r="D195" s="2359" t="s">
        <v>1919</v>
      </c>
      <c r="E195" s="1197"/>
      <c r="F195" s="2830">
        <f>G195-E195</f>
        <v>0</v>
      </c>
      <c r="G195" s="1197"/>
      <c r="H195" s="2830"/>
      <c r="I195" s="1197">
        <v>100000</v>
      </c>
      <c r="J195" s="3428">
        <f t="shared" si="74"/>
        <v>0</v>
      </c>
      <c r="K195" s="1197">
        <v>100000</v>
      </c>
      <c r="L195" s="1197">
        <v>100000</v>
      </c>
      <c r="M195" s="1331"/>
      <c r="N195" s="236"/>
    </row>
    <row r="196" spans="1:14" ht="16.5" x14ac:dyDescent="0.25">
      <c r="A196" s="211"/>
      <c r="B196" s="333"/>
      <c r="C196" s="224" t="s">
        <v>1958</v>
      </c>
      <c r="D196" s="2359" t="s">
        <v>1960</v>
      </c>
      <c r="E196" s="1197"/>
      <c r="F196" s="2830">
        <f t="shared" si="80"/>
        <v>0</v>
      </c>
      <c r="G196" s="1197"/>
      <c r="H196" s="2830"/>
      <c r="I196" s="1197">
        <v>150000</v>
      </c>
      <c r="J196" s="3428">
        <f t="shared" si="74"/>
        <v>0</v>
      </c>
      <c r="K196" s="1197">
        <v>150000</v>
      </c>
      <c r="L196" s="1197">
        <v>150000</v>
      </c>
      <c r="M196" s="1331"/>
      <c r="N196" s="236"/>
    </row>
    <row r="197" spans="1:14" ht="16.5" x14ac:dyDescent="0.25">
      <c r="A197" s="211"/>
      <c r="B197" s="333"/>
      <c r="C197" s="224" t="s">
        <v>1959</v>
      </c>
      <c r="D197" s="2359" t="s">
        <v>1961</v>
      </c>
      <c r="E197" s="1197"/>
      <c r="F197" s="2830">
        <f t="shared" si="80"/>
        <v>0</v>
      </c>
      <c r="G197" s="1197"/>
      <c r="H197" s="2830"/>
      <c r="I197" s="1197">
        <v>500000</v>
      </c>
      <c r="J197" s="3428">
        <f t="shared" si="74"/>
        <v>0</v>
      </c>
      <c r="K197" s="1197">
        <v>500000</v>
      </c>
      <c r="L197" s="1197">
        <v>500000</v>
      </c>
      <c r="M197" s="1331"/>
      <c r="N197" s="236"/>
    </row>
    <row r="198" spans="1:14" ht="16.5" x14ac:dyDescent="0.25">
      <c r="A198" s="211"/>
      <c r="B198" s="333"/>
      <c r="C198" s="209" t="s">
        <v>1251</v>
      </c>
      <c r="D198" s="2381" t="s">
        <v>1143</v>
      </c>
      <c r="E198" s="2379">
        <f>SUM(E199)</f>
        <v>73914000</v>
      </c>
      <c r="F198" s="2829">
        <f t="shared" si="62"/>
        <v>-21749448</v>
      </c>
      <c r="G198" s="2379">
        <f t="shared" ref="G198:L199" si="81">SUM(G199)</f>
        <v>52164552</v>
      </c>
      <c r="H198" s="2829">
        <f t="shared" si="81"/>
        <v>-42164552</v>
      </c>
      <c r="I198" s="2379">
        <f t="shared" si="81"/>
        <v>10000000</v>
      </c>
      <c r="J198" s="3428">
        <f t="shared" si="74"/>
        <v>0</v>
      </c>
      <c r="K198" s="2379">
        <f t="shared" si="81"/>
        <v>10000000</v>
      </c>
      <c r="L198" s="2379">
        <f t="shared" si="81"/>
        <v>10000000</v>
      </c>
      <c r="M198" s="1331"/>
      <c r="N198" s="236"/>
    </row>
    <row r="199" spans="1:14" ht="16.5" x14ac:dyDescent="0.25">
      <c r="A199" s="211"/>
      <c r="B199" s="333"/>
      <c r="C199" s="224" t="s">
        <v>1252</v>
      </c>
      <c r="D199" s="2359" t="s">
        <v>444</v>
      </c>
      <c r="E199" s="1197">
        <f>SUM(E200)</f>
        <v>73914000</v>
      </c>
      <c r="F199" s="2830">
        <f t="shared" si="62"/>
        <v>-21749448</v>
      </c>
      <c r="G199" s="1197">
        <f t="shared" si="81"/>
        <v>52164552</v>
      </c>
      <c r="H199" s="2830">
        <f t="shared" si="81"/>
        <v>-42164552</v>
      </c>
      <c r="I199" s="2938">
        <f t="shared" si="81"/>
        <v>10000000</v>
      </c>
      <c r="J199" s="3428">
        <f t="shared" si="74"/>
        <v>0</v>
      </c>
      <c r="K199" s="1197">
        <f t="shared" si="81"/>
        <v>10000000</v>
      </c>
      <c r="L199" s="1197">
        <f t="shared" si="81"/>
        <v>10000000</v>
      </c>
      <c r="M199" s="1331"/>
      <c r="N199" s="236"/>
    </row>
    <row r="200" spans="1:14" ht="16.5" x14ac:dyDescent="0.25">
      <c r="A200" s="211"/>
      <c r="B200" s="333"/>
      <c r="C200" s="224" t="s">
        <v>1253</v>
      </c>
      <c r="D200" s="2359" t="s">
        <v>405</v>
      </c>
      <c r="E200" s="1197">
        <f>SUM(E201)</f>
        <v>73914000</v>
      </c>
      <c r="F200" s="2830">
        <f t="shared" si="62"/>
        <v>-21749448</v>
      </c>
      <c r="G200" s="1197">
        <f t="shared" ref="G200:L200" si="82">SUM(G201)+G202</f>
        <v>52164552</v>
      </c>
      <c r="H200" s="2830">
        <f t="shared" si="82"/>
        <v>-42164552</v>
      </c>
      <c r="I200" s="1197">
        <f t="shared" si="82"/>
        <v>10000000</v>
      </c>
      <c r="J200" s="3428">
        <f t="shared" si="74"/>
        <v>0</v>
      </c>
      <c r="K200" s="1197">
        <f t="shared" si="82"/>
        <v>10000000</v>
      </c>
      <c r="L200" s="1197">
        <f t="shared" si="82"/>
        <v>10000000</v>
      </c>
      <c r="M200" s="1331"/>
      <c r="N200" s="236"/>
    </row>
    <row r="201" spans="1:14" ht="16.5" x14ac:dyDescent="0.25">
      <c r="A201" s="211"/>
      <c r="B201" s="333"/>
      <c r="C201" s="224" t="s">
        <v>1254</v>
      </c>
      <c r="D201" s="1853" t="s">
        <v>406</v>
      </c>
      <c r="E201" s="1197">
        <v>73914000</v>
      </c>
      <c r="F201" s="2830">
        <f>G201-E201</f>
        <v>-31749448</v>
      </c>
      <c r="G201" s="1197">
        <v>42164552</v>
      </c>
      <c r="H201" s="2830">
        <f>I201-G201</f>
        <v>-42164552</v>
      </c>
      <c r="I201" s="2938">
        <v>0</v>
      </c>
      <c r="J201" s="3428">
        <f t="shared" ref="J201:J264" si="83">K201-I201</f>
        <v>0</v>
      </c>
      <c r="K201" s="1197"/>
      <c r="L201" s="1197"/>
      <c r="M201" s="1331"/>
      <c r="N201" s="236"/>
    </row>
    <row r="202" spans="1:14" ht="16.5" x14ac:dyDescent="0.25">
      <c r="A202" s="211"/>
      <c r="B202" s="333"/>
      <c r="C202" s="224" t="s">
        <v>1798</v>
      </c>
      <c r="D202" s="2843" t="s">
        <v>1654</v>
      </c>
      <c r="E202" s="1197"/>
      <c r="F202" s="2830">
        <f t="shared" si="62"/>
        <v>10000000</v>
      </c>
      <c r="G202" s="1197">
        <v>10000000</v>
      </c>
      <c r="H202" s="2830">
        <f>I202-G202</f>
        <v>0</v>
      </c>
      <c r="I202" s="2938">
        <v>10000000</v>
      </c>
      <c r="J202" s="3428">
        <f t="shared" si="83"/>
        <v>0</v>
      </c>
      <c r="K202" s="1197">
        <v>10000000</v>
      </c>
      <c r="L202" s="1197">
        <v>10000000</v>
      </c>
      <c r="M202" s="1331"/>
      <c r="N202" s="236"/>
    </row>
    <row r="203" spans="1:14" ht="16.5" x14ac:dyDescent="0.25">
      <c r="A203" s="211"/>
      <c r="B203" s="333"/>
      <c r="C203" s="224"/>
      <c r="D203" s="339" t="s">
        <v>517</v>
      </c>
      <c r="E203" s="338">
        <f>SUM(E198+E117)</f>
        <v>149801000</v>
      </c>
      <c r="F203" s="1356">
        <f t="shared" si="62"/>
        <v>68571325</v>
      </c>
      <c r="G203" s="338">
        <f t="shared" ref="G203:L203" si="84">SUM(G198+G117)</f>
        <v>218372325</v>
      </c>
      <c r="H203" s="1356">
        <f t="shared" si="84"/>
        <v>6702698</v>
      </c>
      <c r="I203" s="3550">
        <f t="shared" si="84"/>
        <v>235063823</v>
      </c>
      <c r="J203" s="3319">
        <f t="shared" si="83"/>
        <v>0</v>
      </c>
      <c r="K203" s="1332">
        <f t="shared" si="84"/>
        <v>235063823</v>
      </c>
      <c r="L203" s="338">
        <f t="shared" si="84"/>
        <v>176102019</v>
      </c>
      <c r="M203" s="1331"/>
      <c r="N203" s="236"/>
    </row>
    <row r="204" spans="1:14" ht="16.5" x14ac:dyDescent="0.25">
      <c r="A204" s="211"/>
      <c r="B204" s="333"/>
      <c r="C204" s="224"/>
      <c r="D204" s="2382"/>
      <c r="E204" s="2379"/>
      <c r="F204" s="1356"/>
      <c r="G204" s="1332"/>
      <c r="H204" s="1348"/>
      <c r="I204" s="338"/>
      <c r="J204" s="3428">
        <f t="shared" si="83"/>
        <v>0</v>
      </c>
      <c r="K204" s="1332"/>
      <c r="L204" s="1332"/>
      <c r="M204" s="1331"/>
      <c r="N204" s="236"/>
    </row>
    <row r="205" spans="1:14" customFormat="1" ht="36" customHeight="1" thickBot="1" x14ac:dyDescent="0.3">
      <c r="A205" s="2396"/>
      <c r="B205" s="2399" t="s">
        <v>143</v>
      </c>
      <c r="C205" s="2397"/>
      <c r="D205" s="4488" t="s">
        <v>1151</v>
      </c>
      <c r="E205" s="4489"/>
      <c r="F205" s="1442"/>
      <c r="G205" s="2397"/>
      <c r="H205" s="1347"/>
      <c r="I205" s="2938"/>
      <c r="J205" s="3428">
        <f t="shared" si="83"/>
        <v>0</v>
      </c>
      <c r="K205" s="2397"/>
      <c r="L205" s="3053"/>
      <c r="M205" s="2397" t="e">
        <f>SUM(L205/G205)*100</f>
        <v>#DIV/0!</v>
      </c>
    </row>
    <row r="206" spans="1:14" ht="17.25" thickBot="1" x14ac:dyDescent="0.3">
      <c r="A206" s="211"/>
      <c r="B206" s="330"/>
      <c r="C206" s="213" t="s">
        <v>135</v>
      </c>
      <c r="D206" s="228" t="s">
        <v>797</v>
      </c>
      <c r="E206" s="2379">
        <f>SUM(E207:E207)</f>
        <v>6096000</v>
      </c>
      <c r="F206" s="1354">
        <f>SUM(G206-E206)</f>
        <v>457200</v>
      </c>
      <c r="G206" s="1328">
        <f t="shared" ref="G206:L206" si="85">SUM(G207:G207)</f>
        <v>6553200</v>
      </c>
      <c r="H206" s="3156">
        <f t="shared" si="85"/>
        <v>0</v>
      </c>
      <c r="I206" s="2379">
        <f t="shared" si="85"/>
        <v>6553200</v>
      </c>
      <c r="J206" s="3428">
        <f t="shared" si="83"/>
        <v>0</v>
      </c>
      <c r="K206" s="2379">
        <f t="shared" si="85"/>
        <v>6553200</v>
      </c>
      <c r="L206" s="2379">
        <f t="shared" si="85"/>
        <v>5547360</v>
      </c>
      <c r="M206" s="1331">
        <f>SUM(L206/G206)*100</f>
        <v>84.651162790697683</v>
      </c>
      <c r="N206" s="236"/>
    </row>
    <row r="207" spans="1:14" ht="16.5" x14ac:dyDescent="0.25">
      <c r="A207" s="211"/>
      <c r="B207" s="333"/>
      <c r="C207" s="234" t="s">
        <v>1255</v>
      </c>
      <c r="D207" s="219" t="s">
        <v>240</v>
      </c>
      <c r="E207" s="220">
        <v>6096000</v>
      </c>
      <c r="F207" s="1355">
        <f>SUM(G207-E207)</f>
        <v>457200</v>
      </c>
      <c r="G207" s="344">
        <v>6553200</v>
      </c>
      <c r="H207" s="1347">
        <f>SUM(I207-G207)</f>
        <v>0</v>
      </c>
      <c r="I207" s="220">
        <v>6553200</v>
      </c>
      <c r="J207" s="3428">
        <f t="shared" si="83"/>
        <v>0</v>
      </c>
      <c r="K207" s="344">
        <v>6553200</v>
      </c>
      <c r="L207" s="220">
        <v>5547360</v>
      </c>
      <c r="M207" s="1331">
        <f>SUM(L207/G207)*100</f>
        <v>84.651162790697683</v>
      </c>
      <c r="N207" s="236"/>
    </row>
    <row r="208" spans="1:14" ht="16.5" x14ac:dyDescent="0.25">
      <c r="A208" s="211"/>
      <c r="B208" s="333"/>
      <c r="C208" s="234"/>
      <c r="D208" s="339" t="s">
        <v>517</v>
      </c>
      <c r="E208" s="338">
        <f>SUM(E207:E207)</f>
        <v>6096000</v>
      </c>
      <c r="F208" s="1356">
        <f>SUM(G208-E208)</f>
        <v>457200</v>
      </c>
      <c r="G208" s="1332">
        <f t="shared" ref="G208:L208" si="86">SUM(G207:G207)</f>
        <v>6553200</v>
      </c>
      <c r="H208" s="1348">
        <f t="shared" si="86"/>
        <v>0</v>
      </c>
      <c r="I208" s="338">
        <f t="shared" si="86"/>
        <v>6553200</v>
      </c>
      <c r="J208" s="3428">
        <f t="shared" si="83"/>
        <v>0</v>
      </c>
      <c r="K208" s="1332">
        <f t="shared" si="86"/>
        <v>6553200</v>
      </c>
      <c r="L208" s="1332">
        <f t="shared" si="86"/>
        <v>5547360</v>
      </c>
      <c r="M208" s="1331">
        <f>SUM(L208/G208)*100</f>
        <v>84.651162790697683</v>
      </c>
      <c r="N208" s="236"/>
    </row>
    <row r="209" spans="1:14" customFormat="1" ht="36" customHeight="1" x14ac:dyDescent="0.25">
      <c r="A209" s="2396"/>
      <c r="B209" s="2399" t="s">
        <v>145</v>
      </c>
      <c r="C209" s="2397"/>
      <c r="D209" s="4488" t="s">
        <v>1017</v>
      </c>
      <c r="E209" s="4489"/>
      <c r="F209" s="1442"/>
      <c r="G209" s="2397"/>
      <c r="H209" s="1347"/>
      <c r="I209" s="2938"/>
      <c r="J209" s="3428">
        <f t="shared" si="83"/>
        <v>0</v>
      </c>
      <c r="K209" s="2397"/>
      <c r="L209" s="3053"/>
      <c r="M209" s="2397"/>
    </row>
    <row r="210" spans="1:14" ht="16.5" x14ac:dyDescent="0.25">
      <c r="A210" s="211"/>
      <c r="B210" s="333"/>
      <c r="C210" s="213" t="s">
        <v>1256</v>
      </c>
      <c r="D210" s="228" t="s">
        <v>797</v>
      </c>
      <c r="E210" s="2379">
        <f>SUM(E211)</f>
        <v>2850140</v>
      </c>
      <c r="F210" s="2829">
        <f>G210-E210</f>
        <v>0</v>
      </c>
      <c r="G210" s="2379">
        <f t="shared" ref="G210:L210" si="87">SUM(G211)</f>
        <v>2850140</v>
      </c>
      <c r="H210" s="2829">
        <f t="shared" si="87"/>
        <v>901708</v>
      </c>
      <c r="I210" s="2379">
        <f t="shared" si="87"/>
        <v>3751848</v>
      </c>
      <c r="J210" s="3428">
        <f t="shared" si="83"/>
        <v>0</v>
      </c>
      <c r="K210" s="2379">
        <f t="shared" si="87"/>
        <v>3751848</v>
      </c>
      <c r="L210" s="2379">
        <f t="shared" si="87"/>
        <v>3020100</v>
      </c>
      <c r="M210" s="1331"/>
      <c r="N210" s="236"/>
    </row>
    <row r="211" spans="1:14" ht="16.5" x14ac:dyDescent="0.25">
      <c r="A211" s="211"/>
      <c r="B211" s="333"/>
      <c r="C211" s="224" t="s">
        <v>1257</v>
      </c>
      <c r="D211" s="219" t="s">
        <v>240</v>
      </c>
      <c r="E211" s="220">
        <f>SUM(E212:E213)</f>
        <v>2850140</v>
      </c>
      <c r="F211" s="2835">
        <f>G211-E211</f>
        <v>0</v>
      </c>
      <c r="G211" s="220">
        <f t="shared" ref="G211:L211" si="88">SUM(G212:G213)</f>
        <v>2850140</v>
      </c>
      <c r="H211" s="2835">
        <f t="shared" si="88"/>
        <v>901708</v>
      </c>
      <c r="I211" s="344">
        <f t="shared" ref="I211" si="89">SUM(I212:I213)</f>
        <v>3751848</v>
      </c>
      <c r="J211" s="3428">
        <f t="shared" si="83"/>
        <v>0</v>
      </c>
      <c r="K211" s="344">
        <f t="shared" si="88"/>
        <v>3751848</v>
      </c>
      <c r="L211" s="220">
        <f t="shared" si="88"/>
        <v>3020100</v>
      </c>
      <c r="M211" s="1331"/>
      <c r="N211" s="236"/>
    </row>
    <row r="212" spans="1:14" ht="16.5" x14ac:dyDescent="0.25">
      <c r="A212" s="211"/>
      <c r="B212" s="333"/>
      <c r="C212" s="224" t="s">
        <v>1259</v>
      </c>
      <c r="D212" s="2386" t="s">
        <v>924</v>
      </c>
      <c r="E212" s="220">
        <v>1425070</v>
      </c>
      <c r="F212" s="2835">
        <f>G212-E212</f>
        <v>0</v>
      </c>
      <c r="G212" s="220">
        <v>1425070</v>
      </c>
      <c r="H212" s="2835">
        <f>I212-G212</f>
        <v>809236</v>
      </c>
      <c r="I212" s="344">
        <v>2234306</v>
      </c>
      <c r="J212" s="3428">
        <f t="shared" si="83"/>
        <v>0</v>
      </c>
      <c r="K212" s="344">
        <v>2234306</v>
      </c>
      <c r="L212" s="220">
        <v>1965340</v>
      </c>
      <c r="M212" s="1331"/>
      <c r="N212" s="236"/>
    </row>
    <row r="213" spans="1:14" ht="16.5" x14ac:dyDescent="0.25">
      <c r="A213" s="211"/>
      <c r="B213" s="333"/>
      <c r="C213" s="224" t="s">
        <v>1258</v>
      </c>
      <c r="D213" s="2386" t="s">
        <v>923</v>
      </c>
      <c r="E213" s="220">
        <v>1425070</v>
      </c>
      <c r="F213" s="1353">
        <f>G213-E213</f>
        <v>0</v>
      </c>
      <c r="G213" s="237">
        <v>1425070</v>
      </c>
      <c r="H213" s="2835">
        <f>I213-G213</f>
        <v>92472</v>
      </c>
      <c r="I213" s="1199">
        <v>1517542</v>
      </c>
      <c r="J213" s="3428">
        <f t="shared" si="83"/>
        <v>0</v>
      </c>
      <c r="K213" s="1199">
        <v>1517542</v>
      </c>
      <c r="L213" s="237">
        <v>1054760</v>
      </c>
      <c r="M213" s="1331"/>
      <c r="N213" s="236"/>
    </row>
    <row r="214" spans="1:14" ht="16.5" x14ac:dyDescent="0.25">
      <c r="A214" s="211"/>
      <c r="B214" s="333"/>
      <c r="C214" s="213" t="s">
        <v>1633</v>
      </c>
      <c r="D214" s="228" t="s">
        <v>182</v>
      </c>
      <c r="E214" s="2379">
        <f>SUM(E215:E217)</f>
        <v>0</v>
      </c>
      <c r="F214" s="2837">
        <f>SUM(G214-E214)</f>
        <v>188000</v>
      </c>
      <c r="G214" s="632">
        <f t="shared" ref="G214:L214" si="90">SUM(G215:G217)</f>
        <v>188000</v>
      </c>
      <c r="H214" s="2829">
        <f t="shared" si="90"/>
        <v>176971</v>
      </c>
      <c r="I214" s="2938">
        <f t="shared" si="90"/>
        <v>364971</v>
      </c>
      <c r="J214" s="3428">
        <f t="shared" si="83"/>
        <v>0</v>
      </c>
      <c r="K214" s="632">
        <f t="shared" si="90"/>
        <v>364971</v>
      </c>
      <c r="L214" s="632">
        <f t="shared" si="90"/>
        <v>364895</v>
      </c>
      <c r="M214" s="1331">
        <f>SUM(L214/G214)*100</f>
        <v>194.09308510638297</v>
      </c>
      <c r="N214" s="236"/>
    </row>
    <row r="215" spans="1:14" ht="16.5" x14ac:dyDescent="0.25">
      <c r="A215" s="211"/>
      <c r="B215" s="333"/>
      <c r="C215" s="2842" t="s">
        <v>1634</v>
      </c>
      <c r="D215" s="219" t="s">
        <v>513</v>
      </c>
      <c r="E215" s="220"/>
      <c r="F215" s="1359">
        <f>SUM(G215-E215)</f>
        <v>0</v>
      </c>
      <c r="G215" s="1196"/>
      <c r="H215" s="1434">
        <f>SUM(I215-G215)</f>
        <v>0</v>
      </c>
      <c r="I215" s="2938"/>
      <c r="J215" s="3428">
        <f t="shared" si="83"/>
        <v>0</v>
      </c>
      <c r="K215" s="1196"/>
      <c r="L215" s="233"/>
      <c r="M215" s="1331" t="e">
        <f>SUM(L215/G215)*100</f>
        <v>#DIV/0!</v>
      </c>
      <c r="N215" s="236"/>
    </row>
    <row r="216" spans="1:14" ht="16.5" x14ac:dyDescent="0.25">
      <c r="A216" s="211"/>
      <c r="B216" s="333"/>
      <c r="C216" s="2842" t="s">
        <v>1635</v>
      </c>
      <c r="D216" s="219" t="s">
        <v>515</v>
      </c>
      <c r="E216" s="220"/>
      <c r="F216" s="1355">
        <f>SUM(G216-E216)</f>
        <v>188000</v>
      </c>
      <c r="G216" s="344">
        <f>'6.2.sz.mell.'!J219</f>
        <v>188000</v>
      </c>
      <c r="H216" s="2830">
        <f>I216-G216</f>
        <v>176971</v>
      </c>
      <c r="I216" s="3616">
        <f>'6.2.sz.mell.'!L219</f>
        <v>364971</v>
      </c>
      <c r="J216" s="3428">
        <f t="shared" si="83"/>
        <v>0</v>
      </c>
      <c r="K216" s="344">
        <f>'6.2.sz.mell.'!N219</f>
        <v>364971</v>
      </c>
      <c r="L216" s="344">
        <f>'6.2.sz.mell.'!O219</f>
        <v>364895</v>
      </c>
      <c r="M216" s="1331">
        <f>SUM(L216/G216)*100</f>
        <v>194.09308510638297</v>
      </c>
      <c r="N216" s="236"/>
    </row>
    <row r="217" spans="1:14" ht="16.5" hidden="1" x14ac:dyDescent="0.25">
      <c r="A217" s="211"/>
      <c r="B217" s="333"/>
      <c r="C217" s="2842" t="s">
        <v>1636</v>
      </c>
      <c r="D217" s="219" t="s">
        <v>444</v>
      </c>
      <c r="E217" s="220"/>
      <c r="F217" s="1355">
        <f>SUM(G217-E217)</f>
        <v>0</v>
      </c>
      <c r="G217" s="344"/>
      <c r="H217" s="1347">
        <f>SUM(I217-G217)</f>
        <v>0</v>
      </c>
      <c r="I217" s="220"/>
      <c r="J217" s="3428">
        <f t="shared" si="83"/>
        <v>0</v>
      </c>
      <c r="K217" s="344"/>
      <c r="L217" s="220"/>
      <c r="M217" s="1331" t="e">
        <f>SUM(L217/G217)*100</f>
        <v>#DIV/0!</v>
      </c>
      <c r="N217" s="236"/>
    </row>
    <row r="218" spans="1:14" ht="18" customHeight="1" x14ac:dyDescent="0.25">
      <c r="A218" s="211"/>
      <c r="B218" s="333"/>
      <c r="C218" s="224"/>
      <c r="D218" s="339" t="s">
        <v>517</v>
      </c>
      <c r="E218" s="1332">
        <f>SUM(E210)</f>
        <v>2850140</v>
      </c>
      <c r="F218" s="1348">
        <f>G218-E218</f>
        <v>188000</v>
      </c>
      <c r="G218" s="1332">
        <f t="shared" ref="G218:L218" si="91">SUM(G210)+G214</f>
        <v>3038140</v>
      </c>
      <c r="H218" s="1348">
        <f t="shared" si="91"/>
        <v>1078679</v>
      </c>
      <c r="I218" s="338">
        <f t="shared" si="91"/>
        <v>4116819</v>
      </c>
      <c r="J218" s="3319">
        <f t="shared" si="83"/>
        <v>0</v>
      </c>
      <c r="K218" s="1332">
        <f t="shared" si="91"/>
        <v>4116819</v>
      </c>
      <c r="L218" s="1332">
        <f t="shared" si="91"/>
        <v>3384995</v>
      </c>
      <c r="M218" s="1331"/>
      <c r="N218" s="236"/>
    </row>
    <row r="219" spans="1:14" customFormat="1" ht="36" customHeight="1" x14ac:dyDescent="0.25">
      <c r="A219" s="2396"/>
      <c r="B219" s="2399" t="s">
        <v>147</v>
      </c>
      <c r="C219" s="2397"/>
      <c r="D219" s="4488" t="s">
        <v>1159</v>
      </c>
      <c r="E219" s="4489"/>
      <c r="F219" s="1442"/>
      <c r="G219" s="2397"/>
      <c r="H219" s="1347"/>
      <c r="I219" s="2938"/>
      <c r="J219" s="3428">
        <f t="shared" si="83"/>
        <v>0</v>
      </c>
      <c r="K219" s="2397"/>
      <c r="L219" s="3053"/>
      <c r="M219" s="2397"/>
    </row>
    <row r="220" spans="1:14" ht="16.5" x14ac:dyDescent="0.25">
      <c r="A220" s="211"/>
      <c r="B220" s="333"/>
      <c r="C220" s="210" t="s">
        <v>1260</v>
      </c>
      <c r="D220" s="228" t="s">
        <v>797</v>
      </c>
      <c r="E220" s="2379">
        <f>SUM(E221)</f>
        <v>149860</v>
      </c>
      <c r="F220" s="2829">
        <f>G220-E220</f>
        <v>0</v>
      </c>
      <c r="G220" s="2379">
        <f t="shared" ref="G220:L220" si="92">SUM(G221)</f>
        <v>149860</v>
      </c>
      <c r="H220" s="2829">
        <f t="shared" si="92"/>
        <v>52390</v>
      </c>
      <c r="I220" s="2379">
        <f t="shared" si="92"/>
        <v>202250</v>
      </c>
      <c r="J220" s="3428">
        <f t="shared" si="83"/>
        <v>0</v>
      </c>
      <c r="K220" s="2379">
        <f t="shared" si="92"/>
        <v>202250</v>
      </c>
      <c r="L220" s="2379">
        <f t="shared" si="92"/>
        <v>158954</v>
      </c>
      <c r="M220" s="1331"/>
      <c r="N220" s="236"/>
    </row>
    <row r="221" spans="1:14" ht="16.5" x14ac:dyDescent="0.25">
      <c r="A221" s="211"/>
      <c r="B221" s="333"/>
      <c r="C221" s="224" t="s">
        <v>1261</v>
      </c>
      <c r="D221" s="219" t="s">
        <v>240</v>
      </c>
      <c r="E221" s="220">
        <f>SUM(E222:E223)</f>
        <v>149860</v>
      </c>
      <c r="F221" s="2835">
        <f>G221-E221</f>
        <v>0</v>
      </c>
      <c r="G221" s="220">
        <f t="shared" ref="G221:L221" si="93">SUM(G222:G223)</f>
        <v>149860</v>
      </c>
      <c r="H221" s="2835">
        <f t="shared" si="93"/>
        <v>52390</v>
      </c>
      <c r="I221" s="344">
        <f t="shared" ref="I221" si="94">SUM(I222:I223)</f>
        <v>202250</v>
      </c>
      <c r="J221" s="3428">
        <f t="shared" si="83"/>
        <v>0</v>
      </c>
      <c r="K221" s="344">
        <f t="shared" si="93"/>
        <v>202250</v>
      </c>
      <c r="L221" s="220">
        <f t="shared" si="93"/>
        <v>158954</v>
      </c>
      <c r="M221" s="1331"/>
      <c r="N221" s="236"/>
    </row>
    <row r="222" spans="1:14" ht="16.5" x14ac:dyDescent="0.25">
      <c r="A222" s="211"/>
      <c r="B222" s="333"/>
      <c r="C222" s="224" t="s">
        <v>1262</v>
      </c>
      <c r="D222" s="2386" t="s">
        <v>924</v>
      </c>
      <c r="E222" s="220">
        <v>74930</v>
      </c>
      <c r="F222" s="2835">
        <f>G222-E222</f>
        <v>0</v>
      </c>
      <c r="G222" s="220">
        <v>74930</v>
      </c>
      <c r="H222" s="2835">
        <f>I222-G222</f>
        <v>47523</v>
      </c>
      <c r="I222" s="344">
        <v>122453</v>
      </c>
      <c r="J222" s="3428">
        <f t="shared" si="83"/>
        <v>0</v>
      </c>
      <c r="K222" s="344">
        <v>122453</v>
      </c>
      <c r="L222" s="220">
        <v>103437</v>
      </c>
      <c r="M222" s="1331"/>
      <c r="N222" s="236"/>
    </row>
    <row r="223" spans="1:14" ht="16.5" x14ac:dyDescent="0.25">
      <c r="A223" s="211"/>
      <c r="B223" s="333"/>
      <c r="C223" s="224" t="s">
        <v>1263</v>
      </c>
      <c r="D223" s="2386" t="s">
        <v>923</v>
      </c>
      <c r="E223" s="220">
        <v>74930</v>
      </c>
      <c r="F223" s="1353">
        <f>G223-E223</f>
        <v>0</v>
      </c>
      <c r="G223" s="237">
        <v>74930</v>
      </c>
      <c r="H223" s="2835">
        <f>I223-G223</f>
        <v>4867</v>
      </c>
      <c r="I223" s="1199">
        <v>79797</v>
      </c>
      <c r="J223" s="3428">
        <f t="shared" si="83"/>
        <v>0</v>
      </c>
      <c r="K223" s="1199">
        <v>79797</v>
      </c>
      <c r="L223" s="237">
        <v>55517</v>
      </c>
      <c r="M223" s="1331"/>
      <c r="N223" s="236"/>
    </row>
    <row r="224" spans="1:14" ht="16.5" x14ac:dyDescent="0.25">
      <c r="A224" s="211"/>
      <c r="B224" s="333"/>
      <c r="C224" s="213" t="s">
        <v>1637</v>
      </c>
      <c r="D224" s="228" t="s">
        <v>182</v>
      </c>
      <c r="E224" s="2379">
        <f>SUM(E225:E227)</f>
        <v>0</v>
      </c>
      <c r="F224" s="2837">
        <f>SUM(G224-E224)</f>
        <v>188000</v>
      </c>
      <c r="G224" s="632">
        <f t="shared" ref="G224:L224" si="95">SUM(G225:G227)</f>
        <v>188000</v>
      </c>
      <c r="H224" s="2829">
        <f t="shared" si="95"/>
        <v>-168791</v>
      </c>
      <c r="I224" s="632">
        <f t="shared" ref="I224" si="96">SUM(I225:I227)</f>
        <v>19209</v>
      </c>
      <c r="J224" s="3428">
        <f t="shared" si="83"/>
        <v>0</v>
      </c>
      <c r="K224" s="632">
        <f t="shared" si="95"/>
        <v>19209</v>
      </c>
      <c r="L224" s="632">
        <f t="shared" si="95"/>
        <v>19205</v>
      </c>
      <c r="M224" s="1331">
        <f>SUM(L224/G224)*100</f>
        <v>10.215425531914894</v>
      </c>
      <c r="N224" s="236"/>
    </row>
    <row r="225" spans="1:16" ht="16.5" x14ac:dyDescent="0.25">
      <c r="A225" s="211"/>
      <c r="B225" s="333"/>
      <c r="C225" s="2842" t="s">
        <v>1638</v>
      </c>
      <c r="D225" s="219" t="s">
        <v>513</v>
      </c>
      <c r="E225" s="220"/>
      <c r="F225" s="1359">
        <f>SUM(G225-E225)</f>
        <v>0</v>
      </c>
      <c r="G225" s="1196"/>
      <c r="H225" s="1434">
        <f>SUM(I225-G225)</f>
        <v>0</v>
      </c>
      <c r="I225" s="1196"/>
      <c r="J225" s="3428">
        <f t="shared" si="83"/>
        <v>0</v>
      </c>
      <c r="K225" s="1196"/>
      <c r="L225" s="233"/>
      <c r="M225" s="1331" t="e">
        <f>SUM(L225/G225)*100</f>
        <v>#DIV/0!</v>
      </c>
      <c r="N225" s="236"/>
    </row>
    <row r="226" spans="1:16" ht="16.5" x14ac:dyDescent="0.25">
      <c r="A226" s="211"/>
      <c r="B226" s="333"/>
      <c r="C226" s="2842" t="s">
        <v>1639</v>
      </c>
      <c r="D226" s="219" t="s">
        <v>515</v>
      </c>
      <c r="E226" s="220"/>
      <c r="F226" s="1355">
        <f>SUM(G226-E226)</f>
        <v>188000</v>
      </c>
      <c r="G226" s="344">
        <f>'6.2.sz.mell.'!J220</f>
        <v>188000</v>
      </c>
      <c r="H226" s="2830">
        <f>I226-G226</f>
        <v>-168791</v>
      </c>
      <c r="I226" s="4247">
        <f>'6.2.sz.mell.'!L220</f>
        <v>19209</v>
      </c>
      <c r="J226" s="3428">
        <f t="shared" si="83"/>
        <v>0</v>
      </c>
      <c r="K226" s="344">
        <f>'6.2.sz.mell.'!N220</f>
        <v>19209</v>
      </c>
      <c r="L226" s="344">
        <f>'6.2.sz.mell.'!O220</f>
        <v>19205</v>
      </c>
      <c r="M226" s="1331">
        <f>SUM(L226/G226)*100</f>
        <v>10.215425531914894</v>
      </c>
      <c r="N226" s="236"/>
    </row>
    <row r="227" spans="1:16" ht="16.5" hidden="1" x14ac:dyDescent="0.25">
      <c r="A227" s="211"/>
      <c r="B227" s="333"/>
      <c r="C227" s="2842" t="s">
        <v>1640</v>
      </c>
      <c r="D227" s="219" t="s">
        <v>444</v>
      </c>
      <c r="E227" s="220"/>
      <c r="F227" s="1355">
        <f>SUM(G227-E227)</f>
        <v>0</v>
      </c>
      <c r="G227" s="344"/>
      <c r="H227" s="1347">
        <f>SUM(I227-G227)</f>
        <v>0</v>
      </c>
      <c r="I227" s="220"/>
      <c r="J227" s="3428">
        <f t="shared" si="83"/>
        <v>0</v>
      </c>
      <c r="K227" s="344"/>
      <c r="L227" s="220"/>
      <c r="M227" s="1331" t="e">
        <f>SUM(L227/G227)*100</f>
        <v>#DIV/0!</v>
      </c>
      <c r="N227" s="236"/>
    </row>
    <row r="228" spans="1:16" ht="16.5" x14ac:dyDescent="0.25">
      <c r="A228" s="211"/>
      <c r="B228" s="333"/>
      <c r="C228" s="224"/>
      <c r="D228" s="339" t="s">
        <v>517</v>
      </c>
      <c r="E228" s="1332">
        <f>SUM(E220)</f>
        <v>149860</v>
      </c>
      <c r="F228" s="1348">
        <f>G228-E228</f>
        <v>188000</v>
      </c>
      <c r="G228" s="1332">
        <f t="shared" ref="G228:L228" si="97">SUM(G220)+G224</f>
        <v>337860</v>
      </c>
      <c r="H228" s="1348">
        <f t="shared" si="97"/>
        <v>-116401</v>
      </c>
      <c r="I228" s="338">
        <f t="shared" si="97"/>
        <v>221459</v>
      </c>
      <c r="J228" s="3319">
        <f t="shared" si="83"/>
        <v>0</v>
      </c>
      <c r="K228" s="1332">
        <f t="shared" si="97"/>
        <v>221459</v>
      </c>
      <c r="L228" s="1332">
        <f t="shared" si="97"/>
        <v>178159</v>
      </c>
      <c r="M228" s="1331"/>
      <c r="N228" s="236"/>
    </row>
    <row r="229" spans="1:16" customFormat="1" ht="36" customHeight="1" x14ac:dyDescent="0.25">
      <c r="A229" s="2396"/>
      <c r="B229" s="2399" t="s">
        <v>246</v>
      </c>
      <c r="C229" s="2397"/>
      <c r="D229" s="4488" t="s">
        <v>1135</v>
      </c>
      <c r="E229" s="4489"/>
      <c r="F229" s="1355"/>
      <c r="G229" s="2397"/>
      <c r="H229" s="1347"/>
      <c r="I229" s="2938"/>
      <c r="J229" s="3428">
        <f t="shared" si="83"/>
        <v>0</v>
      </c>
      <c r="K229" s="2397"/>
      <c r="L229" s="3053"/>
      <c r="M229" s="2397"/>
    </row>
    <row r="230" spans="1:16" ht="16.5" x14ac:dyDescent="0.25">
      <c r="A230" s="211"/>
      <c r="B230" s="330"/>
      <c r="C230" s="210" t="s">
        <v>1264</v>
      </c>
      <c r="D230" s="228" t="s">
        <v>797</v>
      </c>
      <c r="E230" s="2379">
        <f>SUM(E231:E231)</f>
        <v>9487044</v>
      </c>
      <c r="F230" s="2829">
        <f>G230-E230</f>
        <v>0</v>
      </c>
      <c r="G230" s="2379">
        <f t="shared" ref="G230:L230" si="98">SUM(G231:G231)</f>
        <v>9487044</v>
      </c>
      <c r="H230" s="2829">
        <f t="shared" si="98"/>
        <v>2264197</v>
      </c>
      <c r="I230" s="2379">
        <f t="shared" si="98"/>
        <v>11751241</v>
      </c>
      <c r="J230" s="3428">
        <f t="shared" si="83"/>
        <v>0</v>
      </c>
      <c r="K230" s="2379">
        <f t="shared" si="98"/>
        <v>11751241</v>
      </c>
      <c r="L230" s="2379">
        <f t="shared" si="98"/>
        <v>11751241</v>
      </c>
      <c r="M230" s="1331"/>
      <c r="N230" s="236"/>
    </row>
    <row r="231" spans="1:16" ht="16.5" x14ac:dyDescent="0.25">
      <c r="A231" s="211"/>
      <c r="B231" s="333"/>
      <c r="C231" s="234" t="s">
        <v>1265</v>
      </c>
      <c r="D231" s="219" t="s">
        <v>1134</v>
      </c>
      <c r="E231" s="220">
        <f>SUM(E232)</f>
        <v>9487044</v>
      </c>
      <c r="F231" s="2835">
        <f>G231-E231</f>
        <v>0</v>
      </c>
      <c r="G231" s="220">
        <f t="shared" ref="G231:L232" si="99">SUM(G232)</f>
        <v>9487044</v>
      </c>
      <c r="H231" s="2835">
        <f t="shared" si="99"/>
        <v>2264197</v>
      </c>
      <c r="I231" s="344">
        <f t="shared" si="99"/>
        <v>11751241</v>
      </c>
      <c r="J231" s="3428">
        <f t="shared" si="83"/>
        <v>0</v>
      </c>
      <c r="K231" s="344">
        <f t="shared" si="99"/>
        <v>11751241</v>
      </c>
      <c r="L231" s="220">
        <f t="shared" si="99"/>
        <v>11751241</v>
      </c>
      <c r="M231" s="1331"/>
      <c r="N231" s="236"/>
    </row>
    <row r="232" spans="1:16" ht="16.5" x14ac:dyDescent="0.25">
      <c r="A232" s="211"/>
      <c r="B232" s="333"/>
      <c r="C232" s="234" t="s">
        <v>1266</v>
      </c>
      <c r="D232" s="225" t="s">
        <v>763</v>
      </c>
      <c r="E232" s="220">
        <f>SUM(E233)</f>
        <v>9487044</v>
      </c>
      <c r="F232" s="2835">
        <f>G232-E232</f>
        <v>0</v>
      </c>
      <c r="G232" s="220">
        <f t="shared" si="99"/>
        <v>9487044</v>
      </c>
      <c r="H232" s="2835">
        <f t="shared" si="99"/>
        <v>2264197</v>
      </c>
      <c r="I232" s="344">
        <f t="shared" si="99"/>
        <v>11751241</v>
      </c>
      <c r="J232" s="3428">
        <f t="shared" si="83"/>
        <v>0</v>
      </c>
      <c r="K232" s="344">
        <f t="shared" si="99"/>
        <v>11751241</v>
      </c>
      <c r="L232" s="220">
        <f t="shared" si="99"/>
        <v>11751241</v>
      </c>
      <c r="M232" s="1331"/>
      <c r="N232" s="236"/>
    </row>
    <row r="233" spans="1:16" ht="16.5" x14ac:dyDescent="0.25">
      <c r="A233" s="211"/>
      <c r="B233" s="333"/>
      <c r="C233" s="2397" t="s">
        <v>1267</v>
      </c>
      <c r="D233" s="2377" t="s">
        <v>303</v>
      </c>
      <c r="E233" s="2371">
        <v>9487044</v>
      </c>
      <c r="F233" s="2836">
        <f>G233-E233</f>
        <v>0</v>
      </c>
      <c r="G233" s="2371">
        <v>9487044</v>
      </c>
      <c r="H233" s="2836">
        <f>I233-G233</f>
        <v>2264197</v>
      </c>
      <c r="I233" s="2391">
        <v>11751241</v>
      </c>
      <c r="J233" s="3428">
        <f t="shared" si="83"/>
        <v>0</v>
      </c>
      <c r="K233" s="2391">
        <v>11751241</v>
      </c>
      <c r="L233" s="2371">
        <v>11751241</v>
      </c>
      <c r="M233" s="1331"/>
      <c r="N233" s="236"/>
    </row>
    <row r="234" spans="1:16" ht="18.75" customHeight="1" x14ac:dyDescent="0.25">
      <c r="A234" s="211"/>
      <c r="B234" s="333"/>
      <c r="C234" s="234"/>
      <c r="D234" s="339" t="s">
        <v>517</v>
      </c>
      <c r="E234" s="338">
        <f>SUM(E230)</f>
        <v>9487044</v>
      </c>
      <c r="F234" s="1356">
        <f>G234-E234</f>
        <v>0</v>
      </c>
      <c r="G234" s="338">
        <f t="shared" ref="G234:L234" si="100">SUM(G230)</f>
        <v>9487044</v>
      </c>
      <c r="H234" s="1356">
        <f t="shared" si="100"/>
        <v>2264197</v>
      </c>
      <c r="I234" s="338">
        <f t="shared" si="100"/>
        <v>11751241</v>
      </c>
      <c r="J234" s="3428">
        <f t="shared" si="83"/>
        <v>0</v>
      </c>
      <c r="K234" s="1332">
        <f t="shared" si="100"/>
        <v>11751241</v>
      </c>
      <c r="L234" s="338">
        <f t="shared" si="100"/>
        <v>11751241</v>
      </c>
      <c r="M234" s="1331"/>
      <c r="N234" s="236"/>
      <c r="P234" s="207">
        <v>97173234</v>
      </c>
    </row>
    <row r="235" spans="1:16" customFormat="1" ht="36" customHeight="1" x14ac:dyDescent="0.25">
      <c r="A235" s="2396"/>
      <c r="B235" s="2399" t="s">
        <v>247</v>
      </c>
      <c r="C235" s="2397"/>
      <c r="D235" s="4488" t="s">
        <v>1137</v>
      </c>
      <c r="E235" s="4489"/>
      <c r="F235" s="1442"/>
      <c r="G235" s="2397"/>
      <c r="H235" s="1347"/>
      <c r="I235" s="2938"/>
      <c r="J235" s="3428">
        <f t="shared" si="83"/>
        <v>0</v>
      </c>
      <c r="K235" s="2397"/>
      <c r="L235" s="3053"/>
      <c r="M235" s="2397"/>
      <c r="P235">
        <f>SUM(E234+E236+E246)</f>
        <v>97173234</v>
      </c>
    </row>
    <row r="236" spans="1:16" ht="16.5" x14ac:dyDescent="0.25">
      <c r="A236" s="211"/>
      <c r="B236" s="330"/>
      <c r="C236" s="210" t="s">
        <v>1268</v>
      </c>
      <c r="D236" s="228" t="s">
        <v>797</v>
      </c>
      <c r="E236" s="2379">
        <f>SUM(E237:E237)</f>
        <v>39992668</v>
      </c>
      <c r="F236" s="2829">
        <f t="shared" ref="F236:F244" si="101">G236-E236</f>
        <v>0</v>
      </c>
      <c r="G236" s="2379">
        <f t="shared" ref="G236:L236" si="102">SUM(G237:G237)</f>
        <v>39992668</v>
      </c>
      <c r="H236" s="2829">
        <f t="shared" si="102"/>
        <v>12288601</v>
      </c>
      <c r="I236" s="2379">
        <f t="shared" si="102"/>
        <v>52281269</v>
      </c>
      <c r="J236" s="3319">
        <f t="shared" si="83"/>
        <v>0</v>
      </c>
      <c r="K236" s="2379">
        <f t="shared" si="102"/>
        <v>52281269</v>
      </c>
      <c r="L236" s="2379">
        <f t="shared" si="102"/>
        <v>52281269</v>
      </c>
      <c r="M236" s="1331"/>
      <c r="N236" s="236"/>
    </row>
    <row r="237" spans="1:16" ht="16.5" x14ac:dyDescent="0.25">
      <c r="A237" s="211"/>
      <c r="B237" s="333"/>
      <c r="C237" s="210" t="s">
        <v>1269</v>
      </c>
      <c r="D237" s="228" t="s">
        <v>1134</v>
      </c>
      <c r="E237" s="230">
        <f>SUM(E238)</f>
        <v>39992668</v>
      </c>
      <c r="F237" s="2837">
        <f t="shared" si="101"/>
        <v>0</v>
      </c>
      <c r="G237" s="230">
        <f t="shared" ref="G237:L238" si="103">SUM(G238)</f>
        <v>39992668</v>
      </c>
      <c r="H237" s="2837">
        <f t="shared" si="103"/>
        <v>12288601</v>
      </c>
      <c r="I237" s="230">
        <f t="shared" si="103"/>
        <v>52281269</v>
      </c>
      <c r="J237" s="3428">
        <f t="shared" si="83"/>
        <v>0</v>
      </c>
      <c r="K237" s="632">
        <f t="shared" si="103"/>
        <v>52281269</v>
      </c>
      <c r="L237" s="230">
        <f t="shared" si="103"/>
        <v>52281269</v>
      </c>
      <c r="M237" s="1331"/>
      <c r="N237" s="236"/>
    </row>
    <row r="238" spans="1:16" ht="16.5" x14ac:dyDescent="0.25">
      <c r="A238" s="211"/>
      <c r="B238" s="333"/>
      <c r="C238" s="234" t="s">
        <v>1270</v>
      </c>
      <c r="D238" s="225" t="s">
        <v>763</v>
      </c>
      <c r="E238" s="220">
        <f>SUM(E239)</f>
        <v>39992668</v>
      </c>
      <c r="F238" s="2835">
        <f t="shared" si="101"/>
        <v>0</v>
      </c>
      <c r="G238" s="220">
        <f t="shared" si="103"/>
        <v>39992668</v>
      </c>
      <c r="H238" s="2835">
        <f t="shared" si="103"/>
        <v>12288601</v>
      </c>
      <c r="I238" s="3994">
        <f t="shared" si="103"/>
        <v>52281269</v>
      </c>
      <c r="J238" s="3428">
        <f t="shared" si="83"/>
        <v>0</v>
      </c>
      <c r="K238" s="344">
        <f t="shared" si="103"/>
        <v>52281269</v>
      </c>
      <c r="L238" s="220">
        <f t="shared" si="103"/>
        <v>52281269</v>
      </c>
      <c r="M238" s="1331"/>
      <c r="N238" s="236"/>
    </row>
    <row r="239" spans="1:16" s="218" customFormat="1" ht="16.5" x14ac:dyDescent="0.25">
      <c r="A239" s="3546"/>
      <c r="B239" s="3547"/>
      <c r="C239" s="2397" t="s">
        <v>1271</v>
      </c>
      <c r="D239" s="3548" t="s">
        <v>303</v>
      </c>
      <c r="E239" s="2371">
        <v>39992668</v>
      </c>
      <c r="F239" s="2836">
        <f t="shared" si="101"/>
        <v>0</v>
      </c>
      <c r="G239" s="2371">
        <v>39992668</v>
      </c>
      <c r="H239" s="2836">
        <f>I239-G239</f>
        <v>12288601</v>
      </c>
      <c r="I239" s="2391">
        <v>52281269</v>
      </c>
      <c r="J239" s="3428">
        <f t="shared" si="83"/>
        <v>0</v>
      </c>
      <c r="K239" s="2391">
        <v>52281269</v>
      </c>
      <c r="L239" s="2371">
        <v>52281269</v>
      </c>
      <c r="M239" s="2873"/>
      <c r="N239"/>
    </row>
    <row r="240" spans="1:16" ht="16.5" x14ac:dyDescent="0.25">
      <c r="A240" s="211"/>
      <c r="B240" s="3549"/>
      <c r="C240" s="210" t="s">
        <v>2002</v>
      </c>
      <c r="D240" s="228" t="s">
        <v>1143</v>
      </c>
      <c r="E240" s="2379">
        <f>SUM(E241)</f>
        <v>0</v>
      </c>
      <c r="F240" s="2829">
        <f t="shared" si="101"/>
        <v>0</v>
      </c>
      <c r="G240" s="2379">
        <f t="shared" ref="G240:L241" si="104">SUM(G241)</f>
        <v>0</v>
      </c>
      <c r="H240" s="2829">
        <f t="shared" si="104"/>
        <v>625363</v>
      </c>
      <c r="I240" s="2379">
        <f t="shared" si="104"/>
        <v>625363</v>
      </c>
      <c r="J240" s="3319">
        <f t="shared" si="83"/>
        <v>0</v>
      </c>
      <c r="K240" s="2379">
        <f t="shared" si="104"/>
        <v>625363</v>
      </c>
      <c r="L240" s="2379">
        <f t="shared" si="104"/>
        <v>625363</v>
      </c>
      <c r="M240" s="1331"/>
      <c r="N240" s="236"/>
    </row>
    <row r="241" spans="1:15" ht="16.5" x14ac:dyDescent="0.25">
      <c r="A241" s="211"/>
      <c r="B241" s="3549"/>
      <c r="C241" s="210" t="s">
        <v>2003</v>
      </c>
      <c r="D241" s="228" t="s">
        <v>444</v>
      </c>
      <c r="E241" s="1197">
        <f>SUM(E242)</f>
        <v>0</v>
      </c>
      <c r="F241" s="2830">
        <f t="shared" si="101"/>
        <v>0</v>
      </c>
      <c r="G241" s="1197">
        <f t="shared" si="104"/>
        <v>0</v>
      </c>
      <c r="H241" s="2830">
        <f t="shared" si="104"/>
        <v>625363</v>
      </c>
      <c r="I241" s="1197">
        <f t="shared" si="104"/>
        <v>625363</v>
      </c>
      <c r="J241" s="3428">
        <f t="shared" si="83"/>
        <v>0</v>
      </c>
      <c r="K241" s="1197">
        <f t="shared" si="104"/>
        <v>625363</v>
      </c>
      <c r="L241" s="1197">
        <f t="shared" si="104"/>
        <v>625363</v>
      </c>
      <c r="M241" s="1331"/>
      <c r="N241" s="236"/>
    </row>
    <row r="242" spans="1:15" ht="16.5" x14ac:dyDescent="0.25">
      <c r="A242" s="211"/>
      <c r="B242" s="3549"/>
      <c r="C242" s="234" t="s">
        <v>2004</v>
      </c>
      <c r="D242" s="225" t="s">
        <v>2005</v>
      </c>
      <c r="E242" s="1197">
        <f>SUM(E243)</f>
        <v>0</v>
      </c>
      <c r="F242" s="2830">
        <f t="shared" si="101"/>
        <v>0</v>
      </c>
      <c r="G242" s="1197"/>
      <c r="H242" s="2836">
        <f>I242-G242</f>
        <v>625363</v>
      </c>
      <c r="I242" s="1197">
        <f>I243</f>
        <v>625363</v>
      </c>
      <c r="J242" s="3428">
        <f t="shared" si="83"/>
        <v>0</v>
      </c>
      <c r="K242" s="1197">
        <f>K243</f>
        <v>625363</v>
      </c>
      <c r="L242" s="1197">
        <f>L243</f>
        <v>625363</v>
      </c>
      <c r="M242" s="1331"/>
      <c r="N242" s="236"/>
    </row>
    <row r="243" spans="1:15" ht="16.5" x14ac:dyDescent="0.25">
      <c r="A243" s="211"/>
      <c r="B243" s="3549"/>
      <c r="C243" s="234" t="s">
        <v>2011</v>
      </c>
      <c r="D243" s="3548" t="s">
        <v>2006</v>
      </c>
      <c r="E243" s="2391"/>
      <c r="F243" s="2836">
        <f t="shared" si="101"/>
        <v>0</v>
      </c>
      <c r="G243" s="2371"/>
      <c r="H243" s="2836">
        <f>I243-G243</f>
        <v>625363</v>
      </c>
      <c r="I243" s="2391">
        <v>625363</v>
      </c>
      <c r="J243" s="3323">
        <f t="shared" si="83"/>
        <v>0</v>
      </c>
      <c r="K243" s="2391">
        <v>625363</v>
      </c>
      <c r="L243" s="2371">
        <v>625363</v>
      </c>
      <c r="M243" s="1331"/>
      <c r="N243" s="236"/>
    </row>
    <row r="244" spans="1:15" ht="16.5" x14ac:dyDescent="0.25">
      <c r="A244" s="211"/>
      <c r="B244" s="3551"/>
      <c r="C244" s="224"/>
      <c r="D244" s="339" t="s">
        <v>517</v>
      </c>
      <c r="E244" s="1332">
        <f>SUM(E236)</f>
        <v>39992668</v>
      </c>
      <c r="F244" s="1348">
        <f t="shared" si="101"/>
        <v>0</v>
      </c>
      <c r="G244" s="1332">
        <f>SUM(G236)</f>
        <v>39992668</v>
      </c>
      <c r="H244" s="1348">
        <f>SUM(H236)</f>
        <v>12288601</v>
      </c>
      <c r="I244" s="1332">
        <f>SUM(I236+I240)</f>
        <v>52906632</v>
      </c>
      <c r="J244" s="3319">
        <f t="shared" si="83"/>
        <v>0</v>
      </c>
      <c r="K244" s="1332">
        <f>SUM(K236+K240)</f>
        <v>52906632</v>
      </c>
      <c r="L244" s="1332">
        <f>SUM(L236+L240)</f>
        <v>52906632</v>
      </c>
      <c r="M244" s="1331"/>
      <c r="N244" s="236"/>
      <c r="O244" s="207">
        <v>57423917</v>
      </c>
    </row>
    <row r="245" spans="1:15" customFormat="1" ht="36" customHeight="1" x14ac:dyDescent="0.25">
      <c r="A245" s="2396"/>
      <c r="B245" s="2399" t="s">
        <v>248</v>
      </c>
      <c r="C245" s="2397"/>
      <c r="D245" s="4488" t="s">
        <v>1136</v>
      </c>
      <c r="E245" s="4489"/>
      <c r="F245" s="1442"/>
      <c r="G245" s="2397"/>
      <c r="H245" s="1347"/>
      <c r="I245" s="2938"/>
      <c r="J245" s="3428">
        <f t="shared" si="83"/>
        <v>0</v>
      </c>
      <c r="K245" s="2397"/>
      <c r="L245" s="3053"/>
      <c r="M245" s="2397"/>
      <c r="O245">
        <v>-4389000</v>
      </c>
    </row>
    <row r="246" spans="1:15" ht="16.5" x14ac:dyDescent="0.25">
      <c r="A246" s="211"/>
      <c r="B246" s="330"/>
      <c r="C246" s="210" t="s">
        <v>1272</v>
      </c>
      <c r="D246" s="228" t="s">
        <v>797</v>
      </c>
      <c r="E246" s="2379">
        <f>SUM(E247:E247)</f>
        <v>47693522</v>
      </c>
      <c r="F246" s="2829">
        <f t="shared" ref="F246:F254" si="105">G246-E246</f>
        <v>11206072</v>
      </c>
      <c r="G246" s="2379">
        <f t="shared" ref="G246:L246" si="106">SUM(G247:G247)</f>
        <v>58899594</v>
      </c>
      <c r="H246" s="2829">
        <f t="shared" si="106"/>
        <v>-5419698</v>
      </c>
      <c r="I246" s="2379">
        <f t="shared" si="106"/>
        <v>53479896</v>
      </c>
      <c r="J246" s="3319">
        <f t="shared" si="83"/>
        <v>0</v>
      </c>
      <c r="K246" s="2379">
        <f t="shared" si="106"/>
        <v>53479896</v>
      </c>
      <c r="L246" s="2379">
        <f t="shared" si="106"/>
        <v>53479896</v>
      </c>
      <c r="M246" s="1331"/>
      <c r="N246" s="236"/>
      <c r="O246" s="207">
        <f>SUM(O244:O245)</f>
        <v>53034917</v>
      </c>
    </row>
    <row r="247" spans="1:15" ht="16.5" x14ac:dyDescent="0.25">
      <c r="A247" s="211"/>
      <c r="B247" s="333"/>
      <c r="C247" s="234" t="s">
        <v>1273</v>
      </c>
      <c r="D247" s="228" t="s">
        <v>1134</v>
      </c>
      <c r="E247" s="230">
        <f>SUM(E248)</f>
        <v>47693522</v>
      </c>
      <c r="F247" s="2837">
        <f t="shared" si="105"/>
        <v>11206072</v>
      </c>
      <c r="G247" s="230">
        <f t="shared" ref="G247:L248" si="107">SUM(G248)</f>
        <v>58899594</v>
      </c>
      <c r="H247" s="2837">
        <f t="shared" si="107"/>
        <v>-5419698</v>
      </c>
      <c r="I247" s="632">
        <f t="shared" si="107"/>
        <v>53479896</v>
      </c>
      <c r="J247" s="3319">
        <f t="shared" si="83"/>
        <v>0</v>
      </c>
      <c r="K247" s="632">
        <f t="shared" si="107"/>
        <v>53479896</v>
      </c>
      <c r="L247" s="230">
        <f t="shared" si="107"/>
        <v>53479896</v>
      </c>
      <c r="M247" s="1331"/>
      <c r="N247" s="236"/>
      <c r="O247" s="231">
        <f>SUM(O246-L244)</f>
        <v>128285</v>
      </c>
    </row>
    <row r="248" spans="1:15" ht="16.5" x14ac:dyDescent="0.25">
      <c r="A248" s="211"/>
      <c r="B248" s="333"/>
      <c r="C248" s="234" t="s">
        <v>1274</v>
      </c>
      <c r="D248" s="225" t="s">
        <v>763</v>
      </c>
      <c r="E248" s="220">
        <f>SUM(E249)</f>
        <v>47693522</v>
      </c>
      <c r="F248" s="2835">
        <f t="shared" si="105"/>
        <v>11206072</v>
      </c>
      <c r="G248" s="220">
        <f t="shared" si="107"/>
        <v>58899594</v>
      </c>
      <c r="H248" s="2835">
        <f t="shared" si="107"/>
        <v>-5419698</v>
      </c>
      <c r="I248" s="344">
        <f t="shared" si="107"/>
        <v>53479896</v>
      </c>
      <c r="J248" s="3428">
        <f t="shared" si="83"/>
        <v>0</v>
      </c>
      <c r="K248" s="344">
        <f t="shared" si="107"/>
        <v>53479896</v>
      </c>
      <c r="L248" s="220">
        <f t="shared" si="107"/>
        <v>53479896</v>
      </c>
      <c r="M248" s="1331"/>
      <c r="N248" s="236"/>
    </row>
    <row r="249" spans="1:15" ht="16.5" x14ac:dyDescent="0.25">
      <c r="A249" s="211"/>
      <c r="B249" s="333"/>
      <c r="C249" s="2397" t="s">
        <v>1275</v>
      </c>
      <c r="D249" s="2377" t="s">
        <v>303</v>
      </c>
      <c r="E249" s="604">
        <v>47693522</v>
      </c>
      <c r="F249" s="2835">
        <f t="shared" si="105"/>
        <v>11206072</v>
      </c>
      <c r="G249" s="604">
        <v>58899594</v>
      </c>
      <c r="H249" s="2835">
        <f>I249-G249</f>
        <v>-5419698</v>
      </c>
      <c r="I249" s="1197">
        <v>53479896</v>
      </c>
      <c r="J249" s="3428">
        <f t="shared" si="83"/>
        <v>0</v>
      </c>
      <c r="K249" s="1197">
        <v>53479896</v>
      </c>
      <c r="L249" s="604">
        <v>53479896</v>
      </c>
      <c r="M249" s="1331"/>
      <c r="N249" s="236"/>
    </row>
    <row r="250" spans="1:15" ht="16.5" x14ac:dyDescent="0.25">
      <c r="A250" s="211"/>
      <c r="B250" s="333"/>
      <c r="C250" s="209" t="s">
        <v>2007</v>
      </c>
      <c r="D250" s="2381" t="s">
        <v>1143</v>
      </c>
      <c r="E250" s="2379">
        <f>SUM(E251)</f>
        <v>0</v>
      </c>
      <c r="F250" s="2829">
        <f t="shared" si="105"/>
        <v>0</v>
      </c>
      <c r="G250" s="2379">
        <f t="shared" ref="G250:L251" si="108">SUM(G251)</f>
        <v>0</v>
      </c>
      <c r="H250" s="2829">
        <f t="shared" si="108"/>
        <v>-489297</v>
      </c>
      <c r="I250" s="2379">
        <f t="shared" si="108"/>
        <v>4930401</v>
      </c>
      <c r="J250" s="3428">
        <f t="shared" si="83"/>
        <v>0</v>
      </c>
      <c r="K250" s="2379">
        <f t="shared" si="108"/>
        <v>4930401</v>
      </c>
      <c r="L250" s="2379">
        <f t="shared" si="108"/>
        <v>4930401</v>
      </c>
      <c r="M250" s="1331"/>
      <c r="N250" s="236"/>
    </row>
    <row r="251" spans="1:15" ht="16.5" x14ac:dyDescent="0.25">
      <c r="A251" s="211"/>
      <c r="B251" s="333"/>
      <c r="C251" s="224" t="s">
        <v>2008</v>
      </c>
      <c r="D251" s="2359" t="s">
        <v>444</v>
      </c>
      <c r="E251" s="1197">
        <f>SUM(E252)</f>
        <v>0</v>
      </c>
      <c r="F251" s="2830">
        <f t="shared" si="105"/>
        <v>0</v>
      </c>
      <c r="G251" s="1197">
        <f t="shared" si="108"/>
        <v>0</v>
      </c>
      <c r="H251" s="2830">
        <f t="shared" si="108"/>
        <v>-489297</v>
      </c>
      <c r="I251" s="1197">
        <f t="shared" si="108"/>
        <v>4930401</v>
      </c>
      <c r="J251" s="3428">
        <f t="shared" si="83"/>
        <v>0</v>
      </c>
      <c r="K251" s="1197">
        <f t="shared" si="108"/>
        <v>4930401</v>
      </c>
      <c r="L251" s="1197">
        <f t="shared" si="108"/>
        <v>4930401</v>
      </c>
      <c r="M251" s="1331"/>
      <c r="N251" s="236"/>
    </row>
    <row r="252" spans="1:15" ht="16.5" x14ac:dyDescent="0.25">
      <c r="A252" s="211"/>
      <c r="B252" s="333"/>
      <c r="C252" s="224" t="s">
        <v>2009</v>
      </c>
      <c r="D252" s="2359" t="s">
        <v>2005</v>
      </c>
      <c r="E252" s="1197">
        <f>SUM(E253)</f>
        <v>0</v>
      </c>
      <c r="F252" s="2830">
        <f t="shared" si="105"/>
        <v>0</v>
      </c>
      <c r="G252" s="1197"/>
      <c r="H252" s="2830">
        <f>SUM(H253)+H254</f>
        <v>-489297</v>
      </c>
      <c r="I252" s="1197">
        <f>I253</f>
        <v>4930401</v>
      </c>
      <c r="J252" s="3428">
        <f t="shared" si="83"/>
        <v>0</v>
      </c>
      <c r="K252" s="1197">
        <f>K253</f>
        <v>4930401</v>
      </c>
      <c r="L252" s="1197">
        <f>L253</f>
        <v>4930401</v>
      </c>
      <c r="M252" s="1331"/>
      <c r="N252" s="236"/>
    </row>
    <row r="253" spans="1:15" ht="16.5" x14ac:dyDescent="0.25">
      <c r="A253" s="211"/>
      <c r="B253" s="333"/>
      <c r="C253" s="224" t="s">
        <v>2010</v>
      </c>
      <c r="D253" s="2377" t="s">
        <v>2006</v>
      </c>
      <c r="E253" s="2371"/>
      <c r="F253" s="2836">
        <f t="shared" si="105"/>
        <v>0</v>
      </c>
      <c r="G253" s="2371"/>
      <c r="H253" s="2836">
        <f>I253-G253</f>
        <v>4930401</v>
      </c>
      <c r="I253" s="2391">
        <v>4930401</v>
      </c>
      <c r="J253" s="3428">
        <f t="shared" si="83"/>
        <v>0</v>
      </c>
      <c r="K253" s="2391">
        <v>4930401</v>
      </c>
      <c r="L253" s="2371">
        <v>4930401</v>
      </c>
      <c r="M253" s="1331"/>
      <c r="N253" s="236"/>
    </row>
    <row r="254" spans="1:15" ht="16.5" x14ac:dyDescent="0.25">
      <c r="A254" s="211"/>
      <c r="B254" s="333"/>
      <c r="C254" s="224"/>
      <c r="D254" s="339" t="s">
        <v>517</v>
      </c>
      <c r="E254" s="1332">
        <f>SUM(E246)</f>
        <v>47693522</v>
      </c>
      <c r="F254" s="1348">
        <f t="shared" si="105"/>
        <v>11206072</v>
      </c>
      <c r="G254" s="1332">
        <f>SUM(G246)</f>
        <v>58899594</v>
      </c>
      <c r="H254" s="1348">
        <f>SUM(H246)</f>
        <v>-5419698</v>
      </c>
      <c r="I254" s="1332">
        <f>SUM(I246+I250)</f>
        <v>58410297</v>
      </c>
      <c r="J254" s="3319">
        <f t="shared" si="83"/>
        <v>0</v>
      </c>
      <c r="K254" s="1332">
        <f>SUM(K246+K250)</f>
        <v>58410297</v>
      </c>
      <c r="L254" s="1332">
        <f>SUM(L246+L250)</f>
        <v>58410297</v>
      </c>
      <c r="M254" s="1331"/>
      <c r="N254" s="236"/>
      <c r="O254" s="207">
        <v>58751528</v>
      </c>
    </row>
    <row r="255" spans="1:15" customFormat="1" ht="36" customHeight="1" x14ac:dyDescent="0.25">
      <c r="A255" s="2396"/>
      <c r="B255" s="2399" t="s">
        <v>884</v>
      </c>
      <c r="C255" s="2397"/>
      <c r="D255" s="4488" t="s">
        <v>1158</v>
      </c>
      <c r="E255" s="4489"/>
      <c r="F255" s="1442"/>
      <c r="G255" s="2397"/>
      <c r="H255" s="1347"/>
      <c r="I255" s="2938"/>
      <c r="J255" s="3428">
        <f t="shared" si="83"/>
        <v>0</v>
      </c>
      <c r="K255" s="2397"/>
      <c r="L255" s="3053"/>
      <c r="M255" s="2397"/>
      <c r="O255" s="2361">
        <f>SUM(O254-L254)</f>
        <v>341231</v>
      </c>
    </row>
    <row r="256" spans="1:15" ht="16.5" x14ac:dyDescent="0.25">
      <c r="A256" s="211"/>
      <c r="B256" s="333"/>
      <c r="C256" s="209" t="s">
        <v>1276</v>
      </c>
      <c r="D256" s="228" t="s">
        <v>1145</v>
      </c>
      <c r="E256" s="2380">
        <f>SUM(E257)</f>
        <v>6350000</v>
      </c>
      <c r="F256" s="2833">
        <f>G256-E256</f>
        <v>-3413209</v>
      </c>
      <c r="G256" s="2380">
        <f t="shared" ref="G256:L256" si="109">SUM(G257)</f>
        <v>2936791</v>
      </c>
      <c r="H256" s="2833">
        <f t="shared" si="109"/>
        <v>-2060352</v>
      </c>
      <c r="I256" s="2380">
        <f t="shared" si="109"/>
        <v>876439</v>
      </c>
      <c r="J256" s="3428">
        <f t="shared" si="83"/>
        <v>0</v>
      </c>
      <c r="K256" s="2380">
        <f t="shared" si="109"/>
        <v>876439</v>
      </c>
      <c r="L256" s="2380">
        <f t="shared" si="109"/>
        <v>0</v>
      </c>
      <c r="M256" s="1331"/>
      <c r="N256" s="236"/>
    </row>
    <row r="257" spans="1:14" ht="16.5" x14ac:dyDescent="0.25">
      <c r="A257" s="211"/>
      <c r="B257" s="333"/>
      <c r="C257" s="224" t="s">
        <v>1277</v>
      </c>
      <c r="D257" s="219" t="s">
        <v>240</v>
      </c>
      <c r="E257" s="1197">
        <v>6350000</v>
      </c>
      <c r="F257" s="2830">
        <f>G257-E257</f>
        <v>-3413209</v>
      </c>
      <c r="G257" s="1197">
        <v>2936791</v>
      </c>
      <c r="H257" s="2830">
        <f>I257-G257</f>
        <v>-2060352</v>
      </c>
      <c r="I257" s="1197">
        <v>876439</v>
      </c>
      <c r="J257" s="3428">
        <f t="shared" si="83"/>
        <v>0</v>
      </c>
      <c r="K257" s="1197">
        <v>876439</v>
      </c>
      <c r="L257" s="1197">
        <v>0</v>
      </c>
      <c r="M257" s="1331"/>
      <c r="N257" s="236"/>
    </row>
    <row r="258" spans="1:14" ht="16.5" x14ac:dyDescent="0.25">
      <c r="A258" s="211"/>
      <c r="B258" s="333"/>
      <c r="C258" s="224"/>
      <c r="D258" s="339" t="s">
        <v>517</v>
      </c>
      <c r="E258" s="1332">
        <f>SUM(E256)</f>
        <v>6350000</v>
      </c>
      <c r="F258" s="1348">
        <f>G258-E258</f>
        <v>-3413209</v>
      </c>
      <c r="G258" s="1332">
        <f t="shared" ref="G258:L258" si="110">SUM(G256)</f>
        <v>2936791</v>
      </c>
      <c r="H258" s="1348">
        <f t="shared" si="110"/>
        <v>-2060352</v>
      </c>
      <c r="I258" s="338">
        <f t="shared" si="110"/>
        <v>876439</v>
      </c>
      <c r="J258" s="3319">
        <f t="shared" si="83"/>
        <v>0</v>
      </c>
      <c r="K258" s="1332">
        <f t="shared" si="110"/>
        <v>876439</v>
      </c>
      <c r="L258" s="1332">
        <f t="shared" si="110"/>
        <v>0</v>
      </c>
      <c r="M258" s="1331"/>
      <c r="N258" s="236"/>
    </row>
    <row r="259" spans="1:14" customFormat="1" ht="36" customHeight="1" x14ac:dyDescent="0.25">
      <c r="A259" s="2396"/>
      <c r="B259" s="2399"/>
      <c r="C259" s="2397"/>
      <c r="D259" s="4488" t="s">
        <v>1920</v>
      </c>
      <c r="E259" s="4489"/>
      <c r="F259" s="1442"/>
      <c r="G259" s="2397"/>
      <c r="H259" s="1347"/>
      <c r="I259" s="2938"/>
      <c r="J259" s="3428">
        <f t="shared" si="83"/>
        <v>0</v>
      </c>
      <c r="K259" s="2397"/>
      <c r="L259" s="3053"/>
      <c r="M259" s="2397"/>
    </row>
    <row r="260" spans="1:14" ht="16.5" x14ac:dyDescent="0.25">
      <c r="A260" s="211"/>
      <c r="B260" s="333"/>
      <c r="C260" s="209"/>
      <c r="D260" s="228" t="s">
        <v>797</v>
      </c>
      <c r="E260" s="2380">
        <f>SUM(E261)</f>
        <v>0</v>
      </c>
      <c r="F260" s="2833">
        <f>G260-E260</f>
        <v>0</v>
      </c>
      <c r="G260" s="2380">
        <f t="shared" ref="G260:L260" si="111">SUM(G261)</f>
        <v>0</v>
      </c>
      <c r="H260" s="2833">
        <f t="shared" si="111"/>
        <v>3165000</v>
      </c>
      <c r="I260" s="2380">
        <f t="shared" si="111"/>
        <v>3165000</v>
      </c>
      <c r="J260" s="3428">
        <f t="shared" si="83"/>
        <v>0</v>
      </c>
      <c r="K260" s="2380">
        <f t="shared" si="111"/>
        <v>3165000</v>
      </c>
      <c r="L260" s="2380">
        <f t="shared" si="111"/>
        <v>3165000</v>
      </c>
      <c r="M260" s="1331"/>
      <c r="N260" s="236"/>
    </row>
    <row r="261" spans="1:14" ht="16.5" x14ac:dyDescent="0.25">
      <c r="A261" s="211"/>
      <c r="B261" s="333"/>
      <c r="C261" s="224"/>
      <c r="D261" s="2362" t="s">
        <v>1921</v>
      </c>
      <c r="E261" s="1197"/>
      <c r="F261" s="2830">
        <f>G261-E261</f>
        <v>0</v>
      </c>
      <c r="G261" s="1197"/>
      <c r="H261" s="2830">
        <f>I261-G261</f>
        <v>3165000</v>
      </c>
      <c r="I261" s="1197">
        <v>3165000</v>
      </c>
      <c r="J261" s="3428">
        <f t="shared" si="83"/>
        <v>0</v>
      </c>
      <c r="K261" s="1197">
        <v>3165000</v>
      </c>
      <c r="L261" s="1197">
        <v>3165000</v>
      </c>
      <c r="M261" s="1331"/>
      <c r="N261" s="236"/>
    </row>
    <row r="262" spans="1:14" ht="16.5" x14ac:dyDescent="0.25">
      <c r="A262" s="211"/>
      <c r="B262" s="333"/>
      <c r="C262" s="224"/>
      <c r="D262" s="339" t="s">
        <v>517</v>
      </c>
      <c r="E262" s="1332">
        <f>SUM(E260)</f>
        <v>0</v>
      </c>
      <c r="F262" s="1348">
        <f>G262-E262</f>
        <v>0</v>
      </c>
      <c r="G262" s="1332">
        <f t="shared" ref="G262:L262" si="112">SUM(G260)</f>
        <v>0</v>
      </c>
      <c r="H262" s="1348">
        <f t="shared" si="112"/>
        <v>3165000</v>
      </c>
      <c r="I262" s="338">
        <f t="shared" si="112"/>
        <v>3165000</v>
      </c>
      <c r="J262" s="3319">
        <f t="shared" si="83"/>
        <v>0</v>
      </c>
      <c r="K262" s="1332">
        <f t="shared" si="112"/>
        <v>3165000</v>
      </c>
      <c r="L262" s="1332">
        <f t="shared" si="112"/>
        <v>3165000</v>
      </c>
      <c r="M262" s="1331"/>
      <c r="N262" s="236"/>
    </row>
    <row r="263" spans="1:14" customFormat="1" ht="28.9" customHeight="1" x14ac:dyDescent="0.25">
      <c r="A263" s="2396"/>
      <c r="B263" s="2399" t="s">
        <v>885</v>
      </c>
      <c r="C263" s="2397"/>
      <c r="D263" s="4488" t="s">
        <v>1140</v>
      </c>
      <c r="E263" s="4489"/>
      <c r="F263" s="1442"/>
      <c r="G263" s="2397"/>
      <c r="H263" s="1347"/>
      <c r="I263" s="2938"/>
      <c r="J263" s="3428">
        <f t="shared" si="83"/>
        <v>0</v>
      </c>
      <c r="K263" s="2397"/>
      <c r="L263" s="3053"/>
      <c r="M263" s="2397"/>
    </row>
    <row r="264" spans="1:14" ht="16.5" x14ac:dyDescent="0.25">
      <c r="A264" s="211"/>
      <c r="B264" s="333"/>
      <c r="C264" s="224"/>
      <c r="D264" s="2378"/>
      <c r="E264" s="338"/>
      <c r="F264" s="1356"/>
      <c r="G264" s="1332"/>
      <c r="H264" s="1348"/>
      <c r="I264" s="338"/>
      <c r="J264" s="3428">
        <f t="shared" si="83"/>
        <v>0</v>
      </c>
      <c r="K264" s="1332"/>
      <c r="L264" s="1332"/>
      <c r="M264" s="1331"/>
      <c r="N264" s="236"/>
    </row>
    <row r="265" spans="1:14" ht="16.5" x14ac:dyDescent="0.25">
      <c r="A265" s="211"/>
      <c r="B265" s="333"/>
      <c r="C265" s="210" t="s">
        <v>1278</v>
      </c>
      <c r="D265" s="228" t="s">
        <v>797</v>
      </c>
      <c r="E265" s="2379">
        <f>SUM(E266)</f>
        <v>32000000</v>
      </c>
      <c r="F265" s="2829">
        <f t="shared" ref="F265:F273" si="113">G265-E265</f>
        <v>23065500</v>
      </c>
      <c r="G265" s="2379">
        <f t="shared" ref="G265:L265" si="114">SUM(G266)+G272</f>
        <v>55065500</v>
      </c>
      <c r="H265" s="2829">
        <f t="shared" si="114"/>
        <v>200000</v>
      </c>
      <c r="I265" s="2379">
        <f t="shared" ref="I265" si="115">SUM(I266)+I272</f>
        <v>55265500</v>
      </c>
      <c r="J265" s="3319">
        <f t="shared" ref="J265:J289" si="116">K265-I265</f>
        <v>0</v>
      </c>
      <c r="K265" s="2379">
        <f t="shared" si="114"/>
        <v>55265500</v>
      </c>
      <c r="L265" s="2379">
        <f t="shared" si="114"/>
        <v>52255140</v>
      </c>
      <c r="M265" s="1331"/>
      <c r="N265" s="236"/>
    </row>
    <row r="266" spans="1:14" ht="16.5" x14ac:dyDescent="0.25">
      <c r="A266" s="211"/>
      <c r="B266" s="333"/>
      <c r="C266" s="224" t="s">
        <v>1279</v>
      </c>
      <c r="D266" s="1852" t="s">
        <v>403</v>
      </c>
      <c r="E266" s="664">
        <f>SUM(E267:E271)</f>
        <v>32000000</v>
      </c>
      <c r="F266" s="2837">
        <f t="shared" si="113"/>
        <v>22465500</v>
      </c>
      <c r="G266" s="664">
        <f t="shared" ref="G266:L266" si="117">SUM(G267:G271)</f>
        <v>54465500</v>
      </c>
      <c r="H266" s="2837">
        <f t="shared" si="117"/>
        <v>0</v>
      </c>
      <c r="I266" s="2379">
        <f t="shared" ref="I266" si="118">SUM(I267:I271)</f>
        <v>54465500</v>
      </c>
      <c r="J266" s="3428">
        <f t="shared" si="116"/>
        <v>0</v>
      </c>
      <c r="K266" s="2379">
        <f t="shared" si="117"/>
        <v>54465500</v>
      </c>
      <c r="L266" s="664">
        <f t="shared" si="117"/>
        <v>51705140</v>
      </c>
      <c r="M266" s="1331"/>
      <c r="N266" s="236"/>
    </row>
    <row r="267" spans="1:14" ht="16.5" x14ac:dyDescent="0.25">
      <c r="A267" s="211"/>
      <c r="B267" s="333"/>
      <c r="C267" s="224" t="s">
        <v>1280</v>
      </c>
      <c r="D267" s="225" t="s">
        <v>986</v>
      </c>
      <c r="E267" s="604">
        <v>10000000</v>
      </c>
      <c r="F267" s="2835">
        <f t="shared" si="113"/>
        <v>496000</v>
      </c>
      <c r="G267" s="604">
        <v>10496000</v>
      </c>
      <c r="H267" s="2835">
        <f t="shared" ref="H267:H272" si="119">I267-G267</f>
        <v>-2200000</v>
      </c>
      <c r="I267" s="1197">
        <v>8296000</v>
      </c>
      <c r="J267" s="3428">
        <f t="shared" si="116"/>
        <v>0</v>
      </c>
      <c r="K267" s="1197">
        <v>8296000</v>
      </c>
      <c r="L267" s="604">
        <v>5788000</v>
      </c>
      <c r="M267" s="1331"/>
      <c r="N267" s="236"/>
    </row>
    <row r="268" spans="1:14" ht="16.5" x14ac:dyDescent="0.25">
      <c r="A268" s="211"/>
      <c r="B268" s="333"/>
      <c r="C268" s="224" t="s">
        <v>1281</v>
      </c>
      <c r="D268" s="225" t="s">
        <v>830</v>
      </c>
      <c r="E268" s="604">
        <v>20000000</v>
      </c>
      <c r="F268" s="2835">
        <f t="shared" si="113"/>
        <v>21611031</v>
      </c>
      <c r="G268" s="604">
        <v>41611031</v>
      </c>
      <c r="H268" s="2835">
        <f t="shared" si="119"/>
        <v>2087224</v>
      </c>
      <c r="I268" s="1197">
        <v>43698255</v>
      </c>
      <c r="J268" s="3428">
        <f t="shared" si="116"/>
        <v>0</v>
      </c>
      <c r="K268" s="1197">
        <v>43698255</v>
      </c>
      <c r="L268" s="604">
        <v>43673867</v>
      </c>
      <c r="M268" s="1331"/>
      <c r="N268" s="236"/>
    </row>
    <row r="269" spans="1:14" ht="16.5" x14ac:dyDescent="0.25">
      <c r="A269" s="211"/>
      <c r="B269" s="333"/>
      <c r="C269" s="224" t="s">
        <v>1282</v>
      </c>
      <c r="D269" s="225" t="s">
        <v>918</v>
      </c>
      <c r="E269" s="604">
        <v>2000000</v>
      </c>
      <c r="F269" s="2835">
        <f>G269-E269</f>
        <v>0</v>
      </c>
      <c r="G269" s="604">
        <v>2000000</v>
      </c>
      <c r="H269" s="2835">
        <f t="shared" si="119"/>
        <v>0</v>
      </c>
      <c r="I269" s="1197">
        <v>2000000</v>
      </c>
      <c r="J269" s="3428">
        <f t="shared" si="116"/>
        <v>0</v>
      </c>
      <c r="K269" s="1197">
        <v>2000000</v>
      </c>
      <c r="L269" s="604">
        <v>1884804</v>
      </c>
      <c r="M269" s="1331"/>
      <c r="N269" s="236"/>
    </row>
    <row r="270" spans="1:14" ht="16.5" x14ac:dyDescent="0.25">
      <c r="A270" s="211"/>
      <c r="B270" s="333"/>
      <c r="C270" s="224" t="s">
        <v>2029</v>
      </c>
      <c r="D270" s="225" t="s">
        <v>1690</v>
      </c>
      <c r="E270" s="604"/>
      <c r="F270" s="2835">
        <f>G270-E270</f>
        <v>348869</v>
      </c>
      <c r="G270" s="604">
        <v>348869</v>
      </c>
      <c r="H270" s="2835">
        <f t="shared" si="119"/>
        <v>112776</v>
      </c>
      <c r="I270" s="1197">
        <v>461645</v>
      </c>
      <c r="J270" s="3428">
        <f t="shared" si="116"/>
        <v>0</v>
      </c>
      <c r="K270" s="1197">
        <v>461645</v>
      </c>
      <c r="L270" s="604">
        <v>348869</v>
      </c>
      <c r="M270" s="1331"/>
      <c r="N270" s="236"/>
    </row>
    <row r="271" spans="1:14" ht="16.5" x14ac:dyDescent="0.25">
      <c r="A271" s="211"/>
      <c r="B271" s="333"/>
      <c r="C271" s="224" t="s">
        <v>2030</v>
      </c>
      <c r="D271" s="225" t="s">
        <v>1691</v>
      </c>
      <c r="E271" s="604"/>
      <c r="F271" s="2835">
        <f t="shared" si="113"/>
        <v>9600</v>
      </c>
      <c r="G271" s="604">
        <v>9600</v>
      </c>
      <c r="H271" s="2835">
        <f t="shared" si="119"/>
        <v>0</v>
      </c>
      <c r="I271" s="1197">
        <v>9600</v>
      </c>
      <c r="J271" s="3428">
        <f t="shared" si="116"/>
        <v>0</v>
      </c>
      <c r="K271" s="1197">
        <v>9600</v>
      </c>
      <c r="L271" s="604">
        <v>9600</v>
      </c>
      <c r="M271" s="1331"/>
      <c r="N271" s="236"/>
    </row>
    <row r="272" spans="1:14" ht="18" customHeight="1" x14ac:dyDescent="0.25">
      <c r="A272" s="211"/>
      <c r="B272" s="333"/>
      <c r="C272" s="224" t="s">
        <v>2031</v>
      </c>
      <c r="D272" s="225" t="s">
        <v>763</v>
      </c>
      <c r="E272" s="1197"/>
      <c r="F272" s="2830">
        <f t="shared" si="113"/>
        <v>600000</v>
      </c>
      <c r="G272" s="1197">
        <v>600000</v>
      </c>
      <c r="H272" s="2835">
        <f t="shared" si="119"/>
        <v>200000</v>
      </c>
      <c r="I272" s="1197">
        <v>800000</v>
      </c>
      <c r="J272" s="3428">
        <f t="shared" si="116"/>
        <v>0</v>
      </c>
      <c r="K272" s="1197">
        <v>800000</v>
      </c>
      <c r="L272" s="1197">
        <v>550000</v>
      </c>
      <c r="M272" s="431"/>
      <c r="N272" s="431"/>
    </row>
    <row r="273" spans="1:14" ht="16.5" x14ac:dyDescent="0.25">
      <c r="A273" s="211"/>
      <c r="B273" s="333"/>
      <c r="C273" s="224"/>
      <c r="D273" s="339" t="s">
        <v>517</v>
      </c>
      <c r="E273" s="338">
        <f>SUM(E265)</f>
        <v>32000000</v>
      </c>
      <c r="F273" s="1356">
        <f t="shared" si="113"/>
        <v>23065500</v>
      </c>
      <c r="G273" s="338">
        <f t="shared" ref="G273:L273" si="120">SUM(G265)</f>
        <v>55065500</v>
      </c>
      <c r="H273" s="1356">
        <f t="shared" si="120"/>
        <v>200000</v>
      </c>
      <c r="I273" s="338">
        <f t="shared" si="120"/>
        <v>55265500</v>
      </c>
      <c r="J273" s="3319">
        <f t="shared" si="116"/>
        <v>0</v>
      </c>
      <c r="K273" s="1332">
        <f t="shared" si="120"/>
        <v>55265500</v>
      </c>
      <c r="L273" s="338">
        <f t="shared" si="120"/>
        <v>52255140</v>
      </c>
      <c r="M273" s="1331"/>
      <c r="N273" s="236"/>
    </row>
    <row r="274" spans="1:14" customFormat="1" ht="33" customHeight="1" x14ac:dyDescent="0.25">
      <c r="A274" s="2396"/>
      <c r="B274" s="2399" t="s">
        <v>249</v>
      </c>
      <c r="C274" s="2397"/>
      <c r="D274" s="4488" t="s">
        <v>1439</v>
      </c>
      <c r="E274" s="4489"/>
      <c r="F274" s="1442"/>
      <c r="G274" s="2397"/>
      <c r="H274" s="1347"/>
      <c r="I274" s="2938"/>
      <c r="J274" s="3428">
        <f t="shared" si="116"/>
        <v>0</v>
      </c>
      <c r="K274" s="2397"/>
      <c r="L274" s="3053"/>
      <c r="M274" s="2397" t="e">
        <f>SUM(L274/G274)*100</f>
        <v>#DIV/0!</v>
      </c>
    </row>
    <row r="275" spans="1:14" ht="16.5" x14ac:dyDescent="0.25">
      <c r="A275" s="211"/>
      <c r="B275" s="330"/>
      <c r="C275" s="213" t="s">
        <v>1283</v>
      </c>
      <c r="D275" s="228" t="s">
        <v>797</v>
      </c>
      <c r="E275" s="2379">
        <f>SUM(E276:E276)</f>
        <v>60000000</v>
      </c>
      <c r="F275" s="2829">
        <f>G275-E275</f>
        <v>-25696087</v>
      </c>
      <c r="G275" s="2379">
        <f t="shared" ref="G275:L275" si="121">SUM(G276:G276)</f>
        <v>34303913</v>
      </c>
      <c r="H275" s="2829">
        <f t="shared" si="121"/>
        <v>-10720330</v>
      </c>
      <c r="I275" s="3431">
        <f t="shared" si="121"/>
        <v>23583583</v>
      </c>
      <c r="J275" s="3319">
        <f t="shared" si="116"/>
        <v>0</v>
      </c>
      <c r="K275" s="2379">
        <f t="shared" si="121"/>
        <v>23583583</v>
      </c>
      <c r="L275" s="2379">
        <f t="shared" si="121"/>
        <v>23583583</v>
      </c>
      <c r="M275" s="1331">
        <f t="shared" ref="M275:M289" si="122">SUM(L275/G275)*100</f>
        <v>68.748958755813078</v>
      </c>
      <c r="N275" s="236"/>
    </row>
    <row r="276" spans="1:14" ht="16.5" x14ac:dyDescent="0.25">
      <c r="A276" s="211"/>
      <c r="B276" s="333"/>
      <c r="C276" s="234" t="s">
        <v>1284</v>
      </c>
      <c r="D276" s="219" t="s">
        <v>240</v>
      </c>
      <c r="E276" s="220">
        <f>SUM(E277:E279)</f>
        <v>60000000</v>
      </c>
      <c r="F276" s="220">
        <f t="shared" ref="F276:L276" si="123">SUM(F277:F279)</f>
        <v>-60000000</v>
      </c>
      <c r="G276" s="220">
        <v>34303913</v>
      </c>
      <c r="H276" s="2835">
        <f>I276-G276</f>
        <v>-10720330</v>
      </c>
      <c r="I276" s="344">
        <f t="shared" ref="I276" si="124">SUM(I277:I279)</f>
        <v>23583583</v>
      </c>
      <c r="J276" s="3428">
        <f t="shared" si="116"/>
        <v>0</v>
      </c>
      <c r="K276" s="344">
        <f t="shared" si="123"/>
        <v>23583583</v>
      </c>
      <c r="L276" s="220">
        <f t="shared" si="123"/>
        <v>23583583</v>
      </c>
      <c r="M276" s="1331">
        <f t="shared" si="122"/>
        <v>68.748958755813078</v>
      </c>
      <c r="N276" s="236"/>
    </row>
    <row r="277" spans="1:14" ht="16.5" x14ac:dyDescent="0.25">
      <c r="A277" s="211"/>
      <c r="B277" s="333"/>
      <c r="C277" s="234" t="s">
        <v>1285</v>
      </c>
      <c r="D277" s="219" t="s">
        <v>371</v>
      </c>
      <c r="E277" s="220">
        <v>20000000</v>
      </c>
      <c r="F277" s="2835">
        <f t="shared" ref="F277:F289" si="125">G277-E277</f>
        <v>-20000000</v>
      </c>
      <c r="G277" s="220"/>
      <c r="H277" s="2835">
        <f>I277-G277</f>
        <v>0</v>
      </c>
      <c r="I277" s="344">
        <v>0</v>
      </c>
      <c r="J277" s="3428">
        <f t="shared" si="116"/>
        <v>0</v>
      </c>
      <c r="K277" s="344">
        <v>0</v>
      </c>
      <c r="L277" s="220"/>
      <c r="M277" s="1331"/>
      <c r="N277" s="236"/>
    </row>
    <row r="278" spans="1:14" ht="16.5" x14ac:dyDescent="0.25">
      <c r="A278" s="211"/>
      <c r="B278" s="333"/>
      <c r="C278" s="234" t="s">
        <v>1286</v>
      </c>
      <c r="D278" s="219" t="s">
        <v>372</v>
      </c>
      <c r="E278" s="220">
        <v>20000000</v>
      </c>
      <c r="F278" s="2835">
        <f t="shared" si="125"/>
        <v>-20000000</v>
      </c>
      <c r="G278" s="220"/>
      <c r="H278" s="2835">
        <f>I278-G278</f>
        <v>0</v>
      </c>
      <c r="I278" s="344">
        <v>0</v>
      </c>
      <c r="J278" s="3428">
        <f t="shared" si="116"/>
        <v>0</v>
      </c>
      <c r="K278" s="344">
        <v>0</v>
      </c>
      <c r="L278" s="220"/>
      <c r="M278" s="1331"/>
      <c r="N278" s="236"/>
    </row>
    <row r="279" spans="1:14" ht="16.5" x14ac:dyDescent="0.25">
      <c r="A279" s="211"/>
      <c r="B279" s="333"/>
      <c r="C279" s="234" t="s">
        <v>1287</v>
      </c>
      <c r="D279" s="414" t="s">
        <v>373</v>
      </c>
      <c r="E279" s="237">
        <v>20000000</v>
      </c>
      <c r="F279" s="1353">
        <f t="shared" si="125"/>
        <v>-20000000</v>
      </c>
      <c r="G279" s="237"/>
      <c r="H279" s="2835">
        <f>I279-G279</f>
        <v>23583583</v>
      </c>
      <c r="I279" s="1199">
        <v>23583583</v>
      </c>
      <c r="J279" s="3428">
        <f t="shared" si="116"/>
        <v>0</v>
      </c>
      <c r="K279" s="1199">
        <v>23583583</v>
      </c>
      <c r="L279" s="237">
        <v>23583583</v>
      </c>
      <c r="M279" s="1331"/>
      <c r="N279" s="236"/>
    </row>
    <row r="280" spans="1:14" ht="16.5" x14ac:dyDescent="0.25">
      <c r="A280" s="211"/>
      <c r="B280" s="333"/>
      <c r="C280" s="213" t="s">
        <v>1288</v>
      </c>
      <c r="D280" s="2393" t="s">
        <v>182</v>
      </c>
      <c r="E280" s="230">
        <f>SUM(E281:E283)</f>
        <v>0</v>
      </c>
      <c r="F280" s="2837">
        <f t="shared" si="125"/>
        <v>0</v>
      </c>
      <c r="G280" s="230">
        <f t="shared" ref="G280:L280" si="126">SUM(G281:G283)</f>
        <v>0</v>
      </c>
      <c r="H280" s="2837">
        <f t="shared" si="126"/>
        <v>0</v>
      </c>
      <c r="I280" s="2938">
        <f t="shared" si="126"/>
        <v>0</v>
      </c>
      <c r="J280" s="3319">
        <f t="shared" si="116"/>
        <v>0</v>
      </c>
      <c r="K280" s="632">
        <f t="shared" si="126"/>
        <v>0</v>
      </c>
      <c r="L280" s="230">
        <f t="shared" si="126"/>
        <v>0</v>
      </c>
      <c r="M280" s="1331" t="e">
        <f t="shared" si="122"/>
        <v>#DIV/0!</v>
      </c>
      <c r="N280" s="236"/>
    </row>
    <row r="281" spans="1:14" ht="16.5" x14ac:dyDescent="0.25">
      <c r="A281" s="211"/>
      <c r="B281" s="333"/>
      <c r="C281" s="234" t="s">
        <v>1289</v>
      </c>
      <c r="D281" s="229" t="s">
        <v>513</v>
      </c>
      <c r="E281" s="233"/>
      <c r="F281" s="2839">
        <f t="shared" si="125"/>
        <v>0</v>
      </c>
      <c r="G281" s="233"/>
      <c r="H281" s="2839">
        <f>I281-G281</f>
        <v>0</v>
      </c>
      <c r="I281" s="2938"/>
      <c r="J281" s="3428">
        <f t="shared" si="116"/>
        <v>0</v>
      </c>
      <c r="K281" s="1196"/>
      <c r="L281" s="233"/>
      <c r="M281" s="1331" t="e">
        <f t="shared" si="122"/>
        <v>#DIV/0!</v>
      </c>
      <c r="N281" s="236"/>
    </row>
    <row r="282" spans="1:14" ht="16.5" x14ac:dyDescent="0.25">
      <c r="A282" s="211"/>
      <c r="B282" s="333"/>
      <c r="C282" s="234" t="s">
        <v>1290</v>
      </c>
      <c r="D282" s="219" t="s">
        <v>515</v>
      </c>
      <c r="E282" s="220"/>
      <c r="F282" s="2835">
        <f t="shared" si="125"/>
        <v>0</v>
      </c>
      <c r="G282" s="220"/>
      <c r="H282" s="2835">
        <f>I282-G282</f>
        <v>0</v>
      </c>
      <c r="I282" s="2938"/>
      <c r="J282" s="3428">
        <f t="shared" si="116"/>
        <v>0</v>
      </c>
      <c r="K282" s="344"/>
      <c r="L282" s="220"/>
      <c r="M282" s="1331" t="e">
        <f t="shared" si="122"/>
        <v>#DIV/0!</v>
      </c>
      <c r="N282" s="236"/>
    </row>
    <row r="283" spans="1:14" ht="16.5" x14ac:dyDescent="0.25">
      <c r="A283" s="211"/>
      <c r="B283" s="333"/>
      <c r="C283" s="234" t="s">
        <v>1291</v>
      </c>
      <c r="D283" s="219" t="s">
        <v>444</v>
      </c>
      <c r="E283" s="220"/>
      <c r="F283" s="2835">
        <f t="shared" si="125"/>
        <v>0</v>
      </c>
      <c r="G283" s="220"/>
      <c r="H283" s="2835">
        <f>I283-G283</f>
        <v>0</v>
      </c>
      <c r="I283" s="2938"/>
      <c r="J283" s="3428">
        <f t="shared" si="116"/>
        <v>0</v>
      </c>
      <c r="K283" s="344"/>
      <c r="L283" s="220"/>
      <c r="M283" s="1331" t="e">
        <f t="shared" si="122"/>
        <v>#DIV/0!</v>
      </c>
      <c r="N283" s="236"/>
    </row>
    <row r="284" spans="1:14" ht="16.5" x14ac:dyDescent="0.25">
      <c r="A284" s="211"/>
      <c r="B284" s="333"/>
      <c r="C284" s="213" t="s">
        <v>1396</v>
      </c>
      <c r="D284" s="2381" t="s">
        <v>1051</v>
      </c>
      <c r="E284" s="664">
        <f>SUM(E285)</f>
        <v>581321000</v>
      </c>
      <c r="F284" s="2837">
        <f t="shared" si="125"/>
        <v>1096200000</v>
      </c>
      <c r="G284" s="664">
        <f t="shared" ref="G284:L284" si="127">SUM(G285)+G287</f>
        <v>1677521000</v>
      </c>
      <c r="H284" s="2837">
        <f t="shared" si="127"/>
        <v>-180851145</v>
      </c>
      <c r="I284" s="3431">
        <f t="shared" si="127"/>
        <v>1496669855</v>
      </c>
      <c r="J284" s="3319">
        <f t="shared" si="116"/>
        <v>0</v>
      </c>
      <c r="K284" s="2379">
        <f t="shared" si="127"/>
        <v>1496669855</v>
      </c>
      <c r="L284" s="664">
        <f t="shared" si="127"/>
        <v>1357269500</v>
      </c>
      <c r="M284" s="1331"/>
      <c r="N284" s="236"/>
    </row>
    <row r="285" spans="1:14" ht="16.5" x14ac:dyDescent="0.25">
      <c r="A285" s="211"/>
      <c r="B285" s="333"/>
      <c r="C285" s="234" t="s">
        <v>1292</v>
      </c>
      <c r="D285" s="2382" t="s">
        <v>1421</v>
      </c>
      <c r="E285" s="604">
        <f>SUM(E286)</f>
        <v>581321000</v>
      </c>
      <c r="F285" s="2835">
        <f t="shared" si="125"/>
        <v>1096200000</v>
      </c>
      <c r="G285" s="604">
        <f t="shared" ref="G285:L285" si="128">SUM(G286)</f>
        <v>1677521000</v>
      </c>
      <c r="H285" s="2835">
        <f t="shared" si="128"/>
        <v>-180851145</v>
      </c>
      <c r="I285" s="1197">
        <f t="shared" si="128"/>
        <v>1496669855</v>
      </c>
      <c r="J285" s="3428">
        <f t="shared" si="116"/>
        <v>0</v>
      </c>
      <c r="K285" s="1197">
        <f t="shared" si="128"/>
        <v>1496669855</v>
      </c>
      <c r="L285" s="604">
        <f t="shared" si="128"/>
        <v>1357269500</v>
      </c>
      <c r="M285" s="1331"/>
      <c r="N285" s="236"/>
    </row>
    <row r="286" spans="1:14" ht="16.5" x14ac:dyDescent="0.25">
      <c r="A286" s="211"/>
      <c r="B286" s="333"/>
      <c r="C286" s="234" t="s">
        <v>1293</v>
      </c>
      <c r="D286" s="2395" t="s">
        <v>1692</v>
      </c>
      <c r="E286" s="604">
        <v>581321000</v>
      </c>
      <c r="F286" s="2835">
        <f t="shared" si="125"/>
        <v>1096200000</v>
      </c>
      <c r="G286" s="604">
        <v>1677521000</v>
      </c>
      <c r="H286" s="2835">
        <f>I286-G286</f>
        <v>-180851145</v>
      </c>
      <c r="I286" s="1197">
        <v>1496669855</v>
      </c>
      <c r="J286" s="3428">
        <f t="shared" si="116"/>
        <v>0</v>
      </c>
      <c r="K286" s="1197">
        <v>1496669855</v>
      </c>
      <c r="L286" s="604">
        <v>1357269500</v>
      </c>
      <c r="M286" s="1331"/>
      <c r="N286" s="236"/>
    </row>
    <row r="287" spans="1:14" ht="16.5" x14ac:dyDescent="0.25">
      <c r="A287" s="211"/>
      <c r="B287" s="333"/>
      <c r="C287" s="234" t="s">
        <v>2032</v>
      </c>
      <c r="D287" s="2395" t="s">
        <v>1693</v>
      </c>
      <c r="E287" s="604"/>
      <c r="F287" s="2835">
        <f t="shared" si="125"/>
        <v>0</v>
      </c>
      <c r="G287" s="604"/>
      <c r="H287" s="2835">
        <f>I287-G287</f>
        <v>0</v>
      </c>
      <c r="I287" s="2938"/>
      <c r="J287" s="3428">
        <f t="shared" si="116"/>
        <v>0</v>
      </c>
      <c r="K287" s="1197"/>
      <c r="L287" s="604"/>
      <c r="M287" s="1331"/>
      <c r="N287" s="236"/>
    </row>
    <row r="288" spans="1:14" ht="16.5" x14ac:dyDescent="0.25">
      <c r="A288" s="211"/>
      <c r="B288" s="333"/>
      <c r="C288" s="234"/>
      <c r="D288" s="339" t="s">
        <v>517</v>
      </c>
      <c r="E288" s="338">
        <f>SUM(E275+E284)</f>
        <v>641321000</v>
      </c>
      <c r="F288" s="1356">
        <f t="shared" si="125"/>
        <v>1070503913</v>
      </c>
      <c r="G288" s="338">
        <f t="shared" ref="G288:L288" si="129">SUM(G275+G284)</f>
        <v>1711824913</v>
      </c>
      <c r="H288" s="1356">
        <f t="shared" si="129"/>
        <v>-191571475</v>
      </c>
      <c r="I288" s="338">
        <f t="shared" si="129"/>
        <v>1520253438</v>
      </c>
      <c r="J288" s="3319">
        <f t="shared" si="116"/>
        <v>0</v>
      </c>
      <c r="K288" s="1332">
        <f t="shared" si="129"/>
        <v>1520253438</v>
      </c>
      <c r="L288" s="338">
        <f t="shared" si="129"/>
        <v>1380853083</v>
      </c>
      <c r="M288" s="1331"/>
      <c r="N288" s="236"/>
    </row>
    <row r="289" spans="1:14" ht="27.75" customHeight="1" x14ac:dyDescent="0.3">
      <c r="A289" s="2405"/>
      <c r="B289" s="2406"/>
      <c r="C289" s="2407"/>
      <c r="D289" s="2408" t="s">
        <v>517</v>
      </c>
      <c r="E289" s="2413">
        <f>SUM(E288+E273+E254+E244+E234+E208+E203+E114+E103+E91+E85+E77+E72+E65+E58+E41+E32+E21+E16)+E262+E228+E218</f>
        <v>4884482130</v>
      </c>
      <c r="F289" s="2413">
        <f t="shared" si="125"/>
        <v>2955902131</v>
      </c>
      <c r="G289" s="2413">
        <f>SUM(G288+G273+G254+G244+G234+G208+G203+G114+G103+G91+G85+G77+G72+G65+G58+G41+G32+G21+G16)+G262+G228+G218+G258</f>
        <v>7840384261</v>
      </c>
      <c r="H289" s="2841">
        <f>SUM(H288+H273+H254+H244+H234+H208+H203+H114+H103+H91+H85+H77+H72+H65+H58+H41+H32+H21+H16)+H262+H228+H218</f>
        <v>459293727</v>
      </c>
      <c r="I289" s="2413">
        <f>SUM(I288+I273+I254+I244+I234+I208+I203+I114+I103+I91+I85+I77+I72+I65+I58+I41+I32+I21+I16)+I262+I228+I218+I258</f>
        <v>8016207689</v>
      </c>
      <c r="J289" s="3552">
        <f t="shared" si="116"/>
        <v>1747959</v>
      </c>
      <c r="K289" s="2413">
        <f>SUM(K288+K273+K254+K244+K234+K208+K203+K114+K103+K91+K85+K77+K72+K65+K58+K41+K32+K21+K16)+K262+K228+K218+K258</f>
        <v>8017955648</v>
      </c>
      <c r="L289" s="2413">
        <f>SUM(L288+L273+L254+L244+L234+L208+L203+L114+L103+L91+L85+L77+L72+L65+L58+L41+L32+L21+L16)+L262+L228+L218+L258</f>
        <v>6465191441</v>
      </c>
      <c r="M289" s="1331">
        <f t="shared" si="122"/>
        <v>82.460134934450252</v>
      </c>
      <c r="N289" s="236"/>
    </row>
    <row r="290" spans="1:14" ht="23.25" customHeight="1" x14ac:dyDescent="0.25">
      <c r="A290" s="355"/>
      <c r="B290" s="356"/>
      <c r="C290" s="357"/>
      <c r="D290" s="2373" t="s">
        <v>1294</v>
      </c>
      <c r="E290" s="359">
        <f>SUM(E17+E104+E115)</f>
        <v>17</v>
      </c>
      <c r="F290" s="1360"/>
      <c r="G290" s="359">
        <f>SUM(G17+G104+G115)</f>
        <v>17</v>
      </c>
      <c r="H290" s="1360">
        <f>I290-G290</f>
        <v>0</v>
      </c>
      <c r="I290" s="3426">
        <f>SUM(I17+I104+I115)</f>
        <v>17</v>
      </c>
      <c r="J290" s="3437">
        <f>SUM(J17+J104+J115)</f>
        <v>0</v>
      </c>
      <c r="K290" s="1334">
        <f>SUM(K17+K104+K115)</f>
        <v>17</v>
      </c>
      <c r="L290" s="359">
        <f>SUM(L17+L104+L115)</f>
        <v>17</v>
      </c>
      <c r="M290" s="1331"/>
      <c r="N290" s="236"/>
    </row>
    <row r="291" spans="1:14" ht="16.5" x14ac:dyDescent="0.25">
      <c r="A291" s="360"/>
      <c r="B291" s="361"/>
      <c r="C291" s="362"/>
      <c r="D291" s="363"/>
      <c r="E291" s="364"/>
      <c r="F291" s="1350"/>
      <c r="G291" s="364"/>
      <c r="H291" s="1350"/>
      <c r="I291" s="364"/>
      <c r="K291" s="364"/>
      <c r="L291" s="364"/>
      <c r="M291" s="364"/>
      <c r="N291" s="364"/>
    </row>
    <row r="292" spans="1:14" ht="16.5" x14ac:dyDescent="0.25">
      <c r="A292" s="360"/>
      <c r="B292" s="361"/>
      <c r="C292" s="362"/>
      <c r="D292" s="363"/>
      <c r="E292" s="364"/>
      <c r="F292" s="1350"/>
      <c r="G292" s="364">
        <f>SUM(G289-'3.1. Cofog'!N111)</f>
        <v>0</v>
      </c>
      <c r="H292" s="364"/>
      <c r="I292" s="364">
        <f>SUM(I289-'3.1. Cofog'!P111)</f>
        <v>0</v>
      </c>
      <c r="K292" s="364"/>
      <c r="L292" s="364"/>
      <c r="M292" s="364"/>
      <c r="N292" s="364"/>
    </row>
    <row r="293" spans="1:14" ht="16.5" x14ac:dyDescent="0.25">
      <c r="A293" s="360"/>
      <c r="B293" s="361"/>
      <c r="C293" s="362"/>
      <c r="D293" s="363"/>
      <c r="E293" s="364"/>
      <c r="F293" s="1350"/>
      <c r="G293" s="364"/>
      <c r="H293" s="1350"/>
      <c r="I293" s="364"/>
      <c r="K293" s="364"/>
      <c r="L293" s="364"/>
      <c r="M293" s="364"/>
      <c r="N293" s="364"/>
    </row>
    <row r="294" spans="1:14" ht="24.75" customHeight="1" x14ac:dyDescent="0.3">
      <c r="A294" s="360"/>
      <c r="B294" s="361"/>
      <c r="C294" s="362"/>
      <c r="D294" s="4487"/>
      <c r="E294" s="4487"/>
      <c r="F294" s="1350"/>
      <c r="G294" s="364"/>
      <c r="H294" s="1350"/>
      <c r="I294" s="364"/>
      <c r="K294" s="364"/>
      <c r="L294" s="364"/>
      <c r="M294" s="364"/>
      <c r="N294" s="364"/>
    </row>
    <row r="295" spans="1:14" ht="16.5" x14ac:dyDescent="0.25">
      <c r="A295" s="360"/>
      <c r="B295" s="361"/>
      <c r="C295" s="362"/>
      <c r="D295" s="363"/>
      <c r="E295" s="364"/>
      <c r="F295" s="1350"/>
      <c r="G295" s="364"/>
      <c r="H295" s="1350"/>
      <c r="I295" s="364"/>
      <c r="K295" s="364"/>
      <c r="L295" s="364"/>
      <c r="M295" s="364"/>
      <c r="N295" s="364"/>
    </row>
    <row r="296" spans="1:14" ht="16.5" x14ac:dyDescent="0.25">
      <c r="A296" s="360"/>
      <c r="B296" s="361"/>
      <c r="C296" s="362"/>
      <c r="D296" s="363"/>
      <c r="E296" s="364"/>
      <c r="F296" s="1350"/>
      <c r="G296" s="364"/>
      <c r="H296" s="1350"/>
      <c r="I296" s="364"/>
      <c r="K296" s="364"/>
      <c r="L296" s="364"/>
      <c r="M296" s="364"/>
      <c r="N296" s="364"/>
    </row>
    <row r="297" spans="1:14" ht="16.5" x14ac:dyDescent="0.25">
      <c r="A297" s="360"/>
      <c r="B297" s="361"/>
      <c r="C297" s="362"/>
      <c r="D297" s="363"/>
      <c r="E297" s="364"/>
      <c r="F297" s="1350"/>
      <c r="G297" s="364"/>
      <c r="H297" s="1350"/>
      <c r="I297" s="364"/>
      <c r="K297" s="364"/>
      <c r="L297" s="364"/>
      <c r="M297" s="364"/>
      <c r="N297" s="364"/>
    </row>
    <row r="298" spans="1:14" ht="16.5" x14ac:dyDescent="0.25">
      <c r="A298" s="360"/>
      <c r="B298" s="361"/>
      <c r="C298" s="362"/>
      <c r="D298" s="363"/>
      <c r="E298" s="364"/>
      <c r="F298" s="1350"/>
      <c r="G298" s="364"/>
      <c r="H298" s="1350"/>
      <c r="I298" s="364"/>
      <c r="K298" s="364"/>
      <c r="L298" s="364"/>
      <c r="M298" s="364"/>
      <c r="N298" s="364"/>
    </row>
    <row r="299" spans="1:14" ht="17.25" x14ac:dyDescent="0.3">
      <c r="A299" s="360"/>
      <c r="B299" s="361"/>
      <c r="C299" s="362"/>
      <c r="D299" s="365"/>
      <c r="E299" s="364"/>
      <c r="F299" s="1350"/>
      <c r="G299" s="364"/>
      <c r="H299" s="1350"/>
      <c r="I299" s="364"/>
      <c r="K299" s="364"/>
      <c r="L299" s="364"/>
      <c r="M299" s="364"/>
      <c r="N299" s="364"/>
    </row>
  </sheetData>
  <mergeCells count="26">
    <mergeCell ref="A1:C1"/>
    <mergeCell ref="D33:E33"/>
    <mergeCell ref="D42:E42"/>
    <mergeCell ref="D229:E229"/>
    <mergeCell ref="D22:E22"/>
    <mergeCell ref="D205:E205"/>
    <mergeCell ref="A2:E2"/>
    <mergeCell ref="D3:E3"/>
    <mergeCell ref="D18:E18"/>
    <mergeCell ref="D67:E67"/>
    <mergeCell ref="D59:E59"/>
    <mergeCell ref="D209:E209"/>
    <mergeCell ref="D219:E219"/>
    <mergeCell ref="D116:E116"/>
    <mergeCell ref="D93:E93"/>
    <mergeCell ref="D294:E294"/>
    <mergeCell ref="D274:E274"/>
    <mergeCell ref="D245:E245"/>
    <mergeCell ref="D235:E235"/>
    <mergeCell ref="D74:E74"/>
    <mergeCell ref="D105:E105"/>
    <mergeCell ref="D263:E263"/>
    <mergeCell ref="D87:E87"/>
    <mergeCell ref="D79:E79"/>
    <mergeCell ref="D255:E255"/>
    <mergeCell ref="D259:E259"/>
  </mergeCells>
  <printOptions horizontalCentered="1"/>
  <pageMargins left="0" right="0" top="0.9055118110236221" bottom="0.39370078740157483" header="0.19685039370078741" footer="0.15748031496062992"/>
  <pageSetup paperSize="9" scale="60" firstPageNumber="27" orientation="portrait" useFirstPageNumber="1" r:id="rId1"/>
  <headerFooter>
    <oddHeader xml:space="preserve">&amp;C&amp;"Times New Roman,Félkövér"&amp;14Vecsés Város Önkormányzat 2018. évi kiadásai 
COFOG szerinti bontásban
&amp;R&amp;"Times New Roman,Normál"&amp;12 3.2.  sz. melléklet
</oddHeader>
    <oddFooter>&amp;C- &amp;P -</oddFooter>
  </headerFooter>
  <rowBreaks count="4" manualBreakCount="4">
    <brk id="53" max="11" man="1"/>
    <brk id="104" max="11" man="1"/>
    <brk id="166" max="11" man="1"/>
    <brk id="228" max="1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82"/>
  <sheetViews>
    <sheetView view="pageBreakPreview" topLeftCell="C40" zoomScaleNormal="100" zoomScaleSheetLayoutView="100" zoomScalePageLayoutView="60" workbookViewId="0">
      <selection activeCell="F4" sqref="F4:M4"/>
    </sheetView>
  </sheetViews>
  <sheetFormatPr defaultColWidth="9.33203125" defaultRowHeight="15" x14ac:dyDescent="0.2"/>
  <cols>
    <col min="1" max="1" width="9.6640625" style="114" customWidth="1"/>
    <col min="2" max="2" width="10.6640625" style="115" customWidth="1"/>
    <col min="3" max="3" width="59.1640625" style="115" customWidth="1"/>
    <col min="4" max="5" width="9.33203125" style="145" hidden="1" customWidth="1"/>
    <col min="6" max="6" width="14.1640625" style="145" customWidth="1"/>
    <col min="7" max="7" width="11.6640625" style="1567" hidden="1" customWidth="1"/>
    <col min="8" max="8" width="13.83203125" style="145" hidden="1" customWidth="1"/>
    <col min="9" max="9" width="12.1640625" style="1567" hidden="1" customWidth="1"/>
    <col min="10" max="10" width="14.5" style="145" customWidth="1"/>
    <col min="11" max="11" width="14.6640625" style="1567" customWidth="1"/>
    <col min="12" max="12" width="14.5" style="145" customWidth="1"/>
    <col min="13" max="13" width="14.6640625" style="145" customWidth="1"/>
    <col min="14" max="14" width="19.1640625" style="145" bestFit="1" customWidth="1"/>
    <col min="15" max="15" width="15.33203125" style="145" customWidth="1"/>
    <col min="16" max="17" width="14" style="1986" customWidth="1"/>
    <col min="18" max="18" width="14" style="1991" bestFit="1" customWidth="1"/>
    <col min="19" max="19" width="15" style="1991" hidden="1" customWidth="1"/>
    <col min="20" max="20" width="15" style="115" bestFit="1" customWidth="1"/>
    <col min="21" max="21" width="15" style="115" customWidth="1"/>
    <col min="22" max="22" width="14.6640625" style="1161" customWidth="1"/>
    <col min="23" max="23" width="11.1640625" style="1904" bestFit="1" customWidth="1"/>
    <col min="24" max="24" width="13.6640625" style="115" hidden="1" customWidth="1"/>
    <col min="25" max="25" width="16.6640625" style="1979" customWidth="1"/>
    <col min="26" max="26" width="16.6640625" style="1979" hidden="1" customWidth="1"/>
    <col min="27" max="27" width="14" style="1991" bestFit="1" customWidth="1"/>
    <col min="28" max="28" width="14.5" style="1991" hidden="1" customWidth="1"/>
    <col min="29" max="29" width="14.1640625" style="115" bestFit="1" customWidth="1"/>
    <col min="30" max="30" width="14.5" style="115" customWidth="1"/>
    <col min="31" max="31" width="14" style="1161" customWidth="1"/>
    <col min="32" max="32" width="12.83203125" style="1904" bestFit="1" customWidth="1"/>
    <col min="33" max="16384" width="9.33203125" style="115"/>
  </cols>
  <sheetData>
    <row r="1" spans="1:32" s="95" customFormat="1" ht="21" customHeight="1" thickBot="1" x14ac:dyDescent="0.25">
      <c r="A1" s="240"/>
      <c r="B1" s="241"/>
      <c r="C1" s="242"/>
      <c r="F1" s="4494" t="s">
        <v>410</v>
      </c>
      <c r="G1" s="4494"/>
      <c r="H1" s="4494"/>
      <c r="I1" s="4494"/>
      <c r="J1" s="4494"/>
      <c r="K1" s="4494"/>
      <c r="L1" s="4494"/>
      <c r="M1" s="4494"/>
      <c r="N1" s="441"/>
      <c r="O1" s="441"/>
      <c r="P1" s="1980"/>
      <c r="Q1" s="1980"/>
      <c r="R1" s="1987"/>
      <c r="S1" s="1987"/>
      <c r="T1" s="441"/>
      <c r="U1" s="441"/>
      <c r="V1" s="1975"/>
      <c r="W1" s="1993"/>
      <c r="X1" s="441"/>
      <c r="Y1" s="1976"/>
      <c r="Z1" s="1976"/>
      <c r="AA1" s="1992"/>
      <c r="AB1" s="1992"/>
      <c r="AE1" s="1954"/>
      <c r="AF1" s="1959"/>
    </row>
    <row r="2" spans="1:32" s="120" customFormat="1" ht="48.75" customHeight="1" thickBot="1" x14ac:dyDescent="0.25">
      <c r="A2" s="4443" t="s">
        <v>411</v>
      </c>
      <c r="B2" s="4443"/>
      <c r="C2" s="537" t="s">
        <v>412</v>
      </c>
      <c r="D2" s="4417" t="s">
        <v>282</v>
      </c>
      <c r="E2" s="3073"/>
      <c r="F2" s="4417" t="s">
        <v>1080</v>
      </c>
      <c r="G2" s="4498" t="s">
        <v>1035</v>
      </c>
      <c r="H2" s="4417" t="s">
        <v>1030</v>
      </c>
      <c r="I2" s="4498" t="s">
        <v>1031</v>
      </c>
      <c r="J2" s="4417" t="s">
        <v>1028</v>
      </c>
      <c r="K2" s="4498" t="s">
        <v>2623</v>
      </c>
      <c r="L2" s="4417" t="s">
        <v>234</v>
      </c>
      <c r="M2" s="4495" t="s">
        <v>1949</v>
      </c>
      <c r="N2" s="460"/>
      <c r="O2" s="460"/>
      <c r="P2" s="1981"/>
      <c r="Q2" s="1981"/>
      <c r="R2" s="1988"/>
      <c r="S2" s="1988"/>
      <c r="V2" s="1955"/>
      <c r="W2" s="1960"/>
      <c r="Y2" s="1977"/>
      <c r="Z2" s="1977"/>
      <c r="AA2" s="1988"/>
      <c r="AB2" s="1988"/>
      <c r="AE2" s="1955"/>
      <c r="AF2" s="1960"/>
    </row>
    <row r="3" spans="1:32" s="120" customFormat="1" ht="31.5" customHeight="1" thickBot="1" x14ac:dyDescent="0.25">
      <c r="A3" s="4497" t="s">
        <v>283</v>
      </c>
      <c r="B3" s="4497"/>
      <c r="C3" s="676" t="s">
        <v>284</v>
      </c>
      <c r="D3" s="4417"/>
      <c r="E3" s="3073"/>
      <c r="F3" s="4417"/>
      <c r="G3" s="4498"/>
      <c r="H3" s="4496" t="s">
        <v>1028</v>
      </c>
      <c r="I3" s="4499" t="s">
        <v>1031</v>
      </c>
      <c r="J3" s="4496" t="s">
        <v>1028</v>
      </c>
      <c r="K3" s="4499"/>
      <c r="L3" s="4496"/>
      <c r="M3" s="4496"/>
      <c r="N3" s="460"/>
      <c r="O3" s="460"/>
      <c r="P3" s="1981"/>
      <c r="Q3" s="1981"/>
      <c r="R3" s="1988"/>
      <c r="S3" s="1988"/>
      <c r="V3" s="1955"/>
      <c r="W3" s="1960"/>
      <c r="Y3" s="1977"/>
      <c r="Z3" s="1977"/>
      <c r="AA3" s="1988"/>
      <c r="AB3" s="1988"/>
      <c r="AE3" s="1955"/>
      <c r="AF3" s="1960"/>
    </row>
    <row r="4" spans="1:32" s="145" customFormat="1" ht="30" customHeight="1" thickBot="1" x14ac:dyDescent="0.25">
      <c r="A4" s="4497" t="s">
        <v>285</v>
      </c>
      <c r="B4" s="4497"/>
      <c r="C4" s="446" t="s">
        <v>286</v>
      </c>
      <c r="D4" s="446" t="s">
        <v>287</v>
      </c>
      <c r="E4" s="446" t="s">
        <v>288</v>
      </c>
      <c r="F4" s="4502" t="s">
        <v>935</v>
      </c>
      <c r="G4" s="4502"/>
      <c r="H4" s="4502"/>
      <c r="I4" s="4502"/>
      <c r="J4" s="4502"/>
      <c r="K4" s="4502"/>
      <c r="L4" s="4502"/>
      <c r="M4" s="4502"/>
      <c r="N4" s="461"/>
      <c r="O4" s="461"/>
      <c r="P4" s="1874"/>
      <c r="Q4" s="1874"/>
      <c r="R4" s="4493" t="s">
        <v>1056</v>
      </c>
      <c r="S4" s="1884"/>
      <c r="T4" s="4442" t="s">
        <v>1057</v>
      </c>
      <c r="U4" s="305"/>
      <c r="V4" s="4439" t="s">
        <v>1058</v>
      </c>
      <c r="W4" s="1946"/>
      <c r="Y4" s="1874"/>
      <c r="Z4" s="1874"/>
      <c r="AA4" s="4493" t="s">
        <v>1056</v>
      </c>
      <c r="AB4" s="1884"/>
      <c r="AC4" s="4442" t="s">
        <v>1057</v>
      </c>
      <c r="AD4" s="305"/>
      <c r="AE4" s="4439" t="s">
        <v>1058</v>
      </c>
      <c r="AF4" s="1946"/>
    </row>
    <row r="5" spans="1:32" s="129" customFormat="1" ht="20.25" customHeight="1" thickBot="1" x14ac:dyDescent="0.25">
      <c r="A5" s="244"/>
      <c r="B5" s="245"/>
      <c r="C5" s="245" t="s">
        <v>230</v>
      </c>
      <c r="D5" s="858"/>
      <c r="E5" s="2773"/>
      <c r="F5" s="2779"/>
      <c r="G5" s="1558"/>
      <c r="H5" s="858"/>
      <c r="I5" s="1558"/>
      <c r="J5" s="858"/>
      <c r="K5" s="1558"/>
      <c r="L5" s="858"/>
      <c r="M5" s="858"/>
      <c r="N5" s="462"/>
      <c r="O5" s="462"/>
      <c r="P5" s="1875" t="s">
        <v>771</v>
      </c>
      <c r="Q5" s="1875"/>
      <c r="R5" s="4493"/>
      <c r="S5" s="1884"/>
      <c r="T5" s="4442"/>
      <c r="U5" s="305"/>
      <c r="V5" s="4439"/>
      <c r="W5" s="1947" t="s">
        <v>289</v>
      </c>
      <c r="Y5" s="1875" t="s">
        <v>771</v>
      </c>
      <c r="Z5" s="1875"/>
      <c r="AA5" s="4493"/>
      <c r="AB5" s="1884"/>
      <c r="AC5" s="4442"/>
      <c r="AD5" s="305"/>
      <c r="AE5" s="4439"/>
      <c r="AF5" s="1947" t="s">
        <v>289</v>
      </c>
    </row>
    <row r="6" spans="1:32" s="141" customFormat="1" ht="15" customHeight="1" thickBot="1" x14ac:dyDescent="0.25">
      <c r="A6" s="134" t="s">
        <v>3</v>
      </c>
      <c r="B6" s="148"/>
      <c r="C6" s="810" t="s">
        <v>413</v>
      </c>
      <c r="D6" s="826" t="e">
        <f>SUM(D7:D16)</f>
        <v>#REF!</v>
      </c>
      <c r="E6" s="2783" t="e">
        <f>SUM(E7:E16)</f>
        <v>#REF!</v>
      </c>
      <c r="F6" s="105">
        <f>SUM(F7:F16)</f>
        <v>11500000</v>
      </c>
      <c r="G6" s="1514">
        <f t="shared" ref="G6:G16" si="0">SUM(H6-F6)</f>
        <v>0</v>
      </c>
      <c r="H6" s="105">
        <f>SUM(H7:H16)</f>
        <v>11500000</v>
      </c>
      <c r="I6" s="1514">
        <f t="shared" ref="I6:I16" si="1">SUM(J6-H6)</f>
        <v>9321949</v>
      </c>
      <c r="J6" s="105">
        <f>SUM(J7:J16)</f>
        <v>20821949</v>
      </c>
      <c r="K6" s="1514">
        <f>SUM(L6-J6)</f>
        <v>0</v>
      </c>
      <c r="L6" s="105">
        <f>SUM(L7:L16)</f>
        <v>20821949</v>
      </c>
      <c r="M6" s="137">
        <f>SUM(M7:M16)</f>
        <v>20821949</v>
      </c>
      <c r="N6" s="286"/>
      <c r="O6" s="286"/>
      <c r="P6" s="1974" t="s">
        <v>767</v>
      </c>
      <c r="Q6" s="1974"/>
      <c r="R6" s="1969" t="s">
        <v>767</v>
      </c>
      <c r="S6" s="1969"/>
      <c r="T6" s="454" t="s">
        <v>767</v>
      </c>
      <c r="U6" s="454"/>
      <c r="V6" s="1956" t="s">
        <v>767</v>
      </c>
      <c r="W6" s="1961" t="s">
        <v>767</v>
      </c>
      <c r="Y6" s="2350" t="s">
        <v>770</v>
      </c>
      <c r="Z6" s="2350"/>
      <c r="AA6" s="1949" t="s">
        <v>770</v>
      </c>
      <c r="AB6" s="1949"/>
      <c r="AC6" s="490"/>
      <c r="AD6" s="490"/>
      <c r="AE6" s="1945"/>
      <c r="AF6" s="1948" t="s">
        <v>770</v>
      </c>
    </row>
    <row r="7" spans="1:32" s="141" customFormat="1" ht="15" customHeight="1" x14ac:dyDescent="0.2">
      <c r="A7" s="149"/>
      <c r="B7" s="143" t="s">
        <v>152</v>
      </c>
      <c r="C7" s="811" t="s">
        <v>48</v>
      </c>
      <c r="D7" s="483" t="e">
        <f>SUM('4.1 sz. mell'!D9+#REF!+#REF!+#REF!+'4.2.sz. mell. '!D9+'4.3 sz. mell.'!D9+'4.4.sz. mell.'!D9)</f>
        <v>#REF!</v>
      </c>
      <c r="E7" s="2775" t="e">
        <f>SUM('4.1 sz. mell'!E9+#REF!+#REF!+#REF!+'4.2.sz. mell. '!E9+'4.3 sz. mell.'!E9+'4.4.sz. mell.'!E9)</f>
        <v>#REF!</v>
      </c>
      <c r="F7" s="500">
        <f>SUM('4.1 sz. mell'!F9+'4.2.sz. mell. '!F9+'4.3 sz. mell.'!F9+'4.4.sz. mell.'!F9)</f>
        <v>0</v>
      </c>
      <c r="G7" s="1355">
        <f t="shared" si="0"/>
        <v>0</v>
      </c>
      <c r="H7" s="500">
        <f>SUM('4.1 sz. mell'!H9+'4.2.sz. mell. '!H9+'4.3 sz. mell.'!H9+'4.4.sz. mell.'!H9)</f>
        <v>0</v>
      </c>
      <c r="I7" s="1355">
        <f t="shared" si="1"/>
        <v>0</v>
      </c>
      <c r="J7" s="500">
        <f>SUM('4.1 sz. mell'!J9+'4.2.sz. mell. '!J9+'4.3 sz. mell.'!J9+'4.4.sz. mell.'!J9)</f>
        <v>0</v>
      </c>
      <c r="K7" s="1355">
        <f>SUM(L7-J7)</f>
        <v>0</v>
      </c>
      <c r="L7" s="500">
        <f>SUM('4.1 sz. mell'!L9+'4.2.sz. mell. '!L9+'4.3 sz. mell.'!L9+'4.4.sz. mell.'!L9)</f>
        <v>0</v>
      </c>
      <c r="M7" s="144">
        <f>SUM('4.1 sz. mell'!M9+'4.2.sz. mell. '!M9+'4.3 sz. mell.'!M9+'4.4.sz. mell.'!M9)</f>
        <v>0</v>
      </c>
      <c r="N7" s="286"/>
      <c r="O7" s="463"/>
      <c r="P7" s="1985">
        <f t="shared" ref="P7:P16" si="2">SUM(F7-Y7)</f>
        <v>0</v>
      </c>
      <c r="Q7" s="1985"/>
      <c r="R7" s="1885">
        <f t="shared" ref="R7:R38" si="3">SUM(H7-AA7)</f>
        <v>0</v>
      </c>
      <c r="S7" s="1990"/>
      <c r="T7" s="1994">
        <f t="shared" ref="T7:T60" si="4">SUM(J7-AC7)</f>
        <v>0</v>
      </c>
      <c r="U7" s="1994"/>
      <c r="V7" s="1871">
        <f t="shared" ref="V7:V60" si="5">SUM(L7-AE7)</f>
        <v>0</v>
      </c>
      <c r="W7" s="1998">
        <f t="shared" ref="W7:W38" si="6">SUM(M7-AF7)</f>
        <v>0</v>
      </c>
      <c r="Y7" s="1978">
        <f>SUM('4.a. sz. mell.'!D9+'4. b.sz. mell.'!D9+'4.c. sz. mell.'!F9)</f>
        <v>0</v>
      </c>
      <c r="Z7" s="1978"/>
      <c r="AA7" s="1885">
        <f>SUM('4.a. sz. mell.'!F9+'4. b.sz. mell.'!F9+'4.c. sz. mell.'!H9)</f>
        <v>0</v>
      </c>
      <c r="AB7" s="1990"/>
      <c r="AC7" s="1994">
        <f>SUM('4.a. sz. mell.'!H9+'4. b.sz. mell.'!H9+'4.c. sz. mell.'!J9)</f>
        <v>0</v>
      </c>
      <c r="AD7" s="1994"/>
      <c r="AE7" s="1871">
        <f>SUM('4.a. sz. mell.'!J9+'4. b.sz. mell.'!J9+'4.c. sz. mell.'!L9)</f>
        <v>0</v>
      </c>
      <c r="AF7" s="2351">
        <f>SUM('4.a. sz. mell.'!K9+'4. b.sz. mell.'!K9+'4.c. sz. mell.'!M9)</f>
        <v>0</v>
      </c>
    </row>
    <row r="8" spans="1:32" s="141" customFormat="1" ht="15" customHeight="1" x14ac:dyDescent="0.2">
      <c r="A8" s="142"/>
      <c r="B8" s="143" t="s">
        <v>154</v>
      </c>
      <c r="C8" s="812" t="s">
        <v>50</v>
      </c>
      <c r="D8" s="483" t="e">
        <f>SUM('4.1 sz. mell'!D10+#REF!+#REF!+#REF!+'4.2.sz. mell. '!D10+'4.3 sz. mell.'!D10+'4.4.sz. mell.'!D10)</f>
        <v>#REF!</v>
      </c>
      <c r="E8" s="2775" t="e">
        <f>SUM('4.1 sz. mell'!E10+#REF!+#REF!+#REF!+'4.2.sz. mell. '!E10+'4.3 sz. mell.'!E10+'4.4.sz. mell.'!E10)</f>
        <v>#REF!</v>
      </c>
      <c r="F8" s="500">
        <f>SUM('4.1 sz. mell'!F10+'4.2.sz. mell. '!F10+'4.3 sz. mell.'!F10+'4.4.sz. mell.'!F10)</f>
        <v>0</v>
      </c>
      <c r="G8" s="1355">
        <f t="shared" si="0"/>
        <v>0</v>
      </c>
      <c r="H8" s="500">
        <f>SUM('4.1 sz. mell'!H10+'4.2.sz. mell. '!H10+'4.3 sz. mell.'!H10+'4.4.sz. mell.'!H10)</f>
        <v>0</v>
      </c>
      <c r="I8" s="1355">
        <f t="shared" si="1"/>
        <v>6992290</v>
      </c>
      <c r="J8" s="500">
        <f>SUM('4.1 sz. mell'!J10+'4.2.sz. mell. '!J10+'4.3 sz. mell.'!J10+'4.4.sz. mell.'!J10)</f>
        <v>6992290</v>
      </c>
      <c r="K8" s="1355">
        <f t="shared" ref="K8:K62" si="7">SUM(L8-J8)</f>
        <v>0</v>
      </c>
      <c r="L8" s="500">
        <f>SUM('4.1 sz. mell'!L10+'4.2.sz. mell. '!L10+'4.3 sz. mell.'!L10+'4.4.sz. mell.'!L10)</f>
        <v>6992290</v>
      </c>
      <c r="M8" s="500">
        <f>SUM('4.1 sz. mell'!M10+'4.2.sz. mell. '!M10+'4.3 sz. mell.'!M10+'4.4.sz. mell.'!M10)</f>
        <v>6992290</v>
      </c>
      <c r="N8" s="286"/>
      <c r="O8" s="463"/>
      <c r="P8" s="1985">
        <f t="shared" si="2"/>
        <v>0</v>
      </c>
      <c r="Q8" s="1985"/>
      <c r="R8" s="1885">
        <f t="shared" si="3"/>
        <v>0</v>
      </c>
      <c r="S8" s="1990"/>
      <c r="T8" s="1994">
        <f t="shared" si="4"/>
        <v>0</v>
      </c>
      <c r="U8" s="1994"/>
      <c r="V8" s="1871">
        <f t="shared" si="5"/>
        <v>0</v>
      </c>
      <c r="W8" s="1998">
        <f t="shared" si="6"/>
        <v>0</v>
      </c>
      <c r="Y8" s="1978">
        <f>SUM('4.a. sz. mell.'!D10+'4. b.sz. mell.'!D10+'4.c. sz. mell.'!F10)</f>
        <v>0</v>
      </c>
      <c r="Z8" s="1978"/>
      <c r="AA8" s="1885">
        <f>SUM('4.a. sz. mell.'!F10+'4. b.sz. mell.'!F10+'4.c. sz. mell.'!H10)</f>
        <v>0</v>
      </c>
      <c r="AB8" s="1990"/>
      <c r="AC8" s="1994">
        <f>SUM('4.a. sz. mell.'!H10+'4. b.sz. mell.'!H10+'4.c. sz. mell.'!J10)</f>
        <v>6992290</v>
      </c>
      <c r="AD8" s="1994"/>
      <c r="AE8" s="1871">
        <f>SUM('4.a. sz. mell.'!J10+'4. b.sz. mell.'!J10+'4.c. sz. mell.'!L10)</f>
        <v>6992290</v>
      </c>
      <c r="AF8" s="2351">
        <f>SUM('4.a. sz. mell.'!K10+'4. b.sz. mell.'!K10+'4.c. sz. mell.'!M10)</f>
        <v>6992290</v>
      </c>
    </row>
    <row r="9" spans="1:32" s="141" customFormat="1" ht="15" customHeight="1" x14ac:dyDescent="0.2">
      <c r="A9" s="142"/>
      <c r="B9" s="143" t="s">
        <v>156</v>
      </c>
      <c r="C9" s="812" t="s">
        <v>414</v>
      </c>
      <c r="D9" s="483" t="e">
        <f>SUM('4.1 sz. mell'!D11+#REF!+#REF!+#REF!+'4.2.sz. mell. '!D11+'4.3 sz. mell.'!D11+'4.4.sz. mell.'!D11)</f>
        <v>#REF!</v>
      </c>
      <c r="E9" s="2775" t="e">
        <f>SUM('4.1 sz. mell'!E11+#REF!+#REF!+#REF!+'4.2.sz. mell. '!E11+'4.3 sz. mell.'!E11+'4.4.sz. mell.'!E11)</f>
        <v>#REF!</v>
      </c>
      <c r="F9" s="500">
        <f>SUM('4.1 sz. mell'!F11+'4.2.sz. mell. '!F11+'4.3 sz. mell.'!F11+'4.4.sz. mell.'!F11)</f>
        <v>0</v>
      </c>
      <c r="G9" s="1355">
        <f t="shared" si="0"/>
        <v>0</v>
      </c>
      <c r="H9" s="500">
        <f>SUM('4.1 sz. mell'!H11+'4.2.sz. mell. '!H11+'4.3 sz. mell.'!H11+'4.4.sz. mell.'!H11)</f>
        <v>0</v>
      </c>
      <c r="I9" s="1355">
        <f t="shared" si="1"/>
        <v>0</v>
      </c>
      <c r="J9" s="500">
        <f>SUM('4.1 sz. mell'!J11+'4.2.sz. mell. '!J11+'4.3 sz. mell.'!J11+'4.4.sz. mell.'!J11)</f>
        <v>0</v>
      </c>
      <c r="K9" s="1355">
        <f t="shared" si="7"/>
        <v>0</v>
      </c>
      <c r="L9" s="500">
        <f>SUM('4.1 sz. mell'!L11+'4.2.sz. mell. '!L11+'4.3 sz. mell.'!L11+'4.4.sz. mell.'!L11)</f>
        <v>0</v>
      </c>
      <c r="M9" s="144">
        <f>SUM('4.1 sz. mell'!M11+'4.2.sz. mell. '!M11+'4.3 sz. mell.'!M11+'4.4.sz. mell.'!M11)</f>
        <v>0</v>
      </c>
      <c r="N9" s="286"/>
      <c r="O9" s="463"/>
      <c r="P9" s="1985">
        <f t="shared" si="2"/>
        <v>0</v>
      </c>
      <c r="Q9" s="1985"/>
      <c r="R9" s="1885">
        <f t="shared" si="3"/>
        <v>0</v>
      </c>
      <c r="S9" s="1990"/>
      <c r="T9" s="1994">
        <f t="shared" si="4"/>
        <v>0</v>
      </c>
      <c r="U9" s="1994"/>
      <c r="V9" s="1871">
        <f t="shared" si="5"/>
        <v>0</v>
      </c>
      <c r="W9" s="1998">
        <f t="shared" si="6"/>
        <v>0</v>
      </c>
      <c r="Y9" s="1978">
        <f>SUM('4.a. sz. mell.'!D11+'4. b.sz. mell.'!D11+'4.c. sz. mell.'!F11)</f>
        <v>0</v>
      </c>
      <c r="Z9" s="1978"/>
      <c r="AA9" s="1885">
        <f>SUM('4.a. sz. mell.'!F11+'4. b.sz. mell.'!F11+'4.c. sz. mell.'!H11)</f>
        <v>0</v>
      </c>
      <c r="AB9" s="1990"/>
      <c r="AC9" s="1994">
        <f>SUM('4.a. sz. mell.'!H11+'4. b.sz. mell.'!H11+'4.c. sz. mell.'!J11)</f>
        <v>0</v>
      </c>
      <c r="AD9" s="1994"/>
      <c r="AE9" s="1871">
        <f>SUM('4.a. sz. mell.'!J11+'4. b.sz. mell.'!J11+'4.c. sz. mell.'!L11)</f>
        <v>0</v>
      </c>
      <c r="AF9" s="2351">
        <f>SUM('4.a. sz. mell.'!K11+'4. b.sz. mell.'!K11+'4.c. sz. mell.'!M11)</f>
        <v>0</v>
      </c>
    </row>
    <row r="10" spans="1:32" s="141" customFormat="1" ht="15" customHeight="1" x14ac:dyDescent="0.2">
      <c r="A10" s="142"/>
      <c r="B10" s="143" t="s">
        <v>158</v>
      </c>
      <c r="C10" s="812" t="s">
        <v>978</v>
      </c>
      <c r="D10" s="483" t="e">
        <f>SUM('4.1 sz. mell'!D12+#REF!+#REF!+#REF!+'4.2.sz. mell. '!D12+'4.3 sz. mell.'!D12+'4.4.sz. mell.'!D12)</f>
        <v>#REF!</v>
      </c>
      <c r="E10" s="2775" t="e">
        <f>SUM('4.1 sz. mell'!E12+#REF!+#REF!+#REF!+'4.2.sz. mell. '!E12+'4.3 sz. mell.'!E12+'4.4.sz. mell.'!E12)</f>
        <v>#REF!</v>
      </c>
      <c r="F10" s="500">
        <f>SUM('4.1 sz. mell'!F12+'4.2.sz. mell. '!F12+'4.3 sz. mell.'!F12+'4.4.sz. mell.'!F12)</f>
        <v>0</v>
      </c>
      <c r="G10" s="1355">
        <f t="shared" si="0"/>
        <v>0</v>
      </c>
      <c r="H10" s="500">
        <f>SUM('4.1 sz. mell'!H12+'4.2.sz. mell. '!H12+'4.3 sz. mell.'!H12+'4.4.sz. mell.'!H12)</f>
        <v>0</v>
      </c>
      <c r="I10" s="1355">
        <f t="shared" si="1"/>
        <v>0</v>
      </c>
      <c r="J10" s="500">
        <f>SUM('4.1 sz. mell'!J12+'4.2.sz. mell. '!J12+'4.3 sz. mell.'!J12+'4.4.sz. mell.'!J12)</f>
        <v>0</v>
      </c>
      <c r="K10" s="1355">
        <f t="shared" si="7"/>
        <v>0</v>
      </c>
      <c r="L10" s="500">
        <f>SUM('4.1 sz. mell'!L12+'4.2.sz. mell. '!L12+'4.3 sz. mell.'!L12+'4.4.sz. mell.'!L12)</f>
        <v>0</v>
      </c>
      <c r="M10" s="144">
        <f>SUM('4.1 sz. mell'!M12+'4.2.sz. mell. '!M12+'4.3 sz. mell.'!M12+'4.4.sz. mell.'!M12)</f>
        <v>0</v>
      </c>
      <c r="N10" s="286"/>
      <c r="O10" s="463"/>
      <c r="P10" s="1985">
        <f t="shared" si="2"/>
        <v>0</v>
      </c>
      <c r="Q10" s="1985"/>
      <c r="R10" s="1885">
        <f t="shared" si="3"/>
        <v>0</v>
      </c>
      <c r="S10" s="1990"/>
      <c r="T10" s="1994">
        <f t="shared" si="4"/>
        <v>0</v>
      </c>
      <c r="U10" s="1994"/>
      <c r="V10" s="1871">
        <f t="shared" si="5"/>
        <v>0</v>
      </c>
      <c r="W10" s="1998">
        <f t="shared" si="6"/>
        <v>0</v>
      </c>
      <c r="Y10" s="1978">
        <f>SUM('4.a. sz. mell.'!D12+'4. b.sz. mell.'!D12+'4.c. sz. mell.'!F12)</f>
        <v>0</v>
      </c>
      <c r="Z10" s="1978"/>
      <c r="AA10" s="1885">
        <f>SUM('4.a. sz. mell.'!F12+'4. b.sz. mell.'!F12+'4.c. sz. mell.'!H12)</f>
        <v>0</v>
      </c>
      <c r="AB10" s="1990"/>
      <c r="AC10" s="1994">
        <f>SUM('4.a. sz. mell.'!H12+'4. b.sz. mell.'!H12+'4.c. sz. mell.'!J12)</f>
        <v>0</v>
      </c>
      <c r="AD10" s="1994"/>
      <c r="AE10" s="1871">
        <f>SUM('4.a. sz. mell.'!J12+'4. b.sz. mell.'!J12+'4.c. sz. mell.'!L12)</f>
        <v>0</v>
      </c>
      <c r="AF10" s="2351">
        <f>SUM('4.a. sz. mell.'!K12+'4. b.sz. mell.'!K12+'4.c. sz. mell.'!M12)</f>
        <v>0</v>
      </c>
    </row>
    <row r="11" spans="1:32" s="141" customFormat="1" ht="15" customHeight="1" x14ac:dyDescent="0.2">
      <c r="A11" s="142"/>
      <c r="B11" s="143" t="s">
        <v>375</v>
      </c>
      <c r="C11" s="813" t="s">
        <v>416</v>
      </c>
      <c r="D11" s="483" t="e">
        <f>SUM('4.1 sz. mell'!D13+#REF!+#REF!+#REF!+'4.2.sz. mell. '!D13+'4.3 sz. mell.'!D13+'4.4.sz. mell.'!D13)</f>
        <v>#REF!</v>
      </c>
      <c r="E11" s="2775" t="e">
        <f>SUM('4.1 sz. mell'!E13+#REF!+#REF!+#REF!+'4.2.sz. mell. '!E13+'4.3 sz. mell.'!E13+'4.4.sz. mell.'!E13)</f>
        <v>#REF!</v>
      </c>
      <c r="F11" s="500">
        <f>SUM('4.1 sz. mell'!F13+'4.2.sz. mell. '!F13+'4.3 sz. mell.'!F13+'4.4.sz. mell.'!F13)</f>
        <v>11500000</v>
      </c>
      <c r="G11" s="1355">
        <f t="shared" si="0"/>
        <v>0</v>
      </c>
      <c r="H11" s="500">
        <f>SUM('4.1 sz. mell'!H13+'4.2.sz. mell. '!H13+'4.3 sz. mell.'!H13+'4.4.sz. mell.'!H13)</f>
        <v>11500000</v>
      </c>
      <c r="I11" s="1355">
        <f t="shared" si="1"/>
        <v>2175857</v>
      </c>
      <c r="J11" s="500">
        <f>SUM('4.1 sz. mell'!J13+'4.2.sz. mell. '!J13+'4.3 sz. mell.'!J13+'4.4.sz. mell.'!J13)</f>
        <v>13675857</v>
      </c>
      <c r="K11" s="1355">
        <f t="shared" si="7"/>
        <v>0</v>
      </c>
      <c r="L11" s="500">
        <f>SUM('4.1 sz. mell'!L13+'4.2.sz. mell. '!L13+'4.3 sz. mell.'!L13+'4.4.sz. mell.'!L13)</f>
        <v>13675857</v>
      </c>
      <c r="M11" s="500">
        <f>SUM('4.1 sz. mell'!M13+'4.2.sz. mell. '!M13+'4.3 sz. mell.'!M13+'4.4.sz. mell.'!M13)</f>
        <v>13675857</v>
      </c>
      <c r="N11" s="286"/>
      <c r="O11" s="463"/>
      <c r="P11" s="1985">
        <f t="shared" si="2"/>
        <v>0</v>
      </c>
      <c r="Q11" s="1985"/>
      <c r="R11" s="1885">
        <f t="shared" si="3"/>
        <v>0</v>
      </c>
      <c r="S11" s="1990"/>
      <c r="T11" s="1994">
        <f t="shared" si="4"/>
        <v>0</v>
      </c>
      <c r="U11" s="1994"/>
      <c r="V11" s="1871">
        <f t="shared" si="5"/>
        <v>0</v>
      </c>
      <c r="W11" s="1998">
        <f t="shared" si="6"/>
        <v>0</v>
      </c>
      <c r="Y11" s="1978">
        <f>SUM('4.a. sz. mell.'!D13+'4. b.sz. mell.'!D13+'4.c. sz. mell.'!F13)</f>
        <v>11500000</v>
      </c>
      <c r="Z11" s="1978"/>
      <c r="AA11" s="1885">
        <f>SUM('4.a. sz. mell.'!F13+'4. b.sz. mell.'!F13+'4.c. sz. mell.'!H13)</f>
        <v>11500000</v>
      </c>
      <c r="AB11" s="1990"/>
      <c r="AC11" s="1994">
        <f>SUM('4.a. sz. mell.'!H13+'4. b.sz. mell.'!H13+'4.c. sz. mell.'!J13)</f>
        <v>13675857</v>
      </c>
      <c r="AD11" s="1994"/>
      <c r="AE11" s="1871">
        <f>SUM('4.a. sz. mell.'!J13+'4. b.sz. mell.'!J13+'4.c. sz. mell.'!L13)</f>
        <v>13675857</v>
      </c>
      <c r="AF11" s="2351">
        <f>SUM('4.a. sz. mell.'!K13+'4. b.sz. mell.'!K13+'4.c. sz. mell.'!M13)</f>
        <v>13675857</v>
      </c>
    </row>
    <row r="12" spans="1:32" s="141" customFormat="1" ht="15" customHeight="1" x14ac:dyDescent="0.2">
      <c r="A12" s="146"/>
      <c r="B12" s="143" t="s">
        <v>162</v>
      </c>
      <c r="C12" s="812" t="s">
        <v>340</v>
      </c>
      <c r="D12" s="483" t="e">
        <f>SUM('4.1 sz. mell'!D14+#REF!+#REF!+#REF!+'4.2.sz. mell. '!D14+'4.3 sz. mell.'!D14+'4.4.sz. mell.'!D14)</f>
        <v>#REF!</v>
      </c>
      <c r="E12" s="2775" t="e">
        <f>SUM('4.1 sz. mell'!E14+#REF!+#REF!+#REF!+'4.2.sz. mell. '!E14+'4.3 sz. mell.'!E14+'4.4.sz. mell.'!E14)</f>
        <v>#REF!</v>
      </c>
      <c r="F12" s="500">
        <f>SUM('4.1 sz. mell'!F14+'4.2.sz. mell. '!F14+'4.3 sz. mell.'!F14+'4.4.sz. mell.'!F14)</f>
        <v>0</v>
      </c>
      <c r="G12" s="1355">
        <f t="shared" si="0"/>
        <v>0</v>
      </c>
      <c r="H12" s="500">
        <f>SUM('4.1 sz. mell'!H14+'4.2.sz. mell. '!H14+'4.3 sz. mell.'!H14+'4.4.sz. mell.'!H14)</f>
        <v>0</v>
      </c>
      <c r="I12" s="1355">
        <f t="shared" si="1"/>
        <v>0</v>
      </c>
      <c r="J12" s="500">
        <f>SUM('4.1 sz. mell'!J14+'4.2.sz. mell. '!J14+'4.3 sz. mell.'!J14+'4.4.sz. mell.'!J14)</f>
        <v>0</v>
      </c>
      <c r="K12" s="1355">
        <f t="shared" si="7"/>
        <v>0</v>
      </c>
      <c r="L12" s="500">
        <f>SUM('4.1 sz. mell'!L14+'4.2.sz. mell. '!L14+'4.3 sz. mell.'!L14+'4.4.sz. mell.'!L14)</f>
        <v>0</v>
      </c>
      <c r="M12" s="144">
        <f>SUM('4.1 sz. mell'!M14+'4.2.sz. mell. '!M14+'4.3 sz. mell.'!M14+'4.4.sz. mell.'!M14)</f>
        <v>0</v>
      </c>
      <c r="N12" s="286"/>
      <c r="O12" s="463"/>
      <c r="P12" s="1985">
        <f t="shared" si="2"/>
        <v>0</v>
      </c>
      <c r="Q12" s="1985"/>
      <c r="R12" s="1885">
        <f t="shared" si="3"/>
        <v>0</v>
      </c>
      <c r="S12" s="1990"/>
      <c r="T12" s="1994">
        <f t="shared" si="4"/>
        <v>0</v>
      </c>
      <c r="U12" s="1994"/>
      <c r="V12" s="1871">
        <f t="shared" si="5"/>
        <v>0</v>
      </c>
      <c r="W12" s="1998">
        <f t="shared" si="6"/>
        <v>0</v>
      </c>
      <c r="Y12" s="1978">
        <f>SUM('4.a. sz. mell.'!D14+'4. b.sz. mell.'!D14+'4.c. sz. mell.'!F14)</f>
        <v>0</v>
      </c>
      <c r="Z12" s="1978"/>
      <c r="AA12" s="1885">
        <f>SUM('4.a. sz. mell.'!F14+'4. b.sz. mell.'!F14+'4.c. sz. mell.'!G14)</f>
        <v>0</v>
      </c>
      <c r="AB12" s="1990"/>
      <c r="AC12" s="1994">
        <f>SUM('4.a. sz. mell.'!H14+'4. b.sz. mell.'!H14+'4.c. sz. mell.'!J14)</f>
        <v>0</v>
      </c>
      <c r="AD12" s="1994"/>
      <c r="AE12" s="1871">
        <f>SUM('4.a. sz. mell.'!J14+'4. b.sz. mell.'!J14+'4.c. sz. mell.'!L14)</f>
        <v>0</v>
      </c>
      <c r="AF12" s="2351">
        <f>SUM('4.a. sz. mell.'!K14+'4. b.sz. mell.'!K14+'4.c. sz. mell.'!M14)</f>
        <v>0</v>
      </c>
    </row>
    <row r="13" spans="1:32" s="145" customFormat="1" ht="15" customHeight="1" x14ac:dyDescent="0.2">
      <c r="A13" s="142"/>
      <c r="B13" s="143" t="s">
        <v>164</v>
      </c>
      <c r="C13" s="812" t="s">
        <v>60</v>
      </c>
      <c r="D13" s="483" t="e">
        <f>SUM('4.1 sz. mell'!D15+#REF!+#REF!+#REF!+'4.2.sz. mell. '!D15+'4.3 sz. mell.'!D15+'4.4.sz. mell.'!D15)</f>
        <v>#REF!</v>
      </c>
      <c r="E13" s="2775" t="e">
        <f>SUM('4.1 sz. mell'!E15+#REF!+#REF!+#REF!+'4.2.sz. mell. '!E15+'4.3 sz. mell.'!E15+'4.4.sz. mell.'!E15)</f>
        <v>#REF!</v>
      </c>
      <c r="F13" s="500">
        <f>SUM('4.1 sz. mell'!F15+'4.2.sz. mell. '!F15+'4.3 sz. mell.'!F15+'4.4.sz. mell.'!F15)</f>
        <v>0</v>
      </c>
      <c r="G13" s="1355">
        <f t="shared" si="0"/>
        <v>0</v>
      </c>
      <c r="H13" s="500">
        <f>SUM('4.1 sz. mell'!H15+'4.2.sz. mell. '!H15+'4.3 sz. mell.'!H15+'4.4.sz. mell.'!H15)</f>
        <v>0</v>
      </c>
      <c r="I13" s="1355">
        <f t="shared" si="1"/>
        <v>0</v>
      </c>
      <c r="J13" s="500">
        <f>SUM('4.1 sz. mell'!J15+'4.2.sz. mell. '!J15+'4.3 sz. mell.'!J15+'4.4.sz. mell.'!J15)</f>
        <v>0</v>
      </c>
      <c r="K13" s="1355">
        <f t="shared" si="7"/>
        <v>0</v>
      </c>
      <c r="L13" s="500">
        <f>SUM('4.1 sz. mell'!L15+'4.2.sz. mell. '!L15+'4.3 sz. mell.'!L15+'4.4.sz. mell.'!L15)</f>
        <v>0</v>
      </c>
      <c r="M13" s="144">
        <f>SUM('4.1 sz. mell'!M15+'4.2.sz. mell. '!M15+'4.3 sz. mell.'!M15+'4.4.sz. mell.'!M15)</f>
        <v>0</v>
      </c>
      <c r="N13" s="286"/>
      <c r="O13" s="463"/>
      <c r="P13" s="1985">
        <f t="shared" si="2"/>
        <v>0</v>
      </c>
      <c r="Q13" s="1985"/>
      <c r="R13" s="1885">
        <f t="shared" si="3"/>
        <v>0</v>
      </c>
      <c r="S13" s="1990"/>
      <c r="T13" s="1994">
        <f t="shared" si="4"/>
        <v>0</v>
      </c>
      <c r="U13" s="1994"/>
      <c r="V13" s="1871">
        <f t="shared" si="5"/>
        <v>0</v>
      </c>
      <c r="W13" s="1998">
        <f t="shared" si="6"/>
        <v>0</v>
      </c>
      <c r="Y13" s="1978">
        <f>SUM('4.a. sz. mell.'!D15+'4. b.sz. mell.'!D15+'4.c. sz. mell.'!F15)</f>
        <v>0</v>
      </c>
      <c r="Z13" s="1978"/>
      <c r="AA13" s="1885">
        <f>SUM('4.a. sz. mell.'!F15+'4. b.sz. mell.'!F15+'4.c. sz. mell.'!G15)</f>
        <v>0</v>
      </c>
      <c r="AB13" s="1990"/>
      <c r="AC13" s="1994">
        <f>SUM('4.a. sz. mell.'!H15+'4. b.sz. mell.'!H15+'4.c. sz. mell.'!J15)</f>
        <v>0</v>
      </c>
      <c r="AD13" s="1994"/>
      <c r="AE13" s="1871">
        <f>SUM('4.a. sz. mell.'!J15+'4. b.sz. mell.'!J15+'4.c. sz. mell.'!L15)</f>
        <v>0</v>
      </c>
      <c r="AF13" s="2351">
        <f>SUM('4.a. sz. mell.'!K15+'4. b.sz. mell.'!K15+'4.c. sz. mell.'!M15)</f>
        <v>0</v>
      </c>
    </row>
    <row r="14" spans="1:32" s="145" customFormat="1" ht="15" customHeight="1" x14ac:dyDescent="0.2">
      <c r="A14" s="151"/>
      <c r="B14" s="152" t="s">
        <v>166</v>
      </c>
      <c r="C14" s="812" t="s">
        <v>417</v>
      </c>
      <c r="D14" s="483"/>
      <c r="E14" s="2775"/>
      <c r="F14" s="500">
        <f>SUM('4.1 sz. mell'!F16)</f>
        <v>0</v>
      </c>
      <c r="G14" s="1355">
        <f t="shared" si="0"/>
        <v>0</v>
      </c>
      <c r="H14" s="500">
        <f>SUM('4.1 sz. mell'!H16)</f>
        <v>0</v>
      </c>
      <c r="I14" s="1355">
        <f t="shared" si="1"/>
        <v>4</v>
      </c>
      <c r="J14" s="500">
        <f>SUM('4.1 sz. mell'!J16)</f>
        <v>4</v>
      </c>
      <c r="K14" s="1355">
        <f t="shared" si="7"/>
        <v>0</v>
      </c>
      <c r="L14" s="500">
        <f>SUM('4.1 sz. mell'!L16)</f>
        <v>4</v>
      </c>
      <c r="M14" s="144">
        <f>SUM('4.1 sz. mell'!M16)</f>
        <v>4</v>
      </c>
      <c r="N14" s="286"/>
      <c r="O14" s="463"/>
      <c r="P14" s="1985">
        <f t="shared" si="2"/>
        <v>0</v>
      </c>
      <c r="Q14" s="1985"/>
      <c r="R14" s="1885">
        <f t="shared" si="3"/>
        <v>0</v>
      </c>
      <c r="S14" s="1990"/>
      <c r="T14" s="1994">
        <f t="shared" si="4"/>
        <v>0</v>
      </c>
      <c r="U14" s="1994"/>
      <c r="V14" s="1871">
        <f t="shared" si="5"/>
        <v>0</v>
      </c>
      <c r="W14" s="1998">
        <f t="shared" si="6"/>
        <v>0</v>
      </c>
      <c r="Y14" s="1978">
        <f>SUM('4.a. sz. mell.'!D16+'4. b.sz. mell.'!D16+'4.c. sz. mell.'!F16)</f>
        <v>0</v>
      </c>
      <c r="Z14" s="1978"/>
      <c r="AA14" s="1885">
        <f>SUM('4.a. sz. mell.'!F16+'4. b.sz. mell.'!F16+'4.c. sz. mell.'!G16)</f>
        <v>0</v>
      </c>
      <c r="AB14" s="1990"/>
      <c r="AC14" s="1994">
        <f>SUM('4.a. sz. mell.'!H16+'4. b.sz. mell.'!H16+'4.c. sz. mell.'!J16)</f>
        <v>4</v>
      </c>
      <c r="AD14" s="1994"/>
      <c r="AE14" s="1871">
        <f>SUM('4.a. sz. mell.'!J16+'4. b.sz. mell.'!J16+'4.c. sz. mell.'!L16)</f>
        <v>4</v>
      </c>
      <c r="AF14" s="2351">
        <f>SUM('4.a. sz. mell.'!K16+'4. b.sz. mell.'!K16+'4.c. sz. mell.'!M16)</f>
        <v>4</v>
      </c>
    </row>
    <row r="15" spans="1:32" s="145" customFormat="1" ht="15" customHeight="1" x14ac:dyDescent="0.2">
      <c r="A15" s="151"/>
      <c r="B15" s="152" t="s">
        <v>168</v>
      </c>
      <c r="C15" s="812" t="s">
        <v>64</v>
      </c>
      <c r="D15" s="483"/>
      <c r="E15" s="2775"/>
      <c r="F15" s="500"/>
      <c r="G15" s="1355">
        <f t="shared" si="0"/>
        <v>0</v>
      </c>
      <c r="H15" s="500"/>
      <c r="I15" s="1355">
        <f t="shared" si="1"/>
        <v>0</v>
      </c>
      <c r="J15" s="500"/>
      <c r="K15" s="1355">
        <f t="shared" si="7"/>
        <v>0</v>
      </c>
      <c r="L15" s="500"/>
      <c r="M15" s="144"/>
      <c r="N15" s="286"/>
      <c r="O15" s="463"/>
      <c r="P15" s="1985">
        <f t="shared" si="2"/>
        <v>0</v>
      </c>
      <c r="Q15" s="1985"/>
      <c r="R15" s="1885">
        <f t="shared" si="3"/>
        <v>0</v>
      </c>
      <c r="S15" s="1990"/>
      <c r="T15" s="1994">
        <f t="shared" si="4"/>
        <v>0</v>
      </c>
      <c r="U15" s="1994"/>
      <c r="V15" s="1871">
        <f t="shared" si="5"/>
        <v>0</v>
      </c>
      <c r="W15" s="1998">
        <f t="shared" si="6"/>
        <v>0</v>
      </c>
      <c r="Y15" s="1978">
        <f>SUM('4.a. sz. mell.'!D17+'4. b.sz. mell.'!D17+'4.c. sz. mell.'!F17)</f>
        <v>0</v>
      </c>
      <c r="Z15" s="1978"/>
      <c r="AA15" s="1885">
        <f>SUM('4.a. sz. mell.'!F17+'4. b.sz. mell.'!F17+'4.c. sz. mell.'!G17)</f>
        <v>0</v>
      </c>
      <c r="AB15" s="1990"/>
      <c r="AC15" s="1994">
        <f>SUM('4.a. sz. mell.'!H17+'4. b.sz. mell.'!H17+'4.c. sz. mell.'!J17)</f>
        <v>0</v>
      </c>
      <c r="AD15" s="1994"/>
      <c r="AE15" s="1871">
        <f>SUM('4.a. sz. mell.'!J17+'4. b.sz. mell.'!J17+'4.c. sz. mell.'!L17)</f>
        <v>0</v>
      </c>
      <c r="AF15" s="2351">
        <f>SUM('4.a. sz. mell.'!K17+'4. b.sz. mell.'!K17+'4.c. sz. mell.'!M17)</f>
        <v>0</v>
      </c>
    </row>
    <row r="16" spans="1:32" s="145" customFormat="1" ht="15" customHeight="1" thickBot="1" x14ac:dyDescent="0.25">
      <c r="A16" s="151"/>
      <c r="B16" s="152" t="s">
        <v>170</v>
      </c>
      <c r="C16" s="813" t="s">
        <v>418</v>
      </c>
      <c r="D16" s="483" t="e">
        <f>SUM('4.1 sz. mell'!D18+#REF!+#REF!+#REF!+'4.2.sz. mell. '!D18+'4.3 sz. mell.'!D18+'4.4.sz. mell.'!D18)</f>
        <v>#REF!</v>
      </c>
      <c r="E16" s="2775" t="e">
        <f>SUM('4.1 sz. mell'!E18+#REF!+#REF!+#REF!+'4.2.sz. mell. '!E18+'4.3 sz. mell.'!E18+'4.4.sz. mell.'!E18)</f>
        <v>#REF!</v>
      </c>
      <c r="F16" s="500">
        <f>SUM('4.1 sz. mell'!F18+'4.2.sz. mell. '!F18+'4.3 sz. mell.'!F18+'4.4.sz. mell.'!F18)</f>
        <v>0</v>
      </c>
      <c r="G16" s="1355">
        <f t="shared" si="0"/>
        <v>0</v>
      </c>
      <c r="H16" s="500">
        <f>SUM('4.1 sz. mell'!H18+'4.2.sz. mell. '!H18+'4.3 sz. mell.'!H18+'4.4.sz. mell.'!H18)</f>
        <v>0</v>
      </c>
      <c r="I16" s="1355">
        <f t="shared" si="1"/>
        <v>153798</v>
      </c>
      <c r="J16" s="500">
        <f>SUM('4.1 sz. mell'!J18+'4.2.sz. mell. '!J18+'4.3 sz. mell.'!J18+'4.4.sz. mell.'!J18)</f>
        <v>153798</v>
      </c>
      <c r="K16" s="1355">
        <f t="shared" si="7"/>
        <v>0</v>
      </c>
      <c r="L16" s="500">
        <f>SUM('4.1 sz. mell'!L18+'4.2.sz. mell. '!L18+'4.3 sz. mell.'!L18+'4.4.sz. mell.'!L18)</f>
        <v>153798</v>
      </c>
      <c r="M16" s="500">
        <f>SUM('4.1 sz. mell'!M18+'4.2.sz. mell. '!M18+'4.3 sz. mell.'!M18+'4.4.sz. mell.'!M18)</f>
        <v>153798</v>
      </c>
      <c r="N16" s="286"/>
      <c r="O16" s="463"/>
      <c r="P16" s="1985">
        <f t="shared" si="2"/>
        <v>0</v>
      </c>
      <c r="Q16" s="1985"/>
      <c r="R16" s="1885">
        <f t="shared" si="3"/>
        <v>0</v>
      </c>
      <c r="S16" s="1990"/>
      <c r="T16" s="1994">
        <f t="shared" si="4"/>
        <v>0</v>
      </c>
      <c r="U16" s="1994"/>
      <c r="V16" s="1871">
        <f t="shared" si="5"/>
        <v>0</v>
      </c>
      <c r="W16" s="1998">
        <f t="shared" si="6"/>
        <v>0</v>
      </c>
      <c r="Y16" s="1978">
        <f>SUM('4.a. sz. mell.'!D18+'4. b.sz. mell.'!D18+'4.c. sz. mell.'!F18)</f>
        <v>0</v>
      </c>
      <c r="Z16" s="1978"/>
      <c r="AA16" s="1885">
        <f>SUM('4.a. sz. mell.'!F18+'4. b.sz. mell.'!F18+'4.c. sz. mell.'!G18)</f>
        <v>0</v>
      </c>
      <c r="AB16" s="1990"/>
      <c r="AC16" s="1994">
        <f>SUM('4.a. sz. mell.'!H18+'4. b.sz. mell.'!H18+'4.c. sz. mell.'!J18)</f>
        <v>153798</v>
      </c>
      <c r="AD16" s="1994"/>
      <c r="AE16" s="1871">
        <f>SUM('4.a. sz. mell.'!J18+'4. b.sz. mell.'!J18+'4.c. sz. mell.'!L18)</f>
        <v>153798</v>
      </c>
      <c r="AF16" s="2351">
        <f>SUM('4.a. sz. mell.'!K18+'4. b.sz. mell.'!K18+'4.c. sz. mell.'!M18)</f>
        <v>153798</v>
      </c>
    </row>
    <row r="17" spans="1:32" s="141" customFormat="1" ht="19.5" customHeight="1" thickBot="1" x14ac:dyDescent="0.25">
      <c r="A17" s="134"/>
      <c r="B17" s="148"/>
      <c r="C17" s="810" t="s">
        <v>32</v>
      </c>
      <c r="D17" s="826" t="e">
        <f>SUM(D18:D24)</f>
        <v>#REF!</v>
      </c>
      <c r="E17" s="2783" t="e">
        <f>SUM(E18:E24)</f>
        <v>#REF!</v>
      </c>
      <c r="F17" s="105">
        <f>SUM('4.1 sz. mell'!F19)</f>
        <v>0</v>
      </c>
      <c r="G17" s="1514"/>
      <c r="H17" s="105">
        <f>SUM('4.1 sz. mell'!H19)</f>
        <v>0</v>
      </c>
      <c r="I17" s="1514">
        <f>SUM('4.1 sz. mell'!I19)</f>
        <v>0</v>
      </c>
      <c r="J17" s="105">
        <f>SUM('4.1 sz. mell'!J19)</f>
        <v>56800</v>
      </c>
      <c r="K17" s="1355">
        <f t="shared" si="7"/>
        <v>0</v>
      </c>
      <c r="L17" s="105">
        <f>SUM('4.1 sz. mell'!L19)</f>
        <v>56800</v>
      </c>
      <c r="M17" s="105">
        <f>SUM('4.1 sz. mell'!M19)</f>
        <v>56800</v>
      </c>
      <c r="N17" s="286"/>
      <c r="O17" s="286"/>
      <c r="P17" s="1985">
        <f t="shared" ref="P17:P42" si="8">SUM(F17-Y17)</f>
        <v>0</v>
      </c>
      <c r="Q17" s="1985"/>
      <c r="R17" s="1885">
        <f t="shared" si="3"/>
        <v>0</v>
      </c>
      <c r="S17" s="1990"/>
      <c r="T17" s="1994">
        <f t="shared" si="4"/>
        <v>0</v>
      </c>
      <c r="U17" s="1994"/>
      <c r="V17" s="1871">
        <f t="shared" si="5"/>
        <v>0</v>
      </c>
      <c r="W17" s="1998">
        <f t="shared" si="6"/>
        <v>0</v>
      </c>
      <c r="Y17" s="1978">
        <f>SUM('4.a. sz. mell.'!D19+'4. b.sz. mell.'!D19+'4.c. sz. mell.'!F19)</f>
        <v>0</v>
      </c>
      <c r="Z17" s="1978"/>
      <c r="AA17" s="1885">
        <f>SUM('4.a. sz. mell.'!F19+'4. b.sz. mell.'!F19+'4.c. sz. mell.'!G19)</f>
        <v>0</v>
      </c>
      <c r="AB17" s="1990"/>
      <c r="AC17" s="1994">
        <f>SUM('4.a. sz. mell.'!H19+'4. b.sz. mell.'!H19+'4.c. sz. mell.'!J19)</f>
        <v>56800</v>
      </c>
      <c r="AD17" s="1994"/>
      <c r="AE17" s="1871">
        <f>SUM('4.a. sz. mell.'!J19+'4. b.sz. mell.'!J19+'4.c. sz. mell.'!L19)</f>
        <v>56800</v>
      </c>
      <c r="AF17" s="2351">
        <f>SUM('4.a. sz. mell.'!K19+'4. b.sz. mell.'!K19+'4.c. sz. mell.'!M19)</f>
        <v>56800</v>
      </c>
    </row>
    <row r="18" spans="1:32" s="141" customFormat="1" ht="30" customHeight="1" thickBot="1" x14ac:dyDescent="0.25">
      <c r="A18" s="134" t="s">
        <v>17</v>
      </c>
      <c r="B18" s="148"/>
      <c r="C18" s="810" t="s">
        <v>419</v>
      </c>
      <c r="D18" s="826" t="e">
        <f>SUM(D19:D25)</f>
        <v>#REF!</v>
      </c>
      <c r="E18" s="2783" t="e">
        <f>SUM(E19:E25)</f>
        <v>#REF!</v>
      </c>
      <c r="F18" s="105">
        <f>SUM(F19+F24+F25)</f>
        <v>0</v>
      </c>
      <c r="G18" s="3074">
        <f>SUM(H18-F18)</f>
        <v>7513536</v>
      </c>
      <c r="H18" s="105">
        <f>SUM(H19+H24+H25)</f>
        <v>7513536</v>
      </c>
      <c r="I18" s="1514">
        <f>SUM('4.1 sz. mell'!I20)</f>
        <v>0</v>
      </c>
      <c r="J18" s="105">
        <f>SUM(J19+J24+J25)</f>
        <v>7513536</v>
      </c>
      <c r="K18" s="3302">
        <f t="shared" si="7"/>
        <v>0</v>
      </c>
      <c r="L18" s="105">
        <f>SUM(L19+L24+L25)</f>
        <v>7513536</v>
      </c>
      <c r="M18" s="137">
        <f>SUM(M19+M24+M25)</f>
        <v>7513536</v>
      </c>
      <c r="N18" s="286"/>
      <c r="O18" s="286"/>
      <c r="P18" s="1985">
        <f t="shared" si="8"/>
        <v>0</v>
      </c>
      <c r="Q18" s="1985"/>
      <c r="R18" s="1885">
        <f t="shared" si="3"/>
        <v>0</v>
      </c>
      <c r="S18" s="1990"/>
      <c r="T18" s="1994">
        <f t="shared" si="4"/>
        <v>0</v>
      </c>
      <c r="U18" s="1994"/>
      <c r="V18" s="1871">
        <f t="shared" si="5"/>
        <v>0</v>
      </c>
      <c r="W18" s="1998">
        <f t="shared" si="6"/>
        <v>0</v>
      </c>
      <c r="Y18" s="1978">
        <f>SUM('4.a. sz. mell.'!D20+'4. b.sz. mell.'!D20+'4.c. sz. mell.'!F20)</f>
        <v>0</v>
      </c>
      <c r="Z18" s="1978"/>
      <c r="AA18" s="1885">
        <f>SUM('4.a. sz. mell.'!F20+'4. b.sz. mell.'!F20+'4.c. sz. mell.'!G20)</f>
        <v>7513536</v>
      </c>
      <c r="AB18" s="1990"/>
      <c r="AC18" s="1994">
        <f>SUM('4.a. sz. mell.'!H20+'4. b.sz. mell.'!H20+'4.c. sz. mell.'!J20)</f>
        <v>7513536</v>
      </c>
      <c r="AD18" s="1994"/>
      <c r="AE18" s="1871">
        <f>SUM('4.a. sz. mell.'!J20+'4. b.sz. mell.'!J20+'4.c. sz. mell.'!L20)</f>
        <v>7513536</v>
      </c>
      <c r="AF18" s="2351">
        <f>SUM('4.a. sz. mell.'!K20+'4. b.sz. mell.'!K20+'4.c. sz. mell.'!M20)</f>
        <v>7513536</v>
      </c>
    </row>
    <row r="19" spans="1:32" s="145" customFormat="1" ht="31.5" customHeight="1" x14ac:dyDescent="0.2">
      <c r="A19" s="142"/>
      <c r="B19" s="143" t="s">
        <v>5</v>
      </c>
      <c r="C19" s="814" t="s">
        <v>420</v>
      </c>
      <c r="D19" s="483" t="e">
        <f>SUM('4.1 sz. mell'!D21+#REF!+#REF!+#REF!+'4.2.sz. mell. '!D20+'4.3 sz. mell.'!D20+'4.4.sz. mell.'!D20+#REF!)</f>
        <v>#REF!</v>
      </c>
      <c r="E19" s="2775" t="e">
        <f>SUM('4.1 sz. mell'!E21+#REF!+#REF!+#REF!+'4.2.sz. mell. '!E20+'4.3 sz. mell.'!E20+'4.4.sz. mell.'!E20+#REF!)</f>
        <v>#REF!</v>
      </c>
      <c r="F19" s="500">
        <f>SUM(F20:F21)</f>
        <v>0</v>
      </c>
      <c r="G19" s="1355">
        <f>SUM(H19-F19)</f>
        <v>7513536</v>
      </c>
      <c r="H19" s="500">
        <f>SUM(H20:H23)</f>
        <v>7513536</v>
      </c>
      <c r="I19" s="1355">
        <f t="shared" ref="I19:I25" si="9">SUM(J19-H19)</f>
        <v>0</v>
      </c>
      <c r="J19" s="500">
        <f>SUM(J20:J23)</f>
        <v>7513536</v>
      </c>
      <c r="K19" s="1355">
        <f t="shared" si="7"/>
        <v>0</v>
      </c>
      <c r="L19" s="500">
        <f>SUM(L20:L23)</f>
        <v>7513536</v>
      </c>
      <c r="M19" s="500">
        <f>SUM(M20:Q23)</f>
        <v>7513536</v>
      </c>
      <c r="N19" s="286"/>
      <c r="O19" s="463"/>
      <c r="P19" s="1985">
        <f t="shared" si="8"/>
        <v>0</v>
      </c>
      <c r="Q19" s="1985"/>
      <c r="R19" s="1885">
        <f t="shared" si="3"/>
        <v>0</v>
      </c>
      <c r="S19" s="1990"/>
      <c r="T19" s="1994">
        <f t="shared" si="4"/>
        <v>0</v>
      </c>
      <c r="U19" s="1994"/>
      <c r="V19" s="1871">
        <f t="shared" si="5"/>
        <v>0</v>
      </c>
      <c r="W19" s="1998">
        <f t="shared" si="6"/>
        <v>0</v>
      </c>
      <c r="X19" s="141"/>
      <c r="Y19" s="1978">
        <f>SUM('4.a. sz. mell.'!D21+'4. b.sz. mell.'!D21+'4.c. sz. mell.'!F21)</f>
        <v>0</v>
      </c>
      <c r="Z19" s="1978"/>
      <c r="AA19" s="1885">
        <f>SUM('4.a. sz. mell.'!F21+'4. b.sz. mell.'!F21+'4.c. sz. mell.'!G21)</f>
        <v>7513536</v>
      </c>
      <c r="AB19" s="1990"/>
      <c r="AC19" s="1994">
        <f>SUM('4.a. sz. mell.'!H21+'4. b.sz. mell.'!H21+'4.c. sz. mell.'!J21)</f>
        <v>7513536</v>
      </c>
      <c r="AD19" s="1994"/>
      <c r="AE19" s="1871">
        <f>SUM('4.a. sz. mell.'!J21+'4. b.sz. mell.'!J21+'4.c. sz. mell.'!L21)</f>
        <v>7513536</v>
      </c>
      <c r="AF19" s="2351">
        <f>SUM('4.a. sz. mell.'!K21+'4. b.sz. mell.'!K21+'4.c. sz. mell.'!M21)</f>
        <v>7513536</v>
      </c>
    </row>
    <row r="20" spans="1:32" s="145" customFormat="1" ht="15" customHeight="1" x14ac:dyDescent="0.2">
      <c r="A20" s="142"/>
      <c r="B20" s="143" t="s">
        <v>421</v>
      </c>
      <c r="C20" s="812" t="s">
        <v>422</v>
      </c>
      <c r="D20" s="483"/>
      <c r="E20" s="2775"/>
      <c r="F20" s="500"/>
      <c r="G20" s="1355"/>
      <c r="H20" s="500"/>
      <c r="I20" s="1355">
        <f t="shared" si="9"/>
        <v>0</v>
      </c>
      <c r="J20" s="500"/>
      <c r="K20" s="1355">
        <f t="shared" si="7"/>
        <v>0</v>
      </c>
      <c r="L20" s="500"/>
      <c r="M20" s="144"/>
      <c r="N20" s="286"/>
      <c r="O20" s="463"/>
      <c r="P20" s="1985">
        <f t="shared" si="8"/>
        <v>0</v>
      </c>
      <c r="Q20" s="1985"/>
      <c r="R20" s="1885">
        <f t="shared" si="3"/>
        <v>0</v>
      </c>
      <c r="S20" s="1990"/>
      <c r="T20" s="1994">
        <f t="shared" si="4"/>
        <v>0</v>
      </c>
      <c r="U20" s="1994"/>
      <c r="V20" s="1871">
        <f t="shared" si="5"/>
        <v>0</v>
      </c>
      <c r="W20" s="1998">
        <f t="shared" si="6"/>
        <v>0</v>
      </c>
      <c r="X20" s="141"/>
      <c r="Y20" s="1978">
        <f>SUM('4.a. sz. mell.'!D22+'4. b.sz. mell.'!D22+'4.c. sz. mell.'!F22)</f>
        <v>0</v>
      </c>
      <c r="Z20" s="1978"/>
      <c r="AA20" s="1885">
        <f>SUM('4.a. sz. mell.'!F22+'4. b.sz. mell.'!F22+'4.c. sz. mell.'!G22)</f>
        <v>0</v>
      </c>
      <c r="AB20" s="1990"/>
      <c r="AC20" s="1994">
        <f>SUM('4.a. sz. mell.'!H22+'4. b.sz. mell.'!H22+'4.c. sz. mell.'!J22)</f>
        <v>0</v>
      </c>
      <c r="AD20" s="1994"/>
      <c r="AE20" s="1871">
        <f>SUM('4.a. sz. mell.'!J22+'4. b.sz. mell.'!J22+'4.c. sz. mell.'!L22)</f>
        <v>0</v>
      </c>
      <c r="AF20" s="2351">
        <f>SUM('4.a. sz. mell.'!K22+'4. b.sz. mell.'!K22+'4.c. sz. mell.'!M22)</f>
        <v>0</v>
      </c>
    </row>
    <row r="21" spans="1:32" s="145" customFormat="1" ht="15" customHeight="1" x14ac:dyDescent="0.2">
      <c r="A21" s="142"/>
      <c r="B21" s="143" t="s">
        <v>360</v>
      </c>
      <c r="C21" s="812" t="s">
        <v>1430</v>
      </c>
      <c r="D21" s="483"/>
      <c r="E21" s="2775"/>
      <c r="F21" s="500">
        <f>SUM('4.1 sz. mell'!F23+'4.2.sz. mell. '!F22+'4.3 sz. mell.'!F22+'4.4.sz. mell.'!F22)</f>
        <v>0</v>
      </c>
      <c r="G21" s="1355"/>
      <c r="H21" s="500">
        <f>SUM('4.1 sz. mell'!H23+'4.2.sz. mell. '!H22+'4.3 sz. mell.'!H22+'4.4.sz. mell.'!H22)</f>
        <v>0</v>
      </c>
      <c r="I21" s="1355">
        <f t="shared" si="9"/>
        <v>0</v>
      </c>
      <c r="J21" s="500">
        <f>SUM('4.1 sz. mell'!J23+'4.2.sz. mell. '!J22+'4.3 sz. mell.'!J22+'4.4.sz. mell.'!J22)</f>
        <v>0</v>
      </c>
      <c r="K21" s="1355">
        <f t="shared" si="7"/>
        <v>0</v>
      </c>
      <c r="L21" s="500">
        <f>SUM('4.1 sz. mell'!L23+'4.2.sz. mell. '!L22+'4.3 sz. mell.'!L22+'4.4.sz. mell.'!L22)</f>
        <v>0</v>
      </c>
      <c r="M21" s="144">
        <f>SUM('4.1 sz. mell'!M23+'4.2.sz. mell. '!M22+'4.3 sz. mell.'!M22+'4.4.sz. mell.'!M22)</f>
        <v>0</v>
      </c>
      <c r="N21" s="286"/>
      <c r="O21" s="463"/>
      <c r="P21" s="1985">
        <f t="shared" si="8"/>
        <v>0</v>
      </c>
      <c r="Q21" s="1985"/>
      <c r="R21" s="1885">
        <f t="shared" si="3"/>
        <v>0</v>
      </c>
      <c r="S21" s="1990"/>
      <c r="T21" s="1994">
        <f t="shared" si="4"/>
        <v>0</v>
      </c>
      <c r="U21" s="1994"/>
      <c r="V21" s="1871">
        <f t="shared" si="5"/>
        <v>0</v>
      </c>
      <c r="W21" s="1998">
        <f t="shared" si="6"/>
        <v>0</v>
      </c>
      <c r="X21" s="141"/>
      <c r="Y21" s="1978">
        <f>SUM('4.a. sz. mell.'!D23+'4. b.sz. mell.'!D23+'4.c. sz. mell.'!F23)</f>
        <v>0</v>
      </c>
      <c r="Z21" s="1978"/>
      <c r="AA21" s="1885">
        <f>SUM('4.a. sz. mell.'!F23+'4. b.sz. mell.'!F23+'4.c. sz. mell.'!G23)</f>
        <v>0</v>
      </c>
      <c r="AB21" s="1990"/>
      <c r="AC21" s="1994">
        <f>SUM('4.a. sz. mell.'!H23+'4. b.sz. mell.'!H23+'4.c. sz. mell.'!J23)</f>
        <v>0</v>
      </c>
      <c r="AD21" s="1994"/>
      <c r="AE21" s="1871">
        <f>SUM('4.a. sz. mell.'!J23+'4. b.sz. mell.'!J23+'4.c. sz. mell.'!L23)</f>
        <v>0</v>
      </c>
      <c r="AF21" s="2351">
        <f>SUM('4.a. sz. mell.'!K23+'4. b.sz. mell.'!K23+'4.c. sz. mell.'!M23)</f>
        <v>0</v>
      </c>
    </row>
    <row r="22" spans="1:32" s="145" customFormat="1" ht="15" customHeight="1" x14ac:dyDescent="0.2">
      <c r="A22" s="142"/>
      <c r="B22" s="143" t="s">
        <v>357</v>
      </c>
      <c r="C22" s="812" t="s">
        <v>424</v>
      </c>
      <c r="D22" s="483" t="e">
        <f>SUM('4.1 sz. mell'!D24+#REF!+#REF!+#REF!+'4.2.sz. mell. '!D23+'4.3 sz. mell.'!D23+'4.4.sz. mell.'!D23)</f>
        <v>#REF!</v>
      </c>
      <c r="E22" s="2775" t="e">
        <f>SUM('4.1 sz. mell'!E24+#REF!+#REF!+#REF!+'4.2.sz. mell. '!E23+'4.3 sz. mell.'!E23+'4.4.sz. mell.'!E23)</f>
        <v>#REF!</v>
      </c>
      <c r="F22" s="500">
        <f>SUM('4.1 sz. mell'!F24+'4.2.sz. mell. '!F23+'4.3 sz. mell.'!F23+'4.4.sz. mell.'!F23)</f>
        <v>0</v>
      </c>
      <c r="G22" s="1355"/>
      <c r="H22" s="500">
        <f>SUM('4.1 sz. mell'!H24+'4.2.sz. mell. '!H23+'4.3 sz. mell.'!H23+'4.4.sz. mell.'!H23)</f>
        <v>0</v>
      </c>
      <c r="I22" s="1355">
        <f t="shared" si="9"/>
        <v>0</v>
      </c>
      <c r="J22" s="500">
        <f>SUM('4.1 sz. mell'!J24+'4.2.sz. mell. '!J23+'4.3 sz. mell.'!J23+'4.4.sz. mell.'!J23)</f>
        <v>0</v>
      </c>
      <c r="K22" s="1355">
        <f t="shared" si="7"/>
        <v>0</v>
      </c>
      <c r="L22" s="500">
        <f>SUM('4.1 sz. mell'!L24+'4.2.sz. mell. '!L23+'4.3 sz. mell.'!L23+'4.4.sz. mell.'!L23)</f>
        <v>0</v>
      </c>
      <c r="M22" s="144">
        <f>SUM('4.1 sz. mell'!M24+'4.2.sz. mell. '!M23+'4.3 sz. mell.'!M23+'4.4.sz. mell.'!M23)</f>
        <v>0</v>
      </c>
      <c r="N22" s="286"/>
      <c r="O22" s="463"/>
      <c r="P22" s="1985">
        <f t="shared" si="8"/>
        <v>0</v>
      </c>
      <c r="Q22" s="1985"/>
      <c r="R22" s="1885">
        <f t="shared" si="3"/>
        <v>0</v>
      </c>
      <c r="S22" s="1990"/>
      <c r="T22" s="1994">
        <f t="shared" si="4"/>
        <v>0</v>
      </c>
      <c r="U22" s="1994"/>
      <c r="V22" s="1871">
        <f t="shared" si="5"/>
        <v>0</v>
      </c>
      <c r="W22" s="1998">
        <f t="shared" si="6"/>
        <v>0</v>
      </c>
      <c r="X22" s="141"/>
      <c r="Y22" s="1978">
        <f>SUM('4.a. sz. mell.'!D24+'4. b.sz. mell.'!D24+'4.c. sz. mell.'!F24)</f>
        <v>0</v>
      </c>
      <c r="Z22" s="1978"/>
      <c r="AA22" s="1885">
        <f>SUM('4.a. sz. mell.'!F24+'4. b.sz. mell.'!F24+'4.c. sz. mell.'!G24)</f>
        <v>0</v>
      </c>
      <c r="AB22" s="1990"/>
      <c r="AC22" s="1994">
        <f>SUM('4.a. sz. mell.'!H24+'4. b.sz. mell.'!H24+'4.c. sz. mell.'!J24)</f>
        <v>0</v>
      </c>
      <c r="AD22" s="1994"/>
      <c r="AE22" s="1871">
        <f>SUM('4.a. sz. mell.'!J24+'4. b.sz. mell.'!J24+'4.c. sz. mell.'!L24)</f>
        <v>0</v>
      </c>
      <c r="AF22" s="2351">
        <f>SUM('4.a. sz. mell.'!K24+'4. b.sz. mell.'!K24+'4.c. sz. mell.'!M24)</f>
        <v>0</v>
      </c>
    </row>
    <row r="23" spans="1:32" s="145" customFormat="1" ht="35.25" customHeight="1" x14ac:dyDescent="0.2">
      <c r="A23" s="142"/>
      <c r="B23" s="143" t="s">
        <v>1728</v>
      </c>
      <c r="C23" s="812" t="s">
        <v>1729</v>
      </c>
      <c r="D23" s="483"/>
      <c r="E23" s="2775"/>
      <c r="F23" s="500"/>
      <c r="G23" s="1355">
        <f>SUM(H23-F23)</f>
        <v>7513536</v>
      </c>
      <c r="H23" s="500">
        <f>SUM('4.1 sz. mell'!H25)</f>
        <v>7513536</v>
      </c>
      <c r="I23" s="1355">
        <f t="shared" si="9"/>
        <v>0</v>
      </c>
      <c r="J23" s="500">
        <f>SUM('4.1 sz. mell'!J25)</f>
        <v>7513536</v>
      </c>
      <c r="K23" s="1355">
        <f t="shared" si="7"/>
        <v>0</v>
      </c>
      <c r="L23" s="500">
        <f>SUM('4.1 sz. mell'!L25)</f>
        <v>7513536</v>
      </c>
      <c r="M23" s="144">
        <f>SUM('4.1 sz. mell'!M25)</f>
        <v>7513536</v>
      </c>
      <c r="N23" s="286"/>
      <c r="O23" s="463"/>
      <c r="P23" s="1985"/>
      <c r="Q23" s="1985"/>
      <c r="R23" s="1885">
        <f t="shared" si="3"/>
        <v>0</v>
      </c>
      <c r="S23" s="1990"/>
      <c r="T23" s="1994"/>
      <c r="U23" s="1994"/>
      <c r="V23" s="1871"/>
      <c r="W23" s="1998">
        <f t="shared" si="6"/>
        <v>0</v>
      </c>
      <c r="X23" s="141"/>
      <c r="Y23" s="1978"/>
      <c r="Z23" s="1978"/>
      <c r="AA23" s="1885">
        <f>SUM('4.a. sz. mell.'!F25+'4. b.sz. mell.'!F25+'4.c. sz. mell.'!G25)</f>
        <v>7513536</v>
      </c>
      <c r="AB23" s="1990"/>
      <c r="AC23" s="1994"/>
      <c r="AD23" s="1994"/>
      <c r="AE23" s="1871"/>
      <c r="AF23" s="2351">
        <f>SUM('4.a. sz. mell.'!K25+'4. b.sz. mell.'!K25+'4.c. sz. mell.'!M25)</f>
        <v>7513536</v>
      </c>
    </row>
    <row r="24" spans="1:32" s="145" customFormat="1" ht="15" customHeight="1" x14ac:dyDescent="0.2">
      <c r="A24" s="142"/>
      <c r="B24" s="143" t="s">
        <v>7</v>
      </c>
      <c r="C24" s="812" t="s">
        <v>6</v>
      </c>
      <c r="D24" s="483" t="e">
        <f>SUM('4.1 sz. mell'!D26+#REF!+#REF!+#REF!+'4.2.sz. mell. '!D24+'4.3 sz. mell.'!D24+'4.4.sz. mell.'!D24)</f>
        <v>#REF!</v>
      </c>
      <c r="E24" s="2775" t="e">
        <f>SUM('4.1 sz. mell'!E26+#REF!+#REF!+#REF!+'4.2.sz. mell. '!E24+'4.3 sz. mell.'!E24+'4.4.sz. mell.'!E24)</f>
        <v>#REF!</v>
      </c>
      <c r="F24" s="500">
        <f>SUM('4.1 sz. mell'!F26+'4.2.sz. mell. '!F24+'4.3 sz. mell.'!F24+'4.4.sz. mell.'!F24)</f>
        <v>0</v>
      </c>
      <c r="G24" s="1355"/>
      <c r="H24" s="500">
        <f>SUM('4.1 sz. mell'!H26+'4.2.sz. mell. '!H24+'4.3 sz. mell.'!H24+'4.4.sz. mell.'!H24)</f>
        <v>0</v>
      </c>
      <c r="I24" s="1355">
        <f t="shared" si="9"/>
        <v>0</v>
      </c>
      <c r="J24" s="500">
        <f>SUM('4.1 sz. mell'!J26+'4.2.sz. mell. '!J24+'4.3 sz. mell.'!J24+'4.4.sz. mell.'!J24)</f>
        <v>0</v>
      </c>
      <c r="K24" s="1355">
        <f t="shared" si="7"/>
        <v>0</v>
      </c>
      <c r="L24" s="500">
        <f>SUM('4.1 sz. mell'!L26+'4.2.sz. mell. '!L24+'4.3 sz. mell.'!L24+'4.4.sz. mell.'!L24)</f>
        <v>0</v>
      </c>
      <c r="M24" s="144">
        <f>SUM('4.1 sz. mell'!M26+'4.2.sz. mell. '!M24+'4.3 sz. mell.'!M24+'4.4.sz. mell.'!M24)</f>
        <v>0</v>
      </c>
      <c r="N24" s="286"/>
      <c r="O24" s="463"/>
      <c r="P24" s="1985">
        <f t="shared" si="8"/>
        <v>0</v>
      </c>
      <c r="Q24" s="1985"/>
      <c r="R24" s="1885">
        <f t="shared" si="3"/>
        <v>0</v>
      </c>
      <c r="S24" s="1990"/>
      <c r="T24" s="1994">
        <f t="shared" si="4"/>
        <v>0</v>
      </c>
      <c r="U24" s="1994"/>
      <c r="V24" s="1871">
        <f t="shared" si="5"/>
        <v>0</v>
      </c>
      <c r="W24" s="1998">
        <f t="shared" si="6"/>
        <v>0</v>
      </c>
      <c r="X24" s="141"/>
      <c r="Y24" s="1978">
        <f>SUM('4.a. sz. mell.'!D26+'4. b.sz. mell.'!D25+'4.c. sz. mell.'!F25)</f>
        <v>0</v>
      </c>
      <c r="Z24" s="1978"/>
      <c r="AA24" s="1885">
        <f>SUM('4.a. sz. mell.'!F26+'4. b.sz. mell.'!F25+'4.c. sz. mell.'!G25)</f>
        <v>0</v>
      </c>
      <c r="AB24" s="1990"/>
      <c r="AC24" s="1994">
        <f>SUM('4.a. sz. mell.'!H26+'4. b.sz. mell.'!H25+'4.c. sz. mell.'!J25)</f>
        <v>0</v>
      </c>
      <c r="AD24" s="1994"/>
      <c r="AE24" s="1871">
        <f>SUM('4.a. sz. mell.'!J26+'4. b.sz. mell.'!J25+'4.c. sz. mell.'!L25)</f>
        <v>0</v>
      </c>
      <c r="AF24" s="2351">
        <f>SUM('4.a. sz. mell.'!K26+'4. b.sz. mell.'!K25+'4.c. sz. mell.'!M25)</f>
        <v>0</v>
      </c>
    </row>
    <row r="25" spans="1:32" s="145" customFormat="1" ht="15" customHeight="1" thickBot="1" x14ac:dyDescent="0.25">
      <c r="A25" s="142"/>
      <c r="B25" s="143" t="s">
        <v>9</v>
      </c>
      <c r="C25" s="812" t="s">
        <v>425</v>
      </c>
      <c r="D25" s="825" t="e">
        <f>SUM('4.1 sz. mell'!D27+#REF!+#REF!+#REF!+'4.2.sz. mell. '!D25+'4.3 sz. mell.'!D25+'4.4.sz. mell.'!D25)</f>
        <v>#REF!</v>
      </c>
      <c r="E25" s="2777" t="e">
        <f>SUM('4.1 sz. mell'!E27+#REF!+#REF!+#REF!+'4.2.sz. mell. '!E25+'4.3 sz. mell.'!E25+'4.4.sz. mell.'!E25)</f>
        <v>#REF!</v>
      </c>
      <c r="F25" s="3075">
        <f>SUM('4.1 sz. mell'!F27+'4.2.sz. mell. '!F25+'4.3 sz. mell.'!F25+'4.4.sz. mell.'!F25)</f>
        <v>0</v>
      </c>
      <c r="G25" s="1358"/>
      <c r="H25" s="3075">
        <f>SUM('4.1 sz. mell'!H27+'4.2.sz. mell. '!H25+'4.3 sz. mell.'!H25+'4.4.sz. mell.'!H25)</f>
        <v>0</v>
      </c>
      <c r="I25" s="1355">
        <f t="shared" si="9"/>
        <v>0</v>
      </c>
      <c r="J25" s="3075">
        <f>SUM('4.1 sz. mell'!J27+'4.2.sz. mell. '!J25+'4.3 sz. mell.'!J25+'4.4.sz. mell.'!J25)</f>
        <v>0</v>
      </c>
      <c r="K25" s="1355">
        <f t="shared" si="7"/>
        <v>0</v>
      </c>
      <c r="L25" s="3075">
        <f>SUM('4.1 sz. mell'!L27+'4.2.sz. mell. '!L25+'4.3 sz. mell.'!L25+'4.4.sz. mell.'!L25)</f>
        <v>0</v>
      </c>
      <c r="M25" s="153">
        <f>SUM('4.1 sz. mell'!M27+'4.2.sz. mell. '!M25+'4.3 sz. mell.'!M25+'4.4.sz. mell.'!M25)</f>
        <v>0</v>
      </c>
      <c r="N25" s="286"/>
      <c r="O25" s="463"/>
      <c r="P25" s="1985">
        <f t="shared" si="8"/>
        <v>0</v>
      </c>
      <c r="Q25" s="1985"/>
      <c r="R25" s="1885">
        <f t="shared" si="3"/>
        <v>0</v>
      </c>
      <c r="S25" s="1990"/>
      <c r="T25" s="1994">
        <f t="shared" si="4"/>
        <v>0</v>
      </c>
      <c r="U25" s="1994"/>
      <c r="V25" s="1871">
        <f t="shared" si="5"/>
        <v>0</v>
      </c>
      <c r="W25" s="1998">
        <f t="shared" si="6"/>
        <v>0</v>
      </c>
      <c r="X25" s="141"/>
      <c r="Y25" s="1978">
        <f>SUM('4.a. sz. mell.'!D27+'4. b.sz. mell.'!D26+'4.c. sz. mell.'!F26)</f>
        <v>0</v>
      </c>
      <c r="Z25" s="1978"/>
      <c r="AA25" s="1885">
        <f>SUM('4.a. sz. mell.'!F27+'4. b.sz. mell.'!F26+'4.c. sz. mell.'!G26)</f>
        <v>0</v>
      </c>
      <c r="AB25" s="1990"/>
      <c r="AC25" s="1994">
        <f>SUM('4.a. sz. mell.'!H27+'4. b.sz. mell.'!H26+'4.c. sz. mell.'!J26)</f>
        <v>0</v>
      </c>
      <c r="AD25" s="1994"/>
      <c r="AE25" s="1871">
        <f>SUM('4.a. sz. mell.'!J27+'4. b.sz. mell.'!J26+'4.c. sz. mell.'!L26)</f>
        <v>0</v>
      </c>
      <c r="AF25" s="2351">
        <f>SUM('4.a. sz. mell.'!K27+'4. b.sz. mell.'!K26+'4.c. sz. mell.'!M26)</f>
        <v>0</v>
      </c>
    </row>
    <row r="26" spans="1:32" s="145" customFormat="1" ht="15" customHeight="1" thickBot="1" x14ac:dyDescent="0.25">
      <c r="A26" s="134" t="s">
        <v>31</v>
      </c>
      <c r="B26" s="170"/>
      <c r="C26" s="810" t="s">
        <v>426</v>
      </c>
      <c r="D26" s="824"/>
      <c r="E26" s="2784"/>
      <c r="F26" s="3076"/>
      <c r="G26" s="3077"/>
      <c r="H26" s="3076"/>
      <c r="I26" s="3077"/>
      <c r="J26" s="3076"/>
      <c r="K26" s="3302">
        <f t="shared" si="7"/>
        <v>0</v>
      </c>
      <c r="L26" s="3076"/>
      <c r="M26" s="252"/>
      <c r="N26" s="286"/>
      <c r="O26" s="463"/>
      <c r="P26" s="1985">
        <f t="shared" si="8"/>
        <v>0</v>
      </c>
      <c r="Q26" s="1985"/>
      <c r="R26" s="1885">
        <f t="shared" si="3"/>
        <v>0</v>
      </c>
      <c r="S26" s="1990"/>
      <c r="T26" s="1994">
        <f t="shared" si="4"/>
        <v>0</v>
      </c>
      <c r="U26" s="1994"/>
      <c r="V26" s="1871">
        <f t="shared" si="5"/>
        <v>0</v>
      </c>
      <c r="W26" s="1998">
        <f t="shared" si="6"/>
        <v>0</v>
      </c>
      <c r="X26" s="141"/>
      <c r="Y26" s="1978">
        <f>SUM('4.a. sz. mell.'!D28+'4. b.sz. mell.'!D27+'4.c. sz. mell.'!F27)</f>
        <v>0</v>
      </c>
      <c r="Z26" s="1978"/>
      <c r="AA26" s="1885">
        <f>SUM('4.a. sz. mell.'!F28+'4. b.sz. mell.'!F27+'4.c. sz. mell.'!G27)</f>
        <v>0</v>
      </c>
      <c r="AB26" s="1990"/>
      <c r="AC26" s="1994">
        <f>SUM('4.a. sz. mell.'!H28+'4. b.sz. mell.'!H27+'4.c. sz. mell.'!J27)</f>
        <v>0</v>
      </c>
      <c r="AD26" s="1994"/>
      <c r="AE26" s="1871">
        <f>SUM('4.a. sz. mell.'!J28+'4. b.sz. mell.'!J27+'4.c. sz. mell.'!L27)</f>
        <v>0</v>
      </c>
      <c r="AF26" s="2351">
        <f>SUM('4.a. sz. mell.'!K28+'4. b.sz. mell.'!K27+'4.c. sz. mell.'!M27)</f>
        <v>0</v>
      </c>
    </row>
    <row r="27" spans="1:32" s="145" customFormat="1" ht="30" customHeight="1" thickBot="1" x14ac:dyDescent="0.25">
      <c r="A27" s="142"/>
      <c r="B27" s="143" t="s">
        <v>19</v>
      </c>
      <c r="C27" s="812" t="s">
        <v>427</v>
      </c>
      <c r="D27" s="824"/>
      <c r="E27" s="2784"/>
      <c r="F27" s="3078"/>
      <c r="G27" s="2828"/>
      <c r="H27" s="3078"/>
      <c r="I27" s="2828"/>
      <c r="J27" s="3078"/>
      <c r="K27" s="1355">
        <f t="shared" si="7"/>
        <v>0</v>
      </c>
      <c r="L27" s="3078"/>
      <c r="M27" s="147"/>
      <c r="N27" s="286"/>
      <c r="O27" s="463"/>
      <c r="P27" s="1985">
        <f t="shared" si="8"/>
        <v>0</v>
      </c>
      <c r="Q27" s="1985"/>
      <c r="R27" s="1885">
        <f t="shared" si="3"/>
        <v>0</v>
      </c>
      <c r="S27" s="1990"/>
      <c r="T27" s="1994">
        <f t="shared" si="4"/>
        <v>0</v>
      </c>
      <c r="U27" s="1994"/>
      <c r="V27" s="1871">
        <f t="shared" si="5"/>
        <v>0</v>
      </c>
      <c r="W27" s="1998">
        <f t="shared" si="6"/>
        <v>0</v>
      </c>
      <c r="X27" s="141"/>
      <c r="Y27" s="1978">
        <f>SUM('4.a. sz. mell.'!D29+'4. b.sz. mell.'!D28+'4.c. sz. mell.'!F28)</f>
        <v>0</v>
      </c>
      <c r="Z27" s="1978"/>
      <c r="AA27" s="1885">
        <f>SUM('4.a. sz. mell.'!F29+'4. b.sz. mell.'!F28+'4.c. sz. mell.'!G28)</f>
        <v>0</v>
      </c>
      <c r="AB27" s="1990"/>
      <c r="AC27" s="1994">
        <f>SUM('4.a. sz. mell.'!H29+'4. b.sz. mell.'!H28+'4.c. sz. mell.'!J28)</f>
        <v>0</v>
      </c>
      <c r="AD27" s="1994"/>
      <c r="AE27" s="1871">
        <f>SUM('4.a. sz. mell.'!J29+'4. b.sz. mell.'!J28+'4.c. sz. mell.'!L28)</f>
        <v>0</v>
      </c>
      <c r="AF27" s="2351">
        <f>SUM('4.a. sz. mell.'!K29+'4. b.sz. mell.'!K28+'4.c. sz. mell.'!M28)</f>
        <v>0</v>
      </c>
    </row>
    <row r="28" spans="1:32" s="145" customFormat="1" ht="15" customHeight="1" thickBot="1" x14ac:dyDescent="0.25">
      <c r="A28" s="134" t="s">
        <v>45</v>
      </c>
      <c r="B28" s="148"/>
      <c r="C28" s="815" t="s">
        <v>428</v>
      </c>
      <c r="D28" s="844" t="e">
        <f>SUM('4.1 sz. mell'!D30+#REF!+#REF!+#REF!+'4.2.sz. mell. '!D28+'4.3 sz. mell.'!D28+'4.4.sz. mell.'!D28)</f>
        <v>#REF!</v>
      </c>
      <c r="E28" s="2785" t="e">
        <f>SUM('4.1 sz. mell'!E30+#REF!+#REF!+#REF!+'4.2.sz. mell. '!E28+'4.3 sz. mell.'!E28+'4.4.sz. mell.'!E28)</f>
        <v>#REF!</v>
      </c>
      <c r="F28" s="3076">
        <f>SUM('4.1 sz. mell'!F30+'4.2.sz. mell. '!F28+'4.3 sz. mell.'!F28+'4.4.sz. mell.'!F28)</f>
        <v>0</v>
      </c>
      <c r="G28" s="3077"/>
      <c r="H28" s="3076">
        <f>SUM('4.1 sz. mell'!H30+'4.2.sz. mell. '!H28+'4.3 sz. mell.'!H28+'4.4.sz. mell.'!H28)</f>
        <v>0</v>
      </c>
      <c r="I28" s="3077"/>
      <c r="J28" s="3076">
        <f>SUM('4.1 sz. mell'!J30+'4.2.sz. mell. '!J28+'4.3 sz. mell.'!J28+'4.4.sz. mell.'!J28)</f>
        <v>0</v>
      </c>
      <c r="K28" s="3302">
        <f t="shared" si="7"/>
        <v>0</v>
      </c>
      <c r="L28" s="3076">
        <f>SUM('4.1 sz. mell'!L30+'4.2.sz. mell. '!L28+'4.3 sz. mell.'!L28+'4.4.sz. mell.'!L28)</f>
        <v>0</v>
      </c>
      <c r="M28" s="252">
        <f>SUM('4.1 sz. mell'!M34+'4.2.sz. mell. '!M28+'4.3 sz. mell.'!M28+'4.4.sz. mell.'!M28)</f>
        <v>0</v>
      </c>
      <c r="N28" s="286"/>
      <c r="O28" s="464"/>
      <c r="P28" s="1985">
        <f t="shared" si="8"/>
        <v>0</v>
      </c>
      <c r="Q28" s="1985"/>
      <c r="R28" s="1885">
        <f t="shared" si="3"/>
        <v>0</v>
      </c>
      <c r="S28" s="1990"/>
      <c r="T28" s="1994">
        <f t="shared" si="4"/>
        <v>0</v>
      </c>
      <c r="U28" s="1994"/>
      <c r="V28" s="1871">
        <f t="shared" si="5"/>
        <v>0</v>
      </c>
      <c r="W28" s="1998">
        <f t="shared" si="6"/>
        <v>0</v>
      </c>
      <c r="X28" s="141"/>
      <c r="Y28" s="1978">
        <f>SUM('4.a. sz. mell.'!D30+'4. b.sz. mell.'!D29+'4.c. sz. mell.'!F29)</f>
        <v>0</v>
      </c>
      <c r="Z28" s="1978"/>
      <c r="AA28" s="1885">
        <f>SUM('4.a. sz. mell.'!F30+'4. b.sz. mell.'!F29+'4.c. sz. mell.'!G29)</f>
        <v>0</v>
      </c>
      <c r="AB28" s="1990"/>
      <c r="AC28" s="1994">
        <f>SUM('4.a. sz. mell.'!H30+'4. b.sz. mell.'!H29+'4.c. sz. mell.'!J29)</f>
        <v>0</v>
      </c>
      <c r="AD28" s="1994"/>
      <c r="AE28" s="1871">
        <f>SUM('4.a. sz. mell.'!J30+'4. b.sz. mell.'!J29+'4.c. sz. mell.'!L29)</f>
        <v>0</v>
      </c>
      <c r="AF28" s="2351">
        <f>SUM('4.a. sz. mell.'!K30+'4. b.sz. mell.'!K29+'4.c. sz. mell.'!M29)</f>
        <v>0</v>
      </c>
    </row>
    <row r="29" spans="1:32" s="145" customFormat="1" ht="15" customHeight="1" thickBot="1" x14ac:dyDescent="0.25">
      <c r="A29" s="142"/>
      <c r="B29" s="253" t="s">
        <v>33</v>
      </c>
      <c r="C29" s="812" t="s">
        <v>359</v>
      </c>
      <c r="D29" s="844"/>
      <c r="E29" s="2785"/>
      <c r="F29" s="1701"/>
      <c r="G29" s="3079"/>
      <c r="H29" s="1701"/>
      <c r="I29" s="3079"/>
      <c r="J29" s="1701"/>
      <c r="K29" s="1355">
        <f t="shared" si="7"/>
        <v>0</v>
      </c>
      <c r="L29" s="1701"/>
      <c r="M29" s="150"/>
      <c r="N29" s="286"/>
      <c r="O29" s="463"/>
      <c r="P29" s="1985">
        <f t="shared" si="8"/>
        <v>0</v>
      </c>
      <c r="Q29" s="1985"/>
      <c r="R29" s="1885">
        <f t="shared" si="3"/>
        <v>0</v>
      </c>
      <c r="S29" s="1990"/>
      <c r="T29" s="1994">
        <f t="shared" si="4"/>
        <v>0</v>
      </c>
      <c r="U29" s="1994"/>
      <c r="V29" s="1871">
        <f t="shared" si="5"/>
        <v>0</v>
      </c>
      <c r="W29" s="1998">
        <f t="shared" si="6"/>
        <v>0</v>
      </c>
      <c r="X29" s="141"/>
      <c r="Y29" s="1978">
        <f>SUM('4.a. sz. mell.'!D31+'4. b.sz. mell.'!D30+'4.c. sz. mell.'!F30)</f>
        <v>0</v>
      </c>
      <c r="Z29" s="1978"/>
      <c r="AA29" s="1885">
        <f>SUM('4.a. sz. mell.'!F31+'4. b.sz. mell.'!F30+'4.c. sz. mell.'!G30)</f>
        <v>0</v>
      </c>
      <c r="AB29" s="1990"/>
      <c r="AC29" s="1994">
        <f>SUM('4.a. sz. mell.'!H31+'4. b.sz. mell.'!H30+'4.c. sz. mell.'!J30)</f>
        <v>0</v>
      </c>
      <c r="AD29" s="1994"/>
      <c r="AE29" s="1871">
        <f>SUM('4.a. sz. mell.'!J31+'4. b.sz. mell.'!J30+'4.c. sz. mell.'!L30)</f>
        <v>0</v>
      </c>
      <c r="AF29" s="2351">
        <f>SUM('4.a. sz. mell.'!K31+'4. b.sz. mell.'!K30+'4.c. sz. mell.'!M30)</f>
        <v>0</v>
      </c>
    </row>
    <row r="30" spans="1:32" s="145" customFormat="1" ht="15" customHeight="1" thickBot="1" x14ac:dyDescent="0.25">
      <c r="A30" s="142"/>
      <c r="B30" s="253" t="s">
        <v>39</v>
      </c>
      <c r="C30" s="812" t="s">
        <v>72</v>
      </c>
      <c r="D30" s="844"/>
      <c r="E30" s="2785"/>
      <c r="F30" s="500"/>
      <c r="G30" s="1355"/>
      <c r="H30" s="500"/>
      <c r="I30" s="1355"/>
      <c r="J30" s="500"/>
      <c r="K30" s="1355">
        <f t="shared" si="7"/>
        <v>0</v>
      </c>
      <c r="L30" s="500"/>
      <c r="M30" s="153"/>
      <c r="N30" s="286"/>
      <c r="O30" s="463"/>
      <c r="P30" s="1985">
        <f t="shared" si="8"/>
        <v>0</v>
      </c>
      <c r="Q30" s="1985"/>
      <c r="R30" s="1885">
        <f t="shared" si="3"/>
        <v>0</v>
      </c>
      <c r="S30" s="1990"/>
      <c r="T30" s="1994">
        <f t="shared" si="4"/>
        <v>0</v>
      </c>
      <c r="U30" s="1994"/>
      <c r="V30" s="1871">
        <f t="shared" si="5"/>
        <v>0</v>
      </c>
      <c r="W30" s="1998">
        <f t="shared" si="6"/>
        <v>0</v>
      </c>
      <c r="X30" s="141"/>
      <c r="Y30" s="1978">
        <f>SUM('4.a. sz. mell.'!D32+'4. b.sz. mell.'!D31+'4.c. sz. mell.'!F31)</f>
        <v>0</v>
      </c>
      <c r="Z30" s="1978"/>
      <c r="AA30" s="1885">
        <f>SUM('4.a. sz. mell.'!F32+'4. b.sz. mell.'!F31+'4.c. sz. mell.'!G31)</f>
        <v>0</v>
      </c>
      <c r="AB30" s="1990"/>
      <c r="AC30" s="1994">
        <f>SUM('4.a. sz. mell.'!H32+'4. b.sz. mell.'!H31+'4.c. sz. mell.'!J31)</f>
        <v>0</v>
      </c>
      <c r="AD30" s="1994"/>
      <c r="AE30" s="1871">
        <f>SUM('4.a. sz. mell.'!J32+'4. b.sz. mell.'!J31+'4.c. sz. mell.'!L31)</f>
        <v>0</v>
      </c>
      <c r="AF30" s="2351">
        <f>SUM('4.a. sz. mell.'!K32+'4. b.sz. mell.'!K31+'4.c. sz. mell.'!M31)</f>
        <v>0</v>
      </c>
    </row>
    <row r="31" spans="1:32" s="145" customFormat="1" ht="15" customHeight="1" thickBot="1" x14ac:dyDescent="0.25">
      <c r="A31" s="142"/>
      <c r="B31" s="253" t="s">
        <v>41</v>
      </c>
      <c r="C31" s="812" t="s">
        <v>74</v>
      </c>
      <c r="D31" s="844"/>
      <c r="E31" s="2785"/>
      <c r="F31" s="1322"/>
      <c r="G31" s="3080"/>
      <c r="H31" s="1322"/>
      <c r="I31" s="3080"/>
      <c r="J31" s="1322"/>
      <c r="K31" s="1355">
        <f t="shared" si="7"/>
        <v>0</v>
      </c>
      <c r="L31" s="1322"/>
      <c r="M31" s="294">
        <f>SUM('4.1 sz. mell'!M34+'4.2.sz. mell. '!M31+'4.3 sz. mell.'!M31+'4.4.sz. mell.'!M31)</f>
        <v>0</v>
      </c>
      <c r="N31" s="286"/>
      <c r="O31" s="463"/>
      <c r="P31" s="1985">
        <f t="shared" si="8"/>
        <v>0</v>
      </c>
      <c r="Q31" s="1985"/>
      <c r="R31" s="1885">
        <f t="shared" si="3"/>
        <v>0</v>
      </c>
      <c r="S31" s="1990"/>
      <c r="T31" s="1994">
        <f t="shared" si="4"/>
        <v>0</v>
      </c>
      <c r="U31" s="1994"/>
      <c r="V31" s="1871">
        <f t="shared" si="5"/>
        <v>0</v>
      </c>
      <c r="W31" s="1998">
        <f t="shared" si="6"/>
        <v>0</v>
      </c>
      <c r="X31" s="141"/>
      <c r="Y31" s="1978">
        <f>SUM('4.a. sz. mell.'!D33+'4. b.sz. mell.'!D32+'4.c. sz. mell.'!F32)</f>
        <v>0</v>
      </c>
      <c r="Z31" s="1978"/>
      <c r="AA31" s="1885">
        <f>SUM('4.a. sz. mell.'!F33+'4. b.sz. mell.'!F32+'4.c. sz. mell.'!G32)</f>
        <v>0</v>
      </c>
      <c r="AB31" s="1990"/>
      <c r="AC31" s="1994">
        <f>SUM('4.a. sz. mell.'!H33+'4. b.sz. mell.'!H32+'4.c. sz. mell.'!J32)</f>
        <v>0</v>
      </c>
      <c r="AD31" s="1994"/>
      <c r="AE31" s="1871">
        <f>SUM('4.a. sz. mell.'!J33+'4. b.sz. mell.'!J32+'4.c. sz. mell.'!L32)</f>
        <v>0</v>
      </c>
      <c r="AF31" s="2351">
        <f>SUM('4.a. sz. mell.'!K33+'4. b.sz. mell.'!K32+'4.c. sz. mell.'!M32)</f>
        <v>0</v>
      </c>
    </row>
    <row r="32" spans="1:32" s="145" customFormat="1" ht="30" customHeight="1" thickBot="1" x14ac:dyDescent="0.25">
      <c r="A32" s="134">
        <v>5</v>
      </c>
      <c r="B32" s="254"/>
      <c r="C32" s="815" t="s">
        <v>429</v>
      </c>
      <c r="D32" s="827" t="e">
        <f>SUM('4.1 sz. mell'!D34+#REF!+#REF!+#REF!+'4.2.sz. mell. '!D32+'4.3 sz. mell.'!D31+'4.4.sz. mell.'!D31)</f>
        <v>#REF!</v>
      </c>
      <c r="E32" s="2786" t="e">
        <f>SUM('4.1 sz. mell'!E34+#REF!+#REF!+#REF!+'4.2.sz. mell. '!E32+'4.3 sz. mell.'!E31+'4.4.sz. mell.'!E31)</f>
        <v>#REF!</v>
      </c>
      <c r="F32" s="2681">
        <f>SUM('4.1 sz. mell'!F34+'4.2.sz. mell. '!F32+'4.3 sz. mell.'!F31+'4.4.sz. mell.'!F31)</f>
        <v>0</v>
      </c>
      <c r="G32" s="3081"/>
      <c r="H32" s="2681">
        <f>SUM('4.1 sz. mell'!H34+'4.2.sz. mell. '!H32+'4.3 sz. mell.'!H31+'4.4.sz. mell.'!H31)</f>
        <v>0</v>
      </c>
      <c r="I32" s="3081"/>
      <c r="J32" s="2681">
        <f>SUM('4.1 sz. mell'!J34+'4.2.sz. mell. '!J32+'4.3 sz. mell.'!J31+'4.4.sz. mell.'!J31)</f>
        <v>0</v>
      </c>
      <c r="K32" s="3302">
        <f t="shared" si="7"/>
        <v>0</v>
      </c>
      <c r="L32" s="2681">
        <f>SUM('4.1 sz. mell'!L34+'4.2.sz. mell. '!L32+'4.3 sz. mell.'!L31+'4.4.sz. mell.'!L31)</f>
        <v>0</v>
      </c>
      <c r="M32" s="155">
        <f>SUM('4.1 sz. mell'!M35+'4.2.sz. mell. '!M32+'4.3 sz. mell.'!M31+'4.4.sz. mell.'!M31)</f>
        <v>0</v>
      </c>
      <c r="N32" s="286"/>
      <c r="O32" s="465"/>
      <c r="P32" s="1985">
        <f t="shared" si="8"/>
        <v>0</v>
      </c>
      <c r="Q32" s="1985"/>
      <c r="R32" s="1885">
        <f t="shared" si="3"/>
        <v>0</v>
      </c>
      <c r="S32" s="1990"/>
      <c r="T32" s="1994">
        <f t="shared" si="4"/>
        <v>0</v>
      </c>
      <c r="U32" s="1994"/>
      <c r="V32" s="1871">
        <f t="shared" si="5"/>
        <v>0</v>
      </c>
      <c r="W32" s="1998">
        <f t="shared" si="6"/>
        <v>0</v>
      </c>
      <c r="X32" s="141"/>
      <c r="Y32" s="1978">
        <f>SUM('4.a. sz. mell.'!D34+'4. b.sz. mell.'!D33+'4.c. sz. mell.'!F33)</f>
        <v>0</v>
      </c>
      <c r="Z32" s="1978"/>
      <c r="AA32" s="1885">
        <f>SUM('4.a. sz. mell.'!F34+'4. b.sz. mell.'!F33+'4.c. sz. mell.'!G33)</f>
        <v>0</v>
      </c>
      <c r="AB32" s="1990"/>
      <c r="AC32" s="1994">
        <f>SUM('4.a. sz. mell.'!H34+'4. b.sz. mell.'!H33+'4.c. sz. mell.'!J33)</f>
        <v>0</v>
      </c>
      <c r="AD32" s="1994"/>
      <c r="AE32" s="1871">
        <f>SUM('4.a. sz. mell.'!J34+'4. b.sz. mell.'!J33+'4.c. sz. mell.'!L33)</f>
        <v>0</v>
      </c>
      <c r="AF32" s="2351">
        <f>SUM('4.a. sz. mell.'!K34+'4. b.sz. mell.'!K33+'4.c. sz. mell.'!M33)</f>
        <v>0</v>
      </c>
    </row>
    <row r="33" spans="1:34" s="145" customFormat="1" ht="30.75" customHeight="1" thickBot="1" x14ac:dyDescent="0.25">
      <c r="A33" s="134"/>
      <c r="B33" s="255" t="s">
        <v>47</v>
      </c>
      <c r="C33" s="814" t="s">
        <v>430</v>
      </c>
      <c r="D33" s="827"/>
      <c r="E33" s="2786"/>
      <c r="F33" s="2681"/>
      <c r="G33" s="3081"/>
      <c r="H33" s="2681"/>
      <c r="I33" s="3081"/>
      <c r="J33" s="2681"/>
      <c r="K33" s="1355">
        <f t="shared" si="7"/>
        <v>0</v>
      </c>
      <c r="L33" s="2681"/>
      <c r="M33" s="155"/>
      <c r="N33" s="286"/>
      <c r="O33" s="465"/>
      <c r="P33" s="1985">
        <f t="shared" si="8"/>
        <v>0</v>
      </c>
      <c r="Q33" s="1985"/>
      <c r="R33" s="1885">
        <f t="shared" si="3"/>
        <v>0</v>
      </c>
      <c r="S33" s="1990"/>
      <c r="T33" s="1994">
        <f t="shared" si="4"/>
        <v>0</v>
      </c>
      <c r="U33" s="1994"/>
      <c r="V33" s="1871">
        <f t="shared" si="5"/>
        <v>0</v>
      </c>
      <c r="W33" s="1998">
        <f t="shared" si="6"/>
        <v>0</v>
      </c>
      <c r="X33" s="141"/>
      <c r="Y33" s="1978">
        <f>SUM('4.a. sz. mell.'!D35+'4. b.sz. mell.'!D34+'4.c. sz. mell.'!F34)</f>
        <v>0</v>
      </c>
      <c r="Z33" s="1978"/>
      <c r="AA33" s="1885">
        <f>SUM('4.a. sz. mell.'!F35+'4. b.sz. mell.'!F34+'4.c. sz. mell.'!G34)</f>
        <v>0</v>
      </c>
      <c r="AB33" s="1990"/>
      <c r="AC33" s="1994">
        <f>SUM('4.a. sz. mell.'!H35+'4. b.sz. mell.'!H34+'4.c. sz. mell.'!J34)</f>
        <v>0</v>
      </c>
      <c r="AD33" s="1994"/>
      <c r="AE33" s="1871">
        <f>SUM('4.a. sz. mell.'!J35+'4. b.sz. mell.'!J34+'4.c. sz. mell.'!L34)</f>
        <v>0</v>
      </c>
      <c r="AF33" s="2351">
        <f>SUM('4.a. sz. mell.'!K35+'4. b.sz. mell.'!K34+'4.c. sz. mell.'!M34)</f>
        <v>0</v>
      </c>
    </row>
    <row r="34" spans="1:34" s="145" customFormat="1" ht="15" customHeight="1" thickBot="1" x14ac:dyDescent="0.3">
      <c r="A34" s="134" t="s">
        <v>79</v>
      </c>
      <c r="B34" s="256"/>
      <c r="C34" s="810" t="s">
        <v>431</v>
      </c>
      <c r="D34" s="827"/>
      <c r="E34" s="2786"/>
      <c r="F34" s="2681">
        <f>SUM(F35)</f>
        <v>0</v>
      </c>
      <c r="G34" s="3081"/>
      <c r="H34" s="2681">
        <f>SUM(H35)</f>
        <v>0</v>
      </c>
      <c r="I34" s="3081"/>
      <c r="J34" s="2681">
        <f>SUM(J35)</f>
        <v>556836</v>
      </c>
      <c r="K34" s="3302">
        <f t="shared" si="7"/>
        <v>0</v>
      </c>
      <c r="L34" s="2681">
        <f>SUM(L35)</f>
        <v>556836</v>
      </c>
      <c r="M34" s="155">
        <f>SUM(M35)</f>
        <v>556836</v>
      </c>
      <c r="N34" s="286"/>
      <c r="O34" s="465"/>
      <c r="P34" s="1985">
        <f t="shared" si="8"/>
        <v>0</v>
      </c>
      <c r="Q34" s="1985"/>
      <c r="R34" s="1885">
        <f t="shared" si="3"/>
        <v>0</v>
      </c>
      <c r="S34" s="1990"/>
      <c r="T34" s="1994">
        <f t="shared" si="4"/>
        <v>0</v>
      </c>
      <c r="U34" s="1994"/>
      <c r="V34" s="1871">
        <f t="shared" si="5"/>
        <v>0</v>
      </c>
      <c r="W34" s="1998">
        <f t="shared" si="6"/>
        <v>0</v>
      </c>
      <c r="X34" s="141"/>
      <c r="Y34" s="1978">
        <f>SUM('4.a. sz. mell.'!D36+'4. b.sz. mell.'!D35+'4.c. sz. mell.'!F35)</f>
        <v>0</v>
      </c>
      <c r="Z34" s="1978"/>
      <c r="AA34" s="1885">
        <f>SUM('4.a. sz. mell.'!F36+'4. b.sz. mell.'!F35+'4.c. sz. mell.'!G35)</f>
        <v>0</v>
      </c>
      <c r="AB34" s="1990"/>
      <c r="AC34" s="1994">
        <f>SUM('4.a. sz. mell.'!H36+'4. b.sz. mell.'!H35+'4.c. sz. mell.'!J35)</f>
        <v>556836</v>
      </c>
      <c r="AD34" s="1994"/>
      <c r="AE34" s="1871">
        <f>SUM('4.a. sz. mell.'!J36+'4. b.sz. mell.'!J35+'4.c. sz. mell.'!L35)</f>
        <v>556836</v>
      </c>
      <c r="AF34" s="2351">
        <f>SUM('4.a. sz. mell.'!K36+'4. b.sz. mell.'!K35+'4.c. sz. mell.'!M35)</f>
        <v>556836</v>
      </c>
    </row>
    <row r="35" spans="1:34" s="141" customFormat="1" ht="30.75" customHeight="1" thickBot="1" x14ac:dyDescent="0.25">
      <c r="A35" s="134"/>
      <c r="B35" s="257" t="s">
        <v>69</v>
      </c>
      <c r="C35" s="812" t="s">
        <v>432</v>
      </c>
      <c r="D35" s="827" t="e">
        <f>SUM('4.1 sz. mell'!D38+#REF!+#REF!+#REF!+'4.2.sz. mell. '!D33+'4.3 sz. mell.'!D32+'4.4.sz. mell.'!D32)</f>
        <v>#REF!</v>
      </c>
      <c r="E35" s="2786" t="e">
        <f>SUM('4.1 sz. mell'!E38+#REF!+#REF!+#REF!+'4.2.sz. mell. '!E33+'4.3 sz. mell.'!E32+'4.4.sz. mell.'!E32)</f>
        <v>#REF!</v>
      </c>
      <c r="F35" s="3082">
        <f>SUM('4.1 sz. mell'!F38+'4.2.sz. mell. '!F33+'4.3 sz. mell.'!F32+'4.4.sz. mell.'!F32)</f>
        <v>0</v>
      </c>
      <c r="G35" s="1355">
        <f t="shared" ref="G35:G42" si="10">SUM(H35-F35)</f>
        <v>0</v>
      </c>
      <c r="H35" s="3082">
        <f>SUM('4.1 sz. mell'!H38+'4.2.sz. mell. '!H33+'4.3 sz. mell.'!H32+'4.4.sz. mell.'!H32)</f>
        <v>0</v>
      </c>
      <c r="I35" s="3081"/>
      <c r="J35" s="3082">
        <f>SUM('4.1 sz. mell'!J38+'4.2.sz. mell. '!J33+'4.3 sz. mell.'!J32+'4.4.sz. mell.'!J32)</f>
        <v>556836</v>
      </c>
      <c r="K35" s="1355">
        <f t="shared" si="7"/>
        <v>0</v>
      </c>
      <c r="L35" s="3082">
        <f>SUM('4.1 sz. mell'!L38+'4.2.sz. mell. '!L33+'4.3 sz. mell.'!L32+'4.4.sz. mell.'!L32)</f>
        <v>556836</v>
      </c>
      <c r="M35" s="3082">
        <f>SUM('4.1 sz. mell'!M38+'4.2.sz. mell. '!M33+'4.3 sz. mell.'!M32+'4.4.sz. mell.'!M32)</f>
        <v>556836</v>
      </c>
      <c r="N35" s="286"/>
      <c r="O35" s="465"/>
      <c r="P35" s="1985">
        <f t="shared" si="8"/>
        <v>0</v>
      </c>
      <c r="Q35" s="1985"/>
      <c r="R35" s="1885">
        <f t="shared" si="3"/>
        <v>0</v>
      </c>
      <c r="S35" s="1990"/>
      <c r="T35" s="1994">
        <f t="shared" si="4"/>
        <v>0</v>
      </c>
      <c r="U35" s="1994"/>
      <c r="V35" s="1871">
        <f t="shared" si="5"/>
        <v>0</v>
      </c>
      <c r="W35" s="1998">
        <f t="shared" si="6"/>
        <v>0</v>
      </c>
      <c r="Y35" s="1978">
        <f>SUM('4.a. sz. mell.'!D37+'4. b.sz. mell.'!D36+'4.c. sz. mell.'!F36)</f>
        <v>0</v>
      </c>
      <c r="Z35" s="1978"/>
      <c r="AA35" s="1885">
        <f>SUM('4.a. sz. mell.'!F37+'4. b.sz. mell.'!F36+'4.c. sz. mell.'!G36)</f>
        <v>0</v>
      </c>
      <c r="AB35" s="1990"/>
      <c r="AC35" s="1994">
        <f>SUM('4.a. sz. mell.'!H37+'4. b.sz. mell.'!H36+'4.c. sz. mell.'!J36)</f>
        <v>556836</v>
      </c>
      <c r="AD35" s="1994"/>
      <c r="AE35" s="1871">
        <f>SUM('4.a. sz. mell.'!J37+'4. b.sz. mell.'!J36+'4.c. sz. mell.'!L36)</f>
        <v>556836</v>
      </c>
      <c r="AF35" s="2351">
        <f>SUM('4.a. sz. mell.'!K37+'4. b.sz. mell.'!K36+'4.c. sz. mell.'!M36)</f>
        <v>556836</v>
      </c>
    </row>
    <row r="36" spans="1:34" s="141" customFormat="1" ht="15" customHeight="1" thickBot="1" x14ac:dyDescent="0.3">
      <c r="A36" s="134" t="s">
        <v>89</v>
      </c>
      <c r="B36" s="256"/>
      <c r="C36" s="815" t="s">
        <v>433</v>
      </c>
      <c r="D36" s="864" t="e">
        <f>+D37+D38</f>
        <v>#REF!</v>
      </c>
      <c r="E36" s="2787" t="e">
        <f>+E37+E38</f>
        <v>#REF!</v>
      </c>
      <c r="F36" s="3083">
        <f>+F37+F38+F39</f>
        <v>547202301</v>
      </c>
      <c r="G36" s="3074">
        <f t="shared" si="10"/>
        <v>61135997</v>
      </c>
      <c r="H36" s="3083">
        <f>+H37+H38+H39</f>
        <v>608338298</v>
      </c>
      <c r="I36" s="3074">
        <f t="shared" ref="I36:I42" si="11">SUM(J36-H36)</f>
        <v>-50871268</v>
      </c>
      <c r="J36" s="3083">
        <f>+J37+J38+J39</f>
        <v>557467030</v>
      </c>
      <c r="K36" s="3302">
        <f t="shared" si="7"/>
        <v>0</v>
      </c>
      <c r="L36" s="3083">
        <f>+L37+L38+L39</f>
        <v>557467030</v>
      </c>
      <c r="M36" s="2788">
        <f>+M37+M38+M39</f>
        <v>557467030</v>
      </c>
      <c r="N36" s="286">
        <f>SUM(M36/H36)*100</f>
        <v>91.637668026615017</v>
      </c>
      <c r="O36" s="286"/>
      <c r="P36" s="1985">
        <f t="shared" si="8"/>
        <v>0</v>
      </c>
      <c r="Q36" s="1985"/>
      <c r="R36" s="1885">
        <f t="shared" si="3"/>
        <v>0</v>
      </c>
      <c r="S36" s="1990"/>
      <c r="T36" s="1994">
        <f t="shared" si="4"/>
        <v>0</v>
      </c>
      <c r="U36" s="1994"/>
      <c r="V36" s="1871">
        <f t="shared" si="5"/>
        <v>0</v>
      </c>
      <c r="W36" s="1998">
        <f t="shared" si="6"/>
        <v>0</v>
      </c>
      <c r="Y36" s="1978">
        <f>SUM('4.a. sz. mell.'!D38+'4. b.sz. mell.'!D37+'4.c. sz. mell.'!F37)</f>
        <v>547202301</v>
      </c>
      <c r="Z36" s="1978"/>
      <c r="AA36" s="1885">
        <f>SUM('4.a. sz. mell.'!F38+'4. b.sz. mell.'!F37+'4.c. sz. mell.'!H37)</f>
        <v>608338298</v>
      </c>
      <c r="AB36" s="1990"/>
      <c r="AC36" s="1994">
        <f>SUM('4.a. sz. mell.'!H38+'4. b.sz. mell.'!H37+'4.c. sz. mell.'!J37)</f>
        <v>557467030</v>
      </c>
      <c r="AD36" s="1994"/>
      <c r="AE36" s="1871">
        <f>SUM('4.a. sz. mell.'!J38+'4. b.sz. mell.'!J37+'4.c. sz. mell.'!L37)</f>
        <v>557467030</v>
      </c>
      <c r="AF36" s="2351">
        <f>SUM('4.a. sz. mell.'!K38+'4. b.sz. mell.'!K37+'4.c. sz. mell.'!M37)</f>
        <v>557467030</v>
      </c>
    </row>
    <row r="37" spans="1:34" s="141" customFormat="1" ht="15" customHeight="1" x14ac:dyDescent="0.2">
      <c r="A37" s="149"/>
      <c r="B37" s="253" t="s">
        <v>81</v>
      </c>
      <c r="C37" s="812" t="s">
        <v>434</v>
      </c>
      <c r="D37" s="483" t="e">
        <f>SUM('4.1 sz. mell'!D40+#REF!+#REF!+#REF!+'4.2.sz. mell. '!D37+'4.3 sz. mell.'!D37+'4.4.sz. mell.'!D38)</f>
        <v>#REF!</v>
      </c>
      <c r="E37" s="2775" t="e">
        <f>SUM('4.1 sz. mell'!E40+#REF!+#REF!+#REF!+'4.2.sz. mell. '!E37+'4.3 sz. mell.'!E37+'4.4.sz. mell.'!E38)</f>
        <v>#REF!</v>
      </c>
      <c r="F37" s="500">
        <f>SUM('4.1 sz. mell'!F40+'4.2.sz. mell. '!F37+'4.3 sz. mell.'!F37+'4.4.sz. mell.'!F38)</f>
        <v>0</v>
      </c>
      <c r="G37" s="1355">
        <f t="shared" si="10"/>
        <v>4003410</v>
      </c>
      <c r="H37" s="500">
        <f>SUM('4.1 sz. mell'!H40+'4.2.sz. mell. '!H37+'4.3 sz. mell.'!H37+'4.4.sz. mell.'!H38)</f>
        <v>4003410</v>
      </c>
      <c r="I37" s="1355">
        <f t="shared" si="11"/>
        <v>0</v>
      </c>
      <c r="J37" s="500">
        <f>SUM('4.1 sz. mell'!J40+'4.2.sz. mell. '!J37+'4.3 sz. mell.'!J37+'4.4.sz. mell.'!J38)</f>
        <v>4003410</v>
      </c>
      <c r="K37" s="1355">
        <f t="shared" si="7"/>
        <v>0</v>
      </c>
      <c r="L37" s="500">
        <f>SUM('4.1 sz. mell'!L40+'4.2.sz. mell. '!L37+'4.3 sz. mell.'!L37+'4.4.sz. mell.'!L38)</f>
        <v>4003410</v>
      </c>
      <c r="M37" s="144">
        <f>SUM('4.1 sz. mell'!M40+'4.2.sz. mell. '!M37+'4.3 sz. mell.'!M37+'4.4.sz. mell.'!M38)</f>
        <v>4003410</v>
      </c>
      <c r="N37" s="286"/>
      <c r="O37" s="463"/>
      <c r="P37" s="1985">
        <f t="shared" si="8"/>
        <v>0</v>
      </c>
      <c r="Q37" s="1985"/>
      <c r="R37" s="1885">
        <f t="shared" si="3"/>
        <v>0</v>
      </c>
      <c r="S37" s="1990"/>
      <c r="T37" s="1994">
        <f t="shared" si="4"/>
        <v>0</v>
      </c>
      <c r="U37" s="1994"/>
      <c r="V37" s="1871">
        <f t="shared" si="5"/>
        <v>0</v>
      </c>
      <c r="W37" s="1998">
        <f t="shared" si="6"/>
        <v>0</v>
      </c>
      <c r="Y37" s="1978">
        <f>SUM('4.a. sz. mell.'!D39+'4. b.sz. mell.'!D38+'4.c. sz. mell.'!F38)</f>
        <v>0</v>
      </c>
      <c r="Z37" s="1978"/>
      <c r="AA37" s="1885">
        <f>SUM('4.a. sz. mell.'!F39+'4. b.sz. mell.'!F38+'4.c. sz. mell.'!G38)</f>
        <v>4003410</v>
      </c>
      <c r="AB37" s="1990"/>
      <c r="AC37" s="1994">
        <f>SUM('4.a. sz. mell.'!H39+'4. b.sz. mell.'!H38+'4.c. sz. mell.'!J38)</f>
        <v>4003410</v>
      </c>
      <c r="AD37" s="1994"/>
      <c r="AE37" s="1871">
        <f>SUM('4.a. sz. mell.'!J39+'4. b.sz. mell.'!J38+'4.c. sz. mell.'!L38)</f>
        <v>4003410</v>
      </c>
      <c r="AF37" s="2351">
        <f>SUM('4.a. sz. mell.'!K39+'4. b.sz. mell.'!K38+'4.c. sz. mell.'!M38)</f>
        <v>4003410</v>
      </c>
    </row>
    <row r="38" spans="1:34" s="141" customFormat="1" ht="15" customHeight="1" x14ac:dyDescent="0.2">
      <c r="A38" s="142"/>
      <c r="B38" s="253" t="s">
        <v>83</v>
      </c>
      <c r="C38" s="812" t="s">
        <v>435</v>
      </c>
      <c r="D38" s="825" t="e">
        <f>SUM('4.1 sz. mell'!D41+#REF!+#REF!+#REF!+'4.2.sz. mell. '!D38+'4.3 sz. mell.'!D38+'4.4.sz. mell.'!D39)</f>
        <v>#REF!</v>
      </c>
      <c r="E38" s="2777" t="e">
        <f>SUM('4.1 sz. mell'!E41+#REF!+#REF!+#REF!+'4.2.sz. mell. '!E38+'4.3 sz. mell.'!E38+'4.4.sz. mell.'!E39)</f>
        <v>#REF!</v>
      </c>
      <c r="F38" s="3075">
        <f>SUM('4.1 sz. mell'!F41+'4.2.sz. mell. '!F38+'4.3 sz. mell.'!F38+'4.4.sz. mell.'!F39)</f>
        <v>0</v>
      </c>
      <c r="G38" s="1355">
        <f t="shared" si="10"/>
        <v>0</v>
      </c>
      <c r="H38" s="3075">
        <f>SUM('4.1 sz. mell'!H41+'4.2.sz. mell. '!H38+'4.3 sz. mell.'!H38+'4.4.sz. mell.'!H39)</f>
        <v>0</v>
      </c>
      <c r="I38" s="1355">
        <f t="shared" si="11"/>
        <v>0</v>
      </c>
      <c r="J38" s="3075">
        <f>SUM('4.1 sz. mell'!J41+'4.2.sz. mell. '!J38+'4.3 sz. mell.'!J38+'4.4.sz. mell.'!J39)</f>
        <v>0</v>
      </c>
      <c r="K38" s="1355">
        <f t="shared" si="7"/>
        <v>0</v>
      </c>
      <c r="L38" s="3075">
        <f>SUM('4.1 sz. mell'!L41+'4.2.sz. mell. '!L38+'4.3 sz. mell.'!L38+'4.4.sz. mell.'!L39)</f>
        <v>0</v>
      </c>
      <c r="M38" s="153">
        <f>SUM('4.1 sz. mell'!M41+'4.2.sz. mell. '!M38+'4.3 sz. mell.'!M38+'4.4.sz. mell.'!M39)</f>
        <v>0</v>
      </c>
      <c r="N38" s="286"/>
      <c r="O38" s="463"/>
      <c r="P38" s="1985">
        <f t="shared" si="8"/>
        <v>0</v>
      </c>
      <c r="Q38" s="1985"/>
      <c r="R38" s="1885">
        <f t="shared" si="3"/>
        <v>0</v>
      </c>
      <c r="S38" s="1990"/>
      <c r="T38" s="1994">
        <f t="shared" si="4"/>
        <v>0</v>
      </c>
      <c r="U38" s="1994"/>
      <c r="V38" s="1871">
        <f t="shared" si="5"/>
        <v>0</v>
      </c>
      <c r="W38" s="1998">
        <f t="shared" si="6"/>
        <v>0</v>
      </c>
      <c r="Y38" s="1978">
        <f>SUM('4.a. sz. mell.'!D40+'4. b.sz. mell.'!D39+'4.c. sz. mell.'!F39)</f>
        <v>0</v>
      </c>
      <c r="Z38" s="1978"/>
      <c r="AA38" s="1885">
        <f>SUM('4.a. sz. mell.'!F40+'4. b.sz. mell.'!F39+'4.c. sz. mell.'!G39)</f>
        <v>0</v>
      </c>
      <c r="AB38" s="1990"/>
      <c r="AC38" s="1994">
        <f>SUM('4.a. sz. mell.'!H40+'4. b.sz. mell.'!H38+'4.c. sz. mell.'!J39)</f>
        <v>0</v>
      </c>
      <c r="AD38" s="1994"/>
      <c r="AE38" s="1871">
        <f>SUM('4.a. sz. mell.'!J40+'4. b.sz. mell.'!J38+'4.c. sz. mell.'!L39)</f>
        <v>0</v>
      </c>
      <c r="AF38" s="2351">
        <f>SUM('4.a. sz. mell.'!K40+'4. b.sz. mell.'!K38+'4.c. sz. mell.'!M39)</f>
        <v>0</v>
      </c>
    </row>
    <row r="39" spans="1:34" s="145" customFormat="1" ht="15" customHeight="1" thickBot="1" x14ac:dyDescent="0.25">
      <c r="A39" s="671"/>
      <c r="B39" s="253" t="s">
        <v>85</v>
      </c>
      <c r="C39" s="812" t="s">
        <v>818</v>
      </c>
      <c r="D39" s="825" t="e">
        <f>'4.1 sz. mell'!D42+#REF!+#REF!+#REF!+'4.2.sz. mell. '!D39+'4.3 sz. mell.'!D39+'4.4.sz. mell.'!D40+#REF!</f>
        <v>#REF!</v>
      </c>
      <c r="E39" s="2777" t="e">
        <f>'4.1 sz. mell'!E42+#REF!+#REF!+#REF!+'4.2.sz. mell. '!E39+'4.3 sz. mell.'!E39+'4.4.sz. mell.'!E40+#REF!</f>
        <v>#REF!</v>
      </c>
      <c r="F39" s="500">
        <f>'4.1 sz. mell'!F42+'4.2.sz. mell. '!F39+'4.3 sz. mell.'!F39+'4.4.sz. mell.'!F40+'.......'!F39</f>
        <v>547202301</v>
      </c>
      <c r="G39" s="1355">
        <f t="shared" si="10"/>
        <v>57132587</v>
      </c>
      <c r="H39" s="500">
        <f>'4.1 sz. mell'!H42+'4.2.sz. mell. '!H39+'4.3 sz. mell.'!H39+'4.4.sz. mell.'!H40+'.......'!H39</f>
        <v>604334888</v>
      </c>
      <c r="I39" s="1355">
        <f t="shared" si="11"/>
        <v>-50871268</v>
      </c>
      <c r="J39" s="500">
        <f>'4.1 sz. mell'!J42+'4.2.sz. mell. '!J39+'4.3 sz. mell.'!J39+'4.4.sz. mell.'!J40+'.......'!J39</f>
        <v>553463620</v>
      </c>
      <c r="K39" s="1355">
        <f t="shared" si="7"/>
        <v>0</v>
      </c>
      <c r="L39" s="500">
        <f>'4.1 sz. mell'!L42+'4.2.sz. mell. '!L39+'4.3 sz. mell.'!L39+'4.4.sz. mell.'!L40+'.......'!L39</f>
        <v>553463620</v>
      </c>
      <c r="M39" s="144">
        <f>'4.1 sz. mell'!M42+'4.2.sz. mell. '!M39+'4.3 sz. mell.'!M39+'4.4.sz. mell.'!M40+'.......'!M39</f>
        <v>553463620</v>
      </c>
      <c r="N39" s="286">
        <f>SUM(M39/H39)*100</f>
        <v>91.58227184792284</v>
      </c>
      <c r="O39" s="463">
        <v>0</v>
      </c>
      <c r="P39" s="1985">
        <f t="shared" si="8"/>
        <v>0</v>
      </c>
      <c r="Q39" s="1985"/>
      <c r="R39" s="1885">
        <f t="shared" ref="R39:R60" si="12">SUM(H39-AA39)</f>
        <v>0</v>
      </c>
      <c r="S39" s="1990"/>
      <c r="T39" s="1994">
        <f t="shared" si="4"/>
        <v>0</v>
      </c>
      <c r="U39" s="1994"/>
      <c r="V39" s="1871">
        <f t="shared" si="5"/>
        <v>0</v>
      </c>
      <c r="W39" s="1998">
        <f t="shared" ref="W39:W60" si="13">SUM(M39-AF39)</f>
        <v>0</v>
      </c>
      <c r="X39" s="259"/>
      <c r="Y39" s="1978">
        <f>SUM('4.a. sz. mell.'!D41+'4. b.sz. mell.'!D40+'4.c. sz. mell.'!F40)</f>
        <v>547202301</v>
      </c>
      <c r="Z39" s="1978"/>
      <c r="AA39" s="1885">
        <f>SUM('4.a. sz. mell.'!F41+'4. b.sz. mell.'!F40+'4.c. sz. mell.'!H40)</f>
        <v>604334888</v>
      </c>
      <c r="AB39" s="1990"/>
      <c r="AC39" s="1994">
        <f>SUM('4.a. sz. mell.'!H41+'4. b.sz. mell.'!H40+'4.c. sz. mell.'!J40)</f>
        <v>553463620</v>
      </c>
      <c r="AD39" s="1994"/>
      <c r="AE39" s="1871">
        <f>SUM('4.a. sz. mell.'!J41+'4. b.sz. mell.'!J40+'4.c. sz. mell.'!L40)</f>
        <v>553463620</v>
      </c>
      <c r="AF39" s="2351">
        <f>SUM('4.a. sz. mell.'!K41+'4. b.sz. mell.'!K40+'4.c. sz. mell.'!M40)</f>
        <v>553463620</v>
      </c>
      <c r="AH39" s="205">
        <f>SUM(F40:F41)</f>
        <v>547202301</v>
      </c>
    </row>
    <row r="40" spans="1:34" s="145" customFormat="1" ht="15" customHeight="1" x14ac:dyDescent="0.2">
      <c r="A40" s="671"/>
      <c r="B40" s="675" t="s">
        <v>437</v>
      </c>
      <c r="C40" s="869" t="s">
        <v>891</v>
      </c>
      <c r="D40" s="871"/>
      <c r="E40" s="2796"/>
      <c r="F40" s="3084">
        <f>'4.1 sz. mell'!F43+'4.2.sz. mell. '!F40+'4.3 sz. mell.'!F40+'4.4.sz. mell.'!F41+'.......'!F40</f>
        <v>0</v>
      </c>
      <c r="G40" s="1357">
        <f t="shared" si="10"/>
        <v>0</v>
      </c>
      <c r="H40" s="3084">
        <f>'4.1 sz. mell'!H43+'4.2.sz. mell. '!H40+'4.3 sz. mell.'!H40+'4.4.sz. mell.'!H41+'.......'!H40</f>
        <v>0</v>
      </c>
      <c r="I40" s="1357">
        <f t="shared" si="11"/>
        <v>0</v>
      </c>
      <c r="J40" s="3084">
        <f>'4.1 sz. mell'!J43+'4.2.sz. mell. '!J40+'4.3 sz. mell.'!J40+'4.4.sz. mell.'!J41+'.......'!J40</f>
        <v>0</v>
      </c>
      <c r="K40" s="1355">
        <f t="shared" si="7"/>
        <v>0</v>
      </c>
      <c r="L40" s="3084">
        <f>'4.1 sz. mell'!L43+'4.2.sz. mell. '!L40+'4.3 sz. mell.'!L40+'4.4.sz. mell.'!L41+'.......'!L40</f>
        <v>0</v>
      </c>
      <c r="M40" s="3084">
        <f>'4.1 sz. mell'!M43+'4.2.sz. mell. '!M40+'4.3 sz. mell.'!M40+'4.4.sz. mell.'!M41+'.......'!M40</f>
        <v>0</v>
      </c>
      <c r="N40" s="286"/>
      <c r="O40" s="466">
        <f>SUM(M40:M41)</f>
        <v>553463620</v>
      </c>
      <c r="P40" s="1985">
        <f t="shared" si="8"/>
        <v>0</v>
      </c>
      <c r="Q40" s="1985"/>
      <c r="R40" s="1885">
        <f t="shared" si="12"/>
        <v>0</v>
      </c>
      <c r="S40" s="1990"/>
      <c r="T40" s="1994">
        <f t="shared" si="4"/>
        <v>0</v>
      </c>
      <c r="U40" s="1994"/>
      <c r="V40" s="1871">
        <f t="shared" si="5"/>
        <v>0</v>
      </c>
      <c r="W40" s="1998">
        <f t="shared" si="13"/>
        <v>0</v>
      </c>
      <c r="X40" s="259"/>
      <c r="Y40" s="1978">
        <f>SUM('4.a. sz. mell.'!D42+'4. b.sz. mell.'!D41+'4.c. sz. mell.'!F41)</f>
        <v>0</v>
      </c>
      <c r="Z40" s="1978"/>
      <c r="AA40" s="1885">
        <f>SUM('4.a. sz. mell.'!F42+'4. b.sz. mell.'!F41+'4.c. sz. mell.'!G41)</f>
        <v>0</v>
      </c>
      <c r="AB40" s="1990"/>
      <c r="AC40" s="1994">
        <f>SUM('4.a. sz. mell.'!H42+'4. b.sz. mell.'!H41+'4.c. sz. mell.'!J41)</f>
        <v>0</v>
      </c>
      <c r="AD40" s="1994"/>
      <c r="AE40" s="1871">
        <f>SUM('4.a. sz. mell.'!J42+'4. b.sz. mell.'!J41+'4.c. sz. mell.'!L41)</f>
        <v>0</v>
      </c>
      <c r="AF40" s="2351">
        <f>SUM('4.a. sz. mell.'!K42+'4. b.sz. mell.'!K41+'4.c. sz. mell.'!M41)</f>
        <v>0</v>
      </c>
      <c r="AH40" s="205"/>
    </row>
    <row r="41" spans="1:34" s="145" customFormat="1" ht="15" customHeight="1" thickBot="1" x14ac:dyDescent="0.25">
      <c r="A41" s="672"/>
      <c r="B41" s="263" t="s">
        <v>439</v>
      </c>
      <c r="C41" s="851" t="s">
        <v>532</v>
      </c>
      <c r="D41" s="804"/>
      <c r="E41" s="2778"/>
      <c r="F41" s="3085">
        <f>SUM('4.1 sz. mell'!F44+'4.2.sz. mell. '!F41+'4.3 sz. mell.'!F41+'4.4.sz. mell.'!F42)+'.......'!F41</f>
        <v>547202301</v>
      </c>
      <c r="G41" s="3086">
        <f t="shared" si="10"/>
        <v>57132587</v>
      </c>
      <c r="H41" s="3085">
        <f>SUM('4.1 sz. mell'!H44+'4.2.sz. mell. '!H41+'4.3 sz. mell.'!H41+'4.4.sz. mell.'!H42)+'.......'!H41</f>
        <v>604334888</v>
      </c>
      <c r="I41" s="3086">
        <f t="shared" si="11"/>
        <v>-50871268</v>
      </c>
      <c r="J41" s="3085">
        <f>SUM('4.1 sz. mell'!J44+'4.2.sz. mell. '!J41+'4.3 sz. mell.'!J41+'4.4.sz. mell.'!J42)+'.......'!J41</f>
        <v>553463620</v>
      </c>
      <c r="K41" s="1355">
        <f t="shared" si="7"/>
        <v>0</v>
      </c>
      <c r="L41" s="3085">
        <f>SUM('4.1 sz. mell'!L44+'4.2.sz. mell. '!L41+'4.3 sz. mell.'!L41+'4.4.sz. mell.'!L42)+'.......'!L41</f>
        <v>553463620</v>
      </c>
      <c r="M41" s="3085">
        <f>SUM('4.1 sz. mell'!M44+'4.2.sz. mell. '!M41+'4.3 sz. mell.'!M41+'4.4.sz. mell.'!M42)+'.......'!M41</f>
        <v>553463620</v>
      </c>
      <c r="N41" s="286">
        <f>SUM(M41/H41)*100</f>
        <v>91.58227184792284</v>
      </c>
      <c r="O41" s="466">
        <f>SUM(O39-O40)</f>
        <v>-553463620</v>
      </c>
      <c r="P41" s="1985">
        <f t="shared" si="8"/>
        <v>0</v>
      </c>
      <c r="Q41" s="1985"/>
      <c r="R41" s="1885">
        <f>SUM(H41-AA41)</f>
        <v>0</v>
      </c>
      <c r="S41" s="1990"/>
      <c r="T41" s="1994">
        <f t="shared" si="4"/>
        <v>0</v>
      </c>
      <c r="U41" s="1994"/>
      <c r="V41" s="1871">
        <f t="shared" si="5"/>
        <v>0</v>
      </c>
      <c r="W41" s="1998">
        <f t="shared" si="13"/>
        <v>0</v>
      </c>
      <c r="X41" s="259"/>
      <c r="Y41" s="1978">
        <f>SUM('4.a. sz. mell.'!D43+'4. b.sz. mell.'!D42+'4.c. sz. mell.'!F42)</f>
        <v>547202301</v>
      </c>
      <c r="Z41" s="1978"/>
      <c r="AA41" s="1885">
        <f>SUM('4.a. sz. mell.'!F43+'4. b.sz. mell.'!F42+'4.c. sz. mell.'!H42)</f>
        <v>604334888</v>
      </c>
      <c r="AB41" s="1990"/>
      <c r="AC41" s="1994">
        <f>SUM('4.a. sz. mell.'!H43+'4. b.sz. mell.'!H40+'4.c. sz. mell.'!J42)</f>
        <v>553463620</v>
      </c>
      <c r="AD41" s="1994"/>
      <c r="AE41" s="1871">
        <f>SUM('4.a. sz. mell.'!J43+'4. b.sz. mell.'!J40+'4.c. sz. mell.'!L42)</f>
        <v>553463620</v>
      </c>
      <c r="AF41" s="2351">
        <f>SUM('4.a. sz. mell.'!K43+'4. b.sz. mell.'!K40+'4.c. sz. mell.'!M42)</f>
        <v>553463620</v>
      </c>
    </row>
    <row r="42" spans="1:34" s="145" customFormat="1" ht="18" customHeight="1" thickBot="1" x14ac:dyDescent="0.3">
      <c r="A42" s="192" t="s">
        <v>99</v>
      </c>
      <c r="B42" s="265"/>
      <c r="C42" s="861" t="s">
        <v>441</v>
      </c>
      <c r="D42" s="545" t="e">
        <f>SUM(D6,D18,D28,D32,D35,D36,D39)</f>
        <v>#REF!</v>
      </c>
      <c r="E42" s="764" t="e">
        <f>SUM(E6,E18,E28,E32,E35,E36,E39)</f>
        <v>#REF!</v>
      </c>
      <c r="F42" s="3087">
        <f>SUM(F36+F34+F32+F28+F26+F18+F6)+F17</f>
        <v>558702301</v>
      </c>
      <c r="G42" s="3088">
        <f t="shared" si="10"/>
        <v>68649533</v>
      </c>
      <c r="H42" s="3087">
        <f>SUM(H36+H34+H32+H28+H26+H18+H6)+H17</f>
        <v>627351834</v>
      </c>
      <c r="I42" s="3088">
        <f t="shared" si="11"/>
        <v>-40935683</v>
      </c>
      <c r="J42" s="3087">
        <f>SUM(J36+J34+J32+J28+J26+J18+J6)+J17</f>
        <v>586416151</v>
      </c>
      <c r="K42" s="3301">
        <f t="shared" si="7"/>
        <v>0</v>
      </c>
      <c r="L42" s="3087">
        <f>SUM(L36+L34+L32+L28+L26+L18+L6)+L17</f>
        <v>586416151</v>
      </c>
      <c r="M42" s="162">
        <f>SUM(M36+M34+M32+M28+M26+M18+M6)+M17</f>
        <v>586416151</v>
      </c>
      <c r="N42" s="286">
        <f>SUM(M42/H42)*100</f>
        <v>93.474844452275889</v>
      </c>
      <c r="O42" s="195"/>
      <c r="P42" s="1985">
        <f t="shared" si="8"/>
        <v>0</v>
      </c>
      <c r="Q42" s="1985"/>
      <c r="R42" s="1885">
        <f>SUM(H42-AA42)</f>
        <v>0</v>
      </c>
      <c r="S42" s="1990"/>
      <c r="T42" s="1994">
        <f t="shared" si="4"/>
        <v>0</v>
      </c>
      <c r="U42" s="1994"/>
      <c r="V42" s="1871">
        <f t="shared" si="5"/>
        <v>0</v>
      </c>
      <c r="W42" s="1998">
        <f t="shared" si="13"/>
        <v>0</v>
      </c>
      <c r="Y42" s="1978">
        <f>SUM('4.a. sz. mell.'!D44+'4. b.sz. mell.'!D42+'4.c. sz. mell.'!F43)</f>
        <v>558702301</v>
      </c>
      <c r="Z42" s="1978"/>
      <c r="AA42" s="1885">
        <f>SUM('4.a. sz. mell.'!F44+'4. b.sz. mell.'!F42+'4.c. sz. mell.'!H43)</f>
        <v>627351834</v>
      </c>
      <c r="AB42" s="1990"/>
      <c r="AC42" s="1994">
        <f>SUM('4.a. sz. mell.'!H44+'4. b.sz. mell.'!H42+'4.c. sz. mell.'!J43)</f>
        <v>586416151</v>
      </c>
      <c r="AD42" s="1994"/>
      <c r="AE42" s="1871">
        <f>SUM('4.a. sz. mell.'!J44+'4. b.sz. mell.'!J42+'4.c. sz. mell.'!L43)</f>
        <v>586416151</v>
      </c>
      <c r="AF42" s="2351">
        <f>SUM('4.a. sz. mell.'!K44+'4. b.sz. mell.'!K42+'4.c. sz. mell.'!M43)</f>
        <v>586416151</v>
      </c>
      <c r="AG42" s="248"/>
    </row>
    <row r="43" spans="1:34" s="145" customFormat="1" ht="15" customHeight="1" thickBot="1" x14ac:dyDescent="0.25">
      <c r="A43" s="2098"/>
      <c r="B43" s="163"/>
      <c r="C43" s="164"/>
      <c r="D43" s="857"/>
      <c r="E43" s="868"/>
      <c r="F43" s="3089"/>
      <c r="G43" s="3090"/>
      <c r="H43" s="3091"/>
      <c r="I43" s="3090"/>
      <c r="J43" s="3091"/>
      <c r="K43" s="3091"/>
      <c r="L43" s="3090"/>
      <c r="M43" s="3092"/>
      <c r="N43" s="286"/>
      <c r="O43" s="165"/>
      <c r="P43" s="1985">
        <f t="shared" ref="P43:P60" si="14">SUM(F43-Y43)</f>
        <v>0</v>
      </c>
      <c r="Q43" s="1985"/>
      <c r="R43" s="1885">
        <f t="shared" si="12"/>
        <v>0</v>
      </c>
      <c r="S43" s="1990"/>
      <c r="T43" s="1994">
        <f t="shared" si="4"/>
        <v>0</v>
      </c>
      <c r="U43" s="1994"/>
      <c r="V43" s="1871">
        <f t="shared" si="5"/>
        <v>0</v>
      </c>
      <c r="W43" s="1998">
        <f t="shared" si="13"/>
        <v>0</v>
      </c>
      <c r="Y43" s="1978">
        <f>SUM('4.a. sz. mell.'!D45+'4. b.sz. mell.'!D44+'4.c. sz. mell.'!F44)</f>
        <v>0</v>
      </c>
      <c r="Z43" s="1978"/>
      <c r="AA43" s="1885">
        <f>SUM('4.a. sz. mell.'!F45+'4. b.sz. mell.'!F44+'4.c. sz. mell.'!G44)</f>
        <v>0</v>
      </c>
      <c r="AB43" s="1990"/>
      <c r="AC43" s="1994">
        <f>SUM('4.a. sz. mell.'!H45+'4. b.sz. mell.'!H43+'4.c. sz. mell.'!J44)</f>
        <v>0</v>
      </c>
      <c r="AD43" s="1994"/>
      <c r="AE43" s="1871">
        <f>SUM('4.a. sz. mell.'!J45+'4. b.sz. mell.'!J43+'4.c. sz. mell.'!L44)</f>
        <v>0</v>
      </c>
      <c r="AF43" s="2351">
        <f>SUM('4.a. sz. mell.'!K45+'4. b.sz. mell.'!K43+'4.c. sz. mell.'!M44)</f>
        <v>0</v>
      </c>
    </row>
    <row r="44" spans="1:34" s="129" customFormat="1" ht="21" customHeight="1" thickBot="1" x14ac:dyDescent="0.25">
      <c r="A44" s="244"/>
      <c r="B44" s="245"/>
      <c r="C44" s="245" t="s">
        <v>231</v>
      </c>
      <c r="D44" s="858"/>
      <c r="E44" s="2773"/>
      <c r="F44" s="3093"/>
      <c r="G44" s="3094"/>
      <c r="H44" s="3093"/>
      <c r="I44" s="3094"/>
      <c r="J44" s="3093"/>
      <c r="K44" s="3093"/>
      <c r="L44" s="3093"/>
      <c r="M44" s="2779"/>
      <c r="N44" s="286"/>
      <c r="O44" s="462"/>
      <c r="P44" s="1985">
        <f t="shared" si="14"/>
        <v>0</v>
      </c>
      <c r="Q44" s="1985"/>
      <c r="R44" s="1885">
        <f t="shared" si="12"/>
        <v>0</v>
      </c>
      <c r="S44" s="1990"/>
      <c r="T44" s="1994">
        <f t="shared" si="4"/>
        <v>0</v>
      </c>
      <c r="U44" s="1994"/>
      <c r="V44" s="1871">
        <f t="shared" si="5"/>
        <v>0</v>
      </c>
      <c r="W44" s="1998">
        <f t="shared" si="13"/>
        <v>0</v>
      </c>
      <c r="Y44" s="1978">
        <f>SUM('4.a. sz. mell.'!D46+'4. b.sz. mell.'!D45+'4.c. sz. mell.'!F45)</f>
        <v>0</v>
      </c>
      <c r="Z44" s="1978"/>
      <c r="AA44" s="1885">
        <f>SUM('4.a. sz. mell.'!F46+'4. b.sz. mell.'!F45+'4.c. sz. mell.'!G45)</f>
        <v>0</v>
      </c>
      <c r="AB44" s="1990"/>
      <c r="AC44" s="1994">
        <f>SUM('4.a. sz. mell.'!H46+'4. b.sz. mell.'!H44+'4.c. sz. mell.'!J45)</f>
        <v>0</v>
      </c>
      <c r="AD44" s="1994"/>
      <c r="AE44" s="1871">
        <f>SUM('4.a. sz. mell.'!J46+'4. b.sz. mell.'!J44+'4.c. sz. mell.'!L45)</f>
        <v>0</v>
      </c>
      <c r="AF44" s="2351">
        <f>SUM('4.a. sz. mell.'!K46+'4. b.sz. mell.'!K44+'4.c. sz. mell.'!M45)</f>
        <v>0</v>
      </c>
    </row>
    <row r="45" spans="1:34" s="172" customFormat="1" ht="15" customHeight="1" thickBot="1" x14ac:dyDescent="0.25">
      <c r="A45" s="134" t="s">
        <v>3</v>
      </c>
      <c r="B45" s="170"/>
      <c r="C45" s="817" t="s">
        <v>442</v>
      </c>
      <c r="D45" s="823" t="e">
        <f>SUM(D46:D50)</f>
        <v>#REF!</v>
      </c>
      <c r="E45" s="2774" t="e">
        <f>SUM(E46:E50)</f>
        <v>#REF!</v>
      </c>
      <c r="F45" s="63">
        <f>SUM(F46:F50)</f>
        <v>551717301</v>
      </c>
      <c r="G45" s="3095">
        <f t="shared" ref="G45:G60" si="15">SUM(H45-F45)</f>
        <v>60758153</v>
      </c>
      <c r="H45" s="63">
        <f>SUM(H46:H50)</f>
        <v>612475454</v>
      </c>
      <c r="I45" s="3095">
        <f t="shared" ref="I45:I60" si="16">SUM(J45-H45)</f>
        <v>-39173642</v>
      </c>
      <c r="J45" s="105">
        <f>SUM(J46:J50)</f>
        <v>573301812</v>
      </c>
      <c r="K45" s="1355">
        <f t="shared" si="7"/>
        <v>0</v>
      </c>
      <c r="L45" s="105">
        <f>SUM(L46:L50)</f>
        <v>573301812</v>
      </c>
      <c r="M45" s="64">
        <f>SUM(M46:M50)</f>
        <v>569612671</v>
      </c>
      <c r="N45" s="286">
        <f>SUM(M45/H45)*100</f>
        <v>93.001714155225557</v>
      </c>
      <c r="O45" s="165"/>
      <c r="P45" s="1985">
        <f t="shared" si="14"/>
        <v>0</v>
      </c>
      <c r="Q45" s="1985"/>
      <c r="R45" s="1885">
        <f t="shared" si="12"/>
        <v>0</v>
      </c>
      <c r="S45" s="1990"/>
      <c r="T45" s="1994">
        <f t="shared" si="4"/>
        <v>0</v>
      </c>
      <c r="U45" s="1994"/>
      <c r="V45" s="1871">
        <f t="shared" si="5"/>
        <v>0</v>
      </c>
      <c r="W45" s="1998">
        <f t="shared" si="13"/>
        <v>0</v>
      </c>
      <c r="Y45" s="1978">
        <f>SUM('4.a. sz. mell.'!D47+'4. b.sz. mell.'!D46+'4.c. sz. mell.'!F46)</f>
        <v>551717301</v>
      </c>
      <c r="Z45" s="1978"/>
      <c r="AA45" s="1885">
        <f>SUM('4.a. sz. mell.'!F47+'4. b.sz. mell.'!F46+'4.c. sz. mell.'!H46)</f>
        <v>612475454</v>
      </c>
      <c r="AB45" s="1990"/>
      <c r="AC45" s="1994">
        <f>SUM('4.a. sz. mell.'!H47+'4. b.sz. mell.'!H45+'4.c. sz. mell.'!J46)</f>
        <v>573301812</v>
      </c>
      <c r="AD45" s="1994"/>
      <c r="AE45" s="1871">
        <f>SUM('4.a. sz. mell.'!J47+'4. b.sz. mell.'!J45+'4.c. sz. mell.'!L46)</f>
        <v>573301812</v>
      </c>
      <c r="AF45" s="2351">
        <f>SUM('4.a. sz. mell.'!K47+'4. b.sz. mell.'!K45+'4.c. sz. mell.'!M46)</f>
        <v>569612671</v>
      </c>
    </row>
    <row r="46" spans="1:34" ht="15" customHeight="1" x14ac:dyDescent="0.2">
      <c r="A46" s="173"/>
      <c r="B46" s="174" t="s">
        <v>152</v>
      </c>
      <c r="C46" s="814" t="s">
        <v>153</v>
      </c>
      <c r="D46" s="483" t="e">
        <f>SUM('4.1 sz. mell'!D50+#REF!+#REF!+#REF!+'4.2.sz. mell. '!D47+'4.3 sz. mell.'!D46+'4.4.sz. mell.'!D47+#REF!)</f>
        <v>#REF!</v>
      </c>
      <c r="E46" s="2775" t="e">
        <f>SUM('4.1 sz. mell'!E50+#REF!+#REF!+#REF!+'4.2.sz. mell. '!E47+'4.3 sz. mell.'!E46+'4.4.sz. mell.'!E47+#REF!)</f>
        <v>#REF!</v>
      </c>
      <c r="F46" s="500">
        <f>SUM('4.1 sz. mell'!F50+'4.2.sz. mell. '!F47+'4.3 sz. mell.'!F46+'4.4.sz. mell.'!F47+'.......'!F47)</f>
        <v>374003885</v>
      </c>
      <c r="G46" s="1355">
        <f t="shared" si="15"/>
        <v>46842545</v>
      </c>
      <c r="H46" s="500">
        <f>SUM('4.1 sz. mell'!H50+'4.2.sz. mell. '!H47+'4.3 sz. mell.'!H46+'4.4.sz. mell.'!H47+'.......'!H47)</f>
        <v>420846430</v>
      </c>
      <c r="I46" s="1355">
        <f t="shared" si="16"/>
        <v>-5528702</v>
      </c>
      <c r="J46" s="500">
        <f>SUM('4.1 sz. mell'!J50+'4.2.sz. mell. '!J47+'4.3 sz. mell.'!J46+'4.4.sz. mell.'!J47+'.......'!J47)</f>
        <v>415317728</v>
      </c>
      <c r="K46" s="1355">
        <f t="shared" si="7"/>
        <v>0</v>
      </c>
      <c r="L46" s="500">
        <f>SUM('4.1 sz. mell'!L50+'4.2.sz. mell. '!L47+'4.3 sz. mell.'!L46+'4.4.sz. mell.'!L47+'.......'!L47)</f>
        <v>415317728</v>
      </c>
      <c r="M46" s="144">
        <f>SUM('4.1 sz. mell'!M50+'4.2.sz. mell. '!M47+'4.3 sz. mell.'!M46+'4.4.sz. mell.'!M47+'.......'!M47)</f>
        <v>415317728</v>
      </c>
      <c r="N46" s="286">
        <f>SUM(M46/H46)*100</f>
        <v>98.686289913401424</v>
      </c>
      <c r="O46" s="463"/>
      <c r="P46" s="1985">
        <f t="shared" si="14"/>
        <v>0</v>
      </c>
      <c r="Q46" s="1985"/>
      <c r="R46" s="1885">
        <f t="shared" si="12"/>
        <v>0</v>
      </c>
      <c r="S46" s="1990"/>
      <c r="T46" s="1994">
        <f t="shared" si="4"/>
        <v>0</v>
      </c>
      <c r="U46" s="1994"/>
      <c r="V46" s="1871">
        <f t="shared" si="5"/>
        <v>0</v>
      </c>
      <c r="W46" s="1998">
        <f t="shared" si="13"/>
        <v>0</v>
      </c>
      <c r="Y46" s="1978">
        <f>SUM('4.a. sz. mell.'!D48+'4. b.sz. mell.'!D47+'4.c. sz. mell.'!F47)</f>
        <v>374003885</v>
      </c>
      <c r="Z46" s="1978"/>
      <c r="AA46" s="1885">
        <f>SUM('4.a. sz. mell.'!F48+'4. b.sz. mell.'!F47+'4.c. sz. mell.'!H47)</f>
        <v>420846430</v>
      </c>
      <c r="AB46" s="1990"/>
      <c r="AC46" s="1994">
        <f>SUM('4.a. sz. mell.'!H48+'4. b.sz. mell.'!H46+'4.c. sz. mell.'!J47)</f>
        <v>415317728</v>
      </c>
      <c r="AD46" s="1994">
        <f>SUM('4.a. sz. mell.'!I48+'4. b.sz. mell.'!I46+'4.c. sz. mell.'!K47)</f>
        <v>0</v>
      </c>
      <c r="AE46" s="1994">
        <f>SUM('4.a. sz. mell.'!J48+'4. b.sz. mell.'!J46+'4.c. sz. mell.'!L47)</f>
        <v>415317728</v>
      </c>
      <c r="AF46" s="2351">
        <f>SUM('4.a. sz. mell.'!K48+'4. b.sz. mell.'!K46+'4.c. sz. mell.'!M47)</f>
        <v>415317728</v>
      </c>
    </row>
    <row r="47" spans="1:34" ht="15" customHeight="1" x14ac:dyDescent="0.2">
      <c r="A47" s="142"/>
      <c r="B47" s="176" t="s">
        <v>154</v>
      </c>
      <c r="C47" s="812" t="s">
        <v>155</v>
      </c>
      <c r="D47" s="483" t="e">
        <f>SUM('4.1 sz. mell'!D51+#REF!+#REF!+#REF!+'4.2.sz. mell. '!D48+'4.3 sz. mell.'!D47+'4.4.sz. mell.'!D48+#REF!)</f>
        <v>#REF!</v>
      </c>
      <c r="E47" s="2775" t="e">
        <f>SUM('4.1 sz. mell'!E51+#REF!+#REF!+#REF!+'4.2.sz. mell. '!E48+'4.3 sz. mell.'!E47+'4.4.sz. mell.'!E48+#REF!)</f>
        <v>#REF!</v>
      </c>
      <c r="F47" s="500">
        <f>SUM('4.1 sz. mell'!F51+'4.2.sz. mell. '!F48+'4.3 sz. mell.'!F47+'4.4.sz. mell.'!F48+'.......'!F48)</f>
        <v>79386436</v>
      </c>
      <c r="G47" s="1355">
        <f t="shared" si="15"/>
        <v>9964885</v>
      </c>
      <c r="H47" s="500">
        <f>SUM('4.1 sz. mell'!H51+'4.2.sz. mell. '!H48+'4.3 sz. mell.'!H47+'4.4.sz. mell.'!H48+'.......'!H48)</f>
        <v>89351321</v>
      </c>
      <c r="I47" s="1355">
        <f t="shared" si="16"/>
        <v>-10701296</v>
      </c>
      <c r="J47" s="500">
        <f>SUM('4.1 sz. mell'!J51+'4.2.sz. mell. '!J48+'4.3 sz. mell.'!J47+'4.4.sz. mell.'!J48+'.......'!J48)</f>
        <v>78650025</v>
      </c>
      <c r="K47" s="1355">
        <f t="shared" si="7"/>
        <v>0</v>
      </c>
      <c r="L47" s="500">
        <f>SUM('4.1 sz. mell'!L51+'4.2.sz. mell. '!L48+'4.3 sz. mell.'!L47+'4.4.sz. mell.'!L48+'.......'!L48)</f>
        <v>78650025</v>
      </c>
      <c r="M47" s="144">
        <f>SUM('4.1 sz. mell'!M51+'4.2.sz. mell. '!M48+'4.3 sz. mell.'!M47+'4.4.sz. mell.'!M48+'.......'!M48)</f>
        <v>78650025</v>
      </c>
      <c r="N47" s="286">
        <f>SUM(M47/H47)*100</f>
        <v>88.023348865765499</v>
      </c>
      <c r="O47" s="463"/>
      <c r="P47" s="1985">
        <f t="shared" si="14"/>
        <v>0</v>
      </c>
      <c r="Q47" s="1985"/>
      <c r="R47" s="1885">
        <f t="shared" si="12"/>
        <v>0</v>
      </c>
      <c r="S47" s="1990"/>
      <c r="T47" s="1994">
        <f t="shared" si="4"/>
        <v>0</v>
      </c>
      <c r="U47" s="1994"/>
      <c r="V47" s="1871">
        <f t="shared" si="5"/>
        <v>0</v>
      </c>
      <c r="W47" s="1998">
        <f t="shared" si="13"/>
        <v>0</v>
      </c>
      <c r="Y47" s="1978">
        <f>SUM('4.a. sz. mell.'!D49+'4. b.sz. mell.'!D48+'4.c. sz. mell.'!F48)</f>
        <v>79386436</v>
      </c>
      <c r="Z47" s="1978"/>
      <c r="AA47" s="1885">
        <f>SUM('4.a. sz. mell.'!F49+'4. b.sz. mell.'!F48+'4.c. sz. mell.'!H48)</f>
        <v>89351321</v>
      </c>
      <c r="AB47" s="1990"/>
      <c r="AC47" s="1994">
        <f>SUM('4.a. sz. mell.'!H49+'4. b.sz. mell.'!H47+'4.c. sz. mell.'!J48)</f>
        <v>78650025</v>
      </c>
      <c r="AD47" s="1994"/>
      <c r="AE47" s="1871">
        <f>SUM('4.a. sz. mell.'!J49+'4. b.sz. mell.'!J47+'4.c. sz. mell.'!L48)</f>
        <v>78650025</v>
      </c>
      <c r="AF47" s="2351">
        <f>SUM('4.a. sz. mell.'!K49+'4. b.sz. mell.'!K47+'4.c. sz. mell.'!M48)</f>
        <v>78650025</v>
      </c>
    </row>
    <row r="48" spans="1:34" ht="15" customHeight="1" x14ac:dyDescent="0.2">
      <c r="A48" s="142"/>
      <c r="B48" s="176" t="s">
        <v>156</v>
      </c>
      <c r="C48" s="812" t="s">
        <v>157</v>
      </c>
      <c r="D48" s="483" t="e">
        <f>SUM('4.1 sz. mell'!D52+#REF!+#REF!+#REF!+'4.2.sz. mell. '!D49+'4.3 sz. mell.'!D48+'4.4.sz. mell.'!D49+#REF!)</f>
        <v>#REF!</v>
      </c>
      <c r="E48" s="2775" t="e">
        <f>SUM('4.1 sz. mell'!E52+#REF!+#REF!+#REF!+'4.2.sz. mell. '!E49+'4.3 sz. mell.'!E48+'4.4.sz. mell.'!E49+#REF!)</f>
        <v>#REF!</v>
      </c>
      <c r="F48" s="500">
        <f>SUM('4.1 sz. mell'!F52+'4.2.sz. mell. '!F49+'4.3 sz. mell.'!F48+'4.4.sz. mell.'!F49+'.......'!F49)</f>
        <v>98326980</v>
      </c>
      <c r="G48" s="1355">
        <f t="shared" si="15"/>
        <v>3950723</v>
      </c>
      <c r="H48" s="500">
        <f>SUM('4.1 sz. mell'!H52+'4.2.sz. mell. '!H49+'4.3 sz. mell.'!H48+'4.4.sz. mell.'!H49+'.......'!H49)</f>
        <v>102277703</v>
      </c>
      <c r="I48" s="1355">
        <f t="shared" si="16"/>
        <v>-22943644</v>
      </c>
      <c r="J48" s="500">
        <f>SUM('4.1 sz. mell'!J52+'4.2.sz. mell. '!J49+'4.3 sz. mell.'!J48+'4.4.sz. mell.'!J49+'.......'!J49)</f>
        <v>79334059</v>
      </c>
      <c r="K48" s="1355">
        <f t="shared" si="7"/>
        <v>0</v>
      </c>
      <c r="L48" s="500">
        <f>SUM('4.1 sz. mell'!L52+'4.2.sz. mell. '!L49+'4.3 sz. mell.'!L48+'4.4.sz. mell.'!L49+'.......'!L49)</f>
        <v>79334059</v>
      </c>
      <c r="M48" s="144">
        <f>SUM('4.1 sz. mell'!M52+'4.2.sz. mell. '!M49+'4.3 sz. mell.'!M48+'4.4.sz. mell.'!M49+'.......'!M49)</f>
        <v>75644918</v>
      </c>
      <c r="N48" s="286">
        <f>SUM(M48/H48)*100</f>
        <v>73.960321537530021</v>
      </c>
      <c r="O48" s="463"/>
      <c r="P48" s="1985">
        <f t="shared" si="14"/>
        <v>0</v>
      </c>
      <c r="Q48" s="1985"/>
      <c r="R48" s="1885">
        <f t="shared" si="12"/>
        <v>0</v>
      </c>
      <c r="S48" s="1990"/>
      <c r="T48" s="1994">
        <f t="shared" si="4"/>
        <v>0</v>
      </c>
      <c r="U48" s="1994"/>
      <c r="V48" s="1871">
        <f t="shared" si="5"/>
        <v>0</v>
      </c>
      <c r="W48" s="1998">
        <f t="shared" si="13"/>
        <v>0</v>
      </c>
      <c r="Y48" s="1978">
        <f>SUM('4.a. sz. mell.'!D50+'4. b.sz. mell.'!D49+'4.c. sz. mell.'!F49)</f>
        <v>98326980</v>
      </c>
      <c r="Z48" s="1978"/>
      <c r="AA48" s="1885">
        <f>SUM('4.a. sz. mell.'!F50+'4. b.sz. mell.'!F49+'4.c. sz. mell.'!H49)</f>
        <v>102277703</v>
      </c>
      <c r="AB48" s="1990"/>
      <c r="AC48" s="1994">
        <f>SUM('4.a. sz. mell.'!H50+'4. b.sz. mell.'!H48+'4.c. sz. mell.'!J49)</f>
        <v>79334059</v>
      </c>
      <c r="AD48" s="1994"/>
      <c r="AE48" s="1871">
        <f>SUM('4.a. sz. mell.'!J50+'4. b.sz. mell.'!J48+'4.c. sz. mell.'!L49)</f>
        <v>79334059</v>
      </c>
      <c r="AF48" s="2351">
        <f>SUM('4.a. sz. mell.'!K50+'4. b.sz. mell.'!K48+'4.c. sz. mell.'!M49)</f>
        <v>75644918</v>
      </c>
    </row>
    <row r="49" spans="1:32" ht="15" customHeight="1" x14ac:dyDescent="0.2">
      <c r="A49" s="142"/>
      <c r="B49" s="176" t="s">
        <v>158</v>
      </c>
      <c r="C49" s="812" t="s">
        <v>159</v>
      </c>
      <c r="D49" s="483" t="e">
        <f>SUM('4.1 sz. mell'!D53+#REF!+#REF!+#REF!+'4.2.sz. mell. '!D50+'4.3 sz. mell.'!D49+'4.4.sz. mell.'!D50+#REF!)</f>
        <v>#REF!</v>
      </c>
      <c r="E49" s="2775" t="e">
        <f>SUM('4.1 sz. mell'!E53+#REF!+#REF!+#REF!+'4.2.sz. mell. '!E50+'4.3 sz. mell.'!E49+'4.4.sz. mell.'!E50+#REF!)</f>
        <v>#REF!</v>
      </c>
      <c r="F49" s="500">
        <f>SUM('4.1 sz. mell'!F53+'4.2.sz. mell. '!F50+'4.3 sz. mell.'!F49+'4.4.sz. mell.'!F50)</f>
        <v>0</v>
      </c>
      <c r="G49" s="1355">
        <f t="shared" si="15"/>
        <v>0</v>
      </c>
      <c r="H49" s="500">
        <f>SUM('4.1 sz. mell'!H53+'4.2.sz. mell. '!H50+'4.3 sz. mell.'!H49+'4.4.sz. mell.'!H50+'.......'!H50)</f>
        <v>0</v>
      </c>
      <c r="I49" s="1355">
        <f t="shared" si="16"/>
        <v>0</v>
      </c>
      <c r="J49" s="500">
        <f>SUM('4.1 sz. mell'!J53+'4.2.sz. mell. '!J50+'4.3 sz. mell.'!J49+'4.4.sz. mell.'!J50+'.......'!J50)</f>
        <v>0</v>
      </c>
      <c r="K49" s="1355">
        <f t="shared" si="7"/>
        <v>0</v>
      </c>
      <c r="L49" s="500">
        <f>SUM('4.1 sz. mell'!L53+'4.2.sz. mell. '!L50+'4.3 sz. mell.'!L49+'4.4.sz. mell.'!L50+'.......'!L50)</f>
        <v>0</v>
      </c>
      <c r="M49" s="144">
        <f>SUM('4.1 sz. mell'!M53+'4.2.sz. mell. '!M50+'4.3 sz. mell.'!M49+'4.4.sz. mell.'!M50+'.......'!M50)</f>
        <v>0</v>
      </c>
      <c r="N49" s="286" t="e">
        <f>SUM(M49/H49)*100</f>
        <v>#DIV/0!</v>
      </c>
      <c r="O49" s="463"/>
      <c r="P49" s="1985">
        <f t="shared" si="14"/>
        <v>0</v>
      </c>
      <c r="Q49" s="1985"/>
      <c r="R49" s="1885">
        <f t="shared" si="12"/>
        <v>0</v>
      </c>
      <c r="S49" s="1990"/>
      <c r="T49" s="1994">
        <f t="shared" si="4"/>
        <v>0</v>
      </c>
      <c r="U49" s="1994"/>
      <c r="V49" s="1871">
        <f t="shared" si="5"/>
        <v>0</v>
      </c>
      <c r="W49" s="1998">
        <f t="shared" si="13"/>
        <v>0</v>
      </c>
      <c r="Y49" s="1978">
        <f>SUM('4.a. sz. mell.'!D51+'4. b.sz. mell.'!D50+'4.c. sz. mell.'!F50)</f>
        <v>0</v>
      </c>
      <c r="Z49" s="1978"/>
      <c r="AA49" s="1885">
        <f>SUM('4.a. sz. mell.'!F51+'4. b.sz. mell.'!F50+'4.c. sz. mell.'!H50)</f>
        <v>0</v>
      </c>
      <c r="AB49" s="1990"/>
      <c r="AC49" s="1994">
        <f>SUM('4.a. sz. mell.'!H51+'4. b.sz. mell.'!H49+'4.c. sz. mell.'!J50)</f>
        <v>0</v>
      </c>
      <c r="AD49" s="1994"/>
      <c r="AE49" s="1871">
        <f>SUM('4.a. sz. mell.'!J51+'4. b.sz. mell.'!J49+'4.c. sz. mell.'!L50)</f>
        <v>0</v>
      </c>
      <c r="AF49" s="2351">
        <f>SUM('4.a. sz. mell.'!K51+'4. b.sz. mell.'!K49+'4.c. sz. mell.'!M50)</f>
        <v>0</v>
      </c>
    </row>
    <row r="50" spans="1:32" ht="15" customHeight="1" thickBot="1" x14ac:dyDescent="0.25">
      <c r="A50" s="142"/>
      <c r="B50" s="176" t="s">
        <v>160</v>
      </c>
      <c r="C50" s="812" t="s">
        <v>161</v>
      </c>
      <c r="D50" s="483" t="e">
        <f>SUM('4.1 sz. mell'!D54+#REF!+#REF!+#REF!+'4.2.sz. mell. '!D51+'4.3 sz. mell.'!D50+'4.4.sz. mell.'!D51+#REF!)</f>
        <v>#REF!</v>
      </c>
      <c r="E50" s="2775" t="e">
        <f>SUM('4.1 sz. mell'!E54+#REF!+#REF!+#REF!+'4.2.sz. mell. '!E51+'4.3 sz. mell.'!E50+'4.4.sz. mell.'!E51+#REF!)</f>
        <v>#REF!</v>
      </c>
      <c r="F50" s="500">
        <f>SUM('4.1 sz. mell'!F54+'4.2.sz. mell. '!F51+'4.3 sz. mell.'!F50+'4.4.sz. mell.'!F51)</f>
        <v>0</v>
      </c>
      <c r="G50" s="1355">
        <f t="shared" si="15"/>
        <v>0</v>
      </c>
      <c r="H50" s="500">
        <f>SUM('4.1 sz. mell'!H54+'4.2.sz. mell. '!H51+'4.3 sz. mell.'!H50+'4.4.sz. mell.'!H51+'.......'!H51)</f>
        <v>0</v>
      </c>
      <c r="I50" s="1355">
        <f t="shared" si="16"/>
        <v>0</v>
      </c>
      <c r="J50" s="500">
        <f>SUM('4.1 sz. mell'!J54+'4.2.sz. mell. '!J51+'4.3 sz. mell.'!J50+'4.4.sz. mell.'!J51+'.......'!J51)</f>
        <v>0</v>
      </c>
      <c r="K50" s="1355">
        <f t="shared" si="7"/>
        <v>0</v>
      </c>
      <c r="L50" s="500">
        <f>SUM('4.1 sz. mell'!L54+'4.2.sz. mell. '!L51+'4.3 sz. mell.'!L50+'4.4.sz. mell.'!L51+'.......'!L51)</f>
        <v>0</v>
      </c>
      <c r="M50" s="144">
        <f>SUM('4.1 sz. mell'!M54+'4.2.sz. mell. '!M51+'4.3 sz. mell.'!M50+'4.4.sz. mell.'!M51+'.......'!M51)</f>
        <v>0</v>
      </c>
      <c r="N50" s="286"/>
      <c r="O50" s="463"/>
      <c r="P50" s="1985">
        <f t="shared" si="14"/>
        <v>0</v>
      </c>
      <c r="Q50" s="1985"/>
      <c r="R50" s="1885">
        <f t="shared" si="12"/>
        <v>0</v>
      </c>
      <c r="S50" s="1990"/>
      <c r="T50" s="1994">
        <f t="shared" si="4"/>
        <v>0</v>
      </c>
      <c r="U50" s="1994"/>
      <c r="V50" s="1871">
        <f t="shared" si="5"/>
        <v>0</v>
      </c>
      <c r="W50" s="1998">
        <f t="shared" si="13"/>
        <v>0</v>
      </c>
      <c r="Y50" s="1978">
        <f>SUM('4.a. sz. mell.'!D52+'4. b.sz. mell.'!D51+'4.c. sz. mell.'!F51)</f>
        <v>0</v>
      </c>
      <c r="Z50" s="1978"/>
      <c r="AA50" s="1885">
        <f>SUM('4.a. sz. mell.'!F52+'4. b.sz. mell.'!F51+'4.c. sz. mell.'!G51)</f>
        <v>0</v>
      </c>
      <c r="AB50" s="1990"/>
      <c r="AC50" s="1994">
        <f>SUM('4.a. sz. mell.'!H52+'4. b.sz. mell.'!H50+'4.c. sz. mell.'!J51)</f>
        <v>0</v>
      </c>
      <c r="AD50" s="1994"/>
      <c r="AE50" s="1871">
        <f>SUM('4.a. sz. mell.'!J52+'4. b.sz. mell.'!J50+'4.c. sz. mell.'!L51)</f>
        <v>0</v>
      </c>
      <c r="AF50" s="2351">
        <f>SUM('4.a. sz. mell.'!K52+'4. b.sz. mell.'!K50+'4.c. sz. mell.'!M51)</f>
        <v>0</v>
      </c>
    </row>
    <row r="51" spans="1:32" ht="12.75" hidden="1" customHeight="1" x14ac:dyDescent="0.2">
      <c r="A51" s="142"/>
      <c r="B51" s="143"/>
      <c r="C51" s="812"/>
      <c r="D51" s="483"/>
      <c r="E51" s="2775"/>
      <c r="F51" s="500"/>
      <c r="G51" s="1355">
        <f t="shared" si="15"/>
        <v>0</v>
      </c>
      <c r="H51" s="500"/>
      <c r="I51" s="1355">
        <f t="shared" si="16"/>
        <v>0</v>
      </c>
      <c r="J51" s="500"/>
      <c r="K51" s="1355">
        <f t="shared" si="7"/>
        <v>0</v>
      </c>
      <c r="L51" s="500"/>
      <c r="M51" s="144"/>
      <c r="N51" s="286" t="e">
        <f>SUM(M51/H51)*100</f>
        <v>#DIV/0!</v>
      </c>
      <c r="O51" s="463"/>
      <c r="P51" s="1985">
        <f t="shared" si="14"/>
        <v>0</v>
      </c>
      <c r="Q51" s="1985"/>
      <c r="R51" s="1885">
        <f t="shared" si="12"/>
        <v>0</v>
      </c>
      <c r="S51" s="1990"/>
      <c r="T51" s="1994">
        <f t="shared" si="4"/>
        <v>0</v>
      </c>
      <c r="U51" s="1994"/>
      <c r="V51" s="1871">
        <f t="shared" si="5"/>
        <v>0</v>
      </c>
      <c r="W51" s="1998">
        <f t="shared" si="13"/>
        <v>0</v>
      </c>
      <c r="Y51" s="1978">
        <f>SUM('4.a. sz. mell.'!D53+'4. b.sz. mell.'!D52+'4.c. sz. mell.'!F52)</f>
        <v>0</v>
      </c>
      <c r="Z51" s="1978"/>
      <c r="AA51" s="1885">
        <f>SUM('4.a. sz. mell.'!F53+'4. b.sz. mell.'!F52+'4.c. sz. mell.'!G52)</f>
        <v>0</v>
      </c>
      <c r="AB51" s="1990"/>
      <c r="AC51" s="1994">
        <f>SUM('4.a. sz. mell.'!H53+'4. b.sz. mell.'!H52+'4.c. sz. mell.'!J52)</f>
        <v>0</v>
      </c>
      <c r="AD51" s="1994"/>
      <c r="AE51" s="1871">
        <f>SUM('4.a. sz. mell.'!J53+'4. b.sz. mell.'!J52+'4.c. sz. mell.'!L52)</f>
        <v>0</v>
      </c>
      <c r="AF51" s="2351">
        <f>SUM('4.a. sz. mell.'!K53+'4. b.sz. mell.'!K52+'4.c. sz. mell.'!M52)</f>
        <v>0</v>
      </c>
    </row>
    <row r="52" spans="1:32" ht="12.75" hidden="1" customHeight="1" x14ac:dyDescent="0.2">
      <c r="A52" s="142"/>
      <c r="B52" s="143"/>
      <c r="C52" s="812"/>
      <c r="D52" s="483"/>
      <c r="E52" s="2775"/>
      <c r="F52" s="500"/>
      <c r="G52" s="1355">
        <f t="shared" si="15"/>
        <v>0</v>
      </c>
      <c r="H52" s="500"/>
      <c r="I52" s="1355">
        <f t="shared" si="16"/>
        <v>0</v>
      </c>
      <c r="J52" s="500"/>
      <c r="K52" s="1355">
        <f t="shared" si="7"/>
        <v>0</v>
      </c>
      <c r="L52" s="500"/>
      <c r="M52" s="144"/>
      <c r="N52" s="286" t="e">
        <f>SUM(M52/H52)*100</f>
        <v>#DIV/0!</v>
      </c>
      <c r="O52" s="463"/>
      <c r="P52" s="1985">
        <f t="shared" si="14"/>
        <v>-6985000</v>
      </c>
      <c r="Q52" s="1985"/>
      <c r="R52" s="1885">
        <f t="shared" si="12"/>
        <v>-14876380</v>
      </c>
      <c r="S52" s="1990"/>
      <c r="T52" s="1994">
        <f t="shared" si="4"/>
        <v>-13114339</v>
      </c>
      <c r="U52" s="1994"/>
      <c r="V52" s="1871">
        <f t="shared" si="5"/>
        <v>-13114339</v>
      </c>
      <c r="W52" s="1998">
        <f t="shared" si="13"/>
        <v>-12346760</v>
      </c>
      <c r="Y52" s="1978">
        <f>SUM('4.a. sz. mell.'!D54+'4. b.sz. mell.'!D53+'4.c. sz. mell.'!F53)</f>
        <v>6985000</v>
      </c>
      <c r="Z52" s="1978"/>
      <c r="AA52" s="1885">
        <f>SUM('4.a. sz. mell.'!F54+'4. b.sz. mell.'!F53+'4.c. sz. mell.'!G53)</f>
        <v>14876380</v>
      </c>
      <c r="AB52" s="1990"/>
      <c r="AC52" s="1994">
        <f>SUM('4.a. sz. mell.'!H54+'4. b.sz. mell.'!H53+'4.c. sz. mell.'!J53)</f>
        <v>13114339</v>
      </c>
      <c r="AD52" s="1994"/>
      <c r="AE52" s="1871">
        <f>SUM('4.a. sz. mell.'!J54+'4. b.sz. mell.'!J53+'4.c. sz. mell.'!L53)</f>
        <v>13114339</v>
      </c>
      <c r="AF52" s="2351">
        <f>SUM('4.a. sz. mell.'!K54+'4. b.sz. mell.'!K53+'4.c. sz. mell.'!M53)</f>
        <v>12346760</v>
      </c>
    </row>
    <row r="53" spans="1:32" ht="18.75" customHeight="1" thickBot="1" x14ac:dyDescent="0.25">
      <c r="A53" s="134" t="s">
        <v>17</v>
      </c>
      <c r="B53" s="170"/>
      <c r="C53" s="817" t="s">
        <v>443</v>
      </c>
      <c r="D53" s="865" t="e">
        <f>SUM(D54:D57)</f>
        <v>#REF!</v>
      </c>
      <c r="E53" s="2776" t="e">
        <f>SUM(E54:E57)</f>
        <v>#REF!</v>
      </c>
      <c r="F53" s="3096">
        <f>SUM(F54:F57)</f>
        <v>6985000</v>
      </c>
      <c r="G53" s="3097">
        <f t="shared" si="15"/>
        <v>7891380</v>
      </c>
      <c r="H53" s="3096">
        <f>SUM(H54:H57)</f>
        <v>14876380</v>
      </c>
      <c r="I53" s="3097">
        <f t="shared" si="16"/>
        <v>-1762041</v>
      </c>
      <c r="J53" s="3098">
        <f>SUM(J54:J57)</f>
        <v>13114339</v>
      </c>
      <c r="K53" s="3302">
        <f t="shared" si="7"/>
        <v>0</v>
      </c>
      <c r="L53" s="3098">
        <f>SUM(L54:L57)</f>
        <v>13114339</v>
      </c>
      <c r="M53" s="2798">
        <f>SUM(M54:M57)</f>
        <v>12346760</v>
      </c>
      <c r="N53" s="286">
        <f>SUM(M53/H53)*100</f>
        <v>82.995728799613886</v>
      </c>
      <c r="O53" s="467"/>
      <c r="P53" s="1985">
        <f t="shared" si="14"/>
        <v>0</v>
      </c>
      <c r="Q53" s="1985"/>
      <c r="R53" s="1885">
        <f t="shared" si="12"/>
        <v>0</v>
      </c>
      <c r="S53" s="1990"/>
      <c r="T53" s="1994">
        <f t="shared" si="4"/>
        <v>0</v>
      </c>
      <c r="U53" s="1994"/>
      <c r="V53" s="1871">
        <f t="shared" si="5"/>
        <v>0</v>
      </c>
      <c r="W53" s="1998">
        <f t="shared" si="13"/>
        <v>0</v>
      </c>
      <c r="Y53" s="1978">
        <f>SUM('4. b.sz. mell.'!D53)</f>
        <v>6985000</v>
      </c>
      <c r="Z53" s="1978"/>
      <c r="AA53" s="1885">
        <f>SUM('4.a. sz. mell.'!F55+'4. b.sz. mell.'!F54+'4.c. sz. mell.'!H54)</f>
        <v>14876380</v>
      </c>
      <c r="AB53" s="1990"/>
      <c r="AC53" s="1994">
        <f>SUM('4.a. sz. mell.'!H55+'4. b.sz. mell.'!H53+'4.c. sz. mell.'!J54)</f>
        <v>13114339</v>
      </c>
      <c r="AD53" s="1994"/>
      <c r="AE53" s="1871">
        <f>SUM('4.a. sz. mell.'!J55+'4. b.sz. mell.'!J53+'4.c. sz. mell.'!L54)</f>
        <v>13114339</v>
      </c>
      <c r="AF53" s="2351">
        <f>SUM('4.a. sz. mell.'!K55+'4. b.sz. mell.'!K53+'4.c. sz. mell.'!M54)</f>
        <v>12346760</v>
      </c>
    </row>
    <row r="54" spans="1:32" s="172" customFormat="1" ht="15" customHeight="1" x14ac:dyDescent="0.2">
      <c r="A54" s="173"/>
      <c r="B54" s="267" t="s">
        <v>5</v>
      </c>
      <c r="C54" s="814" t="s">
        <v>183</v>
      </c>
      <c r="D54" s="483">
        <f>SUM('6.2.sz.mell.'!H122)</f>
        <v>6985000</v>
      </c>
      <c r="E54" s="2775">
        <f>'4.1 sz. mell'!E56</f>
        <v>17440</v>
      </c>
      <c r="F54" s="500">
        <f>'4.1 sz. mell'!F56+'4.3 sz. mell.'!F52+'4.2.sz. mell. '!F53+'4.4.sz. mell.'!F53</f>
        <v>6985000</v>
      </c>
      <c r="G54" s="1355">
        <f t="shared" si="15"/>
        <v>7891380</v>
      </c>
      <c r="H54" s="500">
        <f>'4.1 sz. mell'!H56+'4.3 sz. mell.'!H52+'4.2.sz. mell. '!H53+'4.4.sz. mell.'!H53</f>
        <v>14876380</v>
      </c>
      <c r="I54" s="1355">
        <f t="shared" si="16"/>
        <v>-1762041</v>
      </c>
      <c r="J54" s="500">
        <f>'4.1 sz. mell'!J56+'4.3 sz. mell.'!J52+'4.2.sz. mell. '!J53+'4.4.sz. mell.'!J53</f>
        <v>13114339</v>
      </c>
      <c r="K54" s="1355">
        <f t="shared" si="7"/>
        <v>0</v>
      </c>
      <c r="L54" s="500">
        <f>'4.1 sz. mell'!L56+'4.3 sz. mell.'!L52+'4.2.sz. mell. '!L53+'4.4.sz. mell.'!L53</f>
        <v>13114339</v>
      </c>
      <c r="M54" s="144">
        <f>'4.1 sz. mell'!M56+'4.3 sz. mell.'!M52+'4.2.sz. mell. '!M53+'4.4.sz. mell.'!M53</f>
        <v>12346760</v>
      </c>
      <c r="N54" s="286">
        <f>SUM(M54/H54)*100</f>
        <v>82.995728799613886</v>
      </c>
      <c r="O54" s="463"/>
      <c r="P54" s="1985">
        <f t="shared" si="14"/>
        <v>0</v>
      </c>
      <c r="Q54" s="1985"/>
      <c r="R54" s="1885">
        <f t="shared" si="12"/>
        <v>0</v>
      </c>
      <c r="S54" s="1990"/>
      <c r="T54" s="1994">
        <f t="shared" si="4"/>
        <v>0</v>
      </c>
      <c r="U54" s="1994"/>
      <c r="V54" s="1871">
        <f t="shared" si="5"/>
        <v>0</v>
      </c>
      <c r="W54" s="1998">
        <f t="shared" si="13"/>
        <v>0</v>
      </c>
      <c r="Y54" s="1978">
        <f>SUM('4. b.sz. mell.'!D54)</f>
        <v>6985000</v>
      </c>
      <c r="Z54" s="1978"/>
      <c r="AA54" s="1885">
        <f>SUM('4.a. sz. mell.'!F56+'4. b.sz. mell.'!F54+'4.c. sz. mell.'!H55)</f>
        <v>14876380</v>
      </c>
      <c r="AB54" s="1990"/>
      <c r="AC54" s="1994">
        <f>SUM('4.a. sz. mell.'!H56+'4. b.sz. mell.'!H54+'4.c. sz. mell.'!J55)</f>
        <v>13114339</v>
      </c>
      <c r="AD54" s="1994"/>
      <c r="AE54" s="1871">
        <f>SUM('4.a. sz. mell.'!J56+'4. b.sz. mell.'!J54+'4.c. sz. mell.'!L55)</f>
        <v>13114339</v>
      </c>
      <c r="AF54" s="2351">
        <f>SUM('4.a. sz. mell.'!K56+'4. b.sz. mell.'!K54+'4.c. sz. mell.'!M55)</f>
        <v>12346760</v>
      </c>
    </row>
    <row r="55" spans="1:32" ht="15" customHeight="1" x14ac:dyDescent="0.2">
      <c r="A55" s="142"/>
      <c r="B55" s="253" t="s">
        <v>7</v>
      </c>
      <c r="C55" s="812" t="s">
        <v>185</v>
      </c>
      <c r="D55" s="483"/>
      <c r="E55" s="2775"/>
      <c r="F55" s="500"/>
      <c r="G55" s="1355">
        <f t="shared" si="15"/>
        <v>0</v>
      </c>
      <c r="H55" s="500">
        <f>'4.1 sz. mell'!H57+'4.3 sz. mell.'!H53+'4.2.sz. mell. '!H54+'4.4.sz. mell.'!H54</f>
        <v>0</v>
      </c>
      <c r="I55" s="1355">
        <f t="shared" si="16"/>
        <v>0</v>
      </c>
      <c r="J55" s="500">
        <f>'4.1 sz. mell'!J57+'4.3 sz. mell.'!J53+'4.2.sz. mell. '!J54+'4.4.sz. mell.'!J54</f>
        <v>0</v>
      </c>
      <c r="K55" s="1355">
        <f t="shared" si="7"/>
        <v>0</v>
      </c>
      <c r="L55" s="500">
        <f>'4.1 sz. mell'!L57+'4.3 sz. mell.'!L53+'4.2.sz. mell. '!L54+'4.4.sz. mell.'!L54</f>
        <v>0</v>
      </c>
      <c r="M55" s="144">
        <f>'4.1 sz. mell'!M57+'4.3 sz. mell.'!M53+'4.2.sz. mell. '!M54+'4.4.sz. mell.'!M54</f>
        <v>0</v>
      </c>
      <c r="N55" s="286"/>
      <c r="O55" s="463"/>
      <c r="P55" s="1985">
        <f t="shared" si="14"/>
        <v>0</v>
      </c>
      <c r="Q55" s="1985"/>
      <c r="R55" s="1885">
        <f t="shared" si="12"/>
        <v>0</v>
      </c>
      <c r="S55" s="1990"/>
      <c r="T55" s="1994">
        <f t="shared" si="4"/>
        <v>0</v>
      </c>
      <c r="U55" s="1994"/>
      <c r="V55" s="1871">
        <f t="shared" si="5"/>
        <v>0</v>
      </c>
      <c r="W55" s="1998">
        <f t="shared" si="13"/>
        <v>0</v>
      </c>
      <c r="Y55" s="1978">
        <f>SUM('4.a. sz. mell.'!D57+'4. b.sz. mell.'!D56+'4.c. sz. mell.'!F56)</f>
        <v>0</v>
      </c>
      <c r="Z55" s="1978"/>
      <c r="AA55" s="1885">
        <f>SUM('4.a. sz. mell.'!F57+'4. b.sz. mell.'!F55+'4.c. sz. mell.'!H56)</f>
        <v>0</v>
      </c>
      <c r="AB55" s="1990"/>
      <c r="AC55" s="1994">
        <f>SUM('4.a. sz. mell.'!H57+'4. b.sz. mell.'!H55+'4.c. sz. mell.'!J56)</f>
        <v>0</v>
      </c>
      <c r="AD55" s="1994"/>
      <c r="AE55" s="1871">
        <f>SUM('4.a. sz. mell.'!J57+'4. b.sz. mell.'!J55+'4.c. sz. mell.'!L56)</f>
        <v>0</v>
      </c>
      <c r="AF55" s="2351">
        <f>SUM('4.a. sz. mell.'!K57+'4. b.sz. mell.'!K55+'4.c. sz. mell.'!M56)</f>
        <v>0</v>
      </c>
    </row>
    <row r="56" spans="1:32" ht="18.75" customHeight="1" thickBot="1" x14ac:dyDescent="0.25">
      <c r="A56" s="142"/>
      <c r="B56" s="253" t="s">
        <v>9</v>
      </c>
      <c r="C56" s="812" t="s">
        <v>444</v>
      </c>
      <c r="D56" s="483" t="e">
        <f>SUM('4.1 sz. mell'!D58+#REF!+#REF!+#REF!+'4.2.sz. mell. '!D55+'4.3 sz. mell.'!D54+'4.4.sz. mell.'!D55)</f>
        <v>#REF!</v>
      </c>
      <c r="E56" s="2775" t="e">
        <f>SUM('4.1 sz. mell'!E58+#REF!+#REF!+#REF!+'4.2.sz. mell. '!E55+'4.3 sz. mell.'!E54+'4.4.sz. mell.'!E55)</f>
        <v>#REF!</v>
      </c>
      <c r="F56" s="500">
        <f>SUM('4.1 sz. mell'!F58+'4.2.sz. mell. '!F55+'4.3 sz. mell.'!F54+'4.4.sz. mell.'!F55)</f>
        <v>0</v>
      </c>
      <c r="G56" s="1355">
        <f t="shared" si="15"/>
        <v>0</v>
      </c>
      <c r="H56" s="500">
        <f>'4.1 sz. mell'!H58+'4.3 sz. mell.'!H54+'4.2.sz. mell. '!H55+'4.4.sz. mell.'!H55</f>
        <v>0</v>
      </c>
      <c r="I56" s="1355">
        <f t="shared" si="16"/>
        <v>0</v>
      </c>
      <c r="J56" s="500">
        <f>'4.1 sz. mell'!J58+'4.3 sz. mell.'!J54+'4.2.sz. mell. '!J55+'4.4.sz. mell.'!J55</f>
        <v>0</v>
      </c>
      <c r="K56" s="1355">
        <f t="shared" si="7"/>
        <v>0</v>
      </c>
      <c r="L56" s="500">
        <f>'4.1 sz. mell'!L58+'4.3 sz. mell.'!L54+'4.2.sz. mell. '!L55+'4.4.sz. mell.'!L55</f>
        <v>0</v>
      </c>
      <c r="M56" s="144">
        <f>'4.1 sz. mell'!M58+'4.3 sz. mell.'!M54+'4.2.sz. mell. '!M55+'4.4.sz. mell.'!M55</f>
        <v>0</v>
      </c>
      <c r="N56" s="286"/>
      <c r="O56" s="463"/>
      <c r="P56" s="1985">
        <f t="shared" si="14"/>
        <v>0</v>
      </c>
      <c r="Q56" s="1985"/>
      <c r="R56" s="1885">
        <f t="shared" si="12"/>
        <v>0</v>
      </c>
      <c r="S56" s="1990"/>
      <c r="T56" s="1994">
        <f t="shared" si="4"/>
        <v>0</v>
      </c>
      <c r="U56" s="1994"/>
      <c r="V56" s="1871">
        <f t="shared" si="5"/>
        <v>0</v>
      </c>
      <c r="W56" s="1998">
        <f t="shared" si="13"/>
        <v>0</v>
      </c>
      <c r="Y56" s="1978">
        <f>SUM('4.a. sz. mell.'!D58+'4. b.sz. mell.'!D57+'4.c. sz. mell.'!F57)</f>
        <v>0</v>
      </c>
      <c r="Z56" s="1978"/>
      <c r="AA56" s="1885">
        <f>SUM('4.a. sz. mell.'!F58+'4. b.sz. mell.'!F57+'4.c. sz. mell.'!H57)</f>
        <v>0</v>
      </c>
      <c r="AB56" s="1990"/>
      <c r="AC56" s="1994">
        <f>SUM('4.a. sz. mell.'!H58+'4. b.sz. mell.'!H56+'4.c. sz. mell.'!J57)</f>
        <v>0</v>
      </c>
      <c r="AD56" s="1994"/>
      <c r="AE56" s="1871">
        <f>SUM('4.a. sz. mell.'!J58+'4. b.sz. mell.'!J56+'4.c. sz. mell.'!L57)</f>
        <v>0</v>
      </c>
      <c r="AF56" s="2351">
        <f>SUM('4.a. sz. mell.'!K58+'4. b.sz. mell.'!K56+'4.c. sz. mell.'!M57)</f>
        <v>0</v>
      </c>
    </row>
    <row r="57" spans="1:32" ht="12.75" hidden="1" customHeight="1" x14ac:dyDescent="0.2">
      <c r="A57" s="151"/>
      <c r="B57" s="152"/>
      <c r="C57" s="870"/>
      <c r="D57" s="825" t="e">
        <f>SUM('4.1 sz. mell'!#REF!+#REF!+#REF!+#REF!+'4.2.sz. mell. '!D56+'4.3 sz. mell.'!D55+'4.4.sz. mell.'!D56)</f>
        <v>#REF!</v>
      </c>
      <c r="E57" s="2777" t="e">
        <f>SUM('4.1 sz. mell'!#REF!+#REF!+#REF!+#REF!+'4.2.sz. mell. '!E56+'4.3 sz. mell.'!E55+'4.4.sz. mell.'!E56)</f>
        <v>#REF!</v>
      </c>
      <c r="F57" s="3075"/>
      <c r="G57" s="1355">
        <f t="shared" si="15"/>
        <v>0</v>
      </c>
      <c r="H57" s="500">
        <f>'4.1 sz. mell'!H59+'4.3 sz. mell.'!H55+'4.2.sz. mell. '!H56+'4.4.sz. mell.'!H56</f>
        <v>0</v>
      </c>
      <c r="I57" s="1355">
        <f t="shared" si="16"/>
        <v>0</v>
      </c>
      <c r="J57" s="500">
        <f>'4.1 sz. mell'!J59+'4.3 sz. mell.'!J55+'4.2.sz. mell. '!J56+'4.4.sz. mell.'!J56</f>
        <v>0</v>
      </c>
      <c r="K57" s="1355">
        <f t="shared" si="7"/>
        <v>0</v>
      </c>
      <c r="L57" s="500">
        <f>'4.1 sz. mell'!L59+'4.3 sz. mell.'!L55+'4.2.sz. mell. '!L56+'4.4.sz. mell.'!L56</f>
        <v>0</v>
      </c>
      <c r="M57" s="144">
        <f>'4.1 sz. mell'!M59+'4.3 sz. mell.'!M55+'4.2.sz. mell. '!M56+'4.4.sz. mell.'!M56</f>
        <v>0</v>
      </c>
      <c r="N57" s="286" t="e">
        <f>SUM(M57/H57)*100</f>
        <v>#DIV/0!</v>
      </c>
      <c r="O57" s="463"/>
      <c r="P57" s="1985">
        <f t="shared" si="14"/>
        <v>0</v>
      </c>
      <c r="Q57" s="1985"/>
      <c r="R57" s="1885">
        <f t="shared" si="12"/>
        <v>0</v>
      </c>
      <c r="S57" s="1990"/>
      <c r="T57" s="1994">
        <f t="shared" si="4"/>
        <v>0</v>
      </c>
      <c r="U57" s="1994"/>
      <c r="V57" s="1871">
        <f t="shared" si="5"/>
        <v>0</v>
      </c>
      <c r="W57" s="1998">
        <f t="shared" si="13"/>
        <v>0</v>
      </c>
      <c r="Y57" s="1978">
        <f>SUM('4.a. sz. mell.'!D59+'4. b.sz. mell.'!D58+'4.c. sz. mell.'!F58)</f>
        <v>0</v>
      </c>
      <c r="Z57" s="1978"/>
      <c r="AA57" s="1885">
        <f>SUM('4.a. sz. mell.'!F59+'4. b.sz. mell.'!F58+'4.c. sz. mell.'!G58)</f>
        <v>0</v>
      </c>
      <c r="AB57" s="1990"/>
      <c r="AC57" s="1994">
        <f>SUM('4.a. sz. mell.'!H59+'4. b.sz. mell.'!H58+'4.c. sz. mell.'!J58)</f>
        <v>0</v>
      </c>
      <c r="AD57" s="1994"/>
      <c r="AE57" s="1871">
        <f>SUM('4.a. sz. mell.'!J59+'4. b.sz. mell.'!J58+'4.c. sz. mell.'!L58)</f>
        <v>0</v>
      </c>
      <c r="AF57" s="2351">
        <f>SUM('4.a. sz. mell.'!K59+'4. b.sz. mell.'!K58+'4.c. sz. mell.'!M58)</f>
        <v>0</v>
      </c>
    </row>
    <row r="58" spans="1:32" ht="15" hidden="1" customHeight="1" thickBot="1" x14ac:dyDescent="0.25">
      <c r="A58" s="178" t="s">
        <v>31</v>
      </c>
      <c r="B58" s="2765"/>
      <c r="C58" s="2795" t="s">
        <v>445</v>
      </c>
      <c r="D58" s="829" t="e">
        <f>SUM('4.1 sz. mell'!D59+#REF!+#REF!+#REF!+'4.2.sz. mell. '!D57+'4.3 sz. mell.'!D56+'4.4.sz. mell.'!D57)</f>
        <v>#REF!</v>
      </c>
      <c r="E58" s="2797" t="e">
        <f>SUM('4.1 sz. mell'!E59+#REF!+#REF!+#REF!+'4.2.sz. mell. '!E57+'4.3 sz. mell.'!E56+'4.4.sz. mell.'!E57)</f>
        <v>#REF!</v>
      </c>
      <c r="F58" s="1322">
        <f>SUM('4.1 sz. mell'!F59+'4.2.sz. mell. '!F57+'4.3 sz. mell.'!F56+'4.4.sz. mell.'!F57)</f>
        <v>0</v>
      </c>
      <c r="G58" s="1355">
        <f t="shared" si="15"/>
        <v>0</v>
      </c>
      <c r="H58" s="500">
        <f>'4.1 sz. mell'!H60+'4.3 sz. mell.'!H56+'4.2.sz. mell. '!H57+'4.4.sz. mell.'!H57</f>
        <v>0</v>
      </c>
      <c r="I58" s="1355">
        <f t="shared" si="16"/>
        <v>0</v>
      </c>
      <c r="J58" s="500">
        <f>'4.1 sz. mell'!J60+'4.3 sz. mell.'!J56+'4.2.sz. mell. '!J57+'4.4.sz. mell.'!J57</f>
        <v>0</v>
      </c>
      <c r="K58" s="1355">
        <f t="shared" si="7"/>
        <v>0</v>
      </c>
      <c r="L58" s="500">
        <f>'4.1 sz. mell'!L60+'4.3 sz. mell.'!L56+'4.2.sz. mell. '!L57+'4.4.sz. mell.'!L57</f>
        <v>0</v>
      </c>
      <c r="M58" s="144">
        <f>'4.1 sz. mell'!M60+'4.3 sz. mell.'!M56+'4.2.sz. mell. '!M57+'4.4.sz. mell.'!M57</f>
        <v>0</v>
      </c>
      <c r="N58" s="286"/>
      <c r="O58" s="463"/>
      <c r="P58" s="1985">
        <f t="shared" si="14"/>
        <v>0</v>
      </c>
      <c r="Q58" s="1985"/>
      <c r="R58" s="1885">
        <f t="shared" si="12"/>
        <v>0</v>
      </c>
      <c r="S58" s="1990"/>
      <c r="T58" s="1994">
        <f t="shared" si="4"/>
        <v>0</v>
      </c>
      <c r="U58" s="1994"/>
      <c r="V58" s="1871">
        <f t="shared" si="5"/>
        <v>0</v>
      </c>
      <c r="W58" s="1998">
        <f t="shared" si="13"/>
        <v>0</v>
      </c>
      <c r="Y58" s="1978">
        <f>SUM('4.a. sz. mell.'!D60+'4. b.sz. mell.'!D59+'4.c. sz. mell.'!F59)</f>
        <v>0</v>
      </c>
      <c r="Z58" s="1978"/>
      <c r="AA58" s="1885">
        <f>SUM('4.a. sz. mell.'!F60+'4. b.sz. mell.'!F59+'4.c. sz. mell.'!G59)</f>
        <v>0</v>
      </c>
      <c r="AB58" s="1990"/>
      <c r="AC58" s="1994">
        <f>SUM('4.a. sz. mell.'!H60+'4. b.sz. mell.'!H58+'4.c. sz. mell.'!J59)</f>
        <v>0</v>
      </c>
      <c r="AD58" s="1994"/>
      <c r="AE58" s="1871">
        <f>SUM('4.a. sz. mell.'!J60+'4. b.sz. mell.'!J58+'4.c. sz. mell.'!L59)</f>
        <v>0</v>
      </c>
      <c r="AF58" s="2351">
        <f>SUM('4.a. sz. mell.'!K60+'4. b.sz. mell.'!K58+'4.c. sz. mell.'!M59)</f>
        <v>0</v>
      </c>
    </row>
    <row r="59" spans="1:32" s="145" customFormat="1" ht="15" hidden="1" customHeight="1" thickBot="1" x14ac:dyDescent="0.25">
      <c r="A59" s="134"/>
      <c r="B59" s="170"/>
      <c r="C59" s="817"/>
      <c r="D59" s="827"/>
      <c r="E59" s="2786"/>
      <c r="F59" s="2681">
        <f>'4.1 sz. mell'!F60</f>
        <v>0</v>
      </c>
      <c r="G59" s="1355">
        <f t="shared" si="15"/>
        <v>0</v>
      </c>
      <c r="H59" s="2681">
        <f>'4.1 sz. mell'!H60</f>
        <v>0</v>
      </c>
      <c r="I59" s="1355">
        <f t="shared" si="16"/>
        <v>0</v>
      </c>
      <c r="J59" s="2681">
        <f>'4.1 sz. mell'!J60</f>
        <v>0</v>
      </c>
      <c r="K59" s="1358">
        <f t="shared" si="7"/>
        <v>0</v>
      </c>
      <c r="L59" s="2681">
        <f>'4.1 sz. mell'!L60</f>
        <v>0</v>
      </c>
      <c r="M59" s="155">
        <f>'4.1 sz. mell'!M60</f>
        <v>0</v>
      </c>
      <c r="N59" s="286"/>
      <c r="O59" s="465"/>
      <c r="P59" s="1985"/>
      <c r="Q59" s="1985"/>
      <c r="R59" s="1885"/>
      <c r="S59" s="1990"/>
      <c r="T59" s="1994">
        <f t="shared" si="4"/>
        <v>0</v>
      </c>
      <c r="U59" s="1994"/>
      <c r="V59" s="1871">
        <f t="shared" si="5"/>
        <v>0</v>
      </c>
      <c r="W59" s="1998"/>
      <c r="Y59" s="1978"/>
      <c r="Z59" s="1978"/>
      <c r="AA59" s="1885">
        <f>SUM('4.a. sz. mell.'!F61+'4. b.sz. mell.'!F60+'4.c. sz. mell.'!G60)</f>
        <v>14876380</v>
      </c>
      <c r="AB59" s="1990"/>
      <c r="AC59" s="1994">
        <f>SUM('4.a. sz. mell.'!H61+'4. b.sz. mell.'!H59+'4.c. sz. mell.'!J60)</f>
        <v>0</v>
      </c>
      <c r="AD59" s="1994"/>
      <c r="AE59" s="1871">
        <f>SUM('4.a. sz. mell.'!J61+'4. b.sz. mell.'!J59+'4.c. sz. mell.'!L60)</f>
        <v>0</v>
      </c>
      <c r="AF59" s="2351">
        <f>SUM('4.a. sz. mell.'!K61+'4. b.sz. mell.'!K59+'4.c. sz. mell.'!M60)</f>
        <v>0</v>
      </c>
    </row>
    <row r="60" spans="1:32" ht="19.5" customHeight="1" thickBot="1" x14ac:dyDescent="0.3">
      <c r="A60" s="192" t="s">
        <v>31</v>
      </c>
      <c r="B60" s="160"/>
      <c r="C60" s="861" t="s">
        <v>446</v>
      </c>
      <c r="D60" s="866" t="e">
        <f>+D45+D53+D58</f>
        <v>#REF!</v>
      </c>
      <c r="E60" s="2780" t="e">
        <f>+E45+E53+E58</f>
        <v>#REF!</v>
      </c>
      <c r="F60" s="3099">
        <f>+F45+F53+F58+F59</f>
        <v>558702301</v>
      </c>
      <c r="G60" s="3100">
        <f t="shared" si="15"/>
        <v>68649533</v>
      </c>
      <c r="H60" s="3099">
        <f>+H45+H53+H58+H59</f>
        <v>627351834</v>
      </c>
      <c r="I60" s="3100">
        <f t="shared" si="16"/>
        <v>-40935683</v>
      </c>
      <c r="J60" s="3087">
        <f>+J45+J53+J58+J59</f>
        <v>586416151</v>
      </c>
      <c r="K60" s="3301">
        <f t="shared" si="7"/>
        <v>0</v>
      </c>
      <c r="L60" s="3087">
        <f>+L45+L53+L58+L59</f>
        <v>586416151</v>
      </c>
      <c r="M60" s="2781">
        <f>+M45+M53+M58+M59</f>
        <v>581959431</v>
      </c>
      <c r="N60" s="286">
        <f>SUM(M60/H60)*100</f>
        <v>92.764442448414044</v>
      </c>
      <c r="O60" s="468"/>
      <c r="P60" s="1985">
        <f t="shared" si="14"/>
        <v>0</v>
      </c>
      <c r="Q60" s="1985"/>
      <c r="R60" s="1885">
        <f t="shared" si="12"/>
        <v>0</v>
      </c>
      <c r="S60" s="1990"/>
      <c r="T60" s="1994">
        <f t="shared" si="4"/>
        <v>0</v>
      </c>
      <c r="U60" s="1994"/>
      <c r="V60" s="1871">
        <f t="shared" si="5"/>
        <v>0</v>
      </c>
      <c r="W60" s="1998">
        <f t="shared" si="13"/>
        <v>0</v>
      </c>
      <c r="Y60" s="1978">
        <f>SUM('4.a. sz. mell.'!D62+'4. b.sz. mell.'!D60+'4.c. sz. mell.'!F61)</f>
        <v>558702301</v>
      </c>
      <c r="Z60" s="1978"/>
      <c r="AA60" s="1885">
        <f>SUM('4.a. sz. mell.'!F62+'4. b.sz. mell.'!F60+'4.c. sz. mell.'!H61)</f>
        <v>627351834</v>
      </c>
      <c r="AB60" s="1990"/>
      <c r="AC60" s="1994">
        <f>SUM('4.a. sz. mell.'!H62+'4. b.sz. mell.'!H60+'4.c. sz. mell.'!J61)</f>
        <v>586416151</v>
      </c>
      <c r="AD60" s="1994"/>
      <c r="AE60" s="1871">
        <f>SUM('4.a. sz. mell.'!J62+'4. b.sz. mell.'!J60+'4.c. sz. mell.'!L61)</f>
        <v>586416151</v>
      </c>
      <c r="AF60" s="2351">
        <f>SUM('4.a. sz. mell.'!K62+'4. b.sz. mell.'!K60+'4.c. sz. mell.'!M61)</f>
        <v>581959431</v>
      </c>
    </row>
    <row r="61" spans="1:32" ht="15" customHeight="1" thickBot="1" x14ac:dyDescent="0.25">
      <c r="A61" s="4500" t="s">
        <v>324</v>
      </c>
      <c r="B61" s="4501"/>
      <c r="C61" s="4501"/>
      <c r="D61" s="269" t="e">
        <f>SUM('4.1 sz. mell'!D63+#REF!+#REF!+#REF!+'4.2.sz. mell. '!D61+'4.3 sz. mell.'!D60+'4.4.sz. mell.'!D61+#REF!)</f>
        <v>#REF!</v>
      </c>
      <c r="E61" s="2782">
        <v>104</v>
      </c>
      <c r="F61" s="3101">
        <f>SUM('4.1 sz. mell'!F63+'4.2.sz. mell. '!F61+'4.3 sz. mell.'!F60+'4.4.sz. mell.'!F61)</f>
        <v>78.5</v>
      </c>
      <c r="G61" s="3102"/>
      <c r="H61" s="3103">
        <f>SUM('4.1 sz. mell'!H63+'4.2.sz. mell. '!H61+'4.3 sz. mell.'!H60+'4.4.sz. mell.'!H61)</f>
        <v>78.5</v>
      </c>
      <c r="I61" s="3102"/>
      <c r="J61" s="3103">
        <f>SUM('4.1 sz. mell'!J63+'4.2.sz. mell. '!J61+'4.3 sz. mell.'!J60+'4.4.sz. mell.'!J61)</f>
        <v>78.5</v>
      </c>
      <c r="K61" s="1359">
        <f t="shared" si="7"/>
        <v>0</v>
      </c>
      <c r="L61" s="1730">
        <f>SUM('4.1 sz. mell'!L63+'4.2.sz. mell. '!L61+'4.3 sz. mell.'!L60+'4.4.sz. mell.'!L61)</f>
        <v>78.5</v>
      </c>
      <c r="M61" s="1730">
        <f>SUM('4.1 sz. mell'!M63+'4.2.sz. mell. '!M61+'4.3 sz. mell.'!M60+'4.4.sz. mell.'!M61)</f>
        <v>78.5</v>
      </c>
      <c r="N61" s="286"/>
      <c r="O61" s="469"/>
      <c r="P61" s="1985"/>
      <c r="Q61" s="1985"/>
      <c r="R61" s="1990"/>
      <c r="S61" s="1990"/>
      <c r="T61" s="248"/>
      <c r="U61" s="248"/>
      <c r="V61" s="1871"/>
      <c r="W61" s="1903"/>
      <c r="Y61" s="1978"/>
      <c r="Z61" s="1978"/>
      <c r="AF61" s="2351"/>
    </row>
    <row r="62" spans="1:32" ht="15" customHeight="1" thickBot="1" x14ac:dyDescent="0.25">
      <c r="A62" s="4500" t="s">
        <v>325</v>
      </c>
      <c r="B62" s="4501"/>
      <c r="C62" s="4501"/>
      <c r="D62" s="155" t="e">
        <f>SUM('4.1 sz. mell'!D64+#REF!+#REF!+#REF!+'4.2.sz. mell. '!D62+'4.3 sz. mell.'!D61+'4.4.sz. mell.'!D62)</f>
        <v>#REF!</v>
      </c>
      <c r="E62" s="668" t="e">
        <f>SUM('4.1 sz. mell'!E64+#REF!+#REF!+#REF!+'4.2.sz. mell. '!E62+'4.3 sz. mell.'!E61+'4.4.sz. mell.'!E62)</f>
        <v>#REF!</v>
      </c>
      <c r="F62" s="2681">
        <f>SUM('4.1 sz. mell'!F64+'4.2.sz. mell. '!F62+'4.3 sz. mell.'!F61+'4.4.sz. mell.'!F62)</f>
        <v>0</v>
      </c>
      <c r="G62" s="3081"/>
      <c r="H62" s="2681">
        <f>SUM('4.1 sz. mell'!H64+'4.2.sz. mell. '!H62+'4.3 sz. mell.'!H61+'4.4.sz. mell.'!H62)</f>
        <v>0</v>
      </c>
      <c r="I62" s="3081"/>
      <c r="J62" s="2681"/>
      <c r="K62" s="1355">
        <f t="shared" si="7"/>
        <v>0</v>
      </c>
      <c r="L62" s="2681"/>
      <c r="M62" s="155">
        <f>SUM('4.1 sz. mell'!M64+'4.2.sz. mell. '!M62+'4.3 sz. mell.'!M61+'4.4.sz. mell.'!M62)</f>
        <v>0</v>
      </c>
      <c r="N62" s="286"/>
      <c r="O62" s="465"/>
      <c r="P62" s="1985"/>
      <c r="Q62" s="1985"/>
      <c r="R62" s="1990"/>
      <c r="S62" s="1990"/>
      <c r="T62" s="248"/>
      <c r="U62" s="248"/>
      <c r="V62" s="1871"/>
      <c r="W62" s="1903"/>
      <c r="Y62" s="1978"/>
      <c r="Z62" s="1978"/>
      <c r="AF62" s="2352"/>
    </row>
    <row r="63" spans="1:32" x14ac:dyDescent="0.2">
      <c r="AF63" s="2352"/>
    </row>
    <row r="64" spans="1:32" x14ac:dyDescent="0.2">
      <c r="F64" s="205">
        <f>SUM(F42-F60)</f>
        <v>0</v>
      </c>
      <c r="G64" s="1575"/>
      <c r="H64" s="205">
        <f>SUM(H42-H60)</f>
        <v>0</v>
      </c>
      <c r="I64" s="205">
        <f>SUM(I42-I60)</f>
        <v>0</v>
      </c>
      <c r="J64" s="205">
        <f>SUM(J42-J60)</f>
        <v>0</v>
      </c>
      <c r="K64" s="1575"/>
      <c r="L64" s="205">
        <f>SUM(L42-L60)</f>
        <v>0</v>
      </c>
      <c r="M64" s="205">
        <f>SUM(M42-M60)</f>
        <v>4456720</v>
      </c>
      <c r="AF64" s="2352"/>
    </row>
    <row r="65" spans="3:32" x14ac:dyDescent="0.2">
      <c r="AF65" s="2352"/>
    </row>
    <row r="66" spans="3:32" ht="15.75" x14ac:dyDescent="0.2">
      <c r="C66" s="116" t="s">
        <v>945</v>
      </c>
      <c r="D66" s="116"/>
      <c r="E66" s="116"/>
      <c r="F66" s="116"/>
      <c r="G66" s="1416"/>
      <c r="M66" s="116"/>
      <c r="AF66" s="2352"/>
    </row>
    <row r="67" spans="3:32" ht="15.75" x14ac:dyDescent="0.2">
      <c r="C67" s="116" t="s">
        <v>942</v>
      </c>
      <c r="D67" s="116"/>
      <c r="E67" s="116"/>
      <c r="F67" s="116"/>
      <c r="G67" s="1416"/>
      <c r="H67" s="203">
        <v>627351834</v>
      </c>
      <c r="I67" s="1470"/>
      <c r="J67" s="203">
        <v>586416151</v>
      </c>
      <c r="K67" s="1470"/>
      <c r="L67" s="203">
        <v>586416151</v>
      </c>
      <c r="M67" s="203">
        <v>581959431</v>
      </c>
      <c r="AF67" s="2352"/>
    </row>
    <row r="68" spans="3:32" ht="15.75" x14ac:dyDescent="0.2">
      <c r="C68" s="116" t="s">
        <v>943</v>
      </c>
      <c r="D68" s="116"/>
      <c r="E68" s="116"/>
      <c r="F68" s="116"/>
      <c r="G68" s="1416"/>
      <c r="H68" s="203"/>
      <c r="I68" s="1470"/>
      <c r="J68" s="203"/>
      <c r="K68" s="1470"/>
      <c r="L68" s="203"/>
      <c r="M68" s="203"/>
      <c r="AF68" s="2352"/>
    </row>
    <row r="69" spans="3:32" ht="18.75" x14ac:dyDescent="0.2">
      <c r="C69" s="781" t="s">
        <v>944</v>
      </c>
      <c r="D69" s="782"/>
      <c r="E69" s="782"/>
      <c r="F69" s="782"/>
      <c r="G69" s="1576"/>
      <c r="H69" s="518">
        <f>SUM(H67:H68)</f>
        <v>627351834</v>
      </c>
      <c r="I69" s="518"/>
      <c r="J69" s="518">
        <f>SUM(J67:J68)</f>
        <v>586416151</v>
      </c>
      <c r="K69" s="518">
        <f>SUM(K67:K68)</f>
        <v>0</v>
      </c>
      <c r="L69" s="518">
        <f>SUM(L67:L68)</f>
        <v>586416151</v>
      </c>
      <c r="M69" s="518">
        <f>SUM(M67:M68)</f>
        <v>581959431</v>
      </c>
      <c r="AF69" s="2352"/>
    </row>
    <row r="70" spans="3:32" ht="15.75" x14ac:dyDescent="0.2">
      <c r="C70" s="116"/>
      <c r="D70" s="116"/>
      <c r="E70" s="116"/>
      <c r="F70" s="116"/>
      <c r="G70" s="1416"/>
      <c r="H70" s="203"/>
      <c r="I70" s="1470"/>
      <c r="J70" s="203"/>
      <c r="K70" s="203"/>
      <c r="L70" s="203"/>
      <c r="M70" s="203"/>
      <c r="AF70" s="2352"/>
    </row>
    <row r="71" spans="3:32" ht="15.75" x14ac:dyDescent="0.2">
      <c r="C71" s="780" t="s">
        <v>893</v>
      </c>
      <c r="D71" s="780"/>
      <c r="E71" s="780"/>
      <c r="F71" s="780"/>
      <c r="G71" s="1577"/>
      <c r="H71" s="482">
        <f>SUM(H69-H60)</f>
        <v>0</v>
      </c>
      <c r="I71" s="482"/>
      <c r="J71" s="482">
        <f>SUM(J69-J60)</f>
        <v>0</v>
      </c>
      <c r="K71" s="482"/>
      <c r="L71" s="482">
        <f>SUM(L69-L60)</f>
        <v>0</v>
      </c>
      <c r="M71" s="482">
        <f>SUM(M69-M60)</f>
        <v>0</v>
      </c>
      <c r="AF71" s="2352"/>
    </row>
    <row r="72" spans="3:32" x14ac:dyDescent="0.2">
      <c r="D72" s="115"/>
      <c r="E72" s="115"/>
      <c r="F72" s="115"/>
      <c r="G72" s="1390"/>
      <c r="H72" s="115"/>
      <c r="I72" s="1390"/>
      <c r="J72" s="115"/>
      <c r="K72" s="115"/>
      <c r="L72" s="115"/>
      <c r="M72" s="115"/>
      <c r="AF72" s="2352"/>
    </row>
    <row r="73" spans="3:32" x14ac:dyDescent="0.2">
      <c r="D73" s="115"/>
      <c r="E73" s="115"/>
      <c r="F73" s="115"/>
      <c r="G73" s="1390"/>
      <c r="H73" s="115"/>
      <c r="I73" s="1390"/>
      <c r="J73" s="115"/>
      <c r="K73" s="1390"/>
      <c r="L73" s="115"/>
      <c r="M73" s="115"/>
    </row>
    <row r="74" spans="3:32" x14ac:dyDescent="0.2">
      <c r="D74" s="115"/>
      <c r="E74" s="115"/>
      <c r="F74" s="115"/>
      <c r="G74" s="1390"/>
      <c r="H74" s="115"/>
      <c r="I74" s="1390"/>
      <c r="J74" s="115"/>
      <c r="K74" s="1390"/>
      <c r="L74" s="115"/>
      <c r="M74" s="115"/>
    </row>
    <row r="75" spans="3:32" ht="15.75" x14ac:dyDescent="0.2">
      <c r="C75" s="116" t="s">
        <v>946</v>
      </c>
      <c r="D75" s="115"/>
      <c r="E75" s="115"/>
      <c r="F75" s="115"/>
      <c r="G75" s="1390"/>
      <c r="H75" s="115"/>
      <c r="I75" s="1390"/>
      <c r="J75" s="115"/>
      <c r="K75" s="1390"/>
      <c r="L75" s="115"/>
      <c r="M75" s="115"/>
    </row>
    <row r="76" spans="3:32" ht="15.75" x14ac:dyDescent="0.2">
      <c r="C76" s="116"/>
      <c r="D76" s="115"/>
      <c r="E76" s="115"/>
      <c r="F76" s="115"/>
      <c r="G76" s="1390"/>
      <c r="H76" s="115"/>
      <c r="I76" s="1390"/>
      <c r="J76" s="115"/>
      <c r="K76" s="1390"/>
      <c r="L76" s="115"/>
      <c r="M76" s="115"/>
    </row>
    <row r="77" spans="3:32" ht="15.75" x14ac:dyDescent="0.2">
      <c r="C77" s="116" t="s">
        <v>947</v>
      </c>
      <c r="D77" s="115"/>
      <c r="E77" s="115"/>
      <c r="F77" s="115"/>
      <c r="G77" s="1390"/>
      <c r="H77" s="203">
        <v>19013536</v>
      </c>
      <c r="I77" s="1470"/>
      <c r="J77" s="203">
        <v>28949121</v>
      </c>
      <c r="K77" s="1470"/>
      <c r="L77" s="203">
        <v>28949121</v>
      </c>
      <c r="M77" s="203">
        <v>28949121</v>
      </c>
    </row>
    <row r="78" spans="3:32" ht="15.75" x14ac:dyDescent="0.2">
      <c r="C78" s="116" t="s">
        <v>948</v>
      </c>
      <c r="D78" s="115"/>
      <c r="E78" s="115"/>
      <c r="F78" s="115"/>
      <c r="G78" s="1390"/>
      <c r="H78" s="203">
        <v>608338298</v>
      </c>
      <c r="I78" s="1470"/>
      <c r="J78" s="203">
        <v>557467030</v>
      </c>
      <c r="K78" s="1470"/>
      <c r="L78" s="203">
        <v>557467030</v>
      </c>
      <c r="M78" s="203">
        <v>557467030</v>
      </c>
    </row>
    <row r="79" spans="3:32" ht="18.75" x14ac:dyDescent="0.2">
      <c r="C79" s="471" t="s">
        <v>944</v>
      </c>
      <c r="D79" s="115"/>
      <c r="E79" s="115"/>
      <c r="F79" s="115"/>
      <c r="G79" s="1390"/>
      <c r="H79" s="203">
        <f t="shared" ref="H79:M79" si="17">SUM(H77:H78)</f>
        <v>627351834</v>
      </c>
      <c r="I79" s="203">
        <f t="shared" si="17"/>
        <v>0</v>
      </c>
      <c r="J79" s="203">
        <f t="shared" ref="J79" si="18">SUM(J77:J78)</f>
        <v>586416151</v>
      </c>
      <c r="K79" s="203">
        <f t="shared" si="17"/>
        <v>0</v>
      </c>
      <c r="L79" s="203">
        <f t="shared" si="17"/>
        <v>586416151</v>
      </c>
      <c r="M79" s="203">
        <f t="shared" si="17"/>
        <v>586416151</v>
      </c>
    </row>
    <row r="80" spans="3:32" ht="15.75" x14ac:dyDescent="0.2">
      <c r="C80" s="116"/>
      <c r="D80" s="115"/>
      <c r="E80" s="115"/>
      <c r="F80" s="115"/>
      <c r="G80" s="1390"/>
      <c r="H80" s="203"/>
      <c r="I80" s="1470"/>
      <c r="J80" s="203"/>
      <c r="K80" s="203"/>
      <c r="L80" s="203"/>
      <c r="M80" s="203"/>
    </row>
    <row r="81" spans="3:13" ht="15.75" x14ac:dyDescent="0.2">
      <c r="C81" s="780" t="s">
        <v>279</v>
      </c>
      <c r="D81" s="115"/>
      <c r="E81" s="115"/>
      <c r="F81" s="115"/>
      <c r="G81" s="1390"/>
      <c r="H81" s="482">
        <f>SUM(H79-H42)</f>
        <v>0</v>
      </c>
      <c r="I81" s="482"/>
      <c r="J81" s="482">
        <f>SUM(J79-J42)</f>
        <v>0</v>
      </c>
      <c r="K81" s="482"/>
      <c r="L81" s="482">
        <f>SUM(L79-L42)</f>
        <v>0</v>
      </c>
      <c r="M81" s="482">
        <f>SUM(M79-M42)</f>
        <v>0</v>
      </c>
    </row>
    <row r="82" spans="3:13" ht="15.75" x14ac:dyDescent="0.2">
      <c r="C82" s="116"/>
      <c r="D82" s="115"/>
      <c r="E82" s="115"/>
      <c r="F82" s="115"/>
      <c r="G82" s="1390"/>
      <c r="H82" s="92"/>
      <c r="I82" s="1420"/>
      <c r="J82" s="92"/>
      <c r="K82" s="1420"/>
      <c r="L82" s="92"/>
      <c r="M82" s="92"/>
    </row>
  </sheetData>
  <mergeCells count="22">
    <mergeCell ref="A62:C62"/>
    <mergeCell ref="A2:B2"/>
    <mergeCell ref="D2:D3"/>
    <mergeCell ref="F2:F3"/>
    <mergeCell ref="A3:B3"/>
    <mergeCell ref="A61:C61"/>
    <mergeCell ref="F4:M4"/>
    <mergeCell ref="H2:H3"/>
    <mergeCell ref="F1:M1"/>
    <mergeCell ref="M2:M3"/>
    <mergeCell ref="A4:B4"/>
    <mergeCell ref="G2:G3"/>
    <mergeCell ref="I2:I3"/>
    <mergeCell ref="J2:J3"/>
    <mergeCell ref="K2:K3"/>
    <mergeCell ref="L2:L3"/>
    <mergeCell ref="AE4:AE5"/>
    <mergeCell ref="R4:R5"/>
    <mergeCell ref="T4:T5"/>
    <mergeCell ref="V4:V5"/>
    <mergeCell ref="AA4:AA5"/>
    <mergeCell ref="AC4:AC5"/>
  </mergeCells>
  <printOptions horizontalCentered="1" verticalCentered="1"/>
  <pageMargins left="0.27559055118110237" right="0.23622047244094491" top="0.31496062992125984" bottom="0.39370078740157483" header="0.51181102362204722" footer="0.19685039370078741"/>
  <pageSetup paperSize="9" scale="70" firstPageNumber="32" orientation="portrait" useFirstPageNumber="1" r:id="rId1"/>
  <headerFooter>
    <oddFooter>&amp;C- &amp;P -</oddFooter>
  </headerFooter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65"/>
  <sheetViews>
    <sheetView view="pageBreakPreview" topLeftCell="A37" zoomScale="90" zoomScaleNormal="100" zoomScaleSheetLayoutView="90" zoomScalePageLayoutView="60" workbookViewId="0">
      <selection activeCell="H18" sqref="H18"/>
    </sheetView>
  </sheetViews>
  <sheetFormatPr defaultColWidth="9.33203125" defaultRowHeight="15" x14ac:dyDescent="0.2"/>
  <cols>
    <col min="1" max="1" width="8.33203125" style="114" customWidth="1"/>
    <col min="2" max="2" width="10.5" style="115" customWidth="1"/>
    <col min="3" max="3" width="64.6640625" style="115" bestFit="1" customWidth="1"/>
    <col min="4" max="4" width="14.83203125" style="145" customWidth="1"/>
    <col min="5" max="5" width="14.6640625" style="1567" hidden="1" customWidth="1"/>
    <col min="6" max="6" width="15.5" style="145" hidden="1" customWidth="1"/>
    <col min="7" max="7" width="12.5" style="1567" hidden="1" customWidth="1"/>
    <col min="8" max="8" width="13" style="145" customWidth="1"/>
    <col min="9" max="9" width="14.83203125" style="1567" customWidth="1"/>
    <col min="10" max="10" width="15.6640625" style="145" customWidth="1"/>
    <col min="11" max="11" width="14.1640625" style="145" customWidth="1"/>
    <col min="12" max="12" width="15" style="115" customWidth="1"/>
    <col min="13" max="13" width="13.83203125" style="115" customWidth="1"/>
    <col min="14" max="14" width="14.5" style="115" customWidth="1"/>
    <col min="15" max="15" width="15.1640625" style="115" hidden="1" customWidth="1"/>
    <col min="16" max="16" width="16" style="115" customWidth="1"/>
    <col min="17" max="16384" width="9.33203125" style="115"/>
  </cols>
  <sheetData>
    <row r="1" spans="1:14" s="95" customFormat="1" ht="23.25" customHeight="1" thickBot="1" x14ac:dyDescent="0.25">
      <c r="A1" s="2099"/>
      <c r="B1" s="84"/>
      <c r="C1" s="4494" t="s">
        <v>447</v>
      </c>
      <c r="D1" s="4494"/>
      <c r="E1" s="4494"/>
      <c r="F1" s="4494"/>
      <c r="G1" s="4494"/>
      <c r="H1" s="4494"/>
      <c r="I1" s="4494"/>
      <c r="J1" s="4494"/>
      <c r="K1" s="4494"/>
      <c r="L1" s="441"/>
      <c r="M1" s="441"/>
      <c r="N1" s="441"/>
    </row>
    <row r="2" spans="1:14" s="120" customFormat="1" ht="51.75" customHeight="1" thickBot="1" x14ac:dyDescent="0.25">
      <c r="A2" s="4503" t="s">
        <v>411</v>
      </c>
      <c r="B2" s="4504"/>
      <c r="C2" s="3052" t="s">
        <v>412</v>
      </c>
      <c r="D2" s="4444" t="s">
        <v>1080</v>
      </c>
      <c r="E2" s="4508" t="s">
        <v>1035</v>
      </c>
      <c r="F2" s="4415" t="s">
        <v>1028</v>
      </c>
      <c r="G2" s="4422" t="s">
        <v>1031</v>
      </c>
      <c r="H2" s="4417" t="s">
        <v>1028</v>
      </c>
      <c r="I2" s="4449" t="s">
        <v>1038</v>
      </c>
      <c r="J2" s="4415" t="s">
        <v>234</v>
      </c>
      <c r="K2" s="4440" t="s">
        <v>1945</v>
      </c>
    </row>
    <row r="3" spans="1:14" s="120" customFormat="1" ht="32.25" customHeight="1" thickBot="1" x14ac:dyDescent="0.25">
      <c r="A3" s="4506" t="s">
        <v>283</v>
      </c>
      <c r="B3" s="4507"/>
      <c r="C3" s="2116" t="s">
        <v>326</v>
      </c>
      <c r="D3" s="4505"/>
      <c r="E3" s="4509"/>
      <c r="F3" s="4416" t="s">
        <v>1028</v>
      </c>
      <c r="G3" s="4423" t="s">
        <v>1031</v>
      </c>
      <c r="H3" s="4496" t="s">
        <v>1028</v>
      </c>
      <c r="I3" s="4450"/>
      <c r="J3" s="4416"/>
      <c r="K3" s="4441"/>
    </row>
    <row r="4" spans="1:14" s="123" customFormat="1" ht="15.95" customHeight="1" thickBot="1" x14ac:dyDescent="0.25">
      <c r="A4" s="1300"/>
      <c r="B4" s="1301"/>
      <c r="C4" s="1301"/>
      <c r="D4" s="2084"/>
      <c r="E4" s="1453"/>
      <c r="F4" s="1562"/>
      <c r="G4" s="1561"/>
      <c r="H4" s="1561"/>
      <c r="I4" s="1561"/>
      <c r="J4" s="820"/>
      <c r="K4" s="820" t="s">
        <v>935</v>
      </c>
    </row>
    <row r="5" spans="1:14" s="145" customFormat="1" ht="26.25" customHeight="1" thickBot="1" x14ac:dyDescent="0.25">
      <c r="A5" s="4431" t="s">
        <v>285</v>
      </c>
      <c r="B5" s="4510"/>
      <c r="C5" s="785" t="s">
        <v>286</v>
      </c>
      <c r="D5" s="126"/>
      <c r="E5" s="2659"/>
      <c r="F5" s="821"/>
      <c r="G5" s="1399"/>
      <c r="H5" s="821"/>
      <c r="I5" s="3369"/>
      <c r="J5" s="821"/>
      <c r="K5" s="821"/>
    </row>
    <row r="6" spans="1:14" s="129" customFormat="1" ht="16.5" customHeight="1" thickBot="1" x14ac:dyDescent="0.25">
      <c r="A6" s="124"/>
      <c r="B6" s="127"/>
      <c r="C6" s="843"/>
      <c r="D6" s="128"/>
      <c r="E6" s="1573"/>
      <c r="F6" s="1573"/>
      <c r="G6" s="1573"/>
      <c r="H6" s="1573"/>
      <c r="I6" s="1573"/>
      <c r="J6" s="1573"/>
      <c r="K6" s="1574"/>
    </row>
    <row r="7" spans="1:14" s="129" customFormat="1" ht="20.25" customHeight="1" thickBot="1" x14ac:dyDescent="0.25">
      <c r="A7" s="244"/>
      <c r="B7" s="245"/>
      <c r="C7" s="245" t="s">
        <v>230</v>
      </c>
      <c r="D7" s="2779"/>
      <c r="E7" s="2763"/>
      <c r="F7" s="858"/>
      <c r="G7" s="1558"/>
      <c r="H7" s="858"/>
      <c r="I7" s="3421"/>
      <c r="J7" s="858"/>
      <c r="K7" s="858"/>
      <c r="L7" s="246"/>
    </row>
    <row r="8" spans="1:14" s="141" customFormat="1" ht="15" customHeight="1" thickBot="1" x14ac:dyDescent="0.25">
      <c r="A8" s="134" t="s">
        <v>3</v>
      </c>
      <c r="B8" s="148"/>
      <c r="C8" s="810" t="s">
        <v>413</v>
      </c>
      <c r="D8" s="137">
        <f>SUM(D9:D18)</f>
        <v>11500000</v>
      </c>
      <c r="E8" s="1382">
        <f>SUM(F8-D8)</f>
        <v>0</v>
      </c>
      <c r="F8" s="826">
        <f>SUM(F9:F18)</f>
        <v>11500000</v>
      </c>
      <c r="G8" s="1407">
        <f>SUM(H8-F8)</f>
        <v>9321949</v>
      </c>
      <c r="H8" s="826">
        <f>SUM(H9:H18)</f>
        <v>20821949</v>
      </c>
      <c r="I8" s="3375">
        <f>SUM(J8-H8)</f>
        <v>0</v>
      </c>
      <c r="J8" s="826">
        <f>SUM(J9:J18)</f>
        <v>20821949</v>
      </c>
      <c r="K8" s="826">
        <f>SUM(K9:K18)</f>
        <v>20821949</v>
      </c>
      <c r="L8" s="246"/>
    </row>
    <row r="9" spans="1:14" s="141" customFormat="1" ht="15" customHeight="1" x14ac:dyDescent="0.2">
      <c r="A9" s="149"/>
      <c r="B9" s="143" t="s">
        <v>152</v>
      </c>
      <c r="C9" s="811" t="s">
        <v>48</v>
      </c>
      <c r="D9" s="144">
        <f>SUM('4.1 sz. mell'!F9+'4.2.sz. mell. '!F9+'4.3 sz. mell.'!F9+'4.4.sz. mell.'!F9)</f>
        <v>0</v>
      </c>
      <c r="E9" s="1415">
        <f>SUM(F9-D9)</f>
        <v>0</v>
      </c>
      <c r="F9" s="483">
        <f>SUM('4.1 sz. mell'!H9)</f>
        <v>0</v>
      </c>
      <c r="G9" s="1404">
        <f>SUM(H9-F9)</f>
        <v>0</v>
      </c>
      <c r="H9" s="483">
        <f>SUM('4.1 sz. mell'!J9)</f>
        <v>0</v>
      </c>
      <c r="I9" s="3351">
        <f>SUM(J9-H9)</f>
        <v>0</v>
      </c>
      <c r="J9" s="483">
        <f>SUM('4.1 sz. mell'!L9)</f>
        <v>0</v>
      </c>
      <c r="K9" s="483">
        <f>SUM('4.1 sz. mell'!M9)</f>
        <v>0</v>
      </c>
      <c r="L9" s="246"/>
    </row>
    <row r="10" spans="1:14" s="141" customFormat="1" ht="15" customHeight="1" x14ac:dyDescent="0.2">
      <c r="A10" s="142"/>
      <c r="B10" s="143" t="s">
        <v>154</v>
      </c>
      <c r="C10" s="812" t="s">
        <v>50</v>
      </c>
      <c r="D10" s="144">
        <f>SUM('4.1 sz. mell'!F10+'4.2.sz. mell. '!F10+'4.3 sz. mell.'!F10+'4.4.sz. mell.'!F10)</f>
        <v>0</v>
      </c>
      <c r="E10" s="1415">
        <f t="shared" ref="E10:I25" si="0">SUM(F10-D10)</f>
        <v>0</v>
      </c>
      <c r="F10" s="483">
        <f>SUM('4.1 sz. mell'!H10)</f>
        <v>0</v>
      </c>
      <c r="G10" s="1404">
        <f t="shared" si="0"/>
        <v>6992290</v>
      </c>
      <c r="H10" s="483">
        <f>SUM('4.1 sz. mell'!J10)</f>
        <v>6992290</v>
      </c>
      <c r="I10" s="3351">
        <f t="shared" si="0"/>
        <v>0</v>
      </c>
      <c r="J10" s="483">
        <f>SUM('4.1 sz. mell'!L10)</f>
        <v>6992290</v>
      </c>
      <c r="K10" s="483">
        <f>SUM('4.1 sz. mell'!M10)</f>
        <v>6992290</v>
      </c>
      <c r="L10" s="246"/>
    </row>
    <row r="11" spans="1:14" s="141" customFormat="1" ht="15" customHeight="1" x14ac:dyDescent="0.2">
      <c r="A11" s="142"/>
      <c r="B11" s="143" t="s">
        <v>156</v>
      </c>
      <c r="C11" s="812" t="s">
        <v>414</v>
      </c>
      <c r="D11" s="144">
        <f>SUM('4.1 sz. mell'!F11+'4.2.sz. mell. '!F11+'4.3 sz. mell.'!F11+'4.4.sz. mell.'!F11)</f>
        <v>0</v>
      </c>
      <c r="E11" s="1415">
        <f t="shared" si="0"/>
        <v>0</v>
      </c>
      <c r="F11" s="483">
        <f>SUM('4.1 sz. mell'!H11)</f>
        <v>0</v>
      </c>
      <c r="G11" s="1404">
        <f t="shared" si="0"/>
        <v>0</v>
      </c>
      <c r="H11" s="483">
        <f>SUM('4.1 sz. mell'!J11)</f>
        <v>0</v>
      </c>
      <c r="I11" s="3351">
        <f t="shared" si="0"/>
        <v>0</v>
      </c>
      <c r="J11" s="483">
        <f>SUM('4.1 sz. mell'!L11)</f>
        <v>0</v>
      </c>
      <c r="K11" s="483">
        <f>SUM('4.1 sz. mell'!M11)</f>
        <v>0</v>
      </c>
      <c r="L11" s="246"/>
    </row>
    <row r="12" spans="1:14" s="141" customFormat="1" ht="15" customHeight="1" x14ac:dyDescent="0.2">
      <c r="A12" s="142"/>
      <c r="B12" s="143" t="s">
        <v>158</v>
      </c>
      <c r="C12" s="812" t="s">
        <v>978</v>
      </c>
      <c r="D12" s="144">
        <f>SUM('4.1 sz. mell'!F12+'4.2.sz. mell. '!F12+'4.3 sz. mell.'!F12+'4.4.sz. mell.'!F12)</f>
        <v>0</v>
      </c>
      <c r="E12" s="1415">
        <f t="shared" si="0"/>
        <v>0</v>
      </c>
      <c r="F12" s="483">
        <f>SUM('4.1 sz. mell'!H12)</f>
        <v>0</v>
      </c>
      <c r="G12" s="1404">
        <f t="shared" si="0"/>
        <v>0</v>
      </c>
      <c r="H12" s="483">
        <f>SUM('4.1 sz. mell'!J12)</f>
        <v>0</v>
      </c>
      <c r="I12" s="3351">
        <f t="shared" si="0"/>
        <v>0</v>
      </c>
      <c r="J12" s="483">
        <f>SUM('4.1 sz. mell'!L12)</f>
        <v>0</v>
      </c>
      <c r="K12" s="483">
        <f>SUM('4.1 sz. mell'!M12)</f>
        <v>0</v>
      </c>
      <c r="L12" s="246"/>
    </row>
    <row r="13" spans="1:14" s="141" customFormat="1" ht="15" customHeight="1" x14ac:dyDescent="0.2">
      <c r="A13" s="142"/>
      <c r="B13" s="143" t="s">
        <v>375</v>
      </c>
      <c r="C13" s="813" t="s">
        <v>416</v>
      </c>
      <c r="D13" s="144">
        <f>SUM('4.1 sz. mell'!F13+'4.2.sz. mell. '!F13+'4.3 sz. mell.'!F13+'4.4.sz. mell.'!F13)</f>
        <v>11500000</v>
      </c>
      <c r="E13" s="1415">
        <f t="shared" si="0"/>
        <v>0</v>
      </c>
      <c r="F13" s="483">
        <f>SUM('4.1 sz. mell'!H13)</f>
        <v>11500000</v>
      </c>
      <c r="G13" s="1404">
        <f t="shared" si="0"/>
        <v>2175857</v>
      </c>
      <c r="H13" s="483">
        <f>SUM('4.1 sz. mell'!J13)</f>
        <v>13675857</v>
      </c>
      <c r="I13" s="3351">
        <f t="shared" si="0"/>
        <v>0</v>
      </c>
      <c r="J13" s="483">
        <f>SUM('4.1 sz. mell'!L13)</f>
        <v>13675857</v>
      </c>
      <c r="K13" s="483">
        <f>SUM('4.1 sz. mell'!M13)</f>
        <v>13675857</v>
      </c>
    </row>
    <row r="14" spans="1:14" s="141" customFormat="1" ht="15" customHeight="1" x14ac:dyDescent="0.2">
      <c r="A14" s="146"/>
      <c r="B14" s="143" t="s">
        <v>162</v>
      </c>
      <c r="C14" s="812" t="s">
        <v>340</v>
      </c>
      <c r="D14" s="144">
        <f>SUM('4.1 sz. mell'!F14+'4.2.sz. mell. '!F14+'4.3 sz. mell.'!F14+'4.4.sz. mell.'!F14)</f>
        <v>0</v>
      </c>
      <c r="E14" s="1415">
        <f t="shared" si="0"/>
        <v>0</v>
      </c>
      <c r="F14" s="483">
        <f>SUM('4.1 sz. mell'!H14)</f>
        <v>0</v>
      </c>
      <c r="G14" s="1404">
        <f t="shared" si="0"/>
        <v>0</v>
      </c>
      <c r="H14" s="483">
        <f>SUM('4.1 sz. mell'!J14)</f>
        <v>0</v>
      </c>
      <c r="I14" s="3351">
        <f t="shared" si="0"/>
        <v>0</v>
      </c>
      <c r="J14" s="483">
        <f>SUM('4.1 sz. mell'!L14)</f>
        <v>0</v>
      </c>
      <c r="K14" s="483">
        <f>SUM('4.1 sz. mell'!M14)</f>
        <v>0</v>
      </c>
      <c r="L14" s="246"/>
    </row>
    <row r="15" spans="1:14" s="145" customFormat="1" ht="15" customHeight="1" x14ac:dyDescent="0.2">
      <c r="A15" s="142"/>
      <c r="B15" s="143" t="s">
        <v>164</v>
      </c>
      <c r="C15" s="812" t="s">
        <v>60</v>
      </c>
      <c r="D15" s="144">
        <f>SUM('4.1 sz. mell'!F15+'4.2.sz. mell. '!F15+'4.3 sz. mell.'!F15+'4.4.sz. mell.'!F15)</f>
        <v>0</v>
      </c>
      <c r="E15" s="1415">
        <f t="shared" si="0"/>
        <v>0</v>
      </c>
      <c r="F15" s="483">
        <f>SUM('4.1 sz. mell'!H15)</f>
        <v>0</v>
      </c>
      <c r="G15" s="1404">
        <f t="shared" si="0"/>
        <v>0</v>
      </c>
      <c r="H15" s="483">
        <f>SUM('4.1 sz. mell'!J15)</f>
        <v>0</v>
      </c>
      <c r="I15" s="3351">
        <f t="shared" si="0"/>
        <v>0</v>
      </c>
      <c r="J15" s="483">
        <f>SUM('4.1 sz. mell'!L15)</f>
        <v>0</v>
      </c>
      <c r="K15" s="483">
        <f>SUM('4.1 sz. mell'!M15)</f>
        <v>0</v>
      </c>
      <c r="L15" s="246"/>
    </row>
    <row r="16" spans="1:14" s="145" customFormat="1" ht="15" customHeight="1" x14ac:dyDescent="0.2">
      <c r="A16" s="151"/>
      <c r="B16" s="152" t="s">
        <v>166</v>
      </c>
      <c r="C16" s="812" t="s">
        <v>417</v>
      </c>
      <c r="D16" s="144"/>
      <c r="E16" s="1415">
        <f t="shared" si="0"/>
        <v>0</v>
      </c>
      <c r="F16" s="483">
        <f>SUM('4.1 sz. mell'!H16)</f>
        <v>0</v>
      </c>
      <c r="G16" s="1404">
        <f t="shared" si="0"/>
        <v>4</v>
      </c>
      <c r="H16" s="483">
        <f>SUM('4.1 sz. mell'!J16)</f>
        <v>4</v>
      </c>
      <c r="I16" s="3351">
        <f t="shared" si="0"/>
        <v>0</v>
      </c>
      <c r="J16" s="483">
        <f>SUM('4.1 sz. mell'!L16)</f>
        <v>4</v>
      </c>
      <c r="K16" s="483">
        <f>SUM('4.1 sz. mell'!M16)</f>
        <v>4</v>
      </c>
      <c r="L16" s="246"/>
    </row>
    <row r="17" spans="1:12" s="145" customFormat="1" ht="15" customHeight="1" x14ac:dyDescent="0.2">
      <c r="A17" s="151"/>
      <c r="B17" s="152" t="s">
        <v>168</v>
      </c>
      <c r="C17" s="812" t="s">
        <v>64</v>
      </c>
      <c r="D17" s="144"/>
      <c r="E17" s="1415">
        <f t="shared" si="0"/>
        <v>0</v>
      </c>
      <c r="F17" s="483">
        <f>SUM('4.1 sz. mell'!H17)</f>
        <v>0</v>
      </c>
      <c r="G17" s="1404">
        <f t="shared" si="0"/>
        <v>0</v>
      </c>
      <c r="H17" s="483">
        <f>SUM('4.1 sz. mell'!J17)</f>
        <v>0</v>
      </c>
      <c r="I17" s="3351">
        <f t="shared" si="0"/>
        <v>0</v>
      </c>
      <c r="J17" s="483">
        <f>SUM('4.1 sz. mell'!L17)</f>
        <v>0</v>
      </c>
      <c r="K17" s="483">
        <f>SUM('4.1 sz. mell'!M17)</f>
        <v>0</v>
      </c>
      <c r="L17" s="246"/>
    </row>
    <row r="18" spans="1:12" s="145" customFormat="1" ht="15" customHeight="1" thickBot="1" x14ac:dyDescent="0.25">
      <c r="A18" s="151"/>
      <c r="B18" s="152" t="s">
        <v>170</v>
      </c>
      <c r="C18" s="813" t="s">
        <v>418</v>
      </c>
      <c r="D18" s="153">
        <f>SUM('4.1 sz. mell'!F18+'4.2.sz. mell. '!F18+'4.3 sz. mell.'!F18+'4.4.sz. mell.'!F18)</f>
        <v>0</v>
      </c>
      <c r="E18" s="1415">
        <f t="shared" si="0"/>
        <v>0</v>
      </c>
      <c r="F18" s="825">
        <f>SUM('4.1 sz. mell'!H18)</f>
        <v>0</v>
      </c>
      <c r="G18" s="1404">
        <f t="shared" si="0"/>
        <v>153798</v>
      </c>
      <c r="H18" s="825">
        <f>SUM('4.1 sz. mell'!J18)+'4.4.sz. mell.'!J18</f>
        <v>153798</v>
      </c>
      <c r="I18" s="3351">
        <f t="shared" si="0"/>
        <v>0</v>
      </c>
      <c r="J18" s="825">
        <f>SUM('4.1 sz. mell'!L18)+'4.4.sz. mell.'!L18</f>
        <v>153798</v>
      </c>
      <c r="K18" s="825">
        <f>SUM('4.1 sz. mell'!M18)+'4.4.sz. mell.'!M18</f>
        <v>153798</v>
      </c>
      <c r="L18" s="246"/>
    </row>
    <row r="19" spans="1:12" s="145" customFormat="1" ht="15" customHeight="1" thickBot="1" x14ac:dyDescent="0.25">
      <c r="A19" s="134"/>
      <c r="B19" s="154"/>
      <c r="C19" s="860" t="s">
        <v>32</v>
      </c>
      <c r="D19" s="445">
        <f>SUM('4.1 sz. mell'!F19)</f>
        <v>0</v>
      </c>
      <c r="E19" s="2713"/>
      <c r="F19" s="674">
        <f>SUM('4.1 sz. mell'!H19)</f>
        <v>0</v>
      </c>
      <c r="G19" s="1477"/>
      <c r="H19" s="674">
        <f>SUM('4.1 sz. mell'!J19)</f>
        <v>56800</v>
      </c>
      <c r="I19" s="3375">
        <f t="shared" si="0"/>
        <v>0</v>
      </c>
      <c r="J19" s="674">
        <f>SUM('4.1 sz. mell'!L19)</f>
        <v>56800</v>
      </c>
      <c r="K19" s="674">
        <f>SUM('4.1 sz. mell'!M19)</f>
        <v>56800</v>
      </c>
      <c r="L19" s="246"/>
    </row>
    <row r="20" spans="1:12" s="141" customFormat="1" ht="30" customHeight="1" thickBot="1" x14ac:dyDescent="0.25">
      <c r="A20" s="134" t="s">
        <v>17</v>
      </c>
      <c r="B20" s="148"/>
      <c r="C20" s="810" t="s">
        <v>419</v>
      </c>
      <c r="D20" s="137">
        <f>SUM(D21+D26+D27)</f>
        <v>0</v>
      </c>
      <c r="E20" s="1382">
        <f>SUM(F20-D20)</f>
        <v>7513536</v>
      </c>
      <c r="F20" s="826">
        <f>SUM(F21+F26+F27)</f>
        <v>7513536</v>
      </c>
      <c r="G20" s="1382">
        <f t="shared" ref="G20:G25" si="1">SUM(H20-F20)</f>
        <v>0</v>
      </c>
      <c r="H20" s="826">
        <f>SUM(H21+H26+H27)</f>
        <v>7513536</v>
      </c>
      <c r="I20" s="3375">
        <f t="shared" si="0"/>
        <v>0</v>
      </c>
      <c r="J20" s="826">
        <f>SUM(J21+J26+J27)</f>
        <v>7513536</v>
      </c>
      <c r="K20" s="826">
        <f>SUM(K21+K26+K27)</f>
        <v>7513536</v>
      </c>
    </row>
    <row r="21" spans="1:12" s="145" customFormat="1" ht="31.5" customHeight="1" x14ac:dyDescent="0.2">
      <c r="A21" s="142"/>
      <c r="B21" s="143" t="s">
        <v>5</v>
      </c>
      <c r="C21" s="814" t="s">
        <v>420</v>
      </c>
      <c r="D21" s="144">
        <f>SUM(D22:D25)</f>
        <v>0</v>
      </c>
      <c r="E21" s="1415"/>
      <c r="F21" s="483">
        <f>SUM(F22:F25)</f>
        <v>7513536</v>
      </c>
      <c r="G21" s="1404">
        <f t="shared" si="1"/>
        <v>0</v>
      </c>
      <c r="H21" s="483">
        <f>SUM(H22:H25)</f>
        <v>7513536</v>
      </c>
      <c r="I21" s="3351">
        <f t="shared" si="0"/>
        <v>0</v>
      </c>
      <c r="J21" s="483">
        <f>SUM(J22:J25)</f>
        <v>7513536</v>
      </c>
      <c r="K21" s="483">
        <f>SUM(K22:O25)</f>
        <v>7513536</v>
      </c>
      <c r="L21" s="141"/>
    </row>
    <row r="22" spans="1:12" s="145" customFormat="1" ht="15" customHeight="1" x14ac:dyDescent="0.2">
      <c r="A22" s="142"/>
      <c r="B22" s="143" t="s">
        <v>421</v>
      </c>
      <c r="C22" s="812" t="s">
        <v>422</v>
      </c>
      <c r="D22" s="144"/>
      <c r="E22" s="1415"/>
      <c r="F22" s="483"/>
      <c r="G22" s="1404">
        <f t="shared" si="1"/>
        <v>0</v>
      </c>
      <c r="H22" s="483"/>
      <c r="I22" s="3351">
        <f t="shared" si="0"/>
        <v>0</v>
      </c>
      <c r="J22" s="483"/>
      <c r="K22" s="483"/>
      <c r="L22" s="141"/>
    </row>
    <row r="23" spans="1:12" s="145" customFormat="1" ht="19.5" customHeight="1" x14ac:dyDescent="0.2">
      <c r="A23" s="142"/>
      <c r="B23" s="143" t="s">
        <v>360</v>
      </c>
      <c r="C23" s="812" t="s">
        <v>1429</v>
      </c>
      <c r="D23" s="144"/>
      <c r="E23" s="1415"/>
      <c r="F23" s="483">
        <f>SUM('4.1 sz. mell'!H23)</f>
        <v>0</v>
      </c>
      <c r="G23" s="1404">
        <f t="shared" si="1"/>
        <v>0</v>
      </c>
      <c r="H23" s="483">
        <f>SUM('4.1 sz. mell'!J23)</f>
        <v>0</v>
      </c>
      <c r="I23" s="3351">
        <f t="shared" si="0"/>
        <v>0</v>
      </c>
      <c r="J23" s="483">
        <f>SUM('4.1 sz. mell'!L23)</f>
        <v>0</v>
      </c>
      <c r="K23" s="483">
        <f>SUM('4.1 sz. mell'!M23)</f>
        <v>0</v>
      </c>
      <c r="L23" s="141"/>
    </row>
    <row r="24" spans="1:12" s="145" customFormat="1" ht="15" customHeight="1" x14ac:dyDescent="0.2">
      <c r="A24" s="142"/>
      <c r="B24" s="143" t="s">
        <v>357</v>
      </c>
      <c r="C24" s="812" t="s">
        <v>424</v>
      </c>
      <c r="D24" s="144">
        <f>SUM('4.1 sz. mell'!F24+'4.2.sz. mell. '!F23+'4.3 sz. mell.'!F23+'4.4.sz. mell.'!F23)</f>
        <v>0</v>
      </c>
      <c r="E24" s="1415"/>
      <c r="F24" s="483">
        <f>SUM('4.1 sz. mell'!H24+'4.2.sz. mell. '!H23+'4.3 sz. mell.'!H23+'4.4.sz. mell.'!H23)</f>
        <v>0</v>
      </c>
      <c r="G24" s="1404">
        <f t="shared" si="1"/>
        <v>0</v>
      </c>
      <c r="H24" s="483">
        <f>SUM('4.1 sz. mell'!J24+'4.2.sz. mell. '!J23+'4.3 sz. mell.'!J23+'4.4.sz. mell.'!J23)</f>
        <v>0</v>
      </c>
      <c r="I24" s="3351">
        <f t="shared" si="0"/>
        <v>0</v>
      </c>
      <c r="J24" s="483">
        <f>SUM('4.1 sz. mell'!L24+'4.2.sz. mell. '!L23+'4.3 sz. mell.'!L23+'4.4.sz. mell.'!L23)</f>
        <v>0</v>
      </c>
      <c r="K24" s="483">
        <f>SUM('4.1 sz. mell'!M24+'4.2.sz. mell. '!M23+'4.3 sz. mell.'!M23+'4.4.sz. mell.'!M23)</f>
        <v>0</v>
      </c>
      <c r="L24" s="141"/>
    </row>
    <row r="25" spans="1:12" s="145" customFormat="1" ht="29.25" customHeight="1" x14ac:dyDescent="0.2">
      <c r="A25" s="142"/>
      <c r="B25" s="143" t="s">
        <v>1728</v>
      </c>
      <c r="C25" s="812" t="s">
        <v>1729</v>
      </c>
      <c r="D25" s="144"/>
      <c r="E25" s="1415"/>
      <c r="F25" s="483">
        <f>SUM('4.1 sz. mell'!H25)</f>
        <v>7513536</v>
      </c>
      <c r="G25" s="1404">
        <f t="shared" si="1"/>
        <v>0</v>
      </c>
      <c r="H25" s="483">
        <f>SUM('4.1 sz. mell'!J25)</f>
        <v>7513536</v>
      </c>
      <c r="I25" s="3351">
        <f t="shared" si="0"/>
        <v>0</v>
      </c>
      <c r="J25" s="483">
        <f>SUM('4.1 sz. mell'!L25)</f>
        <v>7513536</v>
      </c>
      <c r="K25" s="483">
        <f>SUM('4. sz. mell.'!M23)</f>
        <v>7513536</v>
      </c>
      <c r="L25" s="141"/>
    </row>
    <row r="26" spans="1:12" s="145" customFormat="1" ht="15" customHeight="1" x14ac:dyDescent="0.2">
      <c r="A26" s="142"/>
      <c r="B26" s="143" t="s">
        <v>7</v>
      </c>
      <c r="C26" s="812" t="s">
        <v>6</v>
      </c>
      <c r="D26" s="144">
        <f>SUM('4.1 sz. mell'!F26+'4.2.sz. mell. '!F24+'4.3 sz. mell.'!F24+'4.4.sz. mell.'!F24)</f>
        <v>0</v>
      </c>
      <c r="E26" s="1415"/>
      <c r="F26" s="483"/>
      <c r="G26" s="1404"/>
      <c r="H26" s="483"/>
      <c r="I26" s="3351">
        <f t="shared" ref="I26:I62" si="2">SUM(J26-H26)</f>
        <v>0</v>
      </c>
      <c r="J26" s="483"/>
      <c r="K26" s="483"/>
      <c r="L26" s="141"/>
    </row>
    <row r="27" spans="1:12" s="145" customFormat="1" ht="15" customHeight="1" thickBot="1" x14ac:dyDescent="0.25">
      <c r="A27" s="142"/>
      <c r="B27" s="143" t="s">
        <v>9</v>
      </c>
      <c r="C27" s="812" t="s">
        <v>425</v>
      </c>
      <c r="D27" s="153">
        <f>SUM('4.1 sz. mell'!F27+'4.2.sz. mell. '!F25+'4.3 sz. mell.'!F25+'4.4.sz. mell.'!F25)</f>
        <v>0</v>
      </c>
      <c r="E27" s="1518"/>
      <c r="F27" s="825">
        <f>SUM('4.1 sz. mell'!H27+'4.2.sz. mell. '!H25+'4.3 sz. mell.'!H25+'4.4.sz. mell.'!H25)</f>
        <v>0</v>
      </c>
      <c r="G27" s="1406"/>
      <c r="H27" s="825">
        <f>SUM('4.1 sz. mell'!J27+'4.2.sz. mell. '!J25+'4.3 sz. mell.'!J25+'4.4.sz. mell.'!J25)</f>
        <v>0</v>
      </c>
      <c r="I27" s="3351">
        <f t="shared" si="2"/>
        <v>0</v>
      </c>
      <c r="J27" s="825">
        <f>SUM('4.1 sz. mell'!L27+'4.2.sz. mell. '!L25+'4.3 sz. mell.'!L25+'4.4.sz. mell.'!L25)</f>
        <v>0</v>
      </c>
      <c r="K27" s="825">
        <f>SUM('4.1 sz. mell'!M27+'4.2.sz. mell. '!M25+'4.3 sz. mell.'!M25+'4.4.sz. mell.'!M25)</f>
        <v>0</v>
      </c>
      <c r="L27" s="141"/>
    </row>
    <row r="28" spans="1:12" s="145" customFormat="1" ht="15" customHeight="1" thickBot="1" x14ac:dyDescent="0.25">
      <c r="A28" s="134" t="s">
        <v>31</v>
      </c>
      <c r="B28" s="170"/>
      <c r="C28" s="810" t="s">
        <v>426</v>
      </c>
      <c r="D28" s="252"/>
      <c r="E28" s="1509"/>
      <c r="F28" s="844"/>
      <c r="G28" s="1421"/>
      <c r="H28" s="844"/>
      <c r="I28" s="3351">
        <f t="shared" si="2"/>
        <v>0</v>
      </c>
      <c r="J28" s="844"/>
      <c r="K28" s="844"/>
      <c r="L28" s="141"/>
    </row>
    <row r="29" spans="1:12" s="145" customFormat="1" ht="30" customHeight="1" thickBot="1" x14ac:dyDescent="0.25">
      <c r="A29" s="142"/>
      <c r="B29" s="143" t="s">
        <v>19</v>
      </c>
      <c r="C29" s="812" t="s">
        <v>427</v>
      </c>
      <c r="D29" s="147"/>
      <c r="E29" s="1519"/>
      <c r="F29" s="824"/>
      <c r="G29" s="1405"/>
      <c r="H29" s="824"/>
      <c r="I29" s="3351">
        <f t="shared" si="2"/>
        <v>0</v>
      </c>
      <c r="J29" s="824"/>
      <c r="K29" s="824"/>
      <c r="L29" s="141"/>
    </row>
    <row r="30" spans="1:12" s="145" customFormat="1" ht="15" customHeight="1" thickBot="1" x14ac:dyDescent="0.25">
      <c r="A30" s="134" t="s">
        <v>45</v>
      </c>
      <c r="B30" s="148"/>
      <c r="C30" s="815" t="s">
        <v>428</v>
      </c>
      <c r="D30" s="252">
        <f>SUM(D31:D33)</f>
        <v>0</v>
      </c>
      <c r="E30" s="1509"/>
      <c r="F30" s="844">
        <f>SUM(F31:F33)</f>
        <v>0</v>
      </c>
      <c r="G30" s="1421"/>
      <c r="H30" s="844"/>
      <c r="I30" s="3375">
        <f t="shared" si="2"/>
        <v>0</v>
      </c>
      <c r="J30" s="844"/>
      <c r="K30" s="674">
        <f>SUM(K31:K33)</f>
        <v>0</v>
      </c>
      <c r="L30" s="141"/>
    </row>
    <row r="31" spans="1:12" s="145" customFormat="1" ht="15" customHeight="1" x14ac:dyDescent="0.2">
      <c r="A31" s="142"/>
      <c r="B31" s="253" t="s">
        <v>33</v>
      </c>
      <c r="C31" s="812" t="s">
        <v>359</v>
      </c>
      <c r="D31" s="150"/>
      <c r="E31" s="1533"/>
      <c r="F31" s="310"/>
      <c r="G31" s="1403"/>
      <c r="H31" s="310"/>
      <c r="I31" s="3351">
        <f t="shared" si="2"/>
        <v>0</v>
      </c>
      <c r="J31" s="310"/>
      <c r="K31" s="310"/>
      <c r="L31" s="141"/>
    </row>
    <row r="32" spans="1:12" s="145" customFormat="1" ht="15" customHeight="1" x14ac:dyDescent="0.2">
      <c r="A32" s="142"/>
      <c r="B32" s="253" t="s">
        <v>39</v>
      </c>
      <c r="C32" s="812" t="s">
        <v>72</v>
      </c>
      <c r="D32" s="144"/>
      <c r="E32" s="1415"/>
      <c r="F32" s="483"/>
      <c r="G32" s="1404"/>
      <c r="H32" s="483"/>
      <c r="I32" s="3351">
        <f t="shared" si="2"/>
        <v>0</v>
      </c>
      <c r="J32" s="483"/>
      <c r="K32" s="483"/>
      <c r="L32" s="141"/>
    </row>
    <row r="33" spans="1:16" s="145" customFormat="1" ht="15" customHeight="1" thickBot="1" x14ac:dyDescent="0.25">
      <c r="A33" s="142"/>
      <c r="B33" s="253" t="s">
        <v>41</v>
      </c>
      <c r="C33" s="812" t="s">
        <v>74</v>
      </c>
      <c r="D33" s="294"/>
      <c r="E33" s="2667"/>
      <c r="F33" s="829"/>
      <c r="G33" s="1435"/>
      <c r="H33" s="829"/>
      <c r="I33" s="3351">
        <f t="shared" si="2"/>
        <v>0</v>
      </c>
      <c r="J33" s="829"/>
      <c r="K33" s="829">
        <f>SUM('4.1 sz. mell'!M34)</f>
        <v>0</v>
      </c>
      <c r="L33" s="141"/>
    </row>
    <row r="34" spans="1:16" s="145" customFormat="1" ht="30" customHeight="1" thickBot="1" x14ac:dyDescent="0.25">
      <c r="A34" s="134">
        <v>5</v>
      </c>
      <c r="B34" s="254"/>
      <c r="C34" s="815" t="s">
        <v>429</v>
      </c>
      <c r="D34" s="155">
        <f>SUM('4.1 sz. mell'!F34+'4.2.sz. mell. '!F32+'4.3 sz. mell.'!F31+'4.4.sz. mell.'!F31)</f>
        <v>0</v>
      </c>
      <c r="E34" s="1381"/>
      <c r="F34" s="827">
        <f>SUM('4.1 sz. mell'!H34+'4.2.sz. mell. '!H32+'4.3 sz. mell.'!H31+'4.4.sz. mell.'!H31)</f>
        <v>0</v>
      </c>
      <c r="G34" s="1408"/>
      <c r="H34" s="827">
        <f>SUM('4.1 sz. mell'!J34+'4.2.sz. mell. '!J32+'4.3 sz. mell.'!J31+'4.4.sz. mell.'!J31)</f>
        <v>0</v>
      </c>
      <c r="I34" s="3375">
        <f t="shared" si="2"/>
        <v>0</v>
      </c>
      <c r="J34" s="827">
        <f>SUM('4.1 sz. mell'!L34+'4.2.sz. mell. '!L32+'4.3 sz. mell.'!L31+'4.4.sz. mell.'!L31)</f>
        <v>0</v>
      </c>
      <c r="K34" s="827"/>
      <c r="L34" s="141"/>
    </row>
    <row r="35" spans="1:16" s="145" customFormat="1" ht="30.75" customHeight="1" thickBot="1" x14ac:dyDescent="0.25">
      <c r="A35" s="134"/>
      <c r="B35" s="255" t="s">
        <v>47</v>
      </c>
      <c r="C35" s="814" t="s">
        <v>430</v>
      </c>
      <c r="D35" s="155"/>
      <c r="E35" s="1381"/>
      <c r="F35" s="827"/>
      <c r="G35" s="1408"/>
      <c r="H35" s="827"/>
      <c r="I35" s="3351">
        <f t="shared" si="2"/>
        <v>0</v>
      </c>
      <c r="J35" s="827"/>
      <c r="K35" s="827"/>
      <c r="L35" s="141"/>
    </row>
    <row r="36" spans="1:16" s="145" customFormat="1" ht="15" customHeight="1" thickBot="1" x14ac:dyDescent="0.3">
      <c r="A36" s="134" t="s">
        <v>79</v>
      </c>
      <c r="B36" s="256"/>
      <c r="C36" s="810" t="s">
        <v>431</v>
      </c>
      <c r="D36" s="155"/>
      <c r="E36" s="1381"/>
      <c r="F36" s="827">
        <f t="shared" ref="F36:K36" si="3">SUM(F37)</f>
        <v>0</v>
      </c>
      <c r="G36" s="1461">
        <f t="shared" si="3"/>
        <v>0</v>
      </c>
      <c r="H36" s="827">
        <f t="shared" si="3"/>
        <v>556836</v>
      </c>
      <c r="I36" s="3375">
        <f t="shared" si="2"/>
        <v>0</v>
      </c>
      <c r="J36" s="827">
        <f t="shared" si="3"/>
        <v>556836</v>
      </c>
      <c r="K36" s="827">
        <f t="shared" si="3"/>
        <v>556836</v>
      </c>
      <c r="L36" s="141"/>
    </row>
    <row r="37" spans="1:16" s="141" customFormat="1" ht="30.75" customHeight="1" thickBot="1" x14ac:dyDescent="0.25">
      <c r="A37" s="134"/>
      <c r="B37" s="257" t="s">
        <v>69</v>
      </c>
      <c r="C37" s="812" t="s">
        <v>432</v>
      </c>
      <c r="D37" s="1485">
        <f>SUM('4.1 sz. mell'!F38+'4.2.sz. mell. '!F33+'4.3 sz. mell.'!F32+'4.4.sz. mell.'!F32)</f>
        <v>0</v>
      </c>
      <c r="E37" s="2660"/>
      <c r="F37" s="854">
        <f>SUM('4.1 sz. mell'!H38+'4.2.sz. mell. '!H33+'4.3 sz. mell.'!H32+'4.4.sz. mell.'!H32)</f>
        <v>0</v>
      </c>
      <c r="G37" s="1408"/>
      <c r="H37" s="854">
        <f>SUM('4.1 sz. mell'!J38+'4.2.sz. mell. '!J33+'4.3 sz. mell.'!J32+'4.4.sz. mell.'!J32)</f>
        <v>556836</v>
      </c>
      <c r="I37" s="3351">
        <f t="shared" si="2"/>
        <v>0</v>
      </c>
      <c r="J37" s="854">
        <f>SUM('4.1 sz. mell'!L38+'4.2.sz. mell. '!L33+'4.3 sz. mell.'!L32+'4.4.sz. mell.'!L32)</f>
        <v>556836</v>
      </c>
      <c r="K37" s="854">
        <f>SUM('4.1 sz. mell'!M38)</f>
        <v>556836</v>
      </c>
    </row>
    <row r="38" spans="1:16" s="141" customFormat="1" ht="15" customHeight="1" thickBot="1" x14ac:dyDescent="0.3">
      <c r="A38" s="134" t="s">
        <v>89</v>
      </c>
      <c r="B38" s="256"/>
      <c r="C38" s="815" t="s">
        <v>433</v>
      </c>
      <c r="D38" s="2788">
        <f>+D39+D40+D41</f>
        <v>287133276</v>
      </c>
      <c r="E38" s="2767">
        <f t="shared" ref="E38:G44" si="4">SUM(F38-D38)</f>
        <v>-3603579</v>
      </c>
      <c r="F38" s="864">
        <f>+F39+F40+F41</f>
        <v>283529697</v>
      </c>
      <c r="G38" s="1461">
        <f t="shared" si="4"/>
        <v>-6584430</v>
      </c>
      <c r="H38" s="864">
        <f>+H39+H40+H41</f>
        <v>276945267</v>
      </c>
      <c r="I38" s="3375">
        <f t="shared" si="2"/>
        <v>0</v>
      </c>
      <c r="J38" s="864">
        <f>+J39+J40+J41</f>
        <v>276945267</v>
      </c>
      <c r="K38" s="864">
        <f>+K39+K40+K41</f>
        <v>279270697</v>
      </c>
    </row>
    <row r="39" spans="1:16" s="141" customFormat="1" ht="15" customHeight="1" x14ac:dyDescent="0.2">
      <c r="A39" s="149"/>
      <c r="B39" s="253" t="s">
        <v>81</v>
      </c>
      <c r="C39" s="812" t="s">
        <v>434</v>
      </c>
      <c r="D39" s="144"/>
      <c r="E39" s="1415">
        <f t="shared" si="4"/>
        <v>4003410</v>
      </c>
      <c r="F39" s="483">
        <f>SUM('4.2.sz. mell. '!H37)+'4.1 sz. mell'!H40</f>
        <v>4003410</v>
      </c>
      <c r="G39" s="1404">
        <f t="shared" si="4"/>
        <v>0</v>
      </c>
      <c r="H39" s="483">
        <f>SUM('4.2.sz. mell. '!J37)+'4.1 sz. mell'!J40</f>
        <v>4003410</v>
      </c>
      <c r="I39" s="3351">
        <f t="shared" si="2"/>
        <v>0</v>
      </c>
      <c r="J39" s="483">
        <f>SUM('4.2.sz. mell. '!L37)+'4.1 sz. mell'!L40</f>
        <v>4003410</v>
      </c>
      <c r="K39" s="483">
        <f>SUM('4.2.sz. mell. '!M37)+'4.1 sz. mell'!M40</f>
        <v>4003410</v>
      </c>
    </row>
    <row r="40" spans="1:16" s="141" customFormat="1" ht="15" customHeight="1" x14ac:dyDescent="0.2">
      <c r="A40" s="142"/>
      <c r="B40" s="253" t="s">
        <v>83</v>
      </c>
      <c r="C40" s="812" t="s">
        <v>435</v>
      </c>
      <c r="D40" s="153"/>
      <c r="E40" s="1415">
        <f t="shared" si="4"/>
        <v>0</v>
      </c>
      <c r="F40" s="825"/>
      <c r="G40" s="1404">
        <f t="shared" si="4"/>
        <v>0</v>
      </c>
      <c r="H40" s="825"/>
      <c r="I40" s="3351">
        <f t="shared" si="2"/>
        <v>0</v>
      </c>
      <c r="J40" s="825"/>
      <c r="K40" s="825"/>
    </row>
    <row r="41" spans="1:16" s="145" customFormat="1" x14ac:dyDescent="0.2">
      <c r="A41" s="671"/>
      <c r="B41" s="253" t="s">
        <v>85</v>
      </c>
      <c r="C41" s="812" t="s">
        <v>1433</v>
      </c>
      <c r="D41" s="153">
        <f>SUM(D42:D43)</f>
        <v>287133276</v>
      </c>
      <c r="E41" s="1415">
        <f t="shared" si="4"/>
        <v>-7606989</v>
      </c>
      <c r="F41" s="825">
        <f>SUM(F42:F43)</f>
        <v>279526287</v>
      </c>
      <c r="G41" s="1404">
        <f t="shared" si="4"/>
        <v>-6584430</v>
      </c>
      <c r="H41" s="825">
        <f>SUM(H42:H43)</f>
        <v>272941857</v>
      </c>
      <c r="I41" s="3351">
        <f t="shared" si="2"/>
        <v>0</v>
      </c>
      <c r="J41" s="825">
        <f>SUM(J42:J43)</f>
        <v>272941857</v>
      </c>
      <c r="K41" s="825">
        <f>SUM(K42:K43)</f>
        <v>275267287</v>
      </c>
      <c r="L41" s="141"/>
    </row>
    <row r="42" spans="1:16" s="145" customFormat="1" x14ac:dyDescent="0.2">
      <c r="A42" s="671"/>
      <c r="B42" s="260" t="s">
        <v>437</v>
      </c>
      <c r="C42" s="850" t="s">
        <v>891</v>
      </c>
      <c r="D42" s="2793">
        <f>SUM('4.1 sz. mell'!F43+'4.2.sz. mell. '!F40+'4.3 sz. mell.'!F40+'4.4.sz. mell.'!F41)</f>
        <v>0</v>
      </c>
      <c r="E42" s="1534">
        <f t="shared" si="4"/>
        <v>0</v>
      </c>
      <c r="F42" s="1298">
        <f>SUM('4.1 sz. mell'!H43+'4.2.sz. mell. '!H40+'4.3 sz. mell.'!H40+'4.4.sz. mell.'!H41+'.......'!H40)</f>
        <v>0</v>
      </c>
      <c r="G42" s="1572">
        <f t="shared" si="4"/>
        <v>0</v>
      </c>
      <c r="H42" s="1298">
        <f>SUM('4.1 sz. mell'!J43+'4.2.sz. mell. '!J40+'4.3 sz. mell.'!J40+'4.4.sz. mell.'!J41+'.......'!J40)</f>
        <v>0</v>
      </c>
      <c r="I42" s="3351">
        <f t="shared" si="2"/>
        <v>0</v>
      </c>
      <c r="J42" s="1298">
        <f>SUM('4.1 sz. mell'!L43+'4.2.sz. mell. '!L40+'4.3 sz. mell.'!L40+'4.4.sz. mell.'!L41+'.......'!L40)</f>
        <v>0</v>
      </c>
      <c r="K42" s="1298">
        <f>SUM('4.1 sz. mell'!M43+'4.2.sz. mell. '!M40+'4.3 sz. mell.'!M40+'4.4.sz. mell.'!M41+'.......'!M40)</f>
        <v>0</v>
      </c>
      <c r="L42" s="141"/>
      <c r="N42" s="145" t="s">
        <v>1065</v>
      </c>
      <c r="O42" s="145" t="s">
        <v>1931</v>
      </c>
      <c r="P42" s="145" t="s">
        <v>289</v>
      </c>
    </row>
    <row r="43" spans="1:16" s="145" customFormat="1" ht="15.75" thickBot="1" x14ac:dyDescent="0.25">
      <c r="A43" s="672"/>
      <c r="B43" s="263" t="s">
        <v>439</v>
      </c>
      <c r="C43" s="851" t="s">
        <v>532</v>
      </c>
      <c r="D43" s="1306">
        <v>287133276</v>
      </c>
      <c r="E43" s="1534">
        <f t="shared" si="4"/>
        <v>-7606989</v>
      </c>
      <c r="F43" s="1297">
        <f>SUM('4.1 sz. mell'!H44+'4.2.sz. mell. '!H41+'4.3 sz. mell.'!H41+'4.4.sz. mell.'!H42-'4. b.sz. mell.'!F40-'4.c. sz. mell.'!H42)</f>
        <v>279526287</v>
      </c>
      <c r="G43" s="1572">
        <f>SUM('4.1 sz. mell'!I44+'4.2.sz. mell. '!I41+'4.3 sz. mell.'!I41+'4.4.sz. mell.'!I42-'4. b.sz. mell.'!G40-'4.c. sz. mell.'!I42)</f>
        <v>-6584430</v>
      </c>
      <c r="H43" s="1297">
        <f>SUM('4.1 sz. mell'!J44+'4.2.sz. mell. '!J41+'4.3 sz. mell.'!J41+'4.4.sz. mell.'!J42-'4. b.sz. mell.'!H40-'4.c. sz. mell.'!J42)</f>
        <v>272941857</v>
      </c>
      <c r="I43" s="3351">
        <f t="shared" si="2"/>
        <v>0</v>
      </c>
      <c r="J43" s="1297">
        <f>SUM('4.1 sz. mell'!L44+'4.2.sz. mell. '!L41+'4.3 sz. mell.'!L41+'4.4.sz. mell.'!L42-'4. b.sz. mell.'!J40-'4.c. sz. mell.'!L42)</f>
        <v>272941857</v>
      </c>
      <c r="K43" s="1297">
        <f>SUM('4.1 sz. mell'!M44+'4.2.sz. mell. '!M41+'4.3 sz. mell.'!M41+'4.4.sz. mell.'!M42-'4. b.sz. mell.'!K40-'4.c. sz. mell.'!M42)</f>
        <v>275267287</v>
      </c>
    </row>
    <row r="44" spans="1:16" s="145" customFormat="1" ht="16.5" thickBot="1" x14ac:dyDescent="0.3">
      <c r="A44" s="192" t="s">
        <v>99</v>
      </c>
      <c r="B44" s="2794"/>
      <c r="C44" s="861" t="s">
        <v>441</v>
      </c>
      <c r="D44" s="162">
        <f>SUM(D38+D36+D34+D30+D28+D20+D8)</f>
        <v>298633276</v>
      </c>
      <c r="E44" s="1437">
        <f t="shared" si="4"/>
        <v>3909957</v>
      </c>
      <c r="F44" s="545">
        <f>SUM(F38+F36+F34+F30+F28+F20+F8)+F19</f>
        <v>302543233</v>
      </c>
      <c r="G44" s="1401">
        <f t="shared" si="4"/>
        <v>3351155</v>
      </c>
      <c r="H44" s="545">
        <f>SUM(H38+H36+H34+H30+H28+H20+H8)+H19</f>
        <v>305894388</v>
      </c>
      <c r="I44" s="3375">
        <f t="shared" si="2"/>
        <v>0</v>
      </c>
      <c r="J44" s="545">
        <f>SUM(J38+J36+J34+J30+J28+J20+J8)+J19</f>
        <v>305894388</v>
      </c>
      <c r="K44" s="545">
        <f>SUM(K38+K36+K34+K30+K28+K20+K8)+K19</f>
        <v>308219818</v>
      </c>
      <c r="L44" s="205">
        <f>SUM(D44-D62)</f>
        <v>0</v>
      </c>
      <c r="M44" s="205">
        <f>SUM(F44-F62)</f>
        <v>0</v>
      </c>
      <c r="N44" s="205">
        <f>SUM(H44-H62)</f>
        <v>0</v>
      </c>
      <c r="O44" s="205">
        <f>SUM(J44-J62)</f>
        <v>0</v>
      </c>
      <c r="P44" s="205">
        <f>SUM(K44-K62)</f>
        <v>4456720</v>
      </c>
    </row>
    <row r="45" spans="1:16" s="145" customFormat="1" ht="15" customHeight="1" thickBot="1" x14ac:dyDescent="0.25">
      <c r="A45" s="2098"/>
      <c r="B45" s="163"/>
      <c r="C45" s="164"/>
      <c r="D45" s="2770"/>
      <c r="E45" s="1563"/>
      <c r="F45" s="1563"/>
      <c r="G45" s="1563"/>
      <c r="H45" s="1563"/>
      <c r="I45" s="3349"/>
      <c r="J45" s="1563"/>
      <c r="K45" s="753"/>
    </row>
    <row r="46" spans="1:16" s="129" customFormat="1" ht="21" customHeight="1" thickBot="1" x14ac:dyDescent="0.25">
      <c r="A46" s="244"/>
      <c r="B46" s="245"/>
      <c r="C46" s="245" t="s">
        <v>231</v>
      </c>
      <c r="D46" s="2779"/>
      <c r="E46" s="2763"/>
      <c r="F46" s="858"/>
      <c r="G46" s="1558"/>
      <c r="H46" s="858"/>
      <c r="I46" s="3350"/>
      <c r="J46" s="858"/>
      <c r="K46" s="858"/>
    </row>
    <row r="47" spans="1:16" s="172" customFormat="1" ht="15" customHeight="1" thickBot="1" x14ac:dyDescent="0.25">
      <c r="A47" s="134" t="s">
        <v>3</v>
      </c>
      <c r="B47" s="170"/>
      <c r="C47" s="817" t="s">
        <v>442</v>
      </c>
      <c r="D47" s="64">
        <f>SUM(D48:D52)</f>
        <v>298633276</v>
      </c>
      <c r="E47" s="2665">
        <f t="shared" ref="E47:E52" si="5">SUM(F47-D47)</f>
        <v>3909957</v>
      </c>
      <c r="F47" s="823">
        <f>SUM(F48:F52)</f>
        <v>302543233</v>
      </c>
      <c r="G47" s="1402">
        <f t="shared" ref="G47:G52" si="6">SUM(H47-F47)</f>
        <v>3351155</v>
      </c>
      <c r="H47" s="823">
        <f>SUM(H48:H52)</f>
        <v>305894388</v>
      </c>
      <c r="I47" s="3375">
        <f t="shared" si="2"/>
        <v>0</v>
      </c>
      <c r="J47" s="823">
        <f>SUM(J48:J52)</f>
        <v>305894388</v>
      </c>
      <c r="K47" s="823">
        <f>SUM(K48:K52)</f>
        <v>303763098</v>
      </c>
    </row>
    <row r="48" spans="1:16" ht="15" customHeight="1" x14ac:dyDescent="0.2">
      <c r="A48" s="173"/>
      <c r="B48" s="174" t="s">
        <v>152</v>
      </c>
      <c r="C48" s="814" t="s">
        <v>153</v>
      </c>
      <c r="D48" s="144">
        <f>SUM('4. sz. mell.'!F46-'4.c. sz. mell.'!F47)</f>
        <v>203653978</v>
      </c>
      <c r="E48" s="1415">
        <f t="shared" si="5"/>
        <v>-2704900</v>
      </c>
      <c r="F48" s="483">
        <f>SUM('4. sz. mell.'!H46-'4.c. sz. mell.'!H47)</f>
        <v>200949078</v>
      </c>
      <c r="G48" s="1404">
        <f t="shared" si="6"/>
        <v>17889561</v>
      </c>
      <c r="H48" s="483">
        <f>SUM('4. sz. mell.'!J46-'4.c. sz. mell.'!J47)</f>
        <v>218838639</v>
      </c>
      <c r="I48" s="3351">
        <f t="shared" si="2"/>
        <v>0</v>
      </c>
      <c r="J48" s="483">
        <f>SUM('4. sz. mell.'!L46-'4.c. sz. mell.'!L47)</f>
        <v>218838639</v>
      </c>
      <c r="K48" s="483">
        <f>SUM('4. sz. mell.'!M46-'4.c. sz. mell.'!M47)</f>
        <v>218838639</v>
      </c>
    </row>
    <row r="49" spans="1:11" ht="15" customHeight="1" x14ac:dyDescent="0.2">
      <c r="A49" s="142"/>
      <c r="B49" s="176" t="s">
        <v>154</v>
      </c>
      <c r="C49" s="812" t="s">
        <v>155</v>
      </c>
      <c r="D49" s="144">
        <f>SUM('4. sz. mell.'!F47-'4.c. sz. mell.'!F48)</f>
        <v>43344980</v>
      </c>
      <c r="E49" s="1415">
        <f t="shared" si="5"/>
        <v>48907</v>
      </c>
      <c r="F49" s="483">
        <f>SUM('4. sz. mell.'!H47-'4.c. sz. mell.'!H48)</f>
        <v>43393887</v>
      </c>
      <c r="G49" s="1404">
        <f t="shared" si="6"/>
        <v>-2508093</v>
      </c>
      <c r="H49" s="483">
        <f>SUM('4. sz. mell.'!J47-'4.c. sz. mell.'!J48)</f>
        <v>40885794</v>
      </c>
      <c r="I49" s="3351">
        <f t="shared" si="2"/>
        <v>0</v>
      </c>
      <c r="J49" s="483">
        <f>SUM('4. sz. mell.'!L47-'4.c. sz. mell.'!L48)</f>
        <v>40885794</v>
      </c>
      <c r="K49" s="483">
        <f>SUM('4. sz. mell.'!M47-'4.c. sz. mell.'!M48)</f>
        <v>40885794</v>
      </c>
    </row>
    <row r="50" spans="1:11" ht="15" customHeight="1" x14ac:dyDescent="0.2">
      <c r="A50" s="142"/>
      <c r="B50" s="176" t="s">
        <v>156</v>
      </c>
      <c r="C50" s="812" t="s">
        <v>157</v>
      </c>
      <c r="D50" s="144">
        <f>SUM('4. sz. mell.'!F48-'4.c. sz. mell.'!F49)</f>
        <v>51634318</v>
      </c>
      <c r="E50" s="1415">
        <f t="shared" si="5"/>
        <v>6565950</v>
      </c>
      <c r="F50" s="483">
        <f>SUM('4. sz. mell.'!H48-'4.c. sz. mell.'!H49)</f>
        <v>58200268</v>
      </c>
      <c r="G50" s="1404">
        <f t="shared" si="6"/>
        <v>-12030313</v>
      </c>
      <c r="H50" s="483">
        <f>SUM('4. sz. mell.'!J48-'4.c. sz. mell.'!J49)</f>
        <v>46169955</v>
      </c>
      <c r="I50" s="3351">
        <f t="shared" si="2"/>
        <v>0</v>
      </c>
      <c r="J50" s="483">
        <f>SUM('4. sz. mell.'!L48-'4.c. sz. mell.'!L49)</f>
        <v>46169955</v>
      </c>
      <c r="K50" s="483">
        <f>SUM('4. sz. mell.'!M48-'4.c. sz. mell.'!M49)</f>
        <v>44038665</v>
      </c>
    </row>
    <row r="51" spans="1:11" ht="15" customHeight="1" x14ac:dyDescent="0.2">
      <c r="A51" s="142"/>
      <c r="B51" s="176" t="s">
        <v>158</v>
      </c>
      <c r="C51" s="812" t="s">
        <v>159</v>
      </c>
      <c r="D51" s="144">
        <f>SUM('4. sz. mell.'!F49-'4.c. sz. mell.'!F50)</f>
        <v>0</v>
      </c>
      <c r="E51" s="1415">
        <f t="shared" si="5"/>
        <v>0</v>
      </c>
      <c r="F51" s="483">
        <f>SUM('4.1 sz. mell'!H53)</f>
        <v>0</v>
      </c>
      <c r="G51" s="1404">
        <f t="shared" si="6"/>
        <v>0</v>
      </c>
      <c r="H51" s="483">
        <f>SUM('4.1 sz. mell'!J53)</f>
        <v>0</v>
      </c>
      <c r="I51" s="3351">
        <f t="shared" si="2"/>
        <v>0</v>
      </c>
      <c r="J51" s="483">
        <f>SUM('4.1 sz. mell'!L53)</f>
        <v>0</v>
      </c>
      <c r="K51" s="483">
        <f>SUM('4.1 sz. mell'!M53)</f>
        <v>0</v>
      </c>
    </row>
    <row r="52" spans="1:11" ht="15" customHeight="1" thickBot="1" x14ac:dyDescent="0.25">
      <c r="A52" s="142"/>
      <c r="B52" s="176" t="s">
        <v>160</v>
      </c>
      <c r="C52" s="812" t="s">
        <v>161</v>
      </c>
      <c r="D52" s="144">
        <f>SUM('4. sz. mell.'!F50-'4.c. sz. mell.'!F51)</f>
        <v>0</v>
      </c>
      <c r="E52" s="1415">
        <f t="shared" si="5"/>
        <v>0</v>
      </c>
      <c r="F52" s="483">
        <f>SUM('4. sz. mell.'!H50-'4.c. sz. mell.'!H51)</f>
        <v>0</v>
      </c>
      <c r="G52" s="1404">
        <f t="shared" si="6"/>
        <v>0</v>
      </c>
      <c r="H52" s="483">
        <f>SUM('4. sz. mell.'!J50-'4.c. sz. mell.'!J51)</f>
        <v>0</v>
      </c>
      <c r="I52" s="3351">
        <f t="shared" si="2"/>
        <v>0</v>
      </c>
      <c r="J52" s="483">
        <f>SUM('4. sz. mell.'!P50-'4.c. sz. mell.'!L51)</f>
        <v>0</v>
      </c>
      <c r="K52" s="483">
        <f>SUM('4. sz. mell.'!M50-'4.c. sz. mell.'!M51)</f>
        <v>0</v>
      </c>
    </row>
    <row r="53" spans="1:11" ht="12.75" hidden="1" customHeight="1" x14ac:dyDescent="0.2">
      <c r="A53" s="142"/>
      <c r="B53" s="143"/>
      <c r="C53" s="812"/>
      <c r="D53" s="144"/>
      <c r="E53" s="1415"/>
      <c r="F53" s="483"/>
      <c r="G53" s="1404"/>
      <c r="H53" s="483"/>
      <c r="I53" s="3351">
        <f t="shared" si="2"/>
        <v>0</v>
      </c>
      <c r="J53" s="483"/>
      <c r="K53" s="483"/>
    </row>
    <row r="54" spans="1:11" ht="12.75" hidden="1" customHeight="1" x14ac:dyDescent="0.2">
      <c r="A54" s="142"/>
      <c r="B54" s="143"/>
      <c r="C54" s="812"/>
      <c r="D54" s="144"/>
      <c r="E54" s="1415"/>
      <c r="F54" s="483"/>
      <c r="G54" s="1404"/>
      <c r="H54" s="483"/>
      <c r="I54" s="3351">
        <f t="shared" si="2"/>
        <v>0</v>
      </c>
      <c r="J54" s="483"/>
      <c r="K54" s="483"/>
    </row>
    <row r="55" spans="1:11" ht="18.75" customHeight="1" thickBot="1" x14ac:dyDescent="0.25">
      <c r="A55" s="134" t="s">
        <v>17</v>
      </c>
      <c r="B55" s="170"/>
      <c r="C55" s="817" t="s">
        <v>443</v>
      </c>
      <c r="D55" s="2792">
        <f>SUM(D56:D59)</f>
        <v>0</v>
      </c>
      <c r="E55" s="2768"/>
      <c r="F55" s="865">
        <f>SUM(F56:F59)</f>
        <v>0</v>
      </c>
      <c r="G55" s="1564"/>
      <c r="H55" s="865">
        <f>SUM(H56:H59)</f>
        <v>0</v>
      </c>
      <c r="I55" s="3375">
        <f t="shared" si="2"/>
        <v>0</v>
      </c>
      <c r="J55" s="865">
        <f>SUM(J56:J59)</f>
        <v>0</v>
      </c>
      <c r="K55" s="865">
        <f>SUM(K56:K59)</f>
        <v>0</v>
      </c>
    </row>
    <row r="56" spans="1:11" s="172" customFormat="1" ht="15" customHeight="1" x14ac:dyDescent="0.2">
      <c r="A56" s="173"/>
      <c r="B56" s="267" t="s">
        <v>5</v>
      </c>
      <c r="C56" s="814" t="s">
        <v>183</v>
      </c>
      <c r="D56" s="144"/>
      <c r="E56" s="1415"/>
      <c r="F56" s="483"/>
      <c r="G56" s="1404"/>
      <c r="H56" s="483"/>
      <c r="I56" s="3351">
        <f t="shared" si="2"/>
        <v>0</v>
      </c>
      <c r="J56" s="483"/>
      <c r="K56" s="483"/>
    </row>
    <row r="57" spans="1:11" ht="15" customHeight="1" x14ac:dyDescent="0.2">
      <c r="A57" s="142"/>
      <c r="B57" s="253" t="s">
        <v>7</v>
      </c>
      <c r="C57" s="812" t="s">
        <v>185</v>
      </c>
      <c r="D57" s="144"/>
      <c r="E57" s="1415"/>
      <c r="F57" s="483"/>
      <c r="G57" s="1404"/>
      <c r="H57" s="483"/>
      <c r="I57" s="3351">
        <f t="shared" si="2"/>
        <v>0</v>
      </c>
      <c r="J57" s="483"/>
      <c r="K57" s="483"/>
    </row>
    <row r="58" spans="1:11" ht="17.25" customHeight="1" thickBot="1" x14ac:dyDescent="0.25">
      <c r="A58" s="142"/>
      <c r="B58" s="253" t="s">
        <v>9</v>
      </c>
      <c r="C58" s="812" t="s">
        <v>444</v>
      </c>
      <c r="D58" s="144">
        <f>SUM('4.1 sz. mell'!F58+'4.2.sz. mell. '!F55+'4.3 sz. mell.'!F54+'4.4.sz. mell.'!F55)</f>
        <v>0</v>
      </c>
      <c r="E58" s="1415"/>
      <c r="F58" s="483">
        <f>'4.1 sz. mell'!H58</f>
        <v>0</v>
      </c>
      <c r="G58" s="1404"/>
      <c r="H58" s="483"/>
      <c r="I58" s="3351">
        <f t="shared" si="2"/>
        <v>0</v>
      </c>
      <c r="J58" s="483">
        <f>'4.1 sz. mell'!L58</f>
        <v>0</v>
      </c>
      <c r="K58" s="483"/>
    </row>
    <row r="59" spans="1:11" ht="12.75" hidden="1" customHeight="1" x14ac:dyDescent="0.2">
      <c r="A59" s="151"/>
      <c r="B59" s="152" t="s">
        <v>189</v>
      </c>
      <c r="C59" s="870" t="s">
        <v>448</v>
      </c>
      <c r="D59" s="153"/>
      <c r="E59" s="1415"/>
      <c r="F59" s="483">
        <f>'4.1 sz. mell'!H59</f>
        <v>0</v>
      </c>
      <c r="G59" s="1404"/>
      <c r="H59" s="483">
        <f>'4.1 sz. mell'!J59</f>
        <v>0</v>
      </c>
      <c r="I59" s="3351">
        <f t="shared" si="2"/>
        <v>0</v>
      </c>
      <c r="J59" s="483">
        <f>'4.1 sz. mell'!L59</f>
        <v>0</v>
      </c>
      <c r="K59" s="483">
        <f>'4.1 sz. mell'!M59</f>
        <v>0</v>
      </c>
    </row>
    <row r="60" spans="1:11" ht="15" hidden="1" customHeight="1" thickBot="1" x14ac:dyDescent="0.25">
      <c r="A60" s="142" t="s">
        <v>31</v>
      </c>
      <c r="B60" s="2771"/>
      <c r="C60" s="2791" t="s">
        <v>445</v>
      </c>
      <c r="D60" s="144">
        <f>SUM('4.1 sz. mell'!F59+'4.2.sz. mell. '!F57+'4.3 sz. mell.'!F56+'4.4.sz. mell.'!F57)</f>
        <v>0</v>
      </c>
      <c r="E60" s="1518"/>
      <c r="F60" s="483">
        <f>'4.1 sz. mell'!H60</f>
        <v>0</v>
      </c>
      <c r="G60" s="1406"/>
      <c r="H60" s="483">
        <f>'4.1 sz. mell'!J60</f>
        <v>0</v>
      </c>
      <c r="I60" s="3351">
        <f t="shared" si="2"/>
        <v>0</v>
      </c>
      <c r="J60" s="483">
        <f>'4.1 sz. mell'!L60</f>
        <v>0</v>
      </c>
      <c r="K60" s="483">
        <f>'4.1 sz. mell'!M60</f>
        <v>0</v>
      </c>
    </row>
    <row r="61" spans="1:11" s="145" customFormat="1" ht="15" hidden="1" customHeight="1" thickBot="1" x14ac:dyDescent="0.25">
      <c r="A61" s="178"/>
      <c r="B61" s="2748"/>
      <c r="C61" s="2764"/>
      <c r="D61" s="297">
        <f>'4.1 sz. mell'!F60</f>
        <v>0</v>
      </c>
      <c r="E61" s="1381"/>
      <c r="F61" s="827">
        <f>'4.1 sz. mell'!H60</f>
        <v>0</v>
      </c>
      <c r="G61" s="1408"/>
      <c r="H61" s="827">
        <f>'4.1 sz. mell'!J60</f>
        <v>0</v>
      </c>
      <c r="I61" s="3351">
        <f t="shared" si="2"/>
        <v>0</v>
      </c>
      <c r="J61" s="827">
        <f>'4.1 sz. mell'!L60</f>
        <v>0</v>
      </c>
      <c r="K61" s="827">
        <f>'4.1 sz. mell'!M60</f>
        <v>0</v>
      </c>
    </row>
    <row r="62" spans="1:11" ht="19.5" customHeight="1" thickBot="1" x14ac:dyDescent="0.3">
      <c r="A62" s="192" t="s">
        <v>31</v>
      </c>
      <c r="B62" s="160"/>
      <c r="C62" s="861" t="s">
        <v>446</v>
      </c>
      <c r="D62" s="2781">
        <f>+D47+D55+D60+D61</f>
        <v>298633276</v>
      </c>
      <c r="E62" s="2769">
        <f>SUM(F62-D62)</f>
        <v>3909957</v>
      </c>
      <c r="F62" s="866">
        <f>+F47+F55+F60+F61</f>
        <v>302543233</v>
      </c>
      <c r="G62" s="1565">
        <f>SUM(H62-F62)</f>
        <v>3351155</v>
      </c>
      <c r="H62" s="866">
        <f>+H47+H55+H60+H61</f>
        <v>305894388</v>
      </c>
      <c r="I62" s="3375">
        <f t="shared" si="2"/>
        <v>0</v>
      </c>
      <c r="J62" s="866">
        <f>+J47+J55+J60+J61</f>
        <v>305894388</v>
      </c>
      <c r="K62" s="866">
        <f>+K47+K55+K60+K61</f>
        <v>303763098</v>
      </c>
    </row>
    <row r="63" spans="1:11" ht="15" customHeight="1" thickBot="1" x14ac:dyDescent="0.25">
      <c r="A63" s="884"/>
      <c r="B63" s="885"/>
      <c r="C63" s="885"/>
      <c r="D63" s="2100"/>
      <c r="E63" s="1550"/>
      <c r="F63" s="1550"/>
      <c r="G63" s="1550"/>
      <c r="H63" s="1550"/>
      <c r="I63" s="1550"/>
      <c r="J63" s="1550"/>
      <c r="K63" s="1304"/>
    </row>
    <row r="64" spans="1:11" ht="15" customHeight="1" thickBot="1" x14ac:dyDescent="0.25">
      <c r="A64" s="4500" t="s">
        <v>324</v>
      </c>
      <c r="B64" s="4501"/>
      <c r="C64" s="4501"/>
      <c r="D64" s="269">
        <f>SUM('4. sz. mell.'!F61)</f>
        <v>78.5</v>
      </c>
      <c r="E64" s="269">
        <f>SUM('4. sz. mell.'!G61)</f>
        <v>0</v>
      </c>
      <c r="F64" s="269">
        <f>SUM('4. sz. mell.'!H61)</f>
        <v>78.5</v>
      </c>
      <c r="G64" s="269">
        <f>SUM('4. sz. mell.'!I61)</f>
        <v>0</v>
      </c>
      <c r="H64" s="269">
        <f>SUM('4. sz. mell.'!J61)</f>
        <v>78.5</v>
      </c>
      <c r="I64" s="269">
        <f>SUM('4. sz. mell.'!K61)</f>
        <v>0</v>
      </c>
      <c r="J64" s="269">
        <f>SUM('4. sz. mell.'!L61)</f>
        <v>78.5</v>
      </c>
      <c r="K64" s="269">
        <f>SUM('4. sz. mell.'!M61)</f>
        <v>78.5</v>
      </c>
    </row>
    <row r="65" spans="1:11" ht="15" customHeight="1" thickBot="1" x14ac:dyDescent="0.25">
      <c r="A65" s="4500" t="s">
        <v>325</v>
      </c>
      <c r="B65" s="4501"/>
      <c r="C65" s="4501"/>
      <c r="D65" s="155">
        <f>SUM('4.1 sz. mell'!F64+'4.2.sz. mell. '!F62+'4.3 sz. mell.'!F61+'4.4.sz. mell.'!F62)</f>
        <v>0</v>
      </c>
      <c r="E65" s="1381"/>
      <c r="F65" s="155">
        <f>SUM('4.1 sz. mell'!H64+'4.2.sz. mell. '!H62+'4.3 sz. mell.'!H61+'4.4.sz. mell.'!H62)</f>
        <v>0</v>
      </c>
      <c r="G65" s="1380"/>
      <c r="H65" s="155">
        <f>SUM('4.1 sz. mell'!J64+'4.2.sz. mell. '!J62+'4.3 sz. mell.'!J61+'4.4.sz. mell.'!J62)</f>
        <v>0</v>
      </c>
      <c r="I65" s="3553"/>
      <c r="J65" s="155">
        <f>SUM('4.1 sz. mell'!L64+'4.2.sz. mell. '!L62+'4.3 sz. mell.'!L61+'4.4.sz. mell.'!L62)</f>
        <v>0</v>
      </c>
      <c r="K65" s="155">
        <f>SUM('4.1 sz. mell'!M64+'4.2.sz. mell. '!M62+'4.3 sz. mell.'!M61+'4.4.sz. mell.'!M62)</f>
        <v>0</v>
      </c>
    </row>
  </sheetData>
  <mergeCells count="14">
    <mergeCell ref="A64:C64"/>
    <mergeCell ref="C1:K1"/>
    <mergeCell ref="A65:C65"/>
    <mergeCell ref="A2:B2"/>
    <mergeCell ref="D2:D3"/>
    <mergeCell ref="A3:B3"/>
    <mergeCell ref="F2:F3"/>
    <mergeCell ref="E2:E3"/>
    <mergeCell ref="K2:K3"/>
    <mergeCell ref="G2:G3"/>
    <mergeCell ref="H2:H3"/>
    <mergeCell ref="I2:I3"/>
    <mergeCell ref="J2:J3"/>
    <mergeCell ref="A5:B5"/>
  </mergeCells>
  <printOptions horizontalCentered="1" verticalCentered="1"/>
  <pageMargins left="0.27559055118110237" right="0.23622047244094491" top="0.31496062992125984" bottom="0.47244094488188981" header="0.51181102362204722" footer="0.23622047244094491"/>
  <pageSetup paperSize="9" scale="70" firstPageNumber="33" orientation="portrait" useFirstPageNumber="1" r:id="rId1"/>
  <headerFooter>
    <oddFooter>&amp;C- &amp;P -</odd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86"/>
  <sheetViews>
    <sheetView view="pageBreakPreview" topLeftCell="E2" zoomScale="90" zoomScaleNormal="110" zoomScaleSheetLayoutView="90" zoomScalePageLayoutView="60" workbookViewId="0">
      <selection activeCell="T4" sqref="T4"/>
    </sheetView>
  </sheetViews>
  <sheetFormatPr defaultColWidth="9.33203125" defaultRowHeight="15" x14ac:dyDescent="0.2"/>
  <cols>
    <col min="1" max="1" width="6.1640625" style="38" customWidth="1"/>
    <col min="2" max="2" width="47.33203125" style="39" customWidth="1"/>
    <col min="3" max="3" width="9.33203125" style="38" hidden="1" customWidth="1"/>
    <col min="4" max="4" width="15.33203125" style="38" customWidth="1"/>
    <col min="5" max="5" width="15.1640625" style="38" customWidth="1"/>
    <col min="6" max="6" width="17.5" style="1370" hidden="1" customWidth="1"/>
    <col min="7" max="7" width="17.5" style="98" hidden="1" customWidth="1"/>
    <col min="8" max="8" width="17.5" style="1651" hidden="1" customWidth="1"/>
    <col min="9" max="9" width="19.6640625" style="98" customWidth="1"/>
    <col min="10" max="10" width="14.5" style="1651" customWidth="1"/>
    <col min="11" max="11" width="20.33203125" style="98" customWidth="1"/>
    <col min="12" max="12" width="18.83203125" style="98" customWidth="1"/>
    <col min="13" max="13" width="42" style="38" customWidth="1"/>
    <col min="14" max="15" width="16.33203125" style="38" customWidth="1"/>
    <col min="16" max="16" width="16.33203125" style="1370" hidden="1" customWidth="1"/>
    <col min="17" max="17" width="17.83203125" style="98" hidden="1" customWidth="1"/>
    <col min="18" max="18" width="17.83203125" style="1651" hidden="1" customWidth="1"/>
    <col min="19" max="19" width="17.83203125" style="98" customWidth="1"/>
    <col min="20" max="20" width="15.5" style="1651" customWidth="1"/>
    <col min="21" max="21" width="17.83203125" style="98" customWidth="1"/>
    <col min="22" max="22" width="19" style="98" customWidth="1"/>
    <col min="23" max="23" width="9.33203125" style="38"/>
    <col min="24" max="24" width="16.33203125" style="38" customWidth="1"/>
    <col min="25" max="25" width="15.1640625" style="38" customWidth="1"/>
    <col min="26" max="27" width="12.6640625" style="38" bestFit="1" customWidth="1"/>
    <col min="28" max="16384" width="9.33203125" style="38"/>
  </cols>
  <sheetData>
    <row r="1" spans="1:25" ht="37.5" hidden="1" customHeight="1" x14ac:dyDescent="0.2">
      <c r="A1" s="4310" t="s">
        <v>229</v>
      </c>
      <c r="B1" s="4310"/>
      <c r="C1" s="4310"/>
      <c r="D1" s="4310"/>
      <c r="E1" s="4310"/>
      <c r="F1" s="4310"/>
      <c r="G1" s="4310"/>
      <c r="H1" s="4310"/>
      <c r="I1" s="4310"/>
      <c r="J1" s="4310"/>
      <c r="K1" s="4310"/>
      <c r="L1" s="4310"/>
      <c r="M1" s="4310"/>
      <c r="N1" s="4310"/>
      <c r="O1" s="4310"/>
      <c r="P1" s="4310"/>
      <c r="Q1" s="4310"/>
      <c r="R1" s="4310"/>
      <c r="S1" s="4310"/>
      <c r="T1" s="4310"/>
      <c r="U1" s="4310"/>
      <c r="V1" s="4310"/>
    </row>
    <row r="2" spans="1:25" ht="13.5" customHeight="1" thickBot="1" x14ac:dyDescent="0.25">
      <c r="E2" s="39"/>
      <c r="F2" s="1659"/>
      <c r="G2" s="1636"/>
      <c r="H2" s="1636"/>
      <c r="I2" s="1636"/>
      <c r="J2" s="1636"/>
      <c r="K2" s="772"/>
      <c r="L2" s="3042" t="s">
        <v>935</v>
      </c>
      <c r="N2" s="39"/>
      <c r="O2" s="39"/>
      <c r="P2" s="1659"/>
      <c r="Q2" s="1636"/>
      <c r="R2" s="1636"/>
      <c r="S2" s="1636"/>
      <c r="T2" s="1636"/>
      <c r="U2" s="772"/>
      <c r="V2" s="3042" t="s">
        <v>935</v>
      </c>
      <c r="W2" s="40"/>
      <c r="X2" s="40"/>
    </row>
    <row r="3" spans="1:25" ht="18" customHeight="1" thickBot="1" x14ac:dyDescent="0.25">
      <c r="A3" s="4308" t="s">
        <v>1</v>
      </c>
      <c r="B3" s="4311" t="s">
        <v>230</v>
      </c>
      <c r="C3" s="4312"/>
      <c r="D3" s="4312"/>
      <c r="E3" s="4312"/>
      <c r="F3" s="4312"/>
      <c r="G3" s="4312"/>
      <c r="H3" s="4312"/>
      <c r="I3" s="4312"/>
      <c r="J3" s="4312"/>
      <c r="K3" s="4312"/>
      <c r="L3" s="4313"/>
      <c r="M3" s="4311" t="s">
        <v>231</v>
      </c>
      <c r="N3" s="4312"/>
      <c r="O3" s="4312"/>
      <c r="P3" s="4312"/>
      <c r="Q3" s="4312"/>
      <c r="R3" s="4312"/>
      <c r="S3" s="4312"/>
      <c r="T3" s="4312"/>
      <c r="U3" s="4312"/>
      <c r="V3" s="4313"/>
    </row>
    <row r="4" spans="1:25" s="44" customFormat="1" ht="49.5" customHeight="1" thickBot="1" x14ac:dyDescent="0.25">
      <c r="A4" s="4308"/>
      <c r="B4" s="42" t="s">
        <v>232</v>
      </c>
      <c r="C4" s="43" t="s">
        <v>233</v>
      </c>
      <c r="D4" s="43" t="s">
        <v>2622</v>
      </c>
      <c r="E4" s="43" t="s">
        <v>1085</v>
      </c>
      <c r="F4" s="1618" t="s">
        <v>1035</v>
      </c>
      <c r="G4" s="438" t="s">
        <v>1028</v>
      </c>
      <c r="H4" s="1618" t="s">
        <v>1031</v>
      </c>
      <c r="I4" s="438" t="s">
        <v>1028</v>
      </c>
      <c r="J4" s="1618" t="s">
        <v>2623</v>
      </c>
      <c r="K4" s="438" t="s">
        <v>1078</v>
      </c>
      <c r="L4" s="438" t="s">
        <v>1952</v>
      </c>
      <c r="M4" s="42" t="s">
        <v>232</v>
      </c>
      <c r="N4" s="43" t="s">
        <v>2622</v>
      </c>
      <c r="O4" s="45" t="s">
        <v>1084</v>
      </c>
      <c r="P4" s="1618" t="s">
        <v>1035</v>
      </c>
      <c r="Q4" s="438" t="s">
        <v>1028</v>
      </c>
      <c r="R4" s="1618" t="s">
        <v>1031</v>
      </c>
      <c r="S4" s="438" t="s">
        <v>1028</v>
      </c>
      <c r="T4" s="1618" t="s">
        <v>1038</v>
      </c>
      <c r="U4" s="438" t="s">
        <v>1078</v>
      </c>
      <c r="V4" s="438" t="s">
        <v>1952</v>
      </c>
    </row>
    <row r="5" spans="1:25" s="46" customFormat="1" ht="15" customHeight="1" thickBot="1" x14ac:dyDescent="0.25">
      <c r="A5" s="41"/>
      <c r="B5" s="42"/>
      <c r="C5" s="43" t="s">
        <v>31</v>
      </c>
      <c r="D5" s="2091"/>
      <c r="E5" s="1211"/>
      <c r="F5" s="1453"/>
      <c r="G5" s="1211"/>
      <c r="H5" s="1453"/>
      <c r="I5" s="1211"/>
      <c r="J5" s="1635"/>
      <c r="K5" s="913"/>
      <c r="L5" s="2084"/>
      <c r="M5" s="42"/>
      <c r="N5" s="4196"/>
      <c r="O5" s="1218"/>
      <c r="P5" s="1453"/>
      <c r="Q5" s="1453"/>
      <c r="R5" s="1453"/>
      <c r="S5" s="1453"/>
      <c r="T5" s="1453"/>
      <c r="U5" s="1453"/>
      <c r="V5" s="2084"/>
    </row>
    <row r="6" spans="1:25" ht="15" customHeight="1" x14ac:dyDescent="0.2">
      <c r="A6" s="47" t="s">
        <v>3</v>
      </c>
      <c r="B6" s="48" t="s">
        <v>235</v>
      </c>
      <c r="C6" s="49"/>
      <c r="D6" s="49">
        <v>453234325</v>
      </c>
      <c r="E6" s="299">
        <f>SUM('2. sz. mell'!F16)</f>
        <v>358172020</v>
      </c>
      <c r="F6" s="1629">
        <f>SUM(G6-E6)</f>
        <v>254537132</v>
      </c>
      <c r="G6" s="3284">
        <f>SUM('2. sz. mell'!H16)</f>
        <v>612709152</v>
      </c>
      <c r="H6" s="1403">
        <f>SUM(I6-G6)</f>
        <v>-182578899</v>
      </c>
      <c r="I6" s="310">
        <f>SUM('2. sz. mell'!J16)</f>
        <v>430130253</v>
      </c>
      <c r="J6" s="1403">
        <f>SUM(K6-I6)</f>
        <v>0</v>
      </c>
      <c r="K6" s="310">
        <f>SUM('2. sz. mell'!L16)</f>
        <v>430130253</v>
      </c>
      <c r="L6" s="3282">
        <f>SUM('2. sz. mell'!M16)</f>
        <v>441148462</v>
      </c>
      <c r="M6" s="3291" t="s">
        <v>236</v>
      </c>
      <c r="N6" s="3284">
        <v>1318681916</v>
      </c>
      <c r="O6" s="50">
        <f>SUM('2. sz. mell'!F52)</f>
        <v>1289676310</v>
      </c>
      <c r="P6" s="1652">
        <f>SUM(Q6-O6)</f>
        <v>92506879</v>
      </c>
      <c r="Q6" s="751">
        <f>SUM('2. sz. mell'!H52)</f>
        <v>1382183189</v>
      </c>
      <c r="R6" s="1652">
        <f>SUM(S6-Q6)</f>
        <v>61462683</v>
      </c>
      <c r="S6" s="1679">
        <f>SUM('2. sz. mell'!J52)</f>
        <v>1443645872</v>
      </c>
      <c r="T6" s="1432">
        <f>SUM(U6-S6)</f>
        <v>0</v>
      </c>
      <c r="U6" s="1679">
        <f>SUM('2. sz. mell'!L52)</f>
        <v>1443645872</v>
      </c>
      <c r="V6" s="50">
        <f>SUM('2. sz. mell'!M52)</f>
        <v>1413046734</v>
      </c>
    </row>
    <row r="7" spans="1:25" ht="30" customHeight="1" x14ac:dyDescent="0.2">
      <c r="A7" s="51" t="s">
        <v>17</v>
      </c>
      <c r="B7" s="52" t="s">
        <v>237</v>
      </c>
      <c r="C7" s="53"/>
      <c r="D7" s="53">
        <v>1181707575</v>
      </c>
      <c r="E7" s="56">
        <f>SUM('2. sz. mell'!F26)</f>
        <v>1131816130</v>
      </c>
      <c r="F7" s="1638">
        <f t="shared" ref="F7:J23" si="0">SUM(G7-E7)</f>
        <v>49947725</v>
      </c>
      <c r="G7" s="757">
        <f>SUM('2. sz. mell'!H26)</f>
        <v>1181763855</v>
      </c>
      <c r="H7" s="1411">
        <f t="shared" si="0"/>
        <v>72744424</v>
      </c>
      <c r="I7" s="483">
        <f>SUM('2. sz. mell'!J26)</f>
        <v>1254508279</v>
      </c>
      <c r="J7" s="1411">
        <f t="shared" si="0"/>
        <v>0</v>
      </c>
      <c r="K7" s="483">
        <f>SUM('2. sz. mell'!L26)</f>
        <v>1254508279</v>
      </c>
      <c r="L7" s="1167">
        <f>SUM('2. sz. mell'!M26)</f>
        <v>1254508279</v>
      </c>
      <c r="M7" s="3292" t="s">
        <v>238</v>
      </c>
      <c r="N7" s="3284">
        <v>292920701</v>
      </c>
      <c r="O7" s="50">
        <f>SUM('2. sz. mell'!F53)</f>
        <v>264842559</v>
      </c>
      <c r="P7" s="1652">
        <f t="shared" ref="P7:T23" si="1">SUM(Q7-O7)</f>
        <v>18072831</v>
      </c>
      <c r="Q7" s="751">
        <f>SUM('2. sz. mell'!H53)</f>
        <v>282915390</v>
      </c>
      <c r="R7" s="1652">
        <f t="shared" si="1"/>
        <v>5492349</v>
      </c>
      <c r="S7" s="1679">
        <f>SUM('2. sz. mell'!J53)</f>
        <v>288407739</v>
      </c>
      <c r="T7" s="1432">
        <f t="shared" si="1"/>
        <v>0</v>
      </c>
      <c r="U7" s="1679">
        <f>SUM('2. sz. mell'!L53)</f>
        <v>288407739</v>
      </c>
      <c r="V7" s="50">
        <f>SUM('2. sz. mell'!M53)</f>
        <v>279451575</v>
      </c>
    </row>
    <row r="8" spans="1:25" ht="15" customHeight="1" x14ac:dyDescent="0.2">
      <c r="A8" s="51" t="s">
        <v>31</v>
      </c>
      <c r="B8" s="52" t="s">
        <v>239</v>
      </c>
      <c r="C8" s="53"/>
      <c r="D8" s="53">
        <v>2855708415</v>
      </c>
      <c r="E8" s="56">
        <f>SUM('2. sz. mell'!F8)</f>
        <v>2600000000</v>
      </c>
      <c r="F8" s="1638">
        <f t="shared" si="0"/>
        <v>47687737</v>
      </c>
      <c r="G8" s="757">
        <f>SUM('2. sz. mell'!H8)</f>
        <v>2647687737</v>
      </c>
      <c r="H8" s="1411">
        <f t="shared" si="0"/>
        <v>947445094</v>
      </c>
      <c r="I8" s="483">
        <f>SUM('2. sz. mell'!J8)</f>
        <v>3595132831</v>
      </c>
      <c r="J8" s="1411">
        <f t="shared" si="0"/>
        <v>0</v>
      </c>
      <c r="K8" s="483">
        <f>SUM('2. sz. mell'!L8)</f>
        <v>3595132831</v>
      </c>
      <c r="L8" s="1167">
        <f>SUM('2. sz. mell'!M8)</f>
        <v>3595132831</v>
      </c>
      <c r="M8" s="3292" t="s">
        <v>240</v>
      </c>
      <c r="N8" s="3284">
        <v>1454805441</v>
      </c>
      <c r="O8" s="50">
        <f>SUM('2. sz. mell'!F54)</f>
        <v>1331218223</v>
      </c>
      <c r="P8" s="1652">
        <f t="shared" si="1"/>
        <v>549615148</v>
      </c>
      <c r="Q8" s="751">
        <f>SUM('2. sz. mell'!H54)</f>
        <v>1880833371</v>
      </c>
      <c r="R8" s="1652">
        <f t="shared" si="1"/>
        <v>97480811</v>
      </c>
      <c r="S8" s="1679">
        <f>SUM('2. sz. mell'!J54)</f>
        <v>1978314182</v>
      </c>
      <c r="T8" s="1432">
        <f t="shared" si="1"/>
        <v>0</v>
      </c>
      <c r="U8" s="1679">
        <f>SUM('2. sz. mell'!L54)</f>
        <v>1978314182</v>
      </c>
      <c r="V8" s="50">
        <f>SUM('2. sz. mell'!M54)</f>
        <v>1698476351</v>
      </c>
    </row>
    <row r="9" spans="1:25" ht="28.5" customHeight="1" x14ac:dyDescent="0.2">
      <c r="A9" s="51" t="s">
        <v>45</v>
      </c>
      <c r="B9" s="54" t="s">
        <v>80</v>
      </c>
      <c r="C9" s="53"/>
      <c r="D9" s="53">
        <v>3395000</v>
      </c>
      <c r="E9" s="56">
        <f>SUM('2. sz. mell'!F27)</f>
        <v>0</v>
      </c>
      <c r="F9" s="1638">
        <f t="shared" si="0"/>
        <v>2502500</v>
      </c>
      <c r="G9" s="757">
        <f>SUM('2. sz. mell'!H27)</f>
        <v>2502500</v>
      </c>
      <c r="H9" s="1411">
        <f t="shared" si="0"/>
        <v>4450000</v>
      </c>
      <c r="I9" s="483">
        <f>SUM('2. sz. mell'!J27)</f>
        <v>6952500</v>
      </c>
      <c r="J9" s="1411">
        <f t="shared" si="0"/>
        <v>0</v>
      </c>
      <c r="K9" s="483">
        <f>SUM('2. sz. mell'!L27)</f>
        <v>6952500</v>
      </c>
      <c r="L9" s="1167">
        <f>SUM('2. sz. mell'!M27)</f>
        <v>7002500</v>
      </c>
      <c r="M9" s="3293" t="s">
        <v>159</v>
      </c>
      <c r="N9" s="3284">
        <v>54986303</v>
      </c>
      <c r="O9" s="50">
        <f>SUM('2. sz. mell'!F55)</f>
        <v>32000000</v>
      </c>
      <c r="P9" s="1652">
        <f t="shared" si="1"/>
        <v>22465500</v>
      </c>
      <c r="Q9" s="751">
        <f>SUM('2. sz. mell'!H55)</f>
        <v>54465500</v>
      </c>
      <c r="R9" s="1652">
        <f t="shared" si="1"/>
        <v>3165000</v>
      </c>
      <c r="S9" s="1679">
        <f>SUM('2. sz. mell'!J55)</f>
        <v>57630500</v>
      </c>
      <c r="T9" s="1432">
        <f t="shared" si="1"/>
        <v>0</v>
      </c>
      <c r="U9" s="1679">
        <f>SUM('2. sz. mell'!L55)</f>
        <v>57630500</v>
      </c>
      <c r="V9" s="50">
        <f>SUM('2. sz. mell'!M55)</f>
        <v>54870140</v>
      </c>
    </row>
    <row r="10" spans="1:25" ht="15" customHeight="1" x14ac:dyDescent="0.2">
      <c r="A10" s="51" t="s">
        <v>67</v>
      </c>
      <c r="B10" s="52" t="s">
        <v>66</v>
      </c>
      <c r="C10" s="53"/>
      <c r="D10" s="53"/>
      <c r="E10" s="56"/>
      <c r="F10" s="1638">
        <f t="shared" si="0"/>
        <v>0</v>
      </c>
      <c r="G10" s="757"/>
      <c r="H10" s="1411">
        <f t="shared" si="0"/>
        <v>0</v>
      </c>
      <c r="I10" s="483"/>
      <c r="J10" s="1411">
        <f t="shared" si="0"/>
        <v>0</v>
      </c>
      <c r="K10" s="483"/>
      <c r="L10" s="1167"/>
      <c r="M10" s="3292" t="s">
        <v>161</v>
      </c>
      <c r="N10" s="3284">
        <v>553974011</v>
      </c>
      <c r="O10" s="50">
        <f>SUM('2. sz. mell'!F56)</f>
        <v>651496658</v>
      </c>
      <c r="P10" s="1652">
        <f t="shared" si="1"/>
        <v>120628740</v>
      </c>
      <c r="Q10" s="751">
        <f>SUM('2. sz. mell'!H56)</f>
        <v>772125398</v>
      </c>
      <c r="R10" s="1652">
        <f t="shared" si="1"/>
        <v>7664367</v>
      </c>
      <c r="S10" s="1679">
        <f>SUM('2. sz. mell'!J56)</f>
        <v>779789765</v>
      </c>
      <c r="T10" s="1432">
        <f t="shared" si="1"/>
        <v>1747959</v>
      </c>
      <c r="U10" s="1679">
        <f>SUM('2. sz. mell'!L56)</f>
        <v>781537724</v>
      </c>
      <c r="V10" s="50">
        <f>SUM('2. sz. mell'!M56)</f>
        <v>647334273</v>
      </c>
    </row>
    <row r="11" spans="1:25" ht="15" customHeight="1" x14ac:dyDescent="0.2">
      <c r="A11" s="51" t="s">
        <v>79</v>
      </c>
      <c r="B11" s="437" t="s">
        <v>241</v>
      </c>
      <c r="C11" s="53"/>
      <c r="D11" s="53"/>
      <c r="E11" s="56">
        <f>SUM('4. sz. mell.'!F19+'5. sz. mell. '!F23)</f>
        <v>0</v>
      </c>
      <c r="F11" s="1638">
        <f t="shared" si="0"/>
        <v>0</v>
      </c>
      <c r="G11" s="757"/>
      <c r="H11" s="1411">
        <f t="shared" si="0"/>
        <v>0</v>
      </c>
      <c r="I11" s="483"/>
      <c r="J11" s="1411">
        <f t="shared" si="0"/>
        <v>0</v>
      </c>
      <c r="K11" s="483"/>
      <c r="L11" s="1167"/>
      <c r="M11" s="3292"/>
      <c r="N11" s="757"/>
      <c r="O11" s="56"/>
      <c r="P11" s="1652">
        <f t="shared" si="1"/>
        <v>0</v>
      </c>
      <c r="Q11" s="757"/>
      <c r="R11" s="1630">
        <f t="shared" si="1"/>
        <v>0</v>
      </c>
      <c r="S11" s="1677"/>
      <c r="T11" s="1404">
        <f t="shared" si="1"/>
        <v>0</v>
      </c>
      <c r="U11" s="1677"/>
      <c r="V11" s="1167"/>
    </row>
    <row r="12" spans="1:25" ht="15" customHeight="1" thickBot="1" x14ac:dyDescent="0.25">
      <c r="A12" s="51" t="s">
        <v>89</v>
      </c>
      <c r="B12" s="58"/>
      <c r="C12" s="59"/>
      <c r="D12" s="59"/>
      <c r="E12" s="60"/>
      <c r="F12" s="1638">
        <f t="shared" si="0"/>
        <v>0</v>
      </c>
      <c r="G12" s="3285"/>
      <c r="H12" s="1411">
        <f t="shared" si="0"/>
        <v>0</v>
      </c>
      <c r="I12" s="825"/>
      <c r="J12" s="1411">
        <f t="shared" si="0"/>
        <v>0</v>
      </c>
      <c r="K12" s="825"/>
      <c r="L12"/>
      <c r="M12" s="3292" t="s">
        <v>241</v>
      </c>
      <c r="N12" s="3285"/>
      <c r="O12" s="60"/>
      <c r="P12" s="1652">
        <f t="shared" si="1"/>
        <v>0</v>
      </c>
      <c r="Q12" s="752"/>
      <c r="R12" s="1652">
        <f t="shared" si="1"/>
        <v>0</v>
      </c>
      <c r="S12" s="1686"/>
      <c r="T12" s="1432">
        <f t="shared" si="1"/>
        <v>0</v>
      </c>
      <c r="U12" s="1686"/>
      <c r="V12" s="60"/>
    </row>
    <row r="13" spans="1:25" ht="15" customHeight="1" thickBot="1" x14ac:dyDescent="0.25">
      <c r="A13" s="61" t="s">
        <v>133</v>
      </c>
      <c r="B13" s="62" t="s">
        <v>242</v>
      </c>
      <c r="C13" s="63">
        <f>SUM(C6:C12)</f>
        <v>0</v>
      </c>
      <c r="D13" s="63">
        <f>SUM(D6:D12)</f>
        <v>4494045315</v>
      </c>
      <c r="E13" s="64">
        <f>SUM(E6:E9)-E11</f>
        <v>4089988150</v>
      </c>
      <c r="F13" s="1530">
        <f t="shared" si="0"/>
        <v>354675094</v>
      </c>
      <c r="G13" s="859">
        <f>SUM(G6:G9)-G11</f>
        <v>4444663244</v>
      </c>
      <c r="H13" s="1407">
        <f t="shared" si="0"/>
        <v>842060619</v>
      </c>
      <c r="I13" s="826">
        <f>SUM(I6:I9)-I11</f>
        <v>5286723863</v>
      </c>
      <c r="J13" s="1407">
        <f t="shared" si="0"/>
        <v>0</v>
      </c>
      <c r="K13" s="826">
        <f>SUM(K6:K9)-K11</f>
        <v>5286723863</v>
      </c>
      <c r="L13" s="823">
        <f>SUM(L6:L9)-L11</f>
        <v>5297792072</v>
      </c>
      <c r="M13" s="3294" t="s">
        <v>243</v>
      </c>
      <c r="N13" s="859">
        <v>3675368372</v>
      </c>
      <c r="O13" s="64">
        <f>SUM(O6:O12)</f>
        <v>3569233750</v>
      </c>
      <c r="P13" s="1530">
        <f t="shared" si="1"/>
        <v>803289098</v>
      </c>
      <c r="Q13" s="753">
        <f>SUM(Q6:Q12)</f>
        <v>4372522848</v>
      </c>
      <c r="R13" s="1530">
        <f t="shared" si="1"/>
        <v>175265210</v>
      </c>
      <c r="S13" s="285">
        <f>SUM(S6:S12)</f>
        <v>4547788058</v>
      </c>
      <c r="T13" s="1374">
        <f t="shared" si="1"/>
        <v>1747959</v>
      </c>
      <c r="U13" s="285">
        <f>SUM(U6:U12)</f>
        <v>4549536017</v>
      </c>
      <c r="V13" s="64">
        <f>SUM(V6:V12)</f>
        <v>4093179073</v>
      </c>
      <c r="Y13" s="38">
        <f>SUM(V13/U13*100)</f>
        <v>89.969154166606074</v>
      </c>
    </row>
    <row r="14" spans="1:25" ht="15" customHeight="1" thickBot="1" x14ac:dyDescent="0.25">
      <c r="A14" s="65" t="s">
        <v>143</v>
      </c>
      <c r="B14" s="66" t="s">
        <v>244</v>
      </c>
      <c r="C14" s="67"/>
      <c r="D14" s="67">
        <v>4729017925</v>
      </c>
      <c r="E14" s="749">
        <f>SUM(E15:E16)</f>
        <v>1473618961</v>
      </c>
      <c r="F14" s="1690">
        <f t="shared" si="0"/>
        <v>4123028328</v>
      </c>
      <c r="G14" s="3286">
        <f>SUM(G15:G20)</f>
        <v>5596647289</v>
      </c>
      <c r="H14" s="3233">
        <f t="shared" si="0"/>
        <v>-480597515</v>
      </c>
      <c r="I14" s="749">
        <f>SUM(I15:I20)</f>
        <v>5116049774</v>
      </c>
      <c r="J14" s="1690">
        <f t="shared" si="0"/>
        <v>1747959</v>
      </c>
      <c r="K14" s="749">
        <f>SUM(K15:K20)</f>
        <v>5117797733</v>
      </c>
      <c r="L14" s="749">
        <f>SUM(L15:L20)</f>
        <v>5116049774</v>
      </c>
      <c r="M14" s="3292" t="s">
        <v>320</v>
      </c>
      <c r="N14" s="3289">
        <v>1567481469</v>
      </c>
      <c r="O14" s="68">
        <f>SUM('2. sz. mell'!F91)</f>
        <v>1473618961</v>
      </c>
      <c r="P14" s="1652">
        <f t="shared" si="1"/>
        <v>145582651</v>
      </c>
      <c r="Q14" s="754">
        <f>SUM('2. sz. mell'!H91)</f>
        <v>1619201612</v>
      </c>
      <c r="R14" s="1652">
        <f t="shared" si="1"/>
        <v>45592258</v>
      </c>
      <c r="S14" s="587">
        <f>SUM('2. sz. mell'!J91)</f>
        <v>1664793870</v>
      </c>
      <c r="T14" s="1432">
        <f t="shared" si="1"/>
        <v>0</v>
      </c>
      <c r="U14" s="587">
        <f>SUM('2. sz. mell'!L91)</f>
        <v>1664793870</v>
      </c>
      <c r="V14" s="68">
        <f>SUM('2. sz. mell'!M91)</f>
        <v>1664793870</v>
      </c>
      <c r="Y14" s="38">
        <f>SUM(V13/U13)*100</f>
        <v>89.969154166606074</v>
      </c>
    </row>
    <row r="15" spans="1:25" ht="19.5" customHeight="1" x14ac:dyDescent="0.2">
      <c r="A15" s="51" t="s">
        <v>145</v>
      </c>
      <c r="B15" s="52" t="s">
        <v>120</v>
      </c>
      <c r="C15" s="69"/>
      <c r="D15" s="70">
        <v>84426182</v>
      </c>
      <c r="E15" s="750">
        <v>0</v>
      </c>
      <c r="F15" s="1638">
        <f t="shared" si="0"/>
        <v>1311873610</v>
      </c>
      <c r="G15" s="3287">
        <f>SUM('2. sz. mell'!H38)</f>
        <v>1311873610</v>
      </c>
      <c r="H15" s="1411">
        <f t="shared" si="0"/>
        <v>0</v>
      </c>
      <c r="I15" s="3279">
        <f>SUM('2. sz. mell'!J38)</f>
        <v>1311873610</v>
      </c>
      <c r="J15" s="1411">
        <f t="shared" si="0"/>
        <v>0</v>
      </c>
      <c r="K15" s="3279">
        <f>SUM('2. sz. mell'!L38)</f>
        <v>1311873610</v>
      </c>
      <c r="L15" s="3279">
        <f>SUM('2. sz. mell'!M38)</f>
        <v>1311873610</v>
      </c>
      <c r="M15" s="3292" t="s">
        <v>209</v>
      </c>
      <c r="N15" s="4197">
        <v>2108050000</v>
      </c>
      <c r="O15" s="582">
        <f>SUM('2. sz. mell'!F88)</f>
        <v>581321000</v>
      </c>
      <c r="P15" s="1652">
        <f t="shared" si="1"/>
        <v>1096200000</v>
      </c>
      <c r="Q15" s="1179">
        <f>SUM('2. sz. mell'!H88)</f>
        <v>1677521000</v>
      </c>
      <c r="R15" s="1652">
        <f t="shared" si="1"/>
        <v>-180851145</v>
      </c>
      <c r="S15" s="1179">
        <f>SUM('2. sz. mell'!J88)</f>
        <v>1496669855</v>
      </c>
      <c r="T15" s="1432">
        <f t="shared" si="1"/>
        <v>0</v>
      </c>
      <c r="U15" s="1179">
        <f>SUM('2. sz. mell'!L88)</f>
        <v>1496669855</v>
      </c>
      <c r="V15" s="755">
        <f>SUM('2. sz. mell'!M88)</f>
        <v>1357269500</v>
      </c>
    </row>
    <row r="16" spans="1:25" ht="31.5" customHeight="1" x14ac:dyDescent="0.2">
      <c r="A16" s="51" t="s">
        <v>147</v>
      </c>
      <c r="B16" s="48" t="s">
        <v>245</v>
      </c>
      <c r="C16" s="71"/>
      <c r="D16" s="71">
        <v>1567481469</v>
      </c>
      <c r="E16" s="70">
        <f>SUM('2. sz. mell'!F41)</f>
        <v>1473618961</v>
      </c>
      <c r="F16" s="1638">
        <f t="shared" si="0"/>
        <v>145582651</v>
      </c>
      <c r="G16" s="3288">
        <f>SUM('2. sz. mell'!H41)</f>
        <v>1619201612</v>
      </c>
      <c r="H16" s="1411">
        <f t="shared" si="0"/>
        <v>45592258</v>
      </c>
      <c r="I16" s="3279">
        <f>SUM('2. sz. mell'!J41)</f>
        <v>1664793870</v>
      </c>
      <c r="J16" s="1411">
        <f t="shared" si="0"/>
        <v>0</v>
      </c>
      <c r="K16" s="3279">
        <f>SUM('2. sz. mell'!L41)</f>
        <v>1664793870</v>
      </c>
      <c r="L16" s="3279">
        <f>SUM('2. sz. mell'!M41)</f>
        <v>1664793870</v>
      </c>
      <c r="M16" s="3292" t="s">
        <v>216</v>
      </c>
      <c r="N16" s="3288"/>
      <c r="O16" s="70"/>
      <c r="P16" s="1652">
        <f t="shared" si="1"/>
        <v>224907461</v>
      </c>
      <c r="Q16" s="755">
        <f>SUM('2. sz. mell'!H89)</f>
        <v>224907461</v>
      </c>
      <c r="R16" s="1652">
        <f>SUM('2. sz. mell'!I89)</f>
        <v>275558186</v>
      </c>
      <c r="S16" s="755">
        <f>SUM('2. sz. mell'!J89)</f>
        <v>500465647</v>
      </c>
      <c r="T16" s="1432">
        <f t="shared" si="1"/>
        <v>0</v>
      </c>
      <c r="U16" s="755">
        <f>SUM('2. sz. mell'!L89)</f>
        <v>500465647</v>
      </c>
      <c r="V16" s="755">
        <f>SUM('2. sz. mell'!M89)</f>
        <v>478742247</v>
      </c>
    </row>
    <row r="17" spans="1:27" ht="15" customHeight="1" x14ac:dyDescent="0.2">
      <c r="A17" s="51" t="s">
        <v>246</v>
      </c>
      <c r="B17" s="48" t="s">
        <v>790</v>
      </c>
      <c r="C17" s="72"/>
      <c r="D17" s="71"/>
      <c r="E17" s="70">
        <f>SUM('2. sz. mell'!F35)</f>
        <v>0</v>
      </c>
      <c r="F17" s="1638">
        <f t="shared" si="0"/>
        <v>0</v>
      </c>
      <c r="G17" s="3288"/>
      <c r="H17" s="1411">
        <f t="shared" si="0"/>
        <v>0</v>
      </c>
      <c r="I17" s="3279"/>
      <c r="J17" s="1411">
        <f t="shared" si="0"/>
        <v>0</v>
      </c>
      <c r="K17" s="3279">
        <f>SUM('2. sz. mell'!L35)</f>
        <v>0</v>
      </c>
      <c r="L17" s="3279">
        <f>SUM('2. sz. mell'!M35)</f>
        <v>0</v>
      </c>
      <c r="M17" s="3292"/>
      <c r="N17" s="3288"/>
      <c r="O17" s="70"/>
      <c r="P17" s="1652">
        <f t="shared" si="1"/>
        <v>0</v>
      </c>
      <c r="Q17" s="755"/>
      <c r="R17" s="1652">
        <f t="shared" si="1"/>
        <v>0</v>
      </c>
      <c r="S17" s="1179"/>
      <c r="T17" s="1432">
        <f t="shared" si="1"/>
        <v>0</v>
      </c>
      <c r="U17" s="1179"/>
      <c r="V17" s="70"/>
    </row>
    <row r="18" spans="1:27" ht="22.5" customHeight="1" x14ac:dyDescent="0.2">
      <c r="A18" s="51" t="s">
        <v>247</v>
      </c>
      <c r="B18" s="52" t="s">
        <v>110</v>
      </c>
      <c r="C18" s="71"/>
      <c r="D18" s="71">
        <v>2302350000</v>
      </c>
      <c r="E18" s="70">
        <f>SUM('2. sz. mell'!F36)</f>
        <v>1361850000</v>
      </c>
      <c r="F18" s="1638">
        <f t="shared" si="0"/>
        <v>1096200000</v>
      </c>
      <c r="G18" s="3288">
        <f>SUM('2. sz. mell'!H36)</f>
        <v>2458050000</v>
      </c>
      <c r="H18" s="1411">
        <f t="shared" si="0"/>
        <v>-800000000</v>
      </c>
      <c r="I18" s="3279">
        <f>SUM('2. sz. mell'!J36)</f>
        <v>1658050000</v>
      </c>
      <c r="J18" s="1411">
        <f t="shared" si="0"/>
        <v>0</v>
      </c>
      <c r="K18" s="3279">
        <f>SUM('2. sz. mell'!L36)</f>
        <v>1658050000</v>
      </c>
      <c r="L18" s="3279">
        <f>SUM('2. sz. mell'!M36)</f>
        <v>1658050000</v>
      </c>
      <c r="M18" s="3295"/>
      <c r="N18" s="3289"/>
      <c r="O18" s="70"/>
      <c r="P18" s="1652">
        <f t="shared" si="1"/>
        <v>0</v>
      </c>
      <c r="Q18" s="755"/>
      <c r="R18" s="1652">
        <f t="shared" si="1"/>
        <v>0</v>
      </c>
      <c r="S18" s="1179"/>
      <c r="T18" s="1432">
        <f t="shared" si="1"/>
        <v>0</v>
      </c>
      <c r="U18" s="1179"/>
      <c r="V18" s="70"/>
      <c r="Z18" s="38">
        <f>SUM(G15+G17+G18)</f>
        <v>3769923610</v>
      </c>
    </row>
    <row r="19" spans="1:27" ht="17.25" customHeight="1" x14ac:dyDescent="0.2">
      <c r="A19" s="51" t="s">
        <v>248</v>
      </c>
      <c r="B19" s="73" t="s">
        <v>126</v>
      </c>
      <c r="C19" s="71"/>
      <c r="D19" s="71">
        <v>444537194</v>
      </c>
      <c r="E19" s="70">
        <f>SUM('2. sz. mell'!F40)</f>
        <v>0</v>
      </c>
      <c r="F19" s="1638">
        <f t="shared" si="0"/>
        <v>0</v>
      </c>
      <c r="G19" s="3288">
        <f>SUM('2. sz. mell'!H40)</f>
        <v>0</v>
      </c>
      <c r="H19" s="1411">
        <f t="shared" si="0"/>
        <v>0</v>
      </c>
      <c r="I19" s="3279">
        <f>SUM('2. sz. mell'!J40)</f>
        <v>0</v>
      </c>
      <c r="J19" s="1411">
        <f t="shared" si="0"/>
        <v>0</v>
      </c>
      <c r="K19" s="3279">
        <f>SUM('2. sz. mell'!L40)</f>
        <v>0</v>
      </c>
      <c r="L19" s="3279">
        <f>SUM('2. sz. mell'!M40)</f>
        <v>0</v>
      </c>
      <c r="M19" s="3292"/>
      <c r="N19" s="3288"/>
      <c r="O19" s="70"/>
      <c r="P19" s="1652">
        <f t="shared" si="1"/>
        <v>0</v>
      </c>
      <c r="Q19" s="755"/>
      <c r="R19" s="1652">
        <f t="shared" si="1"/>
        <v>0</v>
      </c>
      <c r="S19" s="1179"/>
      <c r="T19" s="1432">
        <f t="shared" si="1"/>
        <v>0</v>
      </c>
      <c r="U19" s="1179"/>
      <c r="V19" s="70"/>
    </row>
    <row r="20" spans="1:27" ht="23.25" customHeight="1" thickBot="1" x14ac:dyDescent="0.25">
      <c r="A20" s="51" t="s">
        <v>884</v>
      </c>
      <c r="B20" s="52" t="s">
        <v>1067</v>
      </c>
      <c r="C20" s="1277"/>
      <c r="D20" s="1277">
        <v>333523080</v>
      </c>
      <c r="E20" s="68">
        <f>SUM('2. sz. mell'!F42)</f>
        <v>0</v>
      </c>
      <c r="F20" s="1638">
        <f t="shared" si="0"/>
        <v>207522067</v>
      </c>
      <c r="G20" s="3289">
        <f>SUM('2. sz. mell'!H42)</f>
        <v>207522067</v>
      </c>
      <c r="H20" s="1411">
        <f t="shared" si="0"/>
        <v>273810227</v>
      </c>
      <c r="I20" s="3279">
        <f>SUM('2. sz. mell'!J42)</f>
        <v>481332294</v>
      </c>
      <c r="J20" s="1411">
        <f t="shared" si="0"/>
        <v>1747959</v>
      </c>
      <c r="K20" s="3279">
        <f>SUM('2. sz. mell'!L42)</f>
        <v>483080253</v>
      </c>
      <c r="L20" s="3279">
        <f>SUM('2. sz. mell'!M42)</f>
        <v>481332294</v>
      </c>
      <c r="M20" s="3295"/>
      <c r="N20" s="3289"/>
      <c r="O20" s="68"/>
      <c r="P20" s="1652">
        <f t="shared" si="1"/>
        <v>0</v>
      </c>
      <c r="Q20" s="754"/>
      <c r="R20" s="1652">
        <f t="shared" si="1"/>
        <v>0</v>
      </c>
      <c r="S20" s="587"/>
      <c r="T20" s="1432">
        <f t="shared" si="1"/>
        <v>0</v>
      </c>
      <c r="U20" s="587"/>
      <c r="V20" s="68"/>
    </row>
    <row r="21" spans="1:27" ht="29.25" customHeight="1" thickBot="1" x14ac:dyDescent="0.25">
      <c r="A21" s="61" t="s">
        <v>250</v>
      </c>
      <c r="B21" s="62" t="s">
        <v>251</v>
      </c>
      <c r="C21" s="63">
        <f>SUM(C14:C19)</f>
        <v>0</v>
      </c>
      <c r="D21" s="64">
        <v>4729017925</v>
      </c>
      <c r="E21" s="64">
        <f>SUM(E14+E18)</f>
        <v>2835468961</v>
      </c>
      <c r="F21" s="1530">
        <f t="shared" si="0"/>
        <v>2761178328</v>
      </c>
      <c r="G21" s="859">
        <f>SUM(G14)</f>
        <v>5596647289</v>
      </c>
      <c r="H21" s="1407">
        <f t="shared" si="0"/>
        <v>-480597515</v>
      </c>
      <c r="I21" s="826">
        <f>SUM(I14)</f>
        <v>5116049774</v>
      </c>
      <c r="J21" s="1407">
        <f t="shared" si="0"/>
        <v>1747959</v>
      </c>
      <c r="K21" s="826">
        <f>SUM(K14)</f>
        <v>5117797733</v>
      </c>
      <c r="L21" s="823">
        <f>SUM(L14)</f>
        <v>5116049774</v>
      </c>
      <c r="M21" s="3296" t="s">
        <v>252</v>
      </c>
      <c r="N21" s="859">
        <v>3675531469</v>
      </c>
      <c r="O21" s="64">
        <f>SUM(O14:O19)</f>
        <v>2054939961</v>
      </c>
      <c r="P21" s="1530">
        <f t="shared" si="1"/>
        <v>1466690112</v>
      </c>
      <c r="Q21" s="753">
        <f>SUM(Q14:Q19)</f>
        <v>3521630073</v>
      </c>
      <c r="R21" s="1530">
        <f t="shared" si="1"/>
        <v>140299299</v>
      </c>
      <c r="S21" s="285">
        <f>SUM(S14:S19)</f>
        <v>3661929372</v>
      </c>
      <c r="T21" s="1374">
        <f t="shared" si="1"/>
        <v>0</v>
      </c>
      <c r="U21" s="285">
        <f>SUM(U14:U19)</f>
        <v>3661929372</v>
      </c>
      <c r="V21" s="64">
        <f>SUM(V14:V19)</f>
        <v>3500805617</v>
      </c>
    </row>
    <row r="22" spans="1:27" ht="32.25" customHeight="1" thickBot="1" x14ac:dyDescent="0.25">
      <c r="A22" s="61"/>
      <c r="B22" s="30" t="s">
        <v>1827</v>
      </c>
      <c r="C22" s="63"/>
      <c r="D22" s="63">
        <v>1567481469</v>
      </c>
      <c r="E22" s="748">
        <f t="shared" ref="E22:L22" si="2">SUM(E16)</f>
        <v>1473618961</v>
      </c>
      <c r="F22" s="1638">
        <f t="shared" si="0"/>
        <v>145582651</v>
      </c>
      <c r="G22" s="859">
        <f t="shared" si="2"/>
        <v>1619201612</v>
      </c>
      <c r="H22" s="1407">
        <f t="shared" si="2"/>
        <v>45592258</v>
      </c>
      <c r="I22" s="823">
        <f t="shared" si="2"/>
        <v>1664793870</v>
      </c>
      <c r="J22" s="1407">
        <f t="shared" si="2"/>
        <v>0</v>
      </c>
      <c r="K22" s="823">
        <f t="shared" si="2"/>
        <v>1664793870</v>
      </c>
      <c r="L22" s="823">
        <f t="shared" si="2"/>
        <v>1664793870</v>
      </c>
      <c r="M22" s="30" t="s">
        <v>814</v>
      </c>
      <c r="N22" s="4198"/>
      <c r="O22" s="64">
        <f>SUM(O14)</f>
        <v>1473618961</v>
      </c>
      <c r="P22" s="1652">
        <f t="shared" si="1"/>
        <v>145582651</v>
      </c>
      <c r="Q22" s="753">
        <f t="shared" ref="Q22:V22" si="3">SUM(Q14)</f>
        <v>1619201612</v>
      </c>
      <c r="R22" s="1530">
        <f t="shared" si="3"/>
        <v>45592258</v>
      </c>
      <c r="S22" s="753">
        <f t="shared" si="3"/>
        <v>1664793870</v>
      </c>
      <c r="T22" s="1374">
        <f t="shared" si="1"/>
        <v>0</v>
      </c>
      <c r="U22" s="753">
        <f t="shared" si="3"/>
        <v>1664793870</v>
      </c>
      <c r="V22" s="753">
        <f t="shared" si="3"/>
        <v>1664793870</v>
      </c>
    </row>
    <row r="23" spans="1:27" ht="18.75" customHeight="1" thickBot="1" x14ac:dyDescent="0.25">
      <c r="A23" s="76" t="s">
        <v>253</v>
      </c>
      <c r="B23" s="77" t="s">
        <v>254</v>
      </c>
      <c r="C23" s="78">
        <f>+C13+C15+C21</f>
        <v>0</v>
      </c>
      <c r="D23" s="78">
        <v>7655581771</v>
      </c>
      <c r="E23" s="79">
        <f>+E13+E21-E22</f>
        <v>5451838150</v>
      </c>
      <c r="F23" s="1639">
        <f t="shared" si="0"/>
        <v>2970270771</v>
      </c>
      <c r="G23" s="87">
        <f>+G13+G21-G22</f>
        <v>8422108921</v>
      </c>
      <c r="H23" s="3265">
        <f t="shared" si="0"/>
        <v>315870846</v>
      </c>
      <c r="I23" s="88">
        <f>+I13+I21-I22</f>
        <v>8737979767</v>
      </c>
      <c r="J23" s="3265">
        <f t="shared" si="0"/>
        <v>1747959</v>
      </c>
      <c r="K23" s="88">
        <f>+K13+K21-K22</f>
        <v>8739727726</v>
      </c>
      <c r="L23" s="88">
        <f>+L13+L21-L22</f>
        <v>8749047976</v>
      </c>
      <c r="M23" s="77" t="s">
        <v>255</v>
      </c>
      <c r="N23" s="87">
        <v>5783418372</v>
      </c>
      <c r="O23" s="79">
        <f>+O13+O21-O22</f>
        <v>4150554750</v>
      </c>
      <c r="P23" s="1639">
        <f t="shared" si="1"/>
        <v>2124396559</v>
      </c>
      <c r="Q23" s="88">
        <f>+Q13+Q21-Q22</f>
        <v>6274951309</v>
      </c>
      <c r="R23" s="1639">
        <f t="shared" si="1"/>
        <v>269972251</v>
      </c>
      <c r="S23" s="88">
        <f>+S13+S21-S22</f>
        <v>6544923560</v>
      </c>
      <c r="T23" s="1495">
        <f t="shared" si="1"/>
        <v>1747959</v>
      </c>
      <c r="U23" s="79">
        <f>+U13+U21-U22</f>
        <v>6546671519</v>
      </c>
      <c r="V23" s="79">
        <f>+V13+V21-V22</f>
        <v>5929190820</v>
      </c>
      <c r="X23" s="38">
        <f>SUM(V23/Q23)*100</f>
        <v>94.489829928973563</v>
      </c>
      <c r="AA23" s="38">
        <f>SUM(E23+'1.2.sz.mell  '!E24)</f>
        <v>5651838150</v>
      </c>
    </row>
    <row r="24" spans="1:27" ht="17.25" customHeight="1" thickBot="1" x14ac:dyDescent="0.25">
      <c r="A24" s="76" t="s">
        <v>256</v>
      </c>
      <c r="B24" s="77" t="s">
        <v>257</v>
      </c>
      <c r="C24" s="80"/>
      <c r="D24" s="80"/>
      <c r="E24" s="81" t="str">
        <f>IF(((O13-E13)&gt;0),O13-E13,"----")</f>
        <v>----</v>
      </c>
      <c r="F24" s="1640"/>
      <c r="G24" s="3290" t="str">
        <f>IF(((Q13-G13)&gt;0),Q13-G13,"----")</f>
        <v>----</v>
      </c>
      <c r="H24"/>
      <c r="I24" t="str">
        <f>IF(((S13-I13)&gt;0),S13-I13,"----")</f>
        <v>----</v>
      </c>
      <c r="J24"/>
      <c r="K24" t="str">
        <f>IF(((U13-K13)&gt;0),U13-K13,"----")</f>
        <v>----</v>
      </c>
      <c r="L24" t="str">
        <f>IF(((V13-L13)&gt;0),V13-L13,"----")</f>
        <v>----</v>
      </c>
      <c r="M24" s="77" t="s">
        <v>258</v>
      </c>
      <c r="N24" s="4199">
        <v>818676943</v>
      </c>
      <c r="O24" s="81">
        <f>IF(((E13-O13)&gt;0),E13-O13,"----")</f>
        <v>520754400</v>
      </c>
      <c r="P24" s="1653"/>
      <c r="Q24" s="756">
        <f>IF(((G13-Q13)&gt;0),G13-Q13,"----")</f>
        <v>72140396</v>
      </c>
      <c r="R24" s="1653"/>
      <c r="S24" s="1687">
        <f>IF(((I13-S13)&gt;0),I13-S13,"----")</f>
        <v>738935805</v>
      </c>
      <c r="T24" s="1688"/>
      <c r="U24" s="1687">
        <f>IF(((K13-U13)&gt;0),K13-U13,"----")</f>
        <v>737187846</v>
      </c>
      <c r="V24" s="81">
        <f>IF(((L13-V13)&gt;0),L13-V13,"----")</f>
        <v>1204612999</v>
      </c>
    </row>
    <row r="26" spans="1:27" x14ac:dyDescent="0.2">
      <c r="L26" s="3568">
        <f>SUM(L23/K23)*100</f>
        <v>100.10664233820779</v>
      </c>
    </row>
    <row r="27" spans="1:27" ht="15.75" x14ac:dyDescent="0.2">
      <c r="B27" s="82"/>
    </row>
    <row r="29" spans="1:27" ht="39" customHeight="1" x14ac:dyDescent="0.2">
      <c r="B29" s="83" t="s">
        <v>780</v>
      </c>
      <c r="C29" s="84">
        <f>SUM(C13)</f>
        <v>0</v>
      </c>
      <c r="D29" s="84">
        <f>SUM(D13)</f>
        <v>4494045315</v>
      </c>
      <c r="E29" s="84">
        <f>SUM(E13)</f>
        <v>4089988150</v>
      </c>
      <c r="F29" s="1641"/>
      <c r="G29" s="84">
        <f>SUM(G13)</f>
        <v>4444663244</v>
      </c>
      <c r="H29" s="1641"/>
      <c r="I29" s="84">
        <f>SUM(I13)</f>
        <v>5286723863</v>
      </c>
      <c r="J29" s="1641"/>
      <c r="K29" s="84">
        <f>SUM(K13)</f>
        <v>5286723863</v>
      </c>
      <c r="L29" s="84">
        <f>SUM(L13)</f>
        <v>5297792072</v>
      </c>
      <c r="M29" s="85" t="s">
        <v>259</v>
      </c>
      <c r="N29" s="84"/>
      <c r="O29" s="84">
        <f>SUM(E23)</f>
        <v>5451838150</v>
      </c>
      <c r="P29" s="1641"/>
      <c r="Q29" s="84">
        <f>SUM(G23)</f>
        <v>8422108921</v>
      </c>
      <c r="R29" s="1641"/>
      <c r="S29" s="84">
        <f>SUM(I23)</f>
        <v>8737979767</v>
      </c>
      <c r="T29" s="1641"/>
      <c r="U29" s="84">
        <f>SUM(K23)</f>
        <v>8739727726</v>
      </c>
      <c r="V29" s="84">
        <f>SUM(L23)</f>
        <v>8749047976</v>
      </c>
    </row>
    <row r="30" spans="1:27" ht="38.25" thickBot="1" x14ac:dyDescent="0.25">
      <c r="B30" s="83" t="s">
        <v>781</v>
      </c>
      <c r="C30" s="84">
        <f>SUM('1.2.sz.mell  '!C16)</f>
        <v>0</v>
      </c>
      <c r="D30" s="84">
        <f>SUM('1.2.sz.mell  '!D16)</f>
        <v>1036910715</v>
      </c>
      <c r="E30" s="84">
        <f>SUM('1.2.sz.mell  '!E16)</f>
        <v>200000000</v>
      </c>
      <c r="F30" s="1641"/>
      <c r="G30" s="97">
        <f>SUM('1.2.sz.mell  '!G16)</f>
        <v>0</v>
      </c>
      <c r="H30" s="1648"/>
      <c r="I30" s="97">
        <f>SUM('1.2.sz.mell  '!I16)</f>
        <v>72281664</v>
      </c>
      <c r="J30" s="97"/>
      <c r="K30" s="97">
        <f>SUM('1.2.sz.mell  '!K16)</f>
        <v>72281664</v>
      </c>
      <c r="L30" s="97">
        <f>SUM('1.2.sz.mell  '!L16)</f>
        <v>72521790</v>
      </c>
      <c r="M30" s="85" t="s">
        <v>260</v>
      </c>
      <c r="N30" s="84"/>
      <c r="O30" s="84">
        <f>SUM('1.2.sz.mell  '!E24)</f>
        <v>200000000</v>
      </c>
      <c r="P30" s="1641"/>
      <c r="Q30" s="84">
        <f>SUM('1.2.sz.mell  '!G24)</f>
        <v>200000000</v>
      </c>
      <c r="R30" s="1641"/>
      <c r="S30" s="84">
        <f>SUM('1.2.sz.mell  '!I24)</f>
        <v>72281664</v>
      </c>
      <c r="T30" s="1641"/>
      <c r="U30" s="97">
        <f>SUM('1.2.sz.mell  '!K24)</f>
        <v>72281664</v>
      </c>
      <c r="V30" s="84">
        <f>SUM('1.2.sz.mell  '!L24)</f>
        <v>72521790</v>
      </c>
    </row>
    <row r="31" spans="1:27" ht="19.5" thickBot="1" x14ac:dyDescent="0.25">
      <c r="B31" s="86" t="s">
        <v>261</v>
      </c>
      <c r="C31" s="87">
        <f>SUM(C29:C30)</f>
        <v>0</v>
      </c>
      <c r="D31" s="87">
        <f>SUM(D29:D30)</f>
        <v>5530956030</v>
      </c>
      <c r="E31" s="88">
        <f>SUM(E29:E30)</f>
        <v>4289988150</v>
      </c>
      <c r="F31" s="1642"/>
      <c r="G31" s="88">
        <f>SUM(G29:G30)</f>
        <v>4444663244</v>
      </c>
      <c r="H31" s="1642"/>
      <c r="I31" s="88">
        <f>SUM(I29:I30)</f>
        <v>5359005527</v>
      </c>
      <c r="J31" s="1642"/>
      <c r="K31" s="88">
        <f>SUM(K29:K30)</f>
        <v>5359005527</v>
      </c>
      <c r="L31" s="88">
        <f>SUM(L29:L30)</f>
        <v>5370313862</v>
      </c>
      <c r="M31" s="89" t="s">
        <v>261</v>
      </c>
      <c r="N31" s="87"/>
      <c r="O31" s="88">
        <f>SUM(O29:O30)</f>
        <v>5651838150</v>
      </c>
      <c r="P31" s="1642"/>
      <c r="Q31" s="88">
        <f>SUM(Q29:Q30)</f>
        <v>8622108921</v>
      </c>
      <c r="R31" s="1642"/>
      <c r="S31" s="88">
        <f>SUM(S29:S30)</f>
        <v>8810261431</v>
      </c>
      <c r="T31" s="1642"/>
      <c r="U31" s="434">
        <f>SUM(U29:U30)</f>
        <v>8812009390</v>
      </c>
      <c r="V31" s="88">
        <f>SUM(V29:V30)</f>
        <v>8821569766</v>
      </c>
    </row>
    <row r="32" spans="1:27" ht="15.75" x14ac:dyDescent="0.2">
      <c r="C32" s="90"/>
      <c r="D32" s="90"/>
      <c r="E32" s="90"/>
      <c r="F32" s="1643"/>
      <c r="G32" s="165"/>
      <c r="H32" s="1590"/>
      <c r="I32" s="165"/>
      <c r="J32" s="1590"/>
      <c r="K32" s="165"/>
      <c r="L32" s="165"/>
      <c r="M32" s="91"/>
      <c r="Q32" s="165"/>
      <c r="R32" s="1590"/>
      <c r="S32" s="165"/>
      <c r="T32" s="1590"/>
      <c r="U32" s="286"/>
      <c r="V32" s="165"/>
    </row>
    <row r="33" spans="2:22" ht="37.5" x14ac:dyDescent="0.2">
      <c r="B33" s="38"/>
      <c r="M33" s="85" t="s">
        <v>262</v>
      </c>
      <c r="N33" s="90"/>
      <c r="O33" s="90">
        <f>SUM('2. sz. mell'!F48)</f>
        <v>5651838150</v>
      </c>
      <c r="P33" s="1643"/>
      <c r="Q33" s="90">
        <f>SUM('2. sz. mell'!H48)</f>
        <v>8622108921</v>
      </c>
      <c r="R33" s="1643"/>
      <c r="S33" s="90">
        <f>SUM('2. sz. mell'!J48)</f>
        <v>8810261431</v>
      </c>
      <c r="T33" s="1643"/>
      <c r="U33" s="1866">
        <f>SUM('2. sz. mell'!L48)</f>
        <v>8812009390</v>
      </c>
      <c r="V33" s="90">
        <f>SUM('2. sz. mell'!M48)</f>
        <v>8821569766</v>
      </c>
    </row>
    <row r="34" spans="2:22" ht="37.5" x14ac:dyDescent="0.2">
      <c r="B34" s="83" t="s">
        <v>777</v>
      </c>
      <c r="C34" s="92"/>
      <c r="D34" s="92"/>
      <c r="E34" s="84">
        <f>SUM('2. sz. mell'!F7)</f>
        <v>4089988150</v>
      </c>
      <c r="F34" s="1641"/>
      <c r="G34" s="84">
        <f>SUM('2. sz. mell'!H7)</f>
        <v>4444663244</v>
      </c>
      <c r="H34" s="1641"/>
      <c r="I34" s="84">
        <f>SUM('2. sz. mell'!J7)</f>
        <v>5286723863</v>
      </c>
      <c r="J34" s="1641"/>
      <c r="K34" s="84">
        <f>SUM('2. sz. mell'!L7)</f>
        <v>5286723863</v>
      </c>
      <c r="L34" s="84">
        <f>SUM('2. sz. mell'!M7)</f>
        <v>5297792072</v>
      </c>
      <c r="M34" s="93"/>
      <c r="N34" s="436"/>
      <c r="O34" s="436"/>
      <c r="P34" s="1654"/>
      <c r="Q34" s="205"/>
      <c r="R34" s="1575"/>
      <c r="S34" s="205"/>
      <c r="T34" s="1575"/>
      <c r="U34" s="205"/>
      <c r="V34" s="205"/>
    </row>
    <row r="35" spans="2:22" ht="18.75" x14ac:dyDescent="0.2">
      <c r="B35" s="930" t="s">
        <v>778</v>
      </c>
      <c r="C35" s="931"/>
      <c r="D35" s="931"/>
      <c r="E35" s="932">
        <f>SUM(E29-E34)</f>
        <v>0</v>
      </c>
      <c r="F35" s="1644"/>
      <c r="G35" s="932">
        <f>SUM(G29-G34)</f>
        <v>0</v>
      </c>
      <c r="H35" s="1644"/>
      <c r="I35" s="932">
        <f>SUM(I29-I34)</f>
        <v>0</v>
      </c>
      <c r="J35" s="1644"/>
      <c r="K35" s="932">
        <f>SUM(K29-K34)</f>
        <v>0</v>
      </c>
      <c r="L35" s="932">
        <f>SUM(L29-L34)</f>
        <v>0</v>
      </c>
      <c r="M35" s="930" t="s">
        <v>778</v>
      </c>
      <c r="N35" s="4200"/>
      <c r="O35" s="2859">
        <f>SUM(O33-O31)</f>
        <v>0</v>
      </c>
      <c r="P35" s="1644"/>
      <c r="Q35" s="2859">
        <f>SUM(Q33-Q31)</f>
        <v>0</v>
      </c>
      <c r="R35" s="1644"/>
      <c r="S35" s="932">
        <f>SUM(S33-S31)</f>
        <v>0</v>
      </c>
      <c r="T35" s="1644"/>
      <c r="U35" s="932">
        <f>SUM(U33-U31)</f>
        <v>0</v>
      </c>
      <c r="V35" s="932">
        <f>SUM(V33-V31)</f>
        <v>0</v>
      </c>
    </row>
    <row r="36" spans="2:22" ht="18.75" x14ac:dyDescent="0.2">
      <c r="B36" s="83"/>
      <c r="C36" s="74"/>
      <c r="D36" s="74"/>
      <c r="E36" s="74"/>
      <c r="F36" s="1645"/>
      <c r="G36" s="74"/>
      <c r="H36" s="1645"/>
      <c r="I36" s="74"/>
      <c r="J36" s="1645"/>
      <c r="K36" s="74"/>
      <c r="L36" s="205"/>
      <c r="M36" s="436"/>
      <c r="N36" s="436"/>
      <c r="O36" s="436"/>
      <c r="P36" s="1654"/>
      <c r="Q36" s="436"/>
      <c r="R36" s="1654"/>
      <c r="S36" s="436"/>
      <c r="T36" s="1654"/>
      <c r="U36" s="436"/>
      <c r="V36" s="436"/>
    </row>
    <row r="37" spans="2:22" ht="37.5" x14ac:dyDescent="0.2">
      <c r="B37" s="83" t="s">
        <v>779</v>
      </c>
      <c r="C37" s="74"/>
      <c r="D37" s="74"/>
      <c r="E37" s="84">
        <f>SUM('2. sz. mell'!F28)</f>
        <v>200000000</v>
      </c>
      <c r="F37" s="1641"/>
      <c r="G37" s="97">
        <f>SUM('2. sz. mell'!H28)</f>
        <v>0</v>
      </c>
      <c r="H37" s="1648"/>
      <c r="I37" s="97">
        <f>SUM('2. sz. mell'!J28)</f>
        <v>72281664</v>
      </c>
      <c r="J37" s="1648"/>
      <c r="K37" s="97">
        <f>SUM('2. sz. mell'!L28)</f>
        <v>72281664</v>
      </c>
      <c r="L37" s="84">
        <f>SUM('2. sz. mell'!M28)</f>
        <v>72521790</v>
      </c>
      <c r="M37" s="436"/>
      <c r="N37" s="436"/>
      <c r="O37" s="436"/>
      <c r="P37" s="1654"/>
      <c r="Q37" s="436"/>
      <c r="R37" s="1654"/>
      <c r="S37" s="436"/>
      <c r="T37" s="1654"/>
      <c r="U37" s="436"/>
      <c r="V37" s="436"/>
    </row>
    <row r="38" spans="2:22" ht="18.75" x14ac:dyDescent="0.2">
      <c r="B38" s="933" t="s">
        <v>778</v>
      </c>
      <c r="C38" s="934"/>
      <c r="D38" s="934"/>
      <c r="E38" s="935">
        <f>SUM(E30-E37)</f>
        <v>0</v>
      </c>
      <c r="F38" s="1646"/>
      <c r="G38" s="935">
        <f>SUM(G30-G37)</f>
        <v>0</v>
      </c>
      <c r="H38" s="1646"/>
      <c r="I38" s="935">
        <f>SUM(I30-I37)</f>
        <v>0</v>
      </c>
      <c r="J38" s="1646"/>
      <c r="K38" s="935">
        <f>SUM(K30-K37)</f>
        <v>0</v>
      </c>
      <c r="L38" s="935">
        <f>SUM(L30-L37)</f>
        <v>0</v>
      </c>
      <c r="M38" s="436"/>
      <c r="N38" s="436"/>
      <c r="O38" s="436"/>
      <c r="P38" s="1654"/>
      <c r="Q38" s="436"/>
      <c r="R38" s="1654"/>
      <c r="S38" s="436"/>
      <c r="T38" s="1654"/>
      <c r="U38" s="436"/>
      <c r="V38" s="436"/>
    </row>
    <row r="39" spans="2:22" ht="18.75" x14ac:dyDescent="0.2">
      <c r="B39" s="83"/>
      <c r="C39" s="74"/>
      <c r="D39" s="74"/>
      <c r="E39" s="74"/>
      <c r="F39" s="1645"/>
      <c r="G39" s="74"/>
      <c r="H39" s="1645"/>
      <c r="I39" s="74"/>
      <c r="J39" s="1645"/>
      <c r="K39" s="74"/>
      <c r="L39" s="436"/>
      <c r="M39" s="436"/>
      <c r="N39" s="436"/>
      <c r="O39" s="436"/>
      <c r="P39" s="1654"/>
      <c r="Q39" s="436"/>
      <c r="R39" s="1654"/>
      <c r="S39" s="436"/>
      <c r="T39" s="1654"/>
      <c r="U39" s="436"/>
      <c r="V39" s="436"/>
    </row>
    <row r="40" spans="2:22" ht="18.75" x14ac:dyDescent="0.2">
      <c r="B40" s="83"/>
      <c r="C40" s="74"/>
      <c r="D40" s="74"/>
      <c r="E40" s="74"/>
      <c r="F40" s="1645"/>
      <c r="G40" s="74"/>
      <c r="H40" s="1645"/>
      <c r="I40" s="74"/>
      <c r="J40" s="1645"/>
      <c r="K40" s="74"/>
      <c r="L40" s="436"/>
      <c r="M40" s="91"/>
      <c r="Q40" s="436"/>
      <c r="R40" s="1654"/>
      <c r="S40" s="436"/>
      <c r="T40" s="1654"/>
      <c r="U40" s="436"/>
      <c r="V40" s="436"/>
    </row>
    <row r="41" spans="2:22" ht="37.5" x14ac:dyDescent="0.2">
      <c r="B41" s="1172" t="s">
        <v>785</v>
      </c>
      <c r="C41" s="1175"/>
      <c r="D41" s="1175"/>
      <c r="E41" s="1174">
        <f>SUM('2. sz. mell'!F115)</f>
        <v>4289988150</v>
      </c>
      <c r="F41" s="1174">
        <f>SUM('2. sz. mell'!G115)</f>
        <v>0</v>
      </c>
      <c r="G41" s="1174">
        <f>SUM('2. sz. mell'!H115)</f>
        <v>4444663244</v>
      </c>
      <c r="H41" s="1174">
        <f>SUM('2. sz. mell'!I115)</f>
        <v>0</v>
      </c>
      <c r="I41" s="1174">
        <f>SUM('2. sz. mell'!J115)</f>
        <v>5359005527</v>
      </c>
      <c r="J41" s="1174">
        <f>SUM('2. sz. mell'!K115)</f>
        <v>0</v>
      </c>
      <c r="K41" s="1174">
        <f>SUM('2. sz. mell'!L115)</f>
        <v>5359005527</v>
      </c>
      <c r="L41" s="1174">
        <f>SUM('2. sz. mell'!M115)</f>
        <v>5370313862</v>
      </c>
      <c r="M41" s="91"/>
      <c r="Q41" s="436"/>
      <c r="R41" s="1654"/>
      <c r="S41" s="436"/>
      <c r="T41" s="1654"/>
      <c r="U41" s="436"/>
      <c r="V41" s="436"/>
    </row>
    <row r="42" spans="2:22" ht="18.75" x14ac:dyDescent="0.2">
      <c r="B42" s="83"/>
      <c r="C42" s="74"/>
      <c r="D42" s="74"/>
      <c r="E42" s="74"/>
      <c r="F42" s="1645"/>
      <c r="G42" s="74"/>
      <c r="H42" s="1645"/>
      <c r="I42" s="74"/>
      <c r="J42" s="1645"/>
      <c r="K42" s="74"/>
      <c r="L42" s="436"/>
      <c r="M42" s="91"/>
      <c r="Q42" s="436"/>
      <c r="R42" s="1654"/>
      <c r="S42" s="436"/>
      <c r="T42" s="1654"/>
      <c r="U42" s="436"/>
      <c r="V42" s="436"/>
    </row>
    <row r="43" spans="2:22" ht="18.75" x14ac:dyDescent="0.2">
      <c r="B43" s="933" t="s">
        <v>778</v>
      </c>
      <c r="C43" s="934"/>
      <c r="D43" s="934"/>
      <c r="E43" s="935">
        <f>SUM(E31-E41)</f>
        <v>0</v>
      </c>
      <c r="F43" s="1646"/>
      <c r="G43" s="935">
        <f>SUM(G31-G41)</f>
        <v>0</v>
      </c>
      <c r="H43" s="1646"/>
      <c r="I43" s="935">
        <f>SUM(I31-I41)</f>
        <v>0</v>
      </c>
      <c r="J43" s="1646"/>
      <c r="K43" s="935">
        <f>SUM(K31-K41)</f>
        <v>0</v>
      </c>
      <c r="L43" s="935">
        <f>SUM(L31-L41)</f>
        <v>0</v>
      </c>
      <c r="M43" s="91"/>
      <c r="Q43" s="436"/>
      <c r="R43" s="1654"/>
      <c r="S43" s="436"/>
      <c r="T43" s="1654"/>
      <c r="U43" s="436"/>
      <c r="V43" s="436"/>
    </row>
    <row r="44" spans="2:22" ht="18.75" x14ac:dyDescent="0.2">
      <c r="B44" s="83"/>
      <c r="C44" s="74"/>
      <c r="D44" s="74"/>
      <c r="E44" s="74"/>
      <c r="F44" s="1645"/>
      <c r="G44" s="74"/>
      <c r="H44" s="1645"/>
      <c r="I44" s="74"/>
      <c r="J44" s="1645"/>
      <c r="K44" s="74"/>
      <c r="L44" s="436"/>
      <c r="M44" s="91"/>
      <c r="Q44" s="436"/>
      <c r="R44" s="1654"/>
      <c r="S44" s="436"/>
      <c r="T44" s="1654"/>
      <c r="U44" s="436"/>
      <c r="V44" s="436"/>
    </row>
    <row r="45" spans="2:22" ht="26.25" customHeight="1" x14ac:dyDescent="0.2">
      <c r="B45" s="83" t="s">
        <v>782</v>
      </c>
      <c r="C45" s="74"/>
      <c r="D45" s="74"/>
      <c r="E45" s="97">
        <f>SUM(E21)</f>
        <v>2835468961</v>
      </c>
      <c r="F45" s="1648"/>
      <c r="G45" s="84">
        <f>SUM(G21)</f>
        <v>5596647289</v>
      </c>
      <c r="H45" s="1641"/>
      <c r="I45" s="84">
        <f>SUM(I21)</f>
        <v>5116049774</v>
      </c>
      <c r="J45" s="1641"/>
      <c r="K45" s="84">
        <f>SUM(K21)</f>
        <v>5117797733</v>
      </c>
      <c r="L45" s="84">
        <f>SUM(L21)</f>
        <v>5116049774</v>
      </c>
      <c r="M45" s="91"/>
      <c r="Q45" s="436"/>
      <c r="R45" s="1654"/>
      <c r="S45" s="436"/>
      <c r="T45" s="1654"/>
      <c r="U45" s="436"/>
      <c r="V45" s="436"/>
    </row>
    <row r="46" spans="2:22" ht="37.5" x14ac:dyDescent="0.2">
      <c r="B46" s="83" t="s">
        <v>784</v>
      </c>
      <c r="E46" s="97">
        <f>SUM('1.2.sz.mell  '!E22)</f>
        <v>0</v>
      </c>
      <c r="F46" s="1648"/>
      <c r="G46" s="97">
        <f>SUM('1.2.sz.mell  '!G22)</f>
        <v>200000000</v>
      </c>
      <c r="H46" s="1648"/>
      <c r="I46" s="97">
        <f>SUM('1.2.sz.mell  '!I22)</f>
        <v>0</v>
      </c>
      <c r="J46" s="1648"/>
      <c r="K46" s="97">
        <f>SUM('1.2.sz.mell  '!K22)</f>
        <v>0</v>
      </c>
      <c r="L46" s="97">
        <f>SUM('1.2.sz.mell  '!L22)</f>
        <v>0</v>
      </c>
      <c r="M46" s="91"/>
      <c r="Q46" s="436"/>
      <c r="R46" s="1654"/>
      <c r="S46" s="436"/>
      <c r="T46" s="1654"/>
      <c r="U46" s="436"/>
      <c r="V46" s="436"/>
    </row>
    <row r="47" spans="2:22" ht="18.75" x14ac:dyDescent="0.2">
      <c r="B47" s="83"/>
      <c r="C47" s="74"/>
      <c r="D47" s="74"/>
      <c r="E47" s="74"/>
      <c r="F47" s="1645"/>
      <c r="G47" s="74"/>
      <c r="H47" s="1645"/>
      <c r="I47" s="74"/>
      <c r="J47" s="1645"/>
      <c r="K47" s="74"/>
      <c r="L47" s="74"/>
      <c r="M47" s="91"/>
      <c r="Q47" s="436"/>
      <c r="R47" s="1654"/>
      <c r="S47" s="436"/>
      <c r="T47" s="1654"/>
      <c r="U47" s="436"/>
      <c r="V47" s="436"/>
    </row>
    <row r="48" spans="2:22" ht="37.5" x14ac:dyDescent="0.2">
      <c r="B48" s="83" t="s">
        <v>783</v>
      </c>
      <c r="C48" s="74"/>
      <c r="D48" s="74"/>
      <c r="E48" s="84">
        <f>SUM('2. sz. mell'!F33)</f>
        <v>2835468961</v>
      </c>
      <c r="F48" s="1641"/>
      <c r="G48" s="84">
        <f>SUM('2. sz. mell'!H33)</f>
        <v>5796647289</v>
      </c>
      <c r="H48" s="1641"/>
      <c r="I48" s="84">
        <f>SUM('2. sz. mell'!J33)</f>
        <v>5116049774</v>
      </c>
      <c r="J48" s="1641"/>
      <c r="K48" s="97">
        <f>SUM('2. sz. mell'!L33)</f>
        <v>5117797733</v>
      </c>
      <c r="L48" s="97">
        <f>SUM('2. sz. mell'!M33)</f>
        <v>5116049774</v>
      </c>
      <c r="M48" s="91"/>
      <c r="Q48" s="436"/>
      <c r="R48" s="1654"/>
      <c r="S48" s="436"/>
      <c r="T48" s="1654"/>
      <c r="U48" s="436"/>
      <c r="V48" s="436"/>
    </row>
    <row r="49" spans="2:22" ht="18.75" x14ac:dyDescent="0.2">
      <c r="B49" s="933" t="s">
        <v>778</v>
      </c>
      <c r="C49" s="934"/>
      <c r="D49" s="934"/>
      <c r="E49" s="935">
        <f>SUM(E45+E46-E48)</f>
        <v>0</v>
      </c>
      <c r="F49" s="1646"/>
      <c r="G49" s="935">
        <f>SUM(G45+G46-G48)</f>
        <v>0</v>
      </c>
      <c r="H49" s="1646"/>
      <c r="I49" s="935">
        <f>SUM(I45+I46-I48)</f>
        <v>0</v>
      </c>
      <c r="J49" s="1646"/>
      <c r="K49" s="935">
        <f>SUM(K45+K46-K48)</f>
        <v>0</v>
      </c>
      <c r="L49" s="935">
        <f>SUM(L45+L46-L48)</f>
        <v>0</v>
      </c>
      <c r="M49" s="91"/>
      <c r="Q49" s="436"/>
      <c r="R49" s="1654"/>
      <c r="S49" s="436"/>
      <c r="T49" s="1654"/>
      <c r="U49" s="436"/>
      <c r="V49" s="436"/>
    </row>
    <row r="50" spans="2:22" ht="14.25" x14ac:dyDescent="0.2">
      <c r="B50" s="38"/>
      <c r="G50" s="38"/>
      <c r="H50" s="1370"/>
      <c r="I50" s="38"/>
      <c r="J50" s="1370"/>
      <c r="K50" s="38"/>
      <c r="L50" s="38"/>
      <c r="M50" s="91"/>
      <c r="Q50" s="436"/>
      <c r="R50" s="1654"/>
      <c r="S50" s="436"/>
      <c r="T50" s="1654"/>
      <c r="U50" s="436"/>
      <c r="V50" s="436"/>
    </row>
    <row r="51" spans="2:22" ht="14.25" x14ac:dyDescent="0.2">
      <c r="B51" s="38"/>
      <c r="G51" s="38"/>
      <c r="H51" s="1370"/>
      <c r="I51" s="38"/>
      <c r="J51" s="1370"/>
      <c r="K51" s="38"/>
      <c r="L51" s="38"/>
      <c r="M51" s="91"/>
      <c r="Q51" s="436"/>
      <c r="R51" s="1654"/>
      <c r="S51" s="436"/>
      <c r="T51" s="1654"/>
      <c r="U51" s="436"/>
      <c r="V51" s="436"/>
    </row>
    <row r="52" spans="2:22" ht="37.5" x14ac:dyDescent="0.2">
      <c r="B52" s="1172" t="s">
        <v>949</v>
      </c>
      <c r="C52" s="1173"/>
      <c r="D52" s="1173"/>
      <c r="E52" s="1176">
        <f>SUM('2. sz. mell'!F116)</f>
        <v>2835468961</v>
      </c>
      <c r="F52" s="1647"/>
      <c r="G52" s="1176">
        <f>SUM('2. sz. mell'!H116)</f>
        <v>5796647289</v>
      </c>
      <c r="H52" s="1647"/>
      <c r="I52" s="1176">
        <f>SUM('2. sz. mell'!J116)</f>
        <v>5116049774</v>
      </c>
      <c r="J52" s="1174"/>
      <c r="K52" s="1174">
        <f>SUM('2. sz. mell'!L116)</f>
        <v>5117797733</v>
      </c>
      <c r="L52" s="1174">
        <f>SUM('2. sz. mell'!M116)</f>
        <v>5116049774</v>
      </c>
      <c r="M52" s="91"/>
      <c r="Q52" s="436"/>
      <c r="R52" s="1654"/>
      <c r="S52" s="436"/>
      <c r="T52" s="1654"/>
      <c r="U52" s="436"/>
      <c r="V52" s="436"/>
    </row>
    <row r="53" spans="2:22" ht="14.25" x14ac:dyDescent="0.2">
      <c r="B53" s="38"/>
      <c r="G53" s="38"/>
      <c r="H53" s="1370"/>
      <c r="I53" s="38"/>
      <c r="J53" s="1370"/>
      <c r="K53" s="38"/>
      <c r="L53" s="38"/>
      <c r="M53" s="91"/>
      <c r="Q53" s="436"/>
      <c r="R53" s="1654"/>
      <c r="S53" s="436"/>
      <c r="T53" s="1654"/>
      <c r="U53" s="436"/>
      <c r="V53" s="436"/>
    </row>
    <row r="54" spans="2:22" ht="18.75" x14ac:dyDescent="0.2">
      <c r="B54" s="933" t="s">
        <v>778</v>
      </c>
      <c r="C54" s="936"/>
      <c r="D54" s="936"/>
      <c r="E54" s="935">
        <f>SUM(E45+E46)-E52</f>
        <v>0</v>
      </c>
      <c r="F54" s="1646"/>
      <c r="G54" s="935">
        <f>SUM(G45+G46)-G52</f>
        <v>0</v>
      </c>
      <c r="H54" s="1646"/>
      <c r="I54" s="935">
        <f>SUM(I45+I46)-I52</f>
        <v>0</v>
      </c>
      <c r="J54" s="1646"/>
      <c r="K54" s="935">
        <f>SUM(K45+K46)-K52</f>
        <v>0</v>
      </c>
      <c r="L54" s="935">
        <f>SUM(L45+L46)-L52</f>
        <v>0</v>
      </c>
      <c r="M54" s="91"/>
      <c r="Q54" s="436"/>
      <c r="R54" s="1654"/>
      <c r="S54" s="436"/>
      <c r="T54" s="1654"/>
      <c r="U54" s="436"/>
      <c r="V54" s="436"/>
    </row>
    <row r="55" spans="2:22" ht="14.25" x14ac:dyDescent="0.2">
      <c r="B55" s="38"/>
      <c r="E55" s="39"/>
      <c r="F55" s="1637"/>
      <c r="G55" s="39"/>
      <c r="H55" s="1637"/>
      <c r="I55" s="39"/>
      <c r="J55" s="1637"/>
      <c r="K55" s="39"/>
      <c r="L55" s="39"/>
      <c r="M55" s="91"/>
      <c r="Q55" s="436"/>
      <c r="R55" s="1654"/>
      <c r="S55" s="436"/>
      <c r="T55" s="1654"/>
      <c r="U55" s="436"/>
      <c r="V55" s="436"/>
    </row>
    <row r="56" spans="2:22" ht="19.5" thickBot="1" x14ac:dyDescent="0.25">
      <c r="B56" s="83"/>
      <c r="M56" s="91"/>
    </row>
    <row r="57" spans="2:22" ht="16.5" thickTop="1" thickBot="1" x14ac:dyDescent="0.25">
      <c r="B57" s="477"/>
      <c r="C57" s="476"/>
      <c r="D57" s="476"/>
      <c r="E57" s="476"/>
      <c r="F57" s="1649"/>
      <c r="G57" s="476"/>
      <c r="H57" s="1649"/>
      <c r="I57" s="476"/>
      <c r="J57" s="1649"/>
      <c r="K57" s="476"/>
      <c r="L57" s="478"/>
      <c r="M57" s="91"/>
    </row>
    <row r="58" spans="2:22" ht="15.75" thickTop="1" x14ac:dyDescent="0.2">
      <c r="M58" s="91"/>
    </row>
    <row r="59" spans="2:22" ht="18.75" x14ac:dyDescent="0.2">
      <c r="B59" s="83" t="s">
        <v>264</v>
      </c>
      <c r="C59" s="84" t="e">
        <f>SUM(#REF!)</f>
        <v>#REF!</v>
      </c>
      <c r="D59" s="84" t="e">
        <f>SUM(#REF!)</f>
        <v>#REF!</v>
      </c>
      <c r="E59" s="84">
        <f>SUM(O13)</f>
        <v>3569233750</v>
      </c>
      <c r="F59" s="1641"/>
      <c r="G59" s="84">
        <f>SUM(Q13)</f>
        <v>4372522848</v>
      </c>
      <c r="H59" s="1641"/>
      <c r="I59" s="84">
        <f>SUM(S13)</f>
        <v>4547788058</v>
      </c>
      <c r="J59" s="1641"/>
      <c r="K59" s="97">
        <f>SUM(U13)</f>
        <v>4549536017</v>
      </c>
      <c r="L59" s="84">
        <f>SUM(V13)</f>
        <v>4093179073</v>
      </c>
      <c r="M59" s="85" t="s">
        <v>264</v>
      </c>
      <c r="N59" s="84"/>
      <c r="O59" s="84">
        <f>SUM(O23)</f>
        <v>4150554750</v>
      </c>
      <c r="P59" s="1641"/>
      <c r="Q59" s="84">
        <f>SUM(Q23)</f>
        <v>6274951309</v>
      </c>
      <c r="R59" s="1641"/>
      <c r="S59" s="84">
        <f>SUM(S23)</f>
        <v>6544923560</v>
      </c>
      <c r="T59" s="1641"/>
      <c r="U59" s="97">
        <f>SUM(U23)</f>
        <v>6546671519</v>
      </c>
      <c r="V59" s="84">
        <f>SUM(V23)</f>
        <v>5929190820</v>
      </c>
    </row>
    <row r="60" spans="2:22" ht="38.25" thickBot="1" x14ac:dyDescent="0.25">
      <c r="B60" s="83" t="s">
        <v>265</v>
      </c>
      <c r="C60" s="84" t="e">
        <f>SUM('1.2.sz.mell  '!#REF!)</f>
        <v>#REF!</v>
      </c>
      <c r="D60" s="84" t="e">
        <f>SUM('1.2.sz.mell  '!#REF!)</f>
        <v>#REF!</v>
      </c>
      <c r="E60" s="84">
        <f>SUM('1.2.sz.mell  '!O16)</f>
        <v>1501283400</v>
      </c>
      <c r="F60" s="1641"/>
      <c r="G60" s="84">
        <f>SUM('1.2.sz.mell  '!Q16)</f>
        <v>2347157612</v>
      </c>
      <c r="H60" s="1641"/>
      <c r="I60" s="84">
        <f>SUM('1.2.sz.mell  '!S16)</f>
        <v>2265337871</v>
      </c>
      <c r="J60" s="1641"/>
      <c r="K60" s="97">
        <f>SUM('1.2.sz.mell  '!U16)</f>
        <v>2265337871</v>
      </c>
      <c r="L60" s="84">
        <f>SUM('1.2.sz.mell  '!V16)</f>
        <v>1277925554</v>
      </c>
      <c r="M60" s="85" t="s">
        <v>265</v>
      </c>
      <c r="N60" s="84"/>
      <c r="O60" s="84">
        <f>SUM('1.2.sz.mell  '!O24)</f>
        <v>1501283400</v>
      </c>
      <c r="P60" s="1641"/>
      <c r="Q60" s="84">
        <f>SUM('1.2.sz.mell  '!Q24)</f>
        <v>2347157612</v>
      </c>
      <c r="R60" s="1641"/>
      <c r="S60" s="84">
        <f>SUM('1.2.sz.mell  '!S24)</f>
        <v>2265337871</v>
      </c>
      <c r="T60" s="1641"/>
      <c r="U60" s="97">
        <f>SUM('1.2.sz.mell  '!U24)</f>
        <v>2265337871</v>
      </c>
      <c r="V60" s="84">
        <f>SUM('1.2.sz.mell  '!V24)</f>
        <v>1277925554</v>
      </c>
    </row>
    <row r="61" spans="2:22" ht="19.5" thickBot="1" x14ac:dyDescent="0.25">
      <c r="B61" s="86" t="s">
        <v>266</v>
      </c>
      <c r="C61" s="87" t="e">
        <f>SUM(C59:C60)</f>
        <v>#REF!</v>
      </c>
      <c r="D61" s="87" t="e">
        <f>SUM(D59:D60)</f>
        <v>#REF!</v>
      </c>
      <c r="E61" s="88">
        <f>SUM(E59:E60)</f>
        <v>5070517150</v>
      </c>
      <c r="F61" s="1642"/>
      <c r="G61" s="88">
        <f>SUM(G59:G60)</f>
        <v>6719680460</v>
      </c>
      <c r="H61" s="1642"/>
      <c r="I61" s="88">
        <f>SUM(I59:I60)</f>
        <v>6813125929</v>
      </c>
      <c r="J61" s="1642"/>
      <c r="K61" s="88">
        <f>SUM(K59:K60)</f>
        <v>6814873888</v>
      </c>
      <c r="L61" s="88">
        <f>SUM(L59:L60)</f>
        <v>5371104627</v>
      </c>
      <c r="M61" s="89" t="s">
        <v>266</v>
      </c>
      <c r="N61" s="87"/>
      <c r="O61" s="88">
        <f>SUM(O59:O60)</f>
        <v>5651838150</v>
      </c>
      <c r="P61" s="1642"/>
      <c r="Q61" s="88">
        <f>SUM(Q59:Q60)</f>
        <v>8622108921</v>
      </c>
      <c r="R61" s="1642"/>
      <c r="S61" s="88">
        <f>SUM(S59:S60)</f>
        <v>8810261431</v>
      </c>
      <c r="T61" s="1642"/>
      <c r="U61" s="88">
        <f>SUM(U59:U60)</f>
        <v>8812009390</v>
      </c>
      <c r="V61" s="88">
        <f>SUM(V59:V60)</f>
        <v>7207116374</v>
      </c>
    </row>
    <row r="62" spans="2:22" ht="18.75" x14ac:dyDescent="0.2">
      <c r="B62" s="83"/>
      <c r="C62" s="92"/>
      <c r="D62" s="92"/>
      <c r="E62" s="92"/>
      <c r="F62" s="1420"/>
      <c r="G62" s="205"/>
      <c r="H62" s="1575"/>
      <c r="I62" s="205"/>
      <c r="J62" s="1575"/>
      <c r="K62" s="205"/>
      <c r="L62" s="205"/>
      <c r="M62" s="93"/>
      <c r="N62" s="94"/>
      <c r="O62" s="94"/>
      <c r="P62" s="1655"/>
      <c r="Q62" s="205"/>
      <c r="R62" s="1575"/>
      <c r="S62" s="205"/>
      <c r="T62" s="1575"/>
      <c r="U62" s="97"/>
      <c r="V62" s="205"/>
    </row>
    <row r="63" spans="2:22" ht="37.5" x14ac:dyDescent="0.2">
      <c r="M63" s="1865" t="s">
        <v>267</v>
      </c>
      <c r="N63" s="1866"/>
      <c r="O63" s="1866">
        <f>SUM('2. sz. mell'!F100)</f>
        <v>5651838150</v>
      </c>
      <c r="P63" s="1867"/>
      <c r="Q63" s="1866">
        <f>SUM('2. sz. mell'!H100)</f>
        <v>8622108921</v>
      </c>
      <c r="R63" s="1867"/>
      <c r="S63" s="1866">
        <f>SUM('2. sz. mell'!J100)</f>
        <v>8810261431</v>
      </c>
      <c r="T63" s="1867"/>
      <c r="U63" s="1866">
        <f>SUM('2. sz. mell'!L100)</f>
        <v>8812009390</v>
      </c>
      <c r="V63" s="1866">
        <f>SUM('2. sz. mell'!M100)</f>
        <v>7207116374</v>
      </c>
    </row>
    <row r="64" spans="2:22" ht="32.25" customHeight="1" x14ac:dyDescent="0.2">
      <c r="B64" s="83" t="s">
        <v>791</v>
      </c>
      <c r="E64" s="84">
        <f>SUM('2. sz. mell'!F51)</f>
        <v>3569233750</v>
      </c>
      <c r="F64" s="1641"/>
      <c r="G64" s="84">
        <f>SUM('2. sz. mell'!H51)</f>
        <v>4372522848</v>
      </c>
      <c r="H64" s="1641"/>
      <c r="I64" s="84">
        <f>SUM('2. sz. mell'!J51)</f>
        <v>4547788058</v>
      </c>
      <c r="J64" s="1641"/>
      <c r="K64" s="97">
        <f>SUM('2. sz. mell'!L51)</f>
        <v>4549536017</v>
      </c>
      <c r="L64" s="84">
        <f>SUM('2. sz. mell'!M51)</f>
        <v>4093179073</v>
      </c>
      <c r="M64" s="93"/>
      <c r="U64" s="97"/>
    </row>
    <row r="65" spans="1:22" ht="18.75" x14ac:dyDescent="0.2">
      <c r="B65" s="933" t="s">
        <v>778</v>
      </c>
      <c r="C65" s="934"/>
      <c r="D65" s="934"/>
      <c r="E65" s="935">
        <f>SUM(E59-E64)</f>
        <v>0</v>
      </c>
      <c r="F65" s="1646"/>
      <c r="G65" s="935">
        <f>SUM(G59-G64)</f>
        <v>0</v>
      </c>
      <c r="H65" s="1646"/>
      <c r="I65" s="935">
        <f>SUM(I59-I64)</f>
        <v>0</v>
      </c>
      <c r="J65" s="1646"/>
      <c r="K65" s="935">
        <f>SUM(K59-K64)</f>
        <v>0</v>
      </c>
      <c r="L65" s="935">
        <f>SUM(L59-L64)</f>
        <v>0</v>
      </c>
      <c r="M65" s="933" t="s">
        <v>263</v>
      </c>
      <c r="N65" s="4201"/>
      <c r="O65" s="937">
        <f>SUM(O63-O61)</f>
        <v>0</v>
      </c>
      <c r="P65" s="1656"/>
      <c r="Q65" s="2210">
        <f>SUM(Q63-Q61)</f>
        <v>0</v>
      </c>
      <c r="R65" s="2860"/>
      <c r="S65" s="2210">
        <f>SUM(S63-S61)</f>
        <v>0</v>
      </c>
      <c r="T65" s="2860"/>
      <c r="U65" s="2210">
        <f>SUM(U63-U61)</f>
        <v>0</v>
      </c>
      <c r="V65" s="2210">
        <f>SUM(V63-V61)</f>
        <v>0</v>
      </c>
    </row>
    <row r="66" spans="1:22" x14ac:dyDescent="0.2">
      <c r="B66" s="74"/>
      <c r="C66" s="74"/>
      <c r="D66" s="74"/>
      <c r="E66" s="74"/>
      <c r="F66" s="1645"/>
      <c r="G66" s="74"/>
      <c r="H66" s="1645"/>
      <c r="I66" s="74"/>
      <c r="J66" s="1645"/>
      <c r="K66" s="74"/>
      <c r="L66" s="435"/>
      <c r="M66" s="91"/>
      <c r="Q66" s="435"/>
      <c r="R66" s="1657"/>
      <c r="S66" s="435"/>
      <c r="T66" s="1657"/>
      <c r="U66" s="435"/>
      <c r="V66" s="435"/>
    </row>
    <row r="67" spans="1:22" ht="15" customHeight="1" x14ac:dyDescent="0.2">
      <c r="A67" s="4309" t="s">
        <v>792</v>
      </c>
      <c r="B67" s="4309"/>
      <c r="C67" s="74"/>
      <c r="D67" s="74"/>
      <c r="E67" s="84">
        <f>SUM('2. sz. mell'!F67)</f>
        <v>1501283400</v>
      </c>
      <c r="F67" s="1641"/>
      <c r="G67" s="84">
        <f>SUM('2. sz. mell'!H67)</f>
        <v>2347157612</v>
      </c>
      <c r="H67" s="1641"/>
      <c r="I67" s="84">
        <f>SUM('2. sz. mell'!J67)</f>
        <v>2265337871</v>
      </c>
      <c r="J67" s="1641"/>
      <c r="K67" s="84">
        <f>SUM('2. sz. mell'!L67)</f>
        <v>2265337871</v>
      </c>
      <c r="L67" s="84">
        <f>SUM('2. sz. mell'!M67)</f>
        <v>1277925554</v>
      </c>
      <c r="M67" s="85"/>
      <c r="N67" s="84"/>
      <c r="O67" s="84"/>
      <c r="P67" s="1641"/>
      <c r="Q67" s="84"/>
      <c r="R67" s="1641"/>
      <c r="S67" s="84"/>
      <c r="T67" s="1641"/>
      <c r="U67" s="84"/>
      <c r="V67" s="84"/>
    </row>
    <row r="68" spans="1:22" ht="18.75" x14ac:dyDescent="0.2">
      <c r="B68" s="933" t="s">
        <v>778</v>
      </c>
      <c r="C68" s="934"/>
      <c r="D68" s="934"/>
      <c r="E68" s="935">
        <f>SUM(E60-E67)</f>
        <v>0</v>
      </c>
      <c r="F68" s="1646"/>
      <c r="G68" s="935">
        <f>SUM(G60-G67)</f>
        <v>0</v>
      </c>
      <c r="H68" s="1646"/>
      <c r="I68" s="935">
        <f>SUM(I60-I67)</f>
        <v>0</v>
      </c>
      <c r="J68" s="1646"/>
      <c r="K68" s="935">
        <f>SUM(K60-K67)</f>
        <v>0</v>
      </c>
      <c r="L68" s="935">
        <f>SUM(L60-L67)</f>
        <v>0</v>
      </c>
      <c r="M68" s="91"/>
    </row>
    <row r="69" spans="1:22" x14ac:dyDescent="0.2">
      <c r="B69" s="74"/>
      <c r="C69" s="74"/>
      <c r="D69" s="74"/>
      <c r="E69" s="74"/>
      <c r="F69" s="1645"/>
      <c r="G69" s="74"/>
      <c r="H69" s="1645"/>
      <c r="I69" s="74"/>
      <c r="J69" s="1645"/>
      <c r="K69" s="74"/>
      <c r="L69" s="435"/>
      <c r="Q69" s="38"/>
      <c r="R69" s="1370"/>
      <c r="S69" s="38"/>
      <c r="T69" s="1370"/>
      <c r="U69" s="38"/>
      <c r="V69" s="38"/>
    </row>
    <row r="70" spans="1:22" x14ac:dyDescent="0.2">
      <c r="B70" s="74"/>
      <c r="C70" s="74"/>
      <c r="D70" s="74"/>
      <c r="E70" s="74"/>
      <c r="F70" s="1645"/>
      <c r="G70" s="74"/>
      <c r="H70" s="1645"/>
      <c r="I70" s="74"/>
      <c r="J70" s="1645"/>
      <c r="K70" s="74"/>
      <c r="L70" s="436"/>
      <c r="Q70" s="38"/>
      <c r="R70" s="1370"/>
      <c r="S70" s="38"/>
      <c r="T70" s="1370"/>
      <c r="U70" s="38"/>
      <c r="V70" s="38"/>
    </row>
    <row r="71" spans="1:22" ht="37.5" x14ac:dyDescent="0.2">
      <c r="B71" s="1172" t="s">
        <v>793</v>
      </c>
      <c r="C71" s="1175"/>
      <c r="D71" s="1175"/>
      <c r="E71" s="1174">
        <f>SUM('2. sz. mell'!F110)</f>
        <v>5070517150</v>
      </c>
      <c r="F71" s="1650"/>
      <c r="G71" s="1174">
        <f>SUM('2. sz. mell'!H110)</f>
        <v>6519680460</v>
      </c>
      <c r="H71" s="1650"/>
      <c r="I71" s="1174">
        <f>SUM('2. sz. mell'!J110)</f>
        <v>6813125929</v>
      </c>
      <c r="J71" s="1650"/>
      <c r="K71" s="1174">
        <f>SUM('2. sz. mell'!L110)</f>
        <v>6814873888</v>
      </c>
      <c r="L71" s="1174">
        <f>SUM('2. sz. mell'!M110)</f>
        <v>5371104627</v>
      </c>
      <c r="M71" s="94"/>
      <c r="N71" s="92"/>
      <c r="O71" s="92"/>
      <c r="P71" s="1420"/>
    </row>
    <row r="72" spans="1:22" x14ac:dyDescent="0.2">
      <c r="B72" s="74"/>
      <c r="C72" s="74"/>
      <c r="D72" s="74"/>
      <c r="E72" s="74"/>
      <c r="F72" s="1645"/>
      <c r="G72" s="74"/>
      <c r="H72" s="1645"/>
      <c r="I72" s="74"/>
      <c r="J72" s="1645"/>
      <c r="K72" s="74"/>
      <c r="L72" s="944"/>
      <c r="M72" s="94"/>
      <c r="N72" s="92"/>
      <c r="O72" s="92"/>
      <c r="P72" s="1420"/>
      <c r="Q72" s="246"/>
      <c r="R72" s="1658"/>
      <c r="S72" s="246"/>
      <c r="T72" s="1658"/>
      <c r="U72" s="246"/>
      <c r="V72" s="246"/>
    </row>
    <row r="73" spans="1:22" ht="18.75" x14ac:dyDescent="0.2">
      <c r="B73" s="933" t="s">
        <v>778</v>
      </c>
      <c r="C73" s="934"/>
      <c r="D73" s="934"/>
      <c r="E73" s="935">
        <f>SUM(E61-E71)</f>
        <v>0</v>
      </c>
      <c r="F73" s="1646"/>
      <c r="G73" s="935">
        <f>SUM(G61-G71)</f>
        <v>200000000</v>
      </c>
      <c r="H73" s="1646"/>
      <c r="I73" s="935">
        <f>SUM(I61-I71)</f>
        <v>0</v>
      </c>
      <c r="J73" s="1646"/>
      <c r="K73" s="935">
        <f>SUM(K61-K71)</f>
        <v>0</v>
      </c>
      <c r="L73" s="935">
        <f>SUM(L61-L71)</f>
        <v>0</v>
      </c>
      <c r="M73" s="91"/>
      <c r="N73" s="92"/>
      <c r="O73" s="92"/>
      <c r="P73" s="1420"/>
    </row>
    <row r="74" spans="1:22" x14ac:dyDescent="0.2">
      <c r="B74" s="74"/>
      <c r="C74" s="74"/>
      <c r="D74" s="74"/>
      <c r="E74" s="74"/>
      <c r="F74" s="1645"/>
      <c r="G74" s="74"/>
      <c r="H74" s="1645"/>
      <c r="I74" s="74"/>
      <c r="J74" s="1645"/>
      <c r="K74" s="74"/>
      <c r="L74" s="942"/>
      <c r="M74" s="94"/>
      <c r="N74" s="92"/>
      <c r="O74" s="92"/>
      <c r="P74" s="1420"/>
    </row>
    <row r="75" spans="1:22" x14ac:dyDescent="0.2">
      <c r="B75" s="74"/>
      <c r="C75" s="74"/>
      <c r="D75" s="74"/>
      <c r="E75" s="74"/>
      <c r="F75" s="1645"/>
      <c r="G75" s="74"/>
      <c r="H75" s="1645"/>
      <c r="I75" s="74"/>
      <c r="J75" s="1645"/>
      <c r="K75" s="74"/>
      <c r="L75" s="943"/>
      <c r="M75" s="94"/>
      <c r="N75" s="92"/>
      <c r="O75" s="92"/>
      <c r="P75" s="1420"/>
    </row>
    <row r="76" spans="1:22" x14ac:dyDescent="0.2">
      <c r="L76" s="943"/>
      <c r="M76" s="94"/>
      <c r="N76" s="92"/>
      <c r="O76" s="92"/>
      <c r="P76" s="1420"/>
    </row>
    <row r="77" spans="1:22" ht="18.75" x14ac:dyDescent="0.2">
      <c r="B77" s="83" t="s">
        <v>794</v>
      </c>
      <c r="E77" s="97">
        <f>SUM(O21)</f>
        <v>2054939961</v>
      </c>
      <c r="F77" s="1648"/>
      <c r="G77" s="97">
        <f>SUM(Q21)</f>
        <v>3521630073</v>
      </c>
      <c r="H77" s="1648"/>
      <c r="I77" s="97">
        <f>SUM(S21)</f>
        <v>3661929372</v>
      </c>
      <c r="J77" s="1648"/>
      <c r="K77" s="97">
        <f>SUM(U21)</f>
        <v>3661929372</v>
      </c>
      <c r="L77" s="97">
        <f>SUM(V21)</f>
        <v>3500805617</v>
      </c>
    </row>
    <row r="78" spans="1:22" ht="37.5" x14ac:dyDescent="0.2">
      <c r="B78" s="83" t="s">
        <v>795</v>
      </c>
      <c r="E78" s="97">
        <f>SUM('1.2.sz.mell  '!O22)</f>
        <v>0</v>
      </c>
      <c r="F78" s="1648"/>
      <c r="G78" s="97">
        <f>SUM('1.2.sz.mell  '!Q22)</f>
        <v>0</v>
      </c>
      <c r="H78" s="1648"/>
      <c r="I78" s="97">
        <f>SUM('1.2.sz.mell  '!S22)</f>
        <v>0</v>
      </c>
      <c r="J78" s="97"/>
      <c r="K78" s="97">
        <f>SUM('1.2.sz.mell  '!U22)</f>
        <v>0</v>
      </c>
      <c r="L78" s="97">
        <f>SUM('1.2.sz.mell  '!V22)</f>
        <v>0</v>
      </c>
    </row>
    <row r="79" spans="1:22" ht="18.75" x14ac:dyDescent="0.2">
      <c r="B79" s="83"/>
    </row>
    <row r="80" spans="1:22" ht="37.5" x14ac:dyDescent="0.2">
      <c r="B80" s="83" t="s">
        <v>796</v>
      </c>
      <c r="E80" s="97">
        <f>SUM('2. sz. mell'!F85)+E78</f>
        <v>2054939961</v>
      </c>
      <c r="F80" s="97">
        <f>SUM('2. sz. mell'!G85)+F78</f>
        <v>1466690112</v>
      </c>
      <c r="G80" s="97">
        <f>SUM('2. sz. mell'!H85)+G78</f>
        <v>3521630073</v>
      </c>
      <c r="H80" s="97">
        <f>SUM('2. sz. mell'!I85)+H78</f>
        <v>140299299</v>
      </c>
      <c r="I80" s="97">
        <f>SUM('2. sz. mell'!J85)+I78</f>
        <v>3661929372</v>
      </c>
      <c r="J80" s="97"/>
      <c r="K80" s="97">
        <f>SUM('2. sz. mell'!L85)+K78</f>
        <v>3661929372</v>
      </c>
      <c r="L80" s="97">
        <f>SUM('2. sz. mell'!M85)+L78</f>
        <v>3500805617</v>
      </c>
    </row>
    <row r="81" spans="2:12" ht="18.75" x14ac:dyDescent="0.2">
      <c r="B81" s="933" t="s">
        <v>778</v>
      </c>
      <c r="C81" s="936"/>
      <c r="D81" s="936"/>
      <c r="E81" s="935">
        <f>SUM(E77+E78-E80)</f>
        <v>0</v>
      </c>
      <c r="F81" s="1646"/>
      <c r="G81" s="935">
        <f>SUM(G77+G78-G80)</f>
        <v>0</v>
      </c>
      <c r="H81" s="1646"/>
      <c r="I81" s="935">
        <f>SUM(I77+I78-I80)</f>
        <v>0</v>
      </c>
      <c r="J81" s="1646"/>
      <c r="K81" s="935">
        <f>SUM(K77+K78-K80)</f>
        <v>0</v>
      </c>
      <c r="L81" s="935">
        <f>SUM(L77+L78-L80)</f>
        <v>0</v>
      </c>
    </row>
    <row r="82" spans="2:12" x14ac:dyDescent="0.2">
      <c r="B82" s="38"/>
    </row>
    <row r="83" spans="2:12" x14ac:dyDescent="0.2">
      <c r="B83" s="38"/>
    </row>
    <row r="84" spans="2:12" ht="37.5" x14ac:dyDescent="0.2">
      <c r="B84" s="1172" t="s">
        <v>801</v>
      </c>
      <c r="C84" s="1173"/>
      <c r="D84" s="1173"/>
      <c r="E84" s="1174">
        <f>SUM('2. sz. mell'!F111)</f>
        <v>2054939961</v>
      </c>
      <c r="F84" s="1650"/>
      <c r="G84" s="1174">
        <f>SUM('2. sz. mell'!H111)</f>
        <v>3721630073</v>
      </c>
      <c r="H84" s="1650"/>
      <c r="I84" s="1174">
        <f>SUM('2. sz. mell'!J111)</f>
        <v>3661929372</v>
      </c>
      <c r="J84" s="1650"/>
      <c r="K84" s="1174">
        <f>SUM('2. sz. mell'!L111)</f>
        <v>3661929372</v>
      </c>
      <c r="L84" s="1174">
        <f>SUM('2. sz. mell'!M111)</f>
        <v>3500805617</v>
      </c>
    </row>
    <row r="85" spans="2:12" x14ac:dyDescent="0.2">
      <c r="B85" s="38"/>
    </row>
    <row r="86" spans="2:12" ht="18.75" x14ac:dyDescent="0.2">
      <c r="B86" s="933" t="s">
        <v>778</v>
      </c>
      <c r="C86" s="936"/>
      <c r="D86" s="936"/>
      <c r="E86" s="2388">
        <f>SUM(E77+E78)-E84</f>
        <v>0</v>
      </c>
      <c r="F86" s="1646"/>
      <c r="G86" s="935">
        <f>SUM(G77+G78)-G84</f>
        <v>-200000000</v>
      </c>
      <c r="H86" s="1646"/>
      <c r="I86" s="935">
        <f>SUM(I77+I78)-I84</f>
        <v>0</v>
      </c>
      <c r="J86" s="1646"/>
      <c r="K86" s="935">
        <f>SUM(K77+K78)-K84</f>
        <v>0</v>
      </c>
      <c r="L86" s="935">
        <f>SUM(L77+L78)-L84</f>
        <v>0</v>
      </c>
    </row>
  </sheetData>
  <mergeCells count="5">
    <mergeCell ref="A3:A4"/>
    <mergeCell ref="A67:B67"/>
    <mergeCell ref="A1:V1"/>
    <mergeCell ref="B3:L3"/>
    <mergeCell ref="M3:V3"/>
  </mergeCells>
  <printOptions horizontalCentered="1" verticalCentered="1"/>
  <pageMargins left="0.19685039370078741" right="0.19685039370078741" top="0.70866141732283472" bottom="0.51181102362204722" header="0.19685039370078741" footer="0.27559055118110237"/>
  <pageSetup paperSize="9" firstPageNumber="6" orientation="landscape" useFirstPageNumber="1" r:id="rId1"/>
  <headerFooter>
    <oddHeader>&amp;C&amp;"Times New Roman CE,Félkövér"&amp;14Működési bevételek és kiadások mérlege
(Önkormányzati szinten)&amp;R&amp;"Times New Roman,Normál"&amp;12 1.1. sz. melléklet</oddHeader>
    <oddFooter>&amp;C- &amp;P -</oddFooter>
  </headerFooter>
  <rowBreaks count="1" manualBreakCount="1">
    <brk id="24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63"/>
  <sheetViews>
    <sheetView view="pageBreakPreview" topLeftCell="A43" zoomScaleNormal="100" zoomScaleSheetLayoutView="100" zoomScalePageLayoutView="60" workbookViewId="0">
      <selection activeCell="I18" sqref="I18"/>
    </sheetView>
  </sheetViews>
  <sheetFormatPr defaultColWidth="9.33203125" defaultRowHeight="15" x14ac:dyDescent="0.2"/>
  <cols>
    <col min="1" max="1" width="7.1640625" style="114" customWidth="1"/>
    <col min="2" max="2" width="9.33203125" style="115" customWidth="1"/>
    <col min="3" max="3" width="59.1640625" style="115" customWidth="1"/>
    <col min="4" max="4" width="11.83203125" style="145" customWidth="1"/>
    <col min="5" max="5" width="13.33203125" style="1567" hidden="1" customWidth="1"/>
    <col min="6" max="6" width="13.83203125" style="145" hidden="1" customWidth="1"/>
    <col min="7" max="7" width="10.6640625" style="1567" hidden="1" customWidth="1"/>
    <col min="8" max="8" width="14.33203125" style="145" customWidth="1"/>
    <col min="9" max="9" width="13.5" style="1567" customWidth="1"/>
    <col min="10" max="10" width="13.33203125" style="145" customWidth="1"/>
    <col min="11" max="11" width="13.5" style="145" customWidth="1"/>
    <col min="12" max="12" width="9.83203125" style="115" customWidth="1"/>
    <col min="13" max="16384" width="9.33203125" style="115"/>
  </cols>
  <sheetData>
    <row r="1" spans="1:14" s="95" customFormat="1" ht="21" customHeight="1" thickBot="1" x14ac:dyDescent="0.25">
      <c r="A1" s="240"/>
      <c r="B1" s="241"/>
      <c r="C1" s="4494" t="s">
        <v>449</v>
      </c>
      <c r="D1" s="4494"/>
      <c r="E1" s="4494"/>
      <c r="F1" s="4494"/>
      <c r="G1" s="4494"/>
      <c r="H1" s="4494"/>
      <c r="I1" s="4494"/>
      <c r="J1" s="4494"/>
      <c r="K1" s="4494"/>
      <c r="L1" s="441"/>
      <c r="M1" s="441"/>
      <c r="N1" s="441"/>
    </row>
    <row r="2" spans="1:14" s="120" customFormat="1" ht="46.5" customHeight="1" thickBot="1" x14ac:dyDescent="0.25">
      <c r="A2" s="4461" t="s">
        <v>411</v>
      </c>
      <c r="B2" s="4511"/>
      <c r="C2" s="3104" t="s">
        <v>412</v>
      </c>
      <c r="D2" s="4424" t="s">
        <v>1080</v>
      </c>
      <c r="E2" s="4422" t="s">
        <v>1035</v>
      </c>
      <c r="F2" s="4415" t="s">
        <v>1028</v>
      </c>
      <c r="G2" s="4422" t="s">
        <v>1031</v>
      </c>
      <c r="H2" s="4417" t="s">
        <v>1028</v>
      </c>
      <c r="I2" s="4422" t="s">
        <v>1038</v>
      </c>
      <c r="J2" s="4415" t="s">
        <v>234</v>
      </c>
      <c r="K2" s="4440" t="s">
        <v>1945</v>
      </c>
    </row>
    <row r="3" spans="1:14" s="120" customFormat="1" ht="32.25" customHeight="1" thickBot="1" x14ac:dyDescent="0.25">
      <c r="A3" s="4512" t="s">
        <v>283</v>
      </c>
      <c r="B3" s="4512"/>
      <c r="C3" s="2789" t="s">
        <v>327</v>
      </c>
      <c r="D3" s="4505"/>
      <c r="E3" s="4433"/>
      <c r="F3" s="4416" t="s">
        <v>1028</v>
      </c>
      <c r="G3" s="4423" t="s">
        <v>1031</v>
      </c>
      <c r="H3" s="4496" t="s">
        <v>1028</v>
      </c>
      <c r="I3" s="4423"/>
      <c r="J3" s="4416"/>
      <c r="K3" s="4441"/>
    </row>
    <row r="4" spans="1:14" s="123" customFormat="1" ht="15.95" customHeight="1" thickBot="1" x14ac:dyDescent="0.25">
      <c r="A4" s="1300"/>
      <c r="B4" s="1301"/>
      <c r="C4" s="1301"/>
      <c r="D4" s="2084"/>
      <c r="E4" s="1453"/>
      <c r="F4" s="1454"/>
      <c r="G4" s="1449"/>
      <c r="H4" s="1454"/>
      <c r="I4" s="1449"/>
      <c r="J4" s="1562"/>
      <c r="K4" s="820" t="s">
        <v>935</v>
      </c>
    </row>
    <row r="5" spans="1:14" s="145" customFormat="1" ht="36.75" customHeight="1" thickBot="1" x14ac:dyDescent="0.25">
      <c r="A5" s="4431" t="s">
        <v>285</v>
      </c>
      <c r="B5" s="4431"/>
      <c r="C5" s="807" t="s">
        <v>286</v>
      </c>
      <c r="D5" s="128"/>
      <c r="E5" s="1399"/>
      <c r="F5" s="821"/>
      <c r="G5" s="1558"/>
      <c r="H5" s="821"/>
      <c r="I5" s="1399"/>
      <c r="J5" s="821"/>
      <c r="K5" s="821"/>
    </row>
    <row r="6" spans="1:14" s="129" customFormat="1" ht="12.95" customHeight="1" thickBot="1" x14ac:dyDescent="0.25">
      <c r="A6" s="124"/>
      <c r="B6" s="127"/>
      <c r="C6" s="843"/>
      <c r="D6" s="128"/>
      <c r="E6" s="1400"/>
      <c r="F6" s="446"/>
      <c r="G6" s="1558"/>
      <c r="H6" s="446"/>
      <c r="I6" s="1400"/>
      <c r="J6" s="446"/>
      <c r="K6" s="446"/>
    </row>
    <row r="7" spans="1:14" s="129" customFormat="1" ht="20.25" customHeight="1" thickBot="1" x14ac:dyDescent="0.25">
      <c r="A7" s="244"/>
      <c r="B7" s="245"/>
      <c r="C7" s="245" t="s">
        <v>230</v>
      </c>
      <c r="D7" s="2779"/>
      <c r="E7" s="1558"/>
      <c r="F7" s="858"/>
      <c r="G7" s="1558"/>
      <c r="H7" s="858"/>
      <c r="I7" s="1558"/>
      <c r="J7" s="858"/>
      <c r="K7" s="858"/>
      <c r="L7" s="246"/>
    </row>
    <row r="8" spans="1:14" s="141" customFormat="1" ht="15" customHeight="1" thickBot="1" x14ac:dyDescent="0.25">
      <c r="A8" s="134" t="s">
        <v>3</v>
      </c>
      <c r="B8" s="148"/>
      <c r="C8" s="810" t="s">
        <v>413</v>
      </c>
      <c r="D8" s="137"/>
      <c r="E8" s="1407"/>
      <c r="F8" s="826"/>
      <c r="G8" s="1407"/>
      <c r="H8" s="826"/>
      <c r="I8" s="1407"/>
      <c r="J8" s="826"/>
      <c r="K8" s="826"/>
      <c r="L8" s="246"/>
    </row>
    <row r="9" spans="1:14" s="141" customFormat="1" ht="15" customHeight="1" x14ac:dyDescent="0.2">
      <c r="A9" s="149"/>
      <c r="B9" s="143" t="s">
        <v>152</v>
      </c>
      <c r="C9" s="811" t="s">
        <v>48</v>
      </c>
      <c r="D9" s="144"/>
      <c r="E9" s="1404"/>
      <c r="F9" s="483"/>
      <c r="G9" s="1404"/>
      <c r="H9" s="483"/>
      <c r="I9" s="1404"/>
      <c r="J9" s="483"/>
      <c r="K9" s="483"/>
      <c r="L9" s="246"/>
    </row>
    <row r="10" spans="1:14" s="141" customFormat="1" ht="15" customHeight="1" x14ac:dyDescent="0.2">
      <c r="A10" s="142"/>
      <c r="B10" s="143" t="s">
        <v>154</v>
      </c>
      <c r="C10" s="812" t="s">
        <v>50</v>
      </c>
      <c r="D10" s="144"/>
      <c r="E10" s="1404"/>
      <c r="F10" s="483"/>
      <c r="G10" s="1404"/>
      <c r="H10" s="483"/>
      <c r="I10" s="1404"/>
      <c r="J10" s="483"/>
      <c r="K10" s="483"/>
      <c r="L10" s="246"/>
    </row>
    <row r="11" spans="1:14" s="141" customFormat="1" ht="15" customHeight="1" x14ac:dyDescent="0.2">
      <c r="A11" s="142"/>
      <c r="B11" s="143" t="s">
        <v>156</v>
      </c>
      <c r="C11" s="812" t="s">
        <v>414</v>
      </c>
      <c r="D11" s="144"/>
      <c r="E11" s="1404"/>
      <c r="F11" s="483"/>
      <c r="G11" s="1404"/>
      <c r="H11" s="483"/>
      <c r="I11" s="1404"/>
      <c r="J11" s="483"/>
      <c r="K11" s="483"/>
      <c r="L11" s="246"/>
    </row>
    <row r="12" spans="1:14" s="141" customFormat="1" ht="15" customHeight="1" x14ac:dyDescent="0.2">
      <c r="A12" s="142"/>
      <c r="B12" s="143" t="s">
        <v>158</v>
      </c>
      <c r="C12" s="812" t="s">
        <v>415</v>
      </c>
      <c r="D12" s="144"/>
      <c r="E12" s="1404"/>
      <c r="F12" s="483"/>
      <c r="G12" s="1404"/>
      <c r="H12" s="483"/>
      <c r="I12" s="1404"/>
      <c r="J12" s="483"/>
      <c r="K12" s="483"/>
      <c r="L12" s="246"/>
    </row>
    <row r="13" spans="1:14" s="141" customFormat="1" ht="15" customHeight="1" x14ac:dyDescent="0.2">
      <c r="A13" s="142"/>
      <c r="B13" s="143" t="s">
        <v>375</v>
      </c>
      <c r="C13" s="813" t="s">
        <v>416</v>
      </c>
      <c r="D13" s="144"/>
      <c r="E13" s="1404"/>
      <c r="F13" s="483"/>
      <c r="G13" s="1404"/>
      <c r="H13" s="483"/>
      <c r="I13" s="1404"/>
      <c r="J13" s="483"/>
      <c r="K13" s="483"/>
    </row>
    <row r="14" spans="1:14" s="141" customFormat="1" ht="15" customHeight="1" x14ac:dyDescent="0.2">
      <c r="A14" s="146"/>
      <c r="B14" s="143" t="s">
        <v>162</v>
      </c>
      <c r="C14" s="812" t="s">
        <v>340</v>
      </c>
      <c r="D14" s="144"/>
      <c r="E14" s="1404"/>
      <c r="F14" s="483"/>
      <c r="G14" s="1404"/>
      <c r="H14" s="483"/>
      <c r="I14" s="1404"/>
      <c r="J14" s="483"/>
      <c r="K14" s="483"/>
      <c r="L14" s="246"/>
    </row>
    <row r="15" spans="1:14" s="145" customFormat="1" ht="15" customHeight="1" x14ac:dyDescent="0.2">
      <c r="A15" s="142"/>
      <c r="B15" s="143" t="s">
        <v>164</v>
      </c>
      <c r="C15" s="812" t="s">
        <v>60</v>
      </c>
      <c r="D15" s="144"/>
      <c r="E15" s="1404"/>
      <c r="F15" s="483"/>
      <c r="G15" s="1404"/>
      <c r="H15" s="483"/>
      <c r="I15" s="1404"/>
      <c r="J15" s="483"/>
      <c r="K15" s="483"/>
      <c r="L15" s="246"/>
    </row>
    <row r="16" spans="1:14" s="145" customFormat="1" ht="15" customHeight="1" x14ac:dyDescent="0.2">
      <c r="A16" s="151"/>
      <c r="B16" s="152" t="s">
        <v>166</v>
      </c>
      <c r="C16" s="812" t="s">
        <v>417</v>
      </c>
      <c r="D16" s="144"/>
      <c r="E16" s="1404"/>
      <c r="F16" s="483"/>
      <c r="G16" s="1404"/>
      <c r="H16" s="483"/>
      <c r="I16" s="1404"/>
      <c r="J16" s="483"/>
      <c r="K16" s="483"/>
      <c r="L16" s="246"/>
    </row>
    <row r="17" spans="1:12" s="145" customFormat="1" ht="15" customHeight="1" x14ac:dyDescent="0.2">
      <c r="A17" s="151"/>
      <c r="B17" s="152" t="s">
        <v>168</v>
      </c>
      <c r="C17" s="812" t="s">
        <v>64</v>
      </c>
      <c r="D17" s="144"/>
      <c r="E17" s="1404"/>
      <c r="F17" s="483"/>
      <c r="G17" s="1404"/>
      <c r="H17" s="483"/>
      <c r="I17" s="1404"/>
      <c r="J17" s="483"/>
      <c r="K17" s="483"/>
      <c r="L17" s="246"/>
    </row>
    <row r="18" spans="1:12" s="145" customFormat="1" ht="15" customHeight="1" thickBot="1" x14ac:dyDescent="0.25">
      <c r="A18" s="151"/>
      <c r="B18" s="152" t="s">
        <v>170</v>
      </c>
      <c r="C18" s="813" t="s">
        <v>418</v>
      </c>
      <c r="D18" s="153"/>
      <c r="E18" s="1406"/>
      <c r="F18" s="483"/>
      <c r="G18" s="1404"/>
      <c r="H18" s="483"/>
      <c r="I18" s="1404"/>
      <c r="J18" s="483"/>
      <c r="K18" s="483"/>
      <c r="L18" s="246"/>
    </row>
    <row r="19" spans="1:12" s="145" customFormat="1" ht="15" customHeight="1" thickBot="1" x14ac:dyDescent="0.25">
      <c r="A19" s="134"/>
      <c r="B19" s="154"/>
      <c r="C19" s="810" t="s">
        <v>32</v>
      </c>
      <c r="D19" s="252"/>
      <c r="E19" s="1421"/>
      <c r="F19" s="844"/>
      <c r="G19" s="1421"/>
      <c r="H19" s="844"/>
      <c r="I19" s="1421"/>
      <c r="J19" s="844"/>
      <c r="K19" s="844"/>
      <c r="L19" s="246"/>
    </row>
    <row r="20" spans="1:12" s="141" customFormat="1" ht="30" customHeight="1" thickBot="1" x14ac:dyDescent="0.25">
      <c r="A20" s="134" t="s">
        <v>17</v>
      </c>
      <c r="B20" s="148"/>
      <c r="C20" s="810" t="s">
        <v>419</v>
      </c>
      <c r="D20" s="137"/>
      <c r="E20" s="1407"/>
      <c r="F20" s="826"/>
      <c r="G20" s="1407"/>
      <c r="H20" s="826"/>
      <c r="I20" s="1407"/>
      <c r="J20" s="826"/>
      <c r="K20" s="826"/>
    </row>
    <row r="21" spans="1:12" s="145" customFormat="1" ht="31.5" customHeight="1" x14ac:dyDescent="0.2">
      <c r="A21" s="142"/>
      <c r="B21" s="143" t="s">
        <v>5</v>
      </c>
      <c r="C21" s="814" t="s">
        <v>420</v>
      </c>
      <c r="D21" s="144"/>
      <c r="E21" s="1404"/>
      <c r="F21" s="483"/>
      <c r="G21" s="1404"/>
      <c r="H21" s="483"/>
      <c r="I21" s="1404"/>
      <c r="J21" s="483"/>
      <c r="K21" s="483"/>
      <c r="L21" s="141"/>
    </row>
    <row r="22" spans="1:12" s="145" customFormat="1" ht="15" customHeight="1" x14ac:dyDescent="0.2">
      <c r="A22" s="142"/>
      <c r="B22" s="143" t="s">
        <v>421</v>
      </c>
      <c r="C22" s="812" t="s">
        <v>422</v>
      </c>
      <c r="D22" s="144"/>
      <c r="E22" s="1404"/>
      <c r="F22" s="483"/>
      <c r="G22" s="1404"/>
      <c r="H22" s="483"/>
      <c r="I22" s="1404"/>
      <c r="J22" s="483"/>
      <c r="K22" s="483"/>
      <c r="L22" s="141"/>
    </row>
    <row r="23" spans="1:12" s="145" customFormat="1" ht="15.75" customHeight="1" x14ac:dyDescent="0.2">
      <c r="A23" s="142"/>
      <c r="B23" s="143" t="s">
        <v>360</v>
      </c>
      <c r="C23" s="812" t="s">
        <v>1429</v>
      </c>
      <c r="D23" s="144"/>
      <c r="E23" s="1404"/>
      <c r="F23" s="483"/>
      <c r="G23" s="1404"/>
      <c r="H23" s="483"/>
      <c r="I23" s="1404"/>
      <c r="J23" s="483"/>
      <c r="K23" s="483"/>
      <c r="L23" s="141"/>
    </row>
    <row r="24" spans="1:12" s="145" customFormat="1" ht="15" customHeight="1" x14ac:dyDescent="0.2">
      <c r="A24" s="142"/>
      <c r="B24" s="143" t="s">
        <v>357</v>
      </c>
      <c r="C24" s="812" t="s">
        <v>424</v>
      </c>
      <c r="D24" s="144"/>
      <c r="E24" s="1404"/>
      <c r="F24" s="483"/>
      <c r="G24" s="1404"/>
      <c r="H24" s="483"/>
      <c r="I24" s="1404"/>
      <c r="J24" s="483"/>
      <c r="K24" s="483"/>
      <c r="L24" s="141"/>
    </row>
    <row r="25" spans="1:12" s="145" customFormat="1" ht="15" customHeight="1" x14ac:dyDescent="0.2">
      <c r="A25" s="142"/>
      <c r="B25" s="143" t="s">
        <v>7</v>
      </c>
      <c r="C25" s="812" t="s">
        <v>6</v>
      </c>
      <c r="D25" s="144"/>
      <c r="E25" s="1404"/>
      <c r="F25" s="483"/>
      <c r="G25" s="1404"/>
      <c r="H25" s="483"/>
      <c r="I25" s="1404"/>
      <c r="J25" s="483"/>
      <c r="K25" s="483"/>
      <c r="L25" s="141"/>
    </row>
    <row r="26" spans="1:12" s="145" customFormat="1" ht="15" customHeight="1" thickBot="1" x14ac:dyDescent="0.25">
      <c r="A26" s="142"/>
      <c r="B26" s="143" t="s">
        <v>9</v>
      </c>
      <c r="C26" s="812" t="s">
        <v>425</v>
      </c>
      <c r="D26" s="153"/>
      <c r="E26" s="1406"/>
      <c r="F26" s="825"/>
      <c r="G26" s="1406"/>
      <c r="H26" s="825"/>
      <c r="I26" s="1406"/>
      <c r="J26" s="825"/>
      <c r="K26" s="825"/>
      <c r="L26" s="141"/>
    </row>
    <row r="27" spans="1:12" s="145" customFormat="1" ht="15" customHeight="1" thickBot="1" x14ac:dyDescent="0.25">
      <c r="A27" s="134" t="s">
        <v>31</v>
      </c>
      <c r="B27" s="170"/>
      <c r="C27" s="810" t="s">
        <v>426</v>
      </c>
      <c r="D27" s="252"/>
      <c r="E27" s="1421"/>
      <c r="F27" s="844"/>
      <c r="G27" s="1421"/>
      <c r="H27" s="844"/>
      <c r="I27" s="1421"/>
      <c r="J27" s="844"/>
      <c r="K27" s="844"/>
      <c r="L27" s="141"/>
    </row>
    <row r="28" spans="1:12" s="145" customFormat="1" ht="30" customHeight="1" thickBot="1" x14ac:dyDescent="0.25">
      <c r="A28" s="142"/>
      <c r="B28" s="143" t="s">
        <v>19</v>
      </c>
      <c r="C28" s="812" t="s">
        <v>427</v>
      </c>
      <c r="D28" s="147"/>
      <c r="E28" s="1405"/>
      <c r="F28" s="824"/>
      <c r="G28" s="1405"/>
      <c r="H28" s="824"/>
      <c r="I28" s="1405"/>
      <c r="J28" s="824"/>
      <c r="K28" s="824"/>
      <c r="L28" s="141"/>
    </row>
    <row r="29" spans="1:12" s="145" customFormat="1" ht="15" customHeight="1" thickBot="1" x14ac:dyDescent="0.25">
      <c r="A29" s="134" t="s">
        <v>45</v>
      </c>
      <c r="B29" s="148"/>
      <c r="C29" s="815" t="s">
        <v>428</v>
      </c>
      <c r="D29" s="252"/>
      <c r="E29" s="1421"/>
      <c r="F29" s="844"/>
      <c r="G29" s="1421"/>
      <c r="H29" s="844"/>
      <c r="I29" s="1421"/>
      <c r="J29" s="844"/>
      <c r="K29" s="844"/>
      <c r="L29" s="141"/>
    </row>
    <row r="30" spans="1:12" s="145" customFormat="1" ht="15" customHeight="1" x14ac:dyDescent="0.2">
      <c r="A30" s="142"/>
      <c r="B30" s="253" t="s">
        <v>33</v>
      </c>
      <c r="C30" s="812" t="s">
        <v>359</v>
      </c>
      <c r="D30" s="150"/>
      <c r="E30" s="1403"/>
      <c r="F30" s="310"/>
      <c r="G30" s="1403"/>
      <c r="H30" s="310"/>
      <c r="I30" s="1403"/>
      <c r="J30" s="310"/>
      <c r="K30" s="310"/>
      <c r="L30" s="141"/>
    </row>
    <row r="31" spans="1:12" s="145" customFormat="1" ht="15" customHeight="1" x14ac:dyDescent="0.2">
      <c r="A31" s="142"/>
      <c r="B31" s="253" t="s">
        <v>39</v>
      </c>
      <c r="C31" s="812" t="s">
        <v>72</v>
      </c>
      <c r="D31" s="144"/>
      <c r="E31" s="1404"/>
      <c r="F31" s="483"/>
      <c r="G31" s="1404"/>
      <c r="H31" s="483"/>
      <c r="I31" s="1404"/>
      <c r="J31" s="483"/>
      <c r="K31" s="483"/>
      <c r="L31" s="141"/>
    </row>
    <row r="32" spans="1:12" s="145" customFormat="1" ht="15" customHeight="1" thickBot="1" x14ac:dyDescent="0.25">
      <c r="A32" s="142"/>
      <c r="B32" s="253" t="s">
        <v>41</v>
      </c>
      <c r="C32" s="812" t="s">
        <v>74</v>
      </c>
      <c r="D32" s="294"/>
      <c r="E32" s="1435"/>
      <c r="F32" s="829"/>
      <c r="G32" s="1435"/>
      <c r="H32" s="829"/>
      <c r="I32" s="1435"/>
      <c r="J32" s="829"/>
      <c r="K32" s="829"/>
      <c r="L32" s="141"/>
    </row>
    <row r="33" spans="1:16" s="145" customFormat="1" ht="30" customHeight="1" thickBot="1" x14ac:dyDescent="0.25">
      <c r="A33" s="134">
        <v>5</v>
      </c>
      <c r="B33" s="254"/>
      <c r="C33" s="815" t="s">
        <v>429</v>
      </c>
      <c r="D33" s="155"/>
      <c r="E33" s="1408"/>
      <c r="F33" s="827"/>
      <c r="G33" s="1408"/>
      <c r="H33" s="827"/>
      <c r="I33" s="1408"/>
      <c r="J33" s="827"/>
      <c r="K33" s="827"/>
      <c r="L33" s="141"/>
    </row>
    <row r="34" spans="1:16" s="145" customFormat="1" ht="30.75" customHeight="1" thickBot="1" x14ac:dyDescent="0.25">
      <c r="A34" s="134"/>
      <c r="B34" s="255" t="s">
        <v>47</v>
      </c>
      <c r="C34" s="814" t="s">
        <v>430</v>
      </c>
      <c r="D34" s="155"/>
      <c r="E34" s="1408"/>
      <c r="F34" s="827"/>
      <c r="G34" s="1408"/>
      <c r="H34" s="827"/>
      <c r="I34" s="1408"/>
      <c r="J34" s="827"/>
      <c r="K34" s="827"/>
      <c r="L34" s="141"/>
    </row>
    <row r="35" spans="1:16" s="145" customFormat="1" ht="15" customHeight="1" thickBot="1" x14ac:dyDescent="0.3">
      <c r="A35" s="134" t="s">
        <v>79</v>
      </c>
      <c r="B35" s="256"/>
      <c r="C35" s="810" t="s">
        <v>431</v>
      </c>
      <c r="D35" s="155"/>
      <c r="E35" s="1408"/>
      <c r="F35" s="827"/>
      <c r="G35" s="1408"/>
      <c r="H35" s="827"/>
      <c r="I35" s="1408"/>
      <c r="J35" s="827"/>
      <c r="K35" s="827"/>
      <c r="L35" s="141"/>
    </row>
    <row r="36" spans="1:16" s="141" customFormat="1" ht="30.75" customHeight="1" thickBot="1" x14ac:dyDescent="0.25">
      <c r="A36" s="134"/>
      <c r="B36" s="257" t="s">
        <v>69</v>
      </c>
      <c r="C36" s="812" t="s">
        <v>432</v>
      </c>
      <c r="D36" s="155"/>
      <c r="E36" s="1408"/>
      <c r="F36" s="827"/>
      <c r="G36" s="1408"/>
      <c r="H36" s="827"/>
      <c r="I36" s="1408"/>
      <c r="J36" s="827"/>
      <c r="K36" s="827"/>
    </row>
    <row r="37" spans="1:16" s="141" customFormat="1" ht="15" customHeight="1" thickBot="1" x14ac:dyDescent="0.3">
      <c r="A37" s="134" t="s">
        <v>89</v>
      </c>
      <c r="B37" s="256"/>
      <c r="C37" s="815" t="s">
        <v>433</v>
      </c>
      <c r="D37" s="2788">
        <f>SUM(D38:D40)</f>
        <v>6985000</v>
      </c>
      <c r="E37" s="1461">
        <f>SUM(F37-D37)</f>
        <v>7891380</v>
      </c>
      <c r="F37" s="864">
        <f>SUM(F38:F40)</f>
        <v>14876380</v>
      </c>
      <c r="G37" s="1461">
        <f>SUM(H37-F37)</f>
        <v>-1762041</v>
      </c>
      <c r="H37" s="864">
        <f>SUM(H38:H40)</f>
        <v>13114339</v>
      </c>
      <c r="I37" s="1461">
        <f>SUM(J37-H37)</f>
        <v>0</v>
      </c>
      <c r="J37" s="864">
        <f>SUM(J38:J40)</f>
        <v>13114339</v>
      </c>
      <c r="K37" s="864">
        <f>SUM(K38:K40)</f>
        <v>12346760</v>
      </c>
    </row>
    <row r="38" spans="1:16" s="141" customFormat="1" ht="15" customHeight="1" x14ac:dyDescent="0.2">
      <c r="A38" s="149"/>
      <c r="B38" s="253" t="s">
        <v>81</v>
      </c>
      <c r="C38" s="812" t="s">
        <v>434</v>
      </c>
      <c r="D38" s="144"/>
      <c r="E38" s="1404"/>
      <c r="F38" s="483"/>
      <c r="G38" s="1404"/>
      <c r="H38" s="483"/>
      <c r="I38" s="1404"/>
      <c r="J38" s="483"/>
      <c r="K38" s="483"/>
    </row>
    <row r="39" spans="1:16" s="141" customFormat="1" ht="15" customHeight="1" x14ac:dyDescent="0.2">
      <c r="A39" s="142"/>
      <c r="B39" s="253" t="s">
        <v>83</v>
      </c>
      <c r="C39" s="812" t="s">
        <v>435</v>
      </c>
      <c r="D39" s="153"/>
      <c r="E39" s="1406"/>
      <c r="F39" s="825"/>
      <c r="G39" s="1406"/>
      <c r="H39" s="825"/>
      <c r="I39" s="1406"/>
      <c r="J39" s="825"/>
      <c r="K39" s="825"/>
    </row>
    <row r="40" spans="1:16" s="145" customFormat="1" ht="18" customHeight="1" thickBot="1" x14ac:dyDescent="0.25">
      <c r="A40" s="672"/>
      <c r="B40" s="253" t="s">
        <v>85</v>
      </c>
      <c r="C40" s="812" t="s">
        <v>1434</v>
      </c>
      <c r="D40" s="153">
        <f>SUM(D60)</f>
        <v>6985000</v>
      </c>
      <c r="E40" s="1406">
        <f>SUM(F40-D40)</f>
        <v>7891380</v>
      </c>
      <c r="F40" s="825">
        <f>SUM(F60)</f>
        <v>14876380</v>
      </c>
      <c r="G40" s="1406">
        <f>SUM(H40-F40)</f>
        <v>-1762041</v>
      </c>
      <c r="H40" s="825">
        <f>SUM(H60)</f>
        <v>13114339</v>
      </c>
      <c r="I40" s="1406">
        <f>SUM(J40-H40)</f>
        <v>0</v>
      </c>
      <c r="J40" s="825">
        <f>SUM(J60)</f>
        <v>13114339</v>
      </c>
      <c r="K40" s="825">
        <f>SUM(K60)</f>
        <v>12346760</v>
      </c>
      <c r="L40" s="141"/>
    </row>
    <row r="41" spans="1:16" s="145" customFormat="1" ht="15.75" hidden="1" customHeight="1" thickBot="1" x14ac:dyDescent="0.3">
      <c r="A41" s="258"/>
      <c r="B41" s="256"/>
      <c r="C41" s="815"/>
      <c r="D41" s="155">
        <f>'4.1 sz. mell'!F45</f>
        <v>0</v>
      </c>
      <c r="E41" s="1406">
        <f>SUM(F41-D41)</f>
        <v>0</v>
      </c>
      <c r="F41" s="827">
        <f>'4.1 sz. mell'!H45</f>
        <v>0</v>
      </c>
      <c r="G41" s="1406">
        <f>SUM(H41-F41)</f>
        <v>0</v>
      </c>
      <c r="H41" s="827">
        <f>'4.1 sz. mell'!J45</f>
        <v>0</v>
      </c>
      <c r="I41" s="1406">
        <f>SUM(J41-H41)</f>
        <v>0</v>
      </c>
      <c r="J41" s="827">
        <f>'4.1 sz. mell'!L45</f>
        <v>0</v>
      </c>
      <c r="K41" s="827">
        <f>'4.1 sz. mell'!M45</f>
        <v>0</v>
      </c>
    </row>
    <row r="42" spans="1:16" s="145" customFormat="1" ht="18" customHeight="1" thickBot="1" x14ac:dyDescent="0.3">
      <c r="A42" s="192" t="s">
        <v>99</v>
      </c>
      <c r="B42" s="265"/>
      <c r="C42" s="861" t="s">
        <v>441</v>
      </c>
      <c r="D42" s="162">
        <f>SUM(D8,D20,D29,D33,D36,D37,D41)</f>
        <v>6985000</v>
      </c>
      <c r="E42" s="1401">
        <f>SUM(F42-D42)</f>
        <v>7891380</v>
      </c>
      <c r="F42" s="545">
        <f>SUM(F8,F20,F29,F33,F36,F37,F41)</f>
        <v>14876380</v>
      </c>
      <c r="G42" s="1401">
        <f>SUM(H42-F42)</f>
        <v>-1762041</v>
      </c>
      <c r="H42" s="545">
        <f>SUM(H8,H20,H29,H33,H36,H37,H41)</f>
        <v>13114339</v>
      </c>
      <c r="I42" s="1401">
        <f>SUM(J42-H42)</f>
        <v>0</v>
      </c>
      <c r="J42" s="545">
        <f>SUM(J8,J20,J29,J33,J36,J37,J41)</f>
        <v>13114339</v>
      </c>
      <c r="K42" s="545">
        <f>SUM(K8,K20,K29,K33,K36,K37,K41)</f>
        <v>12346760</v>
      </c>
      <c r="L42" s="205">
        <f>SUM(D60-D42)</f>
        <v>0</v>
      </c>
      <c r="M42" s="205">
        <f>SUM(F60-F42)</f>
        <v>0</v>
      </c>
      <c r="N42" s="205">
        <f>SUM(H60-H42)</f>
        <v>0</v>
      </c>
      <c r="O42" s="205">
        <f>SUM(I60-I42)</f>
        <v>0</v>
      </c>
      <c r="P42" s="205">
        <f>SUM(K60-K42)</f>
        <v>0</v>
      </c>
    </row>
    <row r="43" spans="1:16" s="145" customFormat="1" ht="15" customHeight="1" thickBot="1" x14ac:dyDescent="0.25">
      <c r="A43" s="2098"/>
      <c r="B43" s="163"/>
      <c r="C43" s="164"/>
      <c r="D43" s="859"/>
      <c r="E43" s="1557"/>
      <c r="F43" s="859"/>
      <c r="G43"/>
      <c r="H43" s="859"/>
      <c r="I43" s="1557"/>
      <c r="J43" s="859"/>
      <c r="K43" s="753"/>
    </row>
    <row r="44" spans="1:16" s="129" customFormat="1" ht="21" customHeight="1" thickBot="1" x14ac:dyDescent="0.25">
      <c r="A44" s="244"/>
      <c r="B44" s="245"/>
      <c r="C44" s="245" t="s">
        <v>231</v>
      </c>
      <c r="D44" s="2779"/>
      <c r="E44" s="1558"/>
      <c r="F44" s="858"/>
      <c r="G44" s="1558"/>
      <c r="H44" s="858"/>
      <c r="I44" s="1558"/>
      <c r="J44" s="858"/>
      <c r="K44" s="858"/>
    </row>
    <row r="45" spans="1:16" s="172" customFormat="1" ht="15" customHeight="1" thickBot="1" x14ac:dyDescent="0.25">
      <c r="A45" s="134" t="s">
        <v>3</v>
      </c>
      <c r="B45" s="170"/>
      <c r="C45" s="817" t="s">
        <v>442</v>
      </c>
      <c r="D45" s="64">
        <f>SUM(D46:D50)</f>
        <v>0</v>
      </c>
      <c r="E45" s="1402"/>
      <c r="F45" s="823">
        <f>SUM(F46:F50)</f>
        <v>0</v>
      </c>
      <c r="G45" s="1402"/>
      <c r="H45" s="823">
        <f>SUM(H46:H50)</f>
        <v>0</v>
      </c>
      <c r="I45" s="1402"/>
      <c r="J45" s="823">
        <f>SUM(J46:J50)</f>
        <v>0</v>
      </c>
      <c r="K45" s="823">
        <f>SUM(K46:K50)</f>
        <v>0</v>
      </c>
    </row>
    <row r="46" spans="1:16" ht="15" customHeight="1" x14ac:dyDescent="0.2">
      <c r="A46" s="173"/>
      <c r="B46" s="174" t="s">
        <v>152</v>
      </c>
      <c r="C46" s="814" t="s">
        <v>153</v>
      </c>
      <c r="D46" s="144"/>
      <c r="E46" s="1404"/>
      <c r="F46" s="483"/>
      <c r="G46" s="1404"/>
      <c r="H46" s="483"/>
      <c r="I46" s="1404"/>
      <c r="J46" s="483"/>
      <c r="K46" s="483"/>
    </row>
    <row r="47" spans="1:16" ht="15" customHeight="1" x14ac:dyDescent="0.2">
      <c r="A47" s="142"/>
      <c r="B47" s="176" t="s">
        <v>154</v>
      </c>
      <c r="C47" s="812" t="s">
        <v>155</v>
      </c>
      <c r="D47" s="144"/>
      <c r="E47" s="1404"/>
      <c r="F47" s="483"/>
      <c r="G47" s="1404"/>
      <c r="H47" s="483"/>
      <c r="I47" s="1404"/>
      <c r="J47" s="483"/>
      <c r="K47" s="483"/>
    </row>
    <row r="48" spans="1:16" ht="15" customHeight="1" x14ac:dyDescent="0.2">
      <c r="A48" s="142"/>
      <c r="B48" s="176" t="s">
        <v>156</v>
      </c>
      <c r="C48" s="812" t="s">
        <v>157</v>
      </c>
      <c r="D48" s="144"/>
      <c r="E48" s="1404"/>
      <c r="F48" s="483"/>
      <c r="G48" s="1404"/>
      <c r="H48" s="483"/>
      <c r="I48" s="1404"/>
      <c r="J48" s="483"/>
      <c r="K48" s="483"/>
    </row>
    <row r="49" spans="1:11" ht="15" customHeight="1" x14ac:dyDescent="0.2">
      <c r="A49" s="142"/>
      <c r="B49" s="176" t="s">
        <v>158</v>
      </c>
      <c r="C49" s="812" t="s">
        <v>159</v>
      </c>
      <c r="D49" s="144"/>
      <c r="E49" s="1404"/>
      <c r="F49" s="483"/>
      <c r="G49" s="1404"/>
      <c r="H49" s="483"/>
      <c r="I49" s="1404"/>
      <c r="J49" s="483"/>
      <c r="K49" s="483"/>
    </row>
    <row r="50" spans="1:11" ht="15" customHeight="1" thickBot="1" x14ac:dyDescent="0.25">
      <c r="A50" s="142"/>
      <c r="B50" s="176" t="s">
        <v>160</v>
      </c>
      <c r="C50" s="812" t="s">
        <v>161</v>
      </c>
      <c r="D50" s="144">
        <f>SUM('4.1 sz. mell'!F54+'4.2.sz. mell. '!F51+'4.3 sz. mell.'!F50+'4.4.sz. mell.'!F51)</f>
        <v>0</v>
      </c>
      <c r="E50" s="1404"/>
      <c r="F50" s="483"/>
      <c r="G50" s="1404"/>
      <c r="H50" s="483"/>
      <c r="I50" s="1404"/>
      <c r="J50" s="483"/>
      <c r="K50" s="483"/>
    </row>
    <row r="51" spans="1:11" ht="12.75" hidden="1" customHeight="1" x14ac:dyDescent="0.2">
      <c r="A51" s="142"/>
      <c r="B51" s="143"/>
      <c r="C51" s="812"/>
      <c r="D51" s="144"/>
      <c r="E51" s="1404"/>
      <c r="F51" s="483"/>
      <c r="G51" s="1404"/>
      <c r="H51" s="483"/>
      <c r="I51" s="1404"/>
      <c r="J51" s="483"/>
      <c r="K51" s="483"/>
    </row>
    <row r="52" spans="1:11" ht="12.75" hidden="1" customHeight="1" x14ac:dyDescent="0.2">
      <c r="A52" s="142"/>
      <c r="B52" s="143"/>
      <c r="C52" s="812"/>
      <c r="D52" s="144"/>
      <c r="E52" s="1404"/>
      <c r="F52" s="483"/>
      <c r="G52" s="1404"/>
      <c r="H52" s="483"/>
      <c r="I52" s="1404"/>
      <c r="J52" s="483"/>
      <c r="K52" s="483"/>
    </row>
    <row r="53" spans="1:11" ht="18.75" customHeight="1" thickBot="1" x14ac:dyDescent="0.25">
      <c r="A53" s="134" t="s">
        <v>17</v>
      </c>
      <c r="B53" s="170"/>
      <c r="C53" s="817" t="s">
        <v>443</v>
      </c>
      <c r="D53" s="1483">
        <f>SUM(D54:D57)</f>
        <v>6985000</v>
      </c>
      <c r="E53" s="1570">
        <f>SUM(F53-D53)</f>
        <v>7891380</v>
      </c>
      <c r="F53" s="1299">
        <f>SUM(F54:F57)</f>
        <v>14876380</v>
      </c>
      <c r="G53" s="1570">
        <f>SUM(H53-F53)</f>
        <v>-1762041</v>
      </c>
      <c r="H53" s="1299">
        <f>SUM(H54:H57)</f>
        <v>13114339</v>
      </c>
      <c r="I53" s="1570">
        <f>SUM(J53-H53)</f>
        <v>0</v>
      </c>
      <c r="J53" s="1299">
        <f>SUM(J54:J57)</f>
        <v>13114339</v>
      </c>
      <c r="K53" s="1299">
        <f>SUM(K54:K57)</f>
        <v>12346760</v>
      </c>
    </row>
    <row r="54" spans="1:11" s="172" customFormat="1" ht="15" customHeight="1" x14ac:dyDescent="0.2">
      <c r="A54" s="173"/>
      <c r="B54" s="267" t="s">
        <v>5</v>
      </c>
      <c r="C54" s="814" t="s">
        <v>183</v>
      </c>
      <c r="D54" s="144">
        <f>SUM('4.1 sz. mell'!F56+'4.2.sz. mell. '!F53+'4.3 sz. mell.'!F52+'4.4.sz. mell.'!F53)</f>
        <v>6985000</v>
      </c>
      <c r="E54" s="1404">
        <f>SUM(F54-D54)</f>
        <v>7891380</v>
      </c>
      <c r="F54" s="483">
        <f>SUM('4.1 sz. mell'!H56+'4.2.sz. mell. '!H53+'4.3 sz. mell.'!H52+'4.4.sz. mell.'!H53)</f>
        <v>14876380</v>
      </c>
      <c r="G54" s="1404">
        <f>SUM(H54-F54)</f>
        <v>-1762041</v>
      </c>
      <c r="H54" s="483">
        <f>SUM('4.1 sz. mell'!J56+'4.2.sz. mell. '!J53+'4.3 sz. mell.'!J52+'4.4.sz. mell.'!J53)</f>
        <v>13114339</v>
      </c>
      <c r="I54" s="1404">
        <f>SUM(J54-H54)</f>
        <v>0</v>
      </c>
      <c r="J54" s="483">
        <f>SUM('4.1 sz. mell'!L56+'4.2.sz. mell. '!L53+'4.3 sz. mell.'!L52+'4.4.sz. mell.'!L53)</f>
        <v>13114339</v>
      </c>
      <c r="K54" s="483">
        <f>SUM('4.1 sz. mell'!M56+'4.2.sz. mell. '!M53+'4.3 sz. mell.'!M52+'4.4.sz. mell.'!M53)</f>
        <v>12346760</v>
      </c>
    </row>
    <row r="55" spans="1:11" ht="15" customHeight="1" x14ac:dyDescent="0.2">
      <c r="A55" s="142"/>
      <c r="B55" s="253" t="s">
        <v>7</v>
      </c>
      <c r="C55" s="812" t="s">
        <v>185</v>
      </c>
      <c r="D55" s="144"/>
      <c r="E55" s="1404"/>
      <c r="F55" s="483"/>
      <c r="G55" s="1404"/>
      <c r="H55" s="483"/>
      <c r="I55" s="1404"/>
      <c r="J55" s="483"/>
      <c r="K55" s="483"/>
    </row>
    <row r="56" spans="1:11" ht="15.75" customHeight="1" thickBot="1" x14ac:dyDescent="0.25">
      <c r="A56" s="142"/>
      <c r="B56" s="253" t="s">
        <v>9</v>
      </c>
      <c r="C56" s="812" t="s">
        <v>444</v>
      </c>
      <c r="D56" s="144">
        <f>SUM('4.1 sz. mell'!F58+'4.2.sz. mell. '!F55+'4.3 sz. mell.'!F54+'4.4.sz. mell.'!F55)</f>
        <v>0</v>
      </c>
      <c r="E56" s="1404"/>
      <c r="F56" s="483">
        <f>SUM('4.1 sz. mell'!H58+'4.2.sz. mell. '!H55+'4.3 sz. mell.'!H54+'4.4.sz. mell.'!H55)</f>
        <v>0</v>
      </c>
      <c r="G56" s="1404"/>
      <c r="H56" s="483">
        <f>SUM('4.1 sz. mell'!J58+'4.2.sz. mell. '!J55+'4.3 sz. mell.'!J54+'4.4.sz. mell.'!J55)</f>
        <v>0</v>
      </c>
      <c r="I56" s="1404"/>
      <c r="J56" s="483">
        <f>SUM('4.1 sz. mell'!L58+'4.2.sz. mell. '!L55+'4.3 sz. mell.'!L54+'4.4.sz. mell.'!L55)</f>
        <v>0</v>
      </c>
      <c r="K56" s="483">
        <f>SUM('4.1 sz. mell'!M58+'4.2.sz. mell. '!M55+'4.3 sz. mell.'!M54+'4.4.sz. mell.'!M55)</f>
        <v>0</v>
      </c>
    </row>
    <row r="57" spans="1:11" ht="15.75" hidden="1" customHeight="1" thickBot="1" x14ac:dyDescent="0.25">
      <c r="A57" s="151"/>
      <c r="B57" s="152" t="s">
        <v>189</v>
      </c>
      <c r="C57" s="870" t="s">
        <v>448</v>
      </c>
      <c r="D57" s="153"/>
      <c r="E57" s="1404"/>
      <c r="F57" s="483"/>
      <c r="G57" s="1404"/>
      <c r="H57" s="483"/>
      <c r="I57" s="1404"/>
      <c r="J57" s="483"/>
      <c r="K57" s="483"/>
    </row>
    <row r="58" spans="1:11" ht="15" hidden="1" customHeight="1" thickBot="1" x14ac:dyDescent="0.25">
      <c r="A58" s="142" t="s">
        <v>31</v>
      </c>
      <c r="B58" s="2771"/>
      <c r="C58" s="2772" t="s">
        <v>445</v>
      </c>
      <c r="D58" s="144">
        <f>SUM('4.1 sz. mell'!F59+'4.2.sz. mell. '!F57+'4.3 sz. mell.'!F56+'4.4.sz. mell.'!F57)</f>
        <v>0</v>
      </c>
      <c r="E58" s="1406"/>
      <c r="F58" s="825">
        <f>SUM('4.1 sz. mell'!H59+'4.2.sz. mell. '!H57+'4.3 sz. mell.'!H56+'4.4.sz. mell.'!H57)</f>
        <v>0</v>
      </c>
      <c r="G58" s="1406"/>
      <c r="H58" s="825">
        <f>SUM('4.1 sz. mell'!J59+'4.2.sz. mell. '!J57+'4.3 sz. mell.'!J56+'4.4.sz. mell.'!J57)</f>
        <v>0</v>
      </c>
      <c r="I58" s="1406"/>
      <c r="J58" s="825">
        <f>SUM('4.1 sz. mell'!L59+'4.2.sz. mell. '!L57+'4.3 sz. mell.'!L56+'4.4.sz. mell.'!L57)</f>
        <v>0</v>
      </c>
      <c r="K58" s="825">
        <f>SUM('4.1 sz. mell'!M59+'4.2.sz. mell. '!M57+'4.3 sz. mell.'!M56+'4.4.sz. mell.'!M57)</f>
        <v>0</v>
      </c>
    </row>
    <row r="59" spans="1:11" s="145" customFormat="1" ht="15" hidden="1" customHeight="1" thickBot="1" x14ac:dyDescent="0.25">
      <c r="A59" s="178"/>
      <c r="B59" s="2748"/>
      <c r="C59" s="2764"/>
      <c r="D59" s="297">
        <f>'4.1 sz. mell'!F60</f>
        <v>0</v>
      </c>
      <c r="E59" s="1408"/>
      <c r="F59" s="827">
        <f>'4.1 sz. mell'!H60</f>
        <v>0</v>
      </c>
      <c r="G59" s="1408"/>
      <c r="H59" s="827">
        <f>'4.1 sz. mell'!J60</f>
        <v>0</v>
      </c>
      <c r="I59" s="1408"/>
      <c r="J59" s="827">
        <f>'4.1 sz. mell'!L60</f>
        <v>0</v>
      </c>
      <c r="K59" s="827">
        <f>'4.1 sz. mell'!M60</f>
        <v>0</v>
      </c>
    </row>
    <row r="60" spans="1:11" ht="19.5" customHeight="1" thickBot="1" x14ac:dyDescent="0.3">
      <c r="A60" s="192" t="s">
        <v>31</v>
      </c>
      <c r="B60" s="160"/>
      <c r="C60" s="861" t="s">
        <v>446</v>
      </c>
      <c r="D60" s="2781">
        <f>+D45+D53+D58+D59</f>
        <v>6985000</v>
      </c>
      <c r="E60" s="1401">
        <f>SUM(F60-D60)</f>
        <v>7891380</v>
      </c>
      <c r="F60" s="866">
        <f>+F45+F53+F58+F59</f>
        <v>14876380</v>
      </c>
      <c r="G60" s="1401">
        <f>SUM(H60-F60)</f>
        <v>-1762041</v>
      </c>
      <c r="H60" s="866">
        <f>+H45+H53+H58+H59</f>
        <v>13114339</v>
      </c>
      <c r="I60" s="1401">
        <f>SUM(J60-H60)</f>
        <v>0</v>
      </c>
      <c r="J60" s="866">
        <f>+J45+J53+J58+J59</f>
        <v>13114339</v>
      </c>
      <c r="K60" s="866">
        <f>+K45+K53+K58+K59</f>
        <v>12346760</v>
      </c>
    </row>
    <row r="61" spans="1:11" ht="15" customHeight="1" thickBot="1" x14ac:dyDescent="0.25">
      <c r="A61" s="884"/>
      <c r="B61" s="885"/>
      <c r="C61" s="885"/>
      <c r="D61" s="198"/>
      <c r="E61" s="1387"/>
      <c r="F61" s="198"/>
      <c r="G61"/>
      <c r="H61" s="198"/>
      <c r="I61" s="1387"/>
      <c r="J61" s="198"/>
      <c r="K61" s="198"/>
    </row>
    <row r="62" spans="1:11" ht="15" customHeight="1" thickBot="1" x14ac:dyDescent="0.25">
      <c r="A62" s="4500" t="s">
        <v>324</v>
      </c>
      <c r="B62" s="4501"/>
      <c r="C62" s="4501"/>
      <c r="D62" s="269"/>
      <c r="E62" s="1571"/>
      <c r="F62" s="867"/>
      <c r="G62" s="1566"/>
      <c r="H62" s="867"/>
      <c r="I62" s="1566"/>
      <c r="J62" s="867"/>
      <c r="K62" s="867"/>
    </row>
    <row r="63" spans="1:11" ht="15" customHeight="1" thickBot="1" x14ac:dyDescent="0.25">
      <c r="A63" s="4500" t="s">
        <v>325</v>
      </c>
      <c r="B63" s="4501"/>
      <c r="C63" s="4501"/>
      <c r="D63" s="155">
        <f>SUM('4.1 sz. mell'!F64+'4.2.sz. mell. '!F62+'4.3 sz. mell.'!F61+'4.4.sz. mell.'!F62)</f>
        <v>0</v>
      </c>
      <c r="E63" s="1381"/>
      <c r="F63" s="827">
        <f>SUM('4.1 sz. mell'!H64+'4.2.sz. mell. '!H62+'4.3 sz. mell.'!H61+'4.4.sz. mell.'!H62)</f>
        <v>0</v>
      </c>
      <c r="G63" s="1380"/>
      <c r="H63" s="827">
        <f>SUM('4.1 sz. mell'!J64+'4.2.sz. mell. '!J62+'4.3 sz. mell.'!J61+'4.4.sz. mell.'!J62)</f>
        <v>0</v>
      </c>
      <c r="I63" s="1380"/>
      <c r="J63" s="827">
        <f>SUM('4.1 sz. mell'!L64+'4.2.sz. mell. '!L62+'4.3 sz. mell.'!L61+'4.4.sz. mell.'!L62)</f>
        <v>0</v>
      </c>
      <c r="K63" s="827">
        <f>SUM('4.1 sz. mell'!M64+'4.2.sz. mell. '!M62+'4.3 sz. mell.'!M61+'4.4.sz. mell.'!M62)</f>
        <v>0</v>
      </c>
    </row>
  </sheetData>
  <mergeCells count="14">
    <mergeCell ref="A62:C62"/>
    <mergeCell ref="A63:C63"/>
    <mergeCell ref="A2:B2"/>
    <mergeCell ref="D2:D3"/>
    <mergeCell ref="A3:B3"/>
    <mergeCell ref="A5:B5"/>
    <mergeCell ref="F2:F3"/>
    <mergeCell ref="E2:E3"/>
    <mergeCell ref="C1:K1"/>
    <mergeCell ref="K2:K3"/>
    <mergeCell ref="G2:G3"/>
    <mergeCell ref="H2:H3"/>
    <mergeCell ref="I2:I3"/>
    <mergeCell ref="J2:J3"/>
  </mergeCells>
  <printOptions horizontalCentered="1"/>
  <pageMargins left="0.27559055118110237" right="0.23622047244094491" top="0.31496062992125984" bottom="0.43307086614173229" header="0.51181102362204722" footer="0.23622047244094491"/>
  <pageSetup paperSize="9" scale="75" firstPageNumber="34" orientation="portrait" useFirstPageNumber="1" r:id="rId1"/>
  <headerFooter>
    <oddFooter>&amp;C- &amp;P -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64"/>
  <sheetViews>
    <sheetView view="pageBreakPreview" topLeftCell="A40" zoomScaleNormal="100" zoomScaleSheetLayoutView="100" zoomScalePageLayoutView="60" workbookViewId="0">
      <selection activeCell="L67" sqref="L67"/>
    </sheetView>
  </sheetViews>
  <sheetFormatPr defaultColWidth="9.33203125" defaultRowHeight="15" x14ac:dyDescent="0.2"/>
  <cols>
    <col min="1" max="1" width="8.83203125" style="114" customWidth="1"/>
    <col min="2" max="2" width="8" style="115" customWidth="1"/>
    <col min="3" max="3" width="57.1640625" style="115" customWidth="1"/>
    <col min="4" max="5" width="9.33203125" style="145" hidden="1" customWidth="1"/>
    <col min="6" max="6" width="15.5" style="145" customWidth="1"/>
    <col min="7" max="7" width="12.1640625" style="1567" hidden="1" customWidth="1"/>
    <col min="8" max="8" width="14.6640625" style="145" hidden="1" customWidth="1"/>
    <col min="9" max="9" width="11.5" style="1567" hidden="1" customWidth="1"/>
    <col min="10" max="10" width="15.33203125" style="145" customWidth="1"/>
    <col min="11" max="11" width="12.5" style="1567" customWidth="1"/>
    <col min="12" max="12" width="16.33203125" style="145" customWidth="1"/>
    <col min="13" max="13" width="14.6640625" style="145" customWidth="1"/>
    <col min="14" max="14" width="13.5" style="115" customWidth="1"/>
    <col min="15" max="15" width="0" style="115" hidden="1" customWidth="1"/>
    <col min="16" max="16" width="9.33203125" style="115"/>
    <col min="17" max="17" width="0" style="115" hidden="1" customWidth="1"/>
    <col min="18" max="16384" width="9.33203125" style="115"/>
  </cols>
  <sheetData>
    <row r="1" spans="1:16" s="95" customFormat="1" ht="21" customHeight="1" thickBot="1" x14ac:dyDescent="0.25">
      <c r="A1" s="240"/>
      <c r="B1" s="241"/>
      <c r="C1" s="4494" t="s">
        <v>450</v>
      </c>
      <c r="D1" s="4494"/>
      <c r="E1" s="4494"/>
      <c r="F1" s="4494"/>
      <c r="G1" s="4494"/>
      <c r="H1" s="4494"/>
      <c r="I1" s="4494"/>
      <c r="J1" s="4494"/>
      <c r="K1" s="4494"/>
      <c r="L1" s="4494"/>
      <c r="M1" s="4494"/>
      <c r="N1" s="441"/>
      <c r="O1" s="441"/>
      <c r="P1" s="441"/>
    </row>
    <row r="2" spans="1:16" s="120" customFormat="1" ht="47.25" customHeight="1" thickBot="1" x14ac:dyDescent="0.25">
      <c r="A2" s="4443" t="s">
        <v>411</v>
      </c>
      <c r="B2" s="4513"/>
      <c r="C2" s="119" t="s">
        <v>412</v>
      </c>
      <c r="D2" s="4415" t="s">
        <v>282</v>
      </c>
      <c r="E2" s="818"/>
      <c r="F2" s="4415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440" t="s">
        <v>1945</v>
      </c>
    </row>
    <row r="3" spans="1:16" s="120" customFormat="1" ht="30" customHeight="1" thickBot="1" x14ac:dyDescent="0.25">
      <c r="A3" s="4431" t="s">
        <v>283</v>
      </c>
      <c r="B3" s="4431"/>
      <c r="C3" s="806" t="s">
        <v>328</v>
      </c>
      <c r="D3" s="4415"/>
      <c r="E3" s="819"/>
      <c r="F3" s="4415"/>
      <c r="G3" s="4423"/>
      <c r="H3" s="4416" t="s">
        <v>1028</v>
      </c>
      <c r="I3" s="4423" t="s">
        <v>1031</v>
      </c>
      <c r="J3" s="4496" t="s">
        <v>1028</v>
      </c>
      <c r="K3" s="4450"/>
      <c r="L3" s="4416"/>
      <c r="M3" s="4441"/>
    </row>
    <row r="4" spans="1:16" s="123" customFormat="1" ht="15.95" customHeight="1" thickBot="1" x14ac:dyDescent="0.3">
      <c r="A4" s="1300"/>
      <c r="B4" s="1301"/>
      <c r="C4" s="1301"/>
      <c r="D4" s="4514"/>
      <c r="E4" s="4514"/>
      <c r="F4" s="4514"/>
      <c r="G4" s="1568"/>
      <c r="H4" s="1549"/>
      <c r="I4" s="1568"/>
      <c r="J4" s="1549"/>
      <c r="K4" s="1568"/>
      <c r="L4" s="1569"/>
      <c r="M4" s="1302" t="s">
        <v>935</v>
      </c>
    </row>
    <row r="5" spans="1:16" s="145" customFormat="1" ht="29.25" customHeight="1" thickBot="1" x14ac:dyDescent="0.25">
      <c r="A5" s="4431" t="s">
        <v>285</v>
      </c>
      <c r="B5" s="4431"/>
      <c r="C5" s="807" t="s">
        <v>286</v>
      </c>
      <c r="D5" s="821" t="s">
        <v>287</v>
      </c>
      <c r="E5" s="821" t="s">
        <v>288</v>
      </c>
      <c r="F5" s="821"/>
      <c r="G5" s="2659"/>
      <c r="H5" s="821"/>
      <c r="I5" s="1399"/>
      <c r="J5" s="821"/>
      <c r="K5" s="3369"/>
      <c r="L5" s="821"/>
      <c r="M5" s="821"/>
    </row>
    <row r="6" spans="1:16" s="129" customFormat="1" ht="12.95" customHeight="1" thickBot="1" x14ac:dyDescent="0.25">
      <c r="A6" s="124"/>
      <c r="B6" s="127"/>
      <c r="C6" s="843"/>
      <c r="D6" s="446"/>
      <c r="E6" s="446"/>
      <c r="F6" s="446"/>
      <c r="G6" s="2455"/>
      <c r="H6" s="446"/>
      <c r="I6" s="1400"/>
      <c r="J6" s="446"/>
      <c r="K6" s="3370"/>
      <c r="L6" s="446"/>
      <c r="M6" s="446"/>
    </row>
    <row r="7" spans="1:16" s="129" customFormat="1" ht="16.5" customHeight="1" thickBot="1" x14ac:dyDescent="0.25">
      <c r="A7" s="244"/>
      <c r="B7" s="245"/>
      <c r="C7" s="245" t="s">
        <v>230</v>
      </c>
      <c r="D7" s="858"/>
      <c r="E7" s="858"/>
      <c r="F7" s="858"/>
      <c r="G7" s="2763"/>
      <c r="H7" s="858"/>
      <c r="I7" s="1558"/>
      <c r="J7" s="858"/>
      <c r="K7" s="3421"/>
      <c r="L7" s="858"/>
      <c r="M7" s="858"/>
      <c r="N7" s="246"/>
    </row>
    <row r="8" spans="1:16" s="141" customFormat="1" ht="15" customHeight="1" thickBot="1" x14ac:dyDescent="0.25">
      <c r="A8" s="134" t="s">
        <v>3</v>
      </c>
      <c r="B8" s="148"/>
      <c r="C8" s="810" t="s">
        <v>413</v>
      </c>
      <c r="D8" s="826" t="e">
        <f>SUM(D9:D18)</f>
        <v>#REF!</v>
      </c>
      <c r="E8" s="826" t="e">
        <f>SUM(E9:E18)</f>
        <v>#REF!</v>
      </c>
      <c r="F8" s="826"/>
      <c r="G8" s="1382"/>
      <c r="H8" s="826"/>
      <c r="I8" s="1407"/>
      <c r="J8" s="826"/>
      <c r="K8" s="3375"/>
      <c r="L8" s="826"/>
      <c r="M8" s="826"/>
      <c r="N8" s="246"/>
    </row>
    <row r="9" spans="1:16" s="141" customFormat="1" ht="15" customHeight="1" x14ac:dyDescent="0.2">
      <c r="A9" s="149"/>
      <c r="B9" s="143" t="s">
        <v>152</v>
      </c>
      <c r="C9" s="811" t="s">
        <v>48</v>
      </c>
      <c r="D9" s="483" t="e">
        <f>SUM('4.1 sz. mell'!D9+#REF!+#REF!+#REF!+'4.2.sz. mell. '!D9+'4.3 sz. mell.'!D9+'4.4.sz. mell.'!D9)</f>
        <v>#REF!</v>
      </c>
      <c r="E9" s="483" t="e">
        <f>SUM('4.1 sz. mell'!E9+#REF!+#REF!+#REF!+'4.2.sz. mell. '!E9+'4.3 sz. mell.'!E9+'4.4.sz. mell.'!E9)</f>
        <v>#REF!</v>
      </c>
      <c r="F9" s="483"/>
      <c r="G9" s="1415"/>
      <c r="H9" s="483"/>
      <c r="I9" s="1404"/>
      <c r="J9" s="483"/>
      <c r="K9" s="3351"/>
      <c r="L9" s="483"/>
      <c r="M9" s="483"/>
      <c r="N9" s="246"/>
    </row>
    <row r="10" spans="1:16" s="141" customFormat="1" ht="15" customHeight="1" x14ac:dyDescent="0.2">
      <c r="A10" s="142"/>
      <c r="B10" s="143" t="s">
        <v>154</v>
      </c>
      <c r="C10" s="812" t="s">
        <v>50</v>
      </c>
      <c r="D10" s="483" t="e">
        <f>SUM('4.1 sz. mell'!D10+#REF!+#REF!+#REF!+'4.2.sz. mell. '!D10+'4.3 sz. mell.'!D10+'4.4.sz. mell.'!D10)</f>
        <v>#REF!</v>
      </c>
      <c r="E10" s="483" t="e">
        <f>SUM('4.1 sz. mell'!E10+#REF!+#REF!+#REF!+'4.2.sz. mell. '!E10+'4.3 sz. mell.'!E10+'4.4.sz. mell.'!E10)</f>
        <v>#REF!</v>
      </c>
      <c r="F10" s="483"/>
      <c r="G10" s="1415"/>
      <c r="H10" s="483"/>
      <c r="I10" s="1404"/>
      <c r="J10" s="483"/>
      <c r="K10" s="3351"/>
      <c r="L10" s="483"/>
      <c r="M10" s="483"/>
      <c r="N10" s="246"/>
    </row>
    <row r="11" spans="1:16" s="141" customFormat="1" ht="15" customHeight="1" x14ac:dyDescent="0.2">
      <c r="A11" s="142"/>
      <c r="B11" s="143" t="s">
        <v>156</v>
      </c>
      <c r="C11" s="812" t="s">
        <v>414</v>
      </c>
      <c r="D11" s="483" t="e">
        <f>SUM('4.1 sz. mell'!D11+#REF!+#REF!+#REF!+'4.2.sz. mell. '!D11+'4.3 sz. mell.'!D11+'4.4.sz. mell.'!D11)</f>
        <v>#REF!</v>
      </c>
      <c r="E11" s="483" t="e">
        <f>SUM('4.1 sz. mell'!E11+#REF!+#REF!+#REF!+'4.2.sz. mell. '!E11+'4.3 sz. mell.'!E11+'4.4.sz. mell.'!E11)</f>
        <v>#REF!</v>
      </c>
      <c r="F11" s="483"/>
      <c r="G11" s="1415"/>
      <c r="H11" s="483"/>
      <c r="I11" s="1404"/>
      <c r="J11" s="483"/>
      <c r="K11" s="3351"/>
      <c r="L11" s="483"/>
      <c r="M11" s="483"/>
      <c r="N11" s="246"/>
    </row>
    <row r="12" spans="1:16" s="141" customFormat="1" ht="15" customHeight="1" x14ac:dyDescent="0.2">
      <c r="A12" s="142"/>
      <c r="B12" s="143" t="s">
        <v>158</v>
      </c>
      <c r="C12" s="812" t="s">
        <v>978</v>
      </c>
      <c r="D12" s="483" t="e">
        <f>SUM('4.1 sz. mell'!D12+#REF!+#REF!+#REF!+'4.2.sz. mell. '!D12+'4.3 sz. mell.'!D12+'4.4.sz. mell.'!D12)</f>
        <v>#REF!</v>
      </c>
      <c r="E12" s="483" t="e">
        <f>SUM('4.1 sz. mell'!E12+#REF!+#REF!+#REF!+'4.2.sz. mell. '!E12+'4.3 sz. mell.'!E12+'4.4.sz. mell.'!E12)</f>
        <v>#REF!</v>
      </c>
      <c r="F12" s="483"/>
      <c r="G12" s="1415"/>
      <c r="H12" s="483"/>
      <c r="I12" s="1404"/>
      <c r="J12" s="483"/>
      <c r="K12" s="3351"/>
      <c r="L12" s="483"/>
      <c r="M12" s="483"/>
      <c r="N12" s="246"/>
    </row>
    <row r="13" spans="1:16" s="141" customFormat="1" ht="15" customHeight="1" x14ac:dyDescent="0.2">
      <c r="A13" s="142"/>
      <c r="B13" s="143" t="s">
        <v>375</v>
      </c>
      <c r="C13" s="813" t="s">
        <v>416</v>
      </c>
      <c r="D13" s="483" t="e">
        <f>SUM('4.1 sz. mell'!D13+#REF!+#REF!+#REF!+'4.2.sz. mell. '!D13+'4.3 sz. mell.'!D13+'4.4.sz. mell.'!D13)</f>
        <v>#REF!</v>
      </c>
      <c r="E13" s="483" t="e">
        <f>SUM('4.1 sz. mell'!E13+#REF!+#REF!+#REF!+'4.2.sz. mell. '!E13+'4.3 sz. mell.'!E13+'4.4.sz. mell.'!E13)</f>
        <v>#REF!</v>
      </c>
      <c r="F13" s="483"/>
      <c r="G13" s="1415"/>
      <c r="H13" s="483"/>
      <c r="I13" s="1404"/>
      <c r="J13" s="483"/>
      <c r="K13" s="3351"/>
      <c r="L13" s="483"/>
      <c r="M13" s="483"/>
    </row>
    <row r="14" spans="1:16" s="141" customFormat="1" ht="15" customHeight="1" x14ac:dyDescent="0.2">
      <c r="A14" s="146"/>
      <c r="B14" s="143" t="s">
        <v>162</v>
      </c>
      <c r="C14" s="812" t="s">
        <v>340</v>
      </c>
      <c r="D14" s="483" t="e">
        <f>SUM('4.1 sz. mell'!D14+#REF!+#REF!+#REF!+'4.2.sz. mell. '!D14+'4.3 sz. mell.'!D14+'4.4.sz. mell.'!D14)</f>
        <v>#REF!</v>
      </c>
      <c r="E14" s="483" t="e">
        <f>SUM('4.1 sz. mell'!E14+#REF!+#REF!+#REF!+'4.2.sz. mell. '!E14+'4.3 sz. mell.'!E14+'4.4.sz. mell.'!E14)</f>
        <v>#REF!</v>
      </c>
      <c r="F14" s="483"/>
      <c r="G14" s="1415"/>
      <c r="H14" s="483"/>
      <c r="I14" s="1404"/>
      <c r="J14" s="483"/>
      <c r="K14" s="3351"/>
      <c r="L14" s="483"/>
      <c r="M14" s="483"/>
      <c r="N14" s="246"/>
    </row>
    <row r="15" spans="1:16" s="145" customFormat="1" ht="15" customHeight="1" x14ac:dyDescent="0.2">
      <c r="A15" s="142"/>
      <c r="B15" s="143" t="s">
        <v>164</v>
      </c>
      <c r="C15" s="812" t="s">
        <v>60</v>
      </c>
      <c r="D15" s="483" t="e">
        <f>SUM('4.1 sz. mell'!D15+#REF!+#REF!+#REF!+'4.2.sz. mell. '!D15+'4.3 sz. mell.'!D15+'4.4.sz. mell.'!D15)</f>
        <v>#REF!</v>
      </c>
      <c r="E15" s="483" t="e">
        <f>SUM('4.1 sz. mell'!E15+#REF!+#REF!+#REF!+'4.2.sz. mell. '!E15+'4.3 sz. mell.'!E15+'4.4.sz. mell.'!E15)</f>
        <v>#REF!</v>
      </c>
      <c r="F15" s="483"/>
      <c r="G15" s="1415"/>
      <c r="H15" s="483"/>
      <c r="I15" s="1404"/>
      <c r="J15" s="483"/>
      <c r="K15" s="3351"/>
      <c r="L15" s="483"/>
      <c r="M15" s="483"/>
      <c r="N15" s="246"/>
    </row>
    <row r="16" spans="1:16" s="145" customFormat="1" ht="15" customHeight="1" x14ac:dyDescent="0.2">
      <c r="A16" s="151"/>
      <c r="B16" s="152" t="s">
        <v>166</v>
      </c>
      <c r="C16" s="812" t="s">
        <v>417</v>
      </c>
      <c r="D16" s="483"/>
      <c r="E16" s="483"/>
      <c r="F16" s="483"/>
      <c r="G16" s="1415"/>
      <c r="H16" s="483"/>
      <c r="I16" s="1404"/>
      <c r="J16" s="483"/>
      <c r="K16" s="3351"/>
      <c r="L16" s="483"/>
      <c r="M16" s="483"/>
      <c r="N16" s="246"/>
    </row>
    <row r="17" spans="1:17" s="145" customFormat="1" ht="15" customHeight="1" x14ac:dyDescent="0.2">
      <c r="A17" s="151"/>
      <c r="B17" s="152" t="s">
        <v>168</v>
      </c>
      <c r="C17" s="812" t="s">
        <v>64</v>
      </c>
      <c r="D17" s="483"/>
      <c r="E17" s="483"/>
      <c r="F17" s="483"/>
      <c r="G17" s="1415"/>
      <c r="H17" s="483"/>
      <c r="I17" s="1404"/>
      <c r="J17" s="483"/>
      <c r="K17" s="3351"/>
      <c r="L17" s="483"/>
      <c r="M17" s="483"/>
      <c r="N17" s="246"/>
    </row>
    <row r="18" spans="1:17" s="145" customFormat="1" ht="15" customHeight="1" thickBot="1" x14ac:dyDescent="0.25">
      <c r="A18" s="142"/>
      <c r="B18" s="143" t="s">
        <v>170</v>
      </c>
      <c r="C18" s="813" t="s">
        <v>418</v>
      </c>
      <c r="D18" s="483" t="e">
        <f>SUM('4.1 sz. mell'!D18+#REF!+#REF!+#REF!+'4.2.sz. mell. '!D18+'4.3 sz. mell.'!D18+'4.4.sz. mell.'!D18)</f>
        <v>#REF!</v>
      </c>
      <c r="E18" s="483" t="e">
        <f>SUM('4.1 sz. mell'!E18+#REF!+#REF!+#REF!+'4.2.sz. mell. '!E18+'4.3 sz. mell.'!E18+'4.4.sz. mell.'!E18)</f>
        <v>#REF!</v>
      </c>
      <c r="F18" s="483"/>
      <c r="G18" s="1415"/>
      <c r="H18" s="483"/>
      <c r="I18" s="1404"/>
      <c r="J18" s="483"/>
      <c r="K18" s="3351"/>
      <c r="L18" s="483"/>
      <c r="M18" s="483"/>
      <c r="N18" s="246"/>
      <c r="Q18" s="673"/>
    </row>
    <row r="19" spans="1:17" s="145" customFormat="1" ht="15" customHeight="1" thickBot="1" x14ac:dyDescent="0.25">
      <c r="A19" s="146"/>
      <c r="B19" s="157"/>
      <c r="C19" s="860" t="s">
        <v>32</v>
      </c>
      <c r="D19" s="824"/>
      <c r="E19" s="824"/>
      <c r="F19" s="844"/>
      <c r="G19" s="1509"/>
      <c r="H19" s="844"/>
      <c r="I19" s="1421"/>
      <c r="J19" s="844"/>
      <c r="K19" s="3350"/>
      <c r="L19" s="844"/>
      <c r="M19" s="844"/>
      <c r="N19" s="246"/>
    </row>
    <row r="20" spans="1:17" s="141" customFormat="1" ht="30" customHeight="1" thickBot="1" x14ac:dyDescent="0.25">
      <c r="A20" s="134" t="s">
        <v>17</v>
      </c>
      <c r="B20" s="148"/>
      <c r="C20" s="810" t="s">
        <v>419</v>
      </c>
      <c r="D20" s="826" t="e">
        <f>SUM(D21:D26)</f>
        <v>#REF!</v>
      </c>
      <c r="E20" s="826" t="e">
        <f>SUM(E21:E26)</f>
        <v>#REF!</v>
      </c>
      <c r="F20" s="826"/>
      <c r="G20" s="1382"/>
      <c r="H20" s="826"/>
      <c r="I20" s="1407"/>
      <c r="J20" s="826"/>
      <c r="K20" s="3375"/>
      <c r="L20" s="826"/>
      <c r="M20" s="826"/>
    </row>
    <row r="21" spans="1:17" s="145" customFormat="1" ht="31.5" customHeight="1" x14ac:dyDescent="0.2">
      <c r="A21" s="142"/>
      <c r="B21" s="143" t="s">
        <v>5</v>
      </c>
      <c r="C21" s="814" t="s">
        <v>420</v>
      </c>
      <c r="D21" s="483" t="e">
        <f>SUM('4.1 sz. mell'!D21+#REF!+#REF!+#REF!+'4.2.sz. mell. '!D20+'4.3 sz. mell.'!D20+'4.4.sz. mell.'!D20+#REF!)</f>
        <v>#REF!</v>
      </c>
      <c r="E21" s="483" t="e">
        <f>SUM('4.1 sz. mell'!E21+#REF!+#REF!+#REF!+'4.2.sz. mell. '!E20+'4.3 sz. mell.'!E20+'4.4.sz. mell.'!E20+#REF!)</f>
        <v>#REF!</v>
      </c>
      <c r="F21" s="483"/>
      <c r="G21" s="1415"/>
      <c r="H21" s="483"/>
      <c r="I21" s="1404"/>
      <c r="J21" s="483"/>
      <c r="K21" s="3351"/>
      <c r="L21" s="483"/>
      <c r="M21" s="483"/>
      <c r="N21" s="141"/>
    </row>
    <row r="22" spans="1:17" s="145" customFormat="1" ht="15" customHeight="1" x14ac:dyDescent="0.2">
      <c r="A22" s="142"/>
      <c r="B22" s="143" t="s">
        <v>421</v>
      </c>
      <c r="C22" s="812" t="s">
        <v>422</v>
      </c>
      <c r="D22" s="483"/>
      <c r="E22" s="483"/>
      <c r="F22" s="483"/>
      <c r="G22" s="1415"/>
      <c r="H22" s="483"/>
      <c r="I22" s="1404"/>
      <c r="J22" s="483"/>
      <c r="K22" s="3351"/>
      <c r="L22" s="483"/>
      <c r="M22" s="483"/>
      <c r="N22" s="141"/>
    </row>
    <row r="23" spans="1:17" s="145" customFormat="1" ht="19.5" customHeight="1" x14ac:dyDescent="0.2">
      <c r="A23" s="142"/>
      <c r="B23" s="143" t="s">
        <v>360</v>
      </c>
      <c r="C23" s="812" t="s">
        <v>1430</v>
      </c>
      <c r="D23" s="483"/>
      <c r="E23" s="483"/>
      <c r="F23" s="483"/>
      <c r="G23" s="1415"/>
      <c r="H23" s="483"/>
      <c r="I23" s="1404"/>
      <c r="J23" s="483"/>
      <c r="K23" s="3351"/>
      <c r="L23" s="483"/>
      <c r="M23" s="483"/>
      <c r="N23" s="141"/>
    </row>
    <row r="24" spans="1:17" s="145" customFormat="1" ht="15" customHeight="1" x14ac:dyDescent="0.2">
      <c r="A24" s="142"/>
      <c r="B24" s="143" t="s">
        <v>357</v>
      </c>
      <c r="C24" s="812" t="s">
        <v>424</v>
      </c>
      <c r="D24" s="483" t="e">
        <f>SUM('4.1 sz. mell'!D24+#REF!+#REF!+#REF!+'4.2.sz. mell. '!D23+'4.3 sz. mell.'!D23+'4.4.sz. mell.'!D23)</f>
        <v>#REF!</v>
      </c>
      <c r="E24" s="483" t="e">
        <f>SUM('4.1 sz. mell'!E24+#REF!+#REF!+#REF!+'4.2.sz. mell. '!E23+'4.3 sz. mell.'!E23+'4.4.sz. mell.'!E23)</f>
        <v>#REF!</v>
      </c>
      <c r="F24" s="483"/>
      <c r="G24" s="1415"/>
      <c r="H24" s="483"/>
      <c r="I24" s="1404"/>
      <c r="J24" s="483"/>
      <c r="K24" s="3351"/>
      <c r="L24" s="483"/>
      <c r="M24" s="483"/>
      <c r="N24" s="141"/>
    </row>
    <row r="25" spans="1:17" s="145" customFormat="1" ht="15" customHeight="1" x14ac:dyDescent="0.2">
      <c r="A25" s="142"/>
      <c r="B25" s="143" t="s">
        <v>7</v>
      </c>
      <c r="C25" s="812" t="s">
        <v>6</v>
      </c>
      <c r="D25" s="483" t="e">
        <f>SUM('4.1 sz. mell'!D26+#REF!+#REF!+#REF!+'4.2.sz. mell. '!D24+'4.3 sz. mell.'!D24+'4.4.sz. mell.'!D24)</f>
        <v>#REF!</v>
      </c>
      <c r="E25" s="483" t="e">
        <f>SUM('4.1 sz. mell'!E26+#REF!+#REF!+#REF!+'4.2.sz. mell. '!E24+'4.3 sz. mell.'!E24+'4.4.sz. mell.'!E24)</f>
        <v>#REF!</v>
      </c>
      <c r="F25" s="483"/>
      <c r="G25" s="1415"/>
      <c r="H25" s="483"/>
      <c r="I25" s="1404"/>
      <c r="J25" s="483"/>
      <c r="K25" s="3351"/>
      <c r="L25" s="483"/>
      <c r="M25" s="483"/>
      <c r="N25" s="141"/>
    </row>
    <row r="26" spans="1:17" s="145" customFormat="1" ht="15" customHeight="1" thickBot="1" x14ac:dyDescent="0.25">
      <c r="A26" s="142"/>
      <c r="B26" s="143" t="s">
        <v>9</v>
      </c>
      <c r="C26" s="812" t="s">
        <v>425</v>
      </c>
      <c r="D26" s="825" t="e">
        <f>SUM('4.1 sz. mell'!D27+#REF!+#REF!+#REF!+'4.2.sz. mell. '!D25+'4.3 sz. mell.'!D25+'4.4.sz. mell.'!D25)</f>
        <v>#REF!</v>
      </c>
      <c r="E26" s="825" t="e">
        <f>SUM('4.1 sz. mell'!E27+#REF!+#REF!+#REF!+'4.2.sz. mell. '!E25+'4.3 sz. mell.'!E25+'4.4.sz. mell.'!E25)</f>
        <v>#REF!</v>
      </c>
      <c r="F26" s="825"/>
      <c r="G26" s="1518"/>
      <c r="H26" s="825"/>
      <c r="I26" s="1406"/>
      <c r="J26" s="825"/>
      <c r="K26" s="3349"/>
      <c r="L26" s="825"/>
      <c r="M26" s="825"/>
      <c r="N26" s="141"/>
    </row>
    <row r="27" spans="1:17" s="145" customFormat="1" ht="15" customHeight="1" thickBot="1" x14ac:dyDescent="0.25">
      <c r="A27" s="134" t="s">
        <v>31</v>
      </c>
      <c r="B27" s="170"/>
      <c r="C27" s="810" t="s">
        <v>426</v>
      </c>
      <c r="D27" s="824"/>
      <c r="E27" s="824"/>
      <c r="F27" s="844"/>
      <c r="G27" s="1509"/>
      <c r="H27" s="844"/>
      <c r="I27" s="1421"/>
      <c r="J27" s="844"/>
      <c r="K27" s="3350"/>
      <c r="L27" s="844"/>
      <c r="M27" s="844"/>
      <c r="N27" s="141"/>
    </row>
    <row r="28" spans="1:17" s="145" customFormat="1" ht="30" customHeight="1" thickBot="1" x14ac:dyDescent="0.25">
      <c r="A28" s="142"/>
      <c r="B28" s="143" t="s">
        <v>19</v>
      </c>
      <c r="C28" s="812" t="s">
        <v>427</v>
      </c>
      <c r="D28" s="824"/>
      <c r="E28" s="824"/>
      <c r="F28" s="824"/>
      <c r="G28" s="1519"/>
      <c r="H28" s="824"/>
      <c r="I28" s="1405"/>
      <c r="J28" s="824"/>
      <c r="K28" s="3374"/>
      <c r="L28" s="824"/>
      <c r="M28" s="824"/>
      <c r="N28" s="141"/>
    </row>
    <row r="29" spans="1:17" s="145" customFormat="1" ht="15" customHeight="1" thickBot="1" x14ac:dyDescent="0.25">
      <c r="A29" s="134" t="s">
        <v>45</v>
      </c>
      <c r="B29" s="148"/>
      <c r="C29" s="815" t="s">
        <v>428</v>
      </c>
      <c r="D29" s="844" t="e">
        <f>SUM('4.1 sz. mell'!D30+#REF!+#REF!+#REF!+'4.2.sz. mell. '!D28+'4.3 sz. mell.'!D28+'4.4.sz. mell.'!D28)</f>
        <v>#REF!</v>
      </c>
      <c r="E29" s="844" t="e">
        <f>SUM('4.1 sz. mell'!E30+#REF!+#REF!+#REF!+'4.2.sz. mell. '!E28+'4.3 sz. mell.'!E28+'4.4.sz. mell.'!E28)</f>
        <v>#REF!</v>
      </c>
      <c r="F29" s="844"/>
      <c r="G29" s="1509"/>
      <c r="H29" s="844"/>
      <c r="I29" s="1421"/>
      <c r="J29" s="844"/>
      <c r="K29" s="3350"/>
      <c r="L29" s="844"/>
      <c r="M29" s="844"/>
      <c r="N29" s="141"/>
    </row>
    <row r="30" spans="1:17" s="145" customFormat="1" ht="15" customHeight="1" thickBot="1" x14ac:dyDescent="0.25">
      <c r="A30" s="142"/>
      <c r="B30" s="253" t="s">
        <v>33</v>
      </c>
      <c r="C30" s="812" t="s">
        <v>359</v>
      </c>
      <c r="D30" s="844"/>
      <c r="E30" s="844"/>
      <c r="F30" s="310"/>
      <c r="G30" s="1533"/>
      <c r="H30" s="310"/>
      <c r="I30" s="1403"/>
      <c r="J30" s="310"/>
      <c r="K30" s="3373"/>
      <c r="L30" s="310"/>
      <c r="M30" s="310"/>
      <c r="N30" s="141"/>
    </row>
    <row r="31" spans="1:17" s="145" customFormat="1" ht="15" customHeight="1" thickBot="1" x14ac:dyDescent="0.25">
      <c r="A31" s="142"/>
      <c r="B31" s="253" t="s">
        <v>39</v>
      </c>
      <c r="C31" s="812" t="s">
        <v>72</v>
      </c>
      <c r="D31" s="844"/>
      <c r="E31" s="844"/>
      <c r="F31" s="483"/>
      <c r="G31" s="1415"/>
      <c r="H31" s="483"/>
      <c r="I31" s="1404"/>
      <c r="J31" s="483"/>
      <c r="K31" s="3351"/>
      <c r="L31" s="483"/>
      <c r="M31" s="483"/>
      <c r="N31" s="141"/>
    </row>
    <row r="32" spans="1:17" s="145" customFormat="1" ht="15" customHeight="1" thickBot="1" x14ac:dyDescent="0.25">
      <c r="A32" s="142"/>
      <c r="B32" s="253" t="s">
        <v>41</v>
      </c>
      <c r="C32" s="812" t="s">
        <v>74</v>
      </c>
      <c r="D32" s="844"/>
      <c r="E32" s="844"/>
      <c r="F32" s="829"/>
      <c r="G32" s="2667"/>
      <c r="H32" s="829"/>
      <c r="I32" s="1435"/>
      <c r="J32" s="829"/>
      <c r="K32" s="3384"/>
      <c r="L32" s="829"/>
      <c r="M32" s="829"/>
      <c r="N32" s="141"/>
    </row>
    <row r="33" spans="1:20" s="145" customFormat="1" ht="30" customHeight="1" thickBot="1" x14ac:dyDescent="0.25">
      <c r="A33" s="134">
        <v>5</v>
      </c>
      <c r="B33" s="254"/>
      <c r="C33" s="815" t="s">
        <v>429</v>
      </c>
      <c r="D33" s="827" t="e">
        <f>SUM('4.1 sz. mell'!D34+#REF!+#REF!+#REF!+'4.2.sz. mell. '!D32+'4.3 sz. mell.'!D31+'4.4.sz. mell.'!D31)</f>
        <v>#REF!</v>
      </c>
      <c r="E33" s="827" t="e">
        <f>SUM('4.1 sz. mell'!E34+#REF!+#REF!+#REF!+'4.2.sz. mell. '!E32+'4.3 sz. mell.'!E31+'4.4.sz. mell.'!E31)</f>
        <v>#REF!</v>
      </c>
      <c r="F33" s="827"/>
      <c r="G33" s="1381"/>
      <c r="H33" s="827"/>
      <c r="I33" s="1408"/>
      <c r="J33" s="827"/>
      <c r="K33" s="3376"/>
      <c r="L33" s="827"/>
      <c r="M33" s="827"/>
      <c r="N33" s="141"/>
    </row>
    <row r="34" spans="1:20" s="145" customFormat="1" ht="30.75" customHeight="1" thickBot="1" x14ac:dyDescent="0.25">
      <c r="A34" s="134"/>
      <c r="B34" s="255" t="s">
        <v>47</v>
      </c>
      <c r="C34" s="814" t="s">
        <v>430</v>
      </c>
      <c r="D34" s="827"/>
      <c r="E34" s="827"/>
      <c r="F34" s="827"/>
      <c r="G34" s="1381"/>
      <c r="H34" s="827"/>
      <c r="I34" s="1408"/>
      <c r="J34" s="827"/>
      <c r="K34" s="3376"/>
      <c r="L34" s="827"/>
      <c r="M34" s="827"/>
      <c r="N34" s="141"/>
    </row>
    <row r="35" spans="1:20" s="145" customFormat="1" ht="15" customHeight="1" thickBot="1" x14ac:dyDescent="0.3">
      <c r="A35" s="134" t="s">
        <v>79</v>
      </c>
      <c r="B35" s="256"/>
      <c r="C35" s="810" t="s">
        <v>431</v>
      </c>
      <c r="D35" s="827"/>
      <c r="E35" s="827"/>
      <c r="F35" s="827"/>
      <c r="G35" s="1381"/>
      <c r="H35" s="827"/>
      <c r="I35" s="1408"/>
      <c r="J35" s="827"/>
      <c r="K35" s="3376"/>
      <c r="L35" s="827"/>
      <c r="M35" s="827"/>
      <c r="N35" s="141"/>
    </row>
    <row r="36" spans="1:20" s="141" customFormat="1" ht="30.75" customHeight="1" thickBot="1" x14ac:dyDescent="0.25">
      <c r="A36" s="134"/>
      <c r="B36" s="257" t="s">
        <v>69</v>
      </c>
      <c r="C36" s="812" t="s">
        <v>432</v>
      </c>
      <c r="D36" s="827" t="e">
        <f>SUM('4.1 sz. mell'!D38+#REF!+#REF!+#REF!+'4.2.sz. mell. '!D33+'4.3 sz. mell.'!D32+'4.4.sz. mell.'!D32)</f>
        <v>#REF!</v>
      </c>
      <c r="E36" s="827" t="e">
        <f>SUM('4.1 sz. mell'!E38+#REF!+#REF!+#REF!+'4.2.sz. mell. '!E33+'4.3 sz. mell.'!E32+'4.4.sz. mell.'!E32)</f>
        <v>#REF!</v>
      </c>
      <c r="F36" s="827"/>
      <c r="G36" s="1381"/>
      <c r="H36" s="827"/>
      <c r="I36" s="1408"/>
      <c r="J36" s="827"/>
      <c r="K36" s="3376"/>
      <c r="L36" s="827"/>
      <c r="M36" s="827"/>
    </row>
    <row r="37" spans="1:20" s="141" customFormat="1" ht="15" customHeight="1" thickBot="1" x14ac:dyDescent="0.3">
      <c r="A37" s="134" t="s">
        <v>89</v>
      </c>
      <c r="B37" s="256"/>
      <c r="C37" s="815" t="s">
        <v>433</v>
      </c>
      <c r="D37" s="864" t="e">
        <f>+D38+D39</f>
        <v>#REF!</v>
      </c>
      <c r="E37" s="864" t="e">
        <f>+E38+E39</f>
        <v>#REF!</v>
      </c>
      <c r="F37" s="864">
        <f t="shared" ref="F37:M37" si="0">SUM(F39+F38+F40)</f>
        <v>253084025</v>
      </c>
      <c r="G37" s="2767">
        <f t="shared" si="0"/>
        <v>0</v>
      </c>
      <c r="H37" s="864">
        <f t="shared" si="0"/>
        <v>309932221</v>
      </c>
      <c r="I37" s="2767">
        <f t="shared" si="0"/>
        <v>-42524797</v>
      </c>
      <c r="J37" s="864">
        <f t="shared" si="0"/>
        <v>267407424</v>
      </c>
      <c r="K37" s="3386">
        <f t="shared" si="0"/>
        <v>0</v>
      </c>
      <c r="L37" s="864">
        <f t="shared" si="0"/>
        <v>267407424</v>
      </c>
      <c r="M37" s="864">
        <f t="shared" si="0"/>
        <v>265849573</v>
      </c>
    </row>
    <row r="38" spans="1:20" s="141" customFormat="1" ht="15" customHeight="1" x14ac:dyDescent="0.2">
      <c r="A38" s="149"/>
      <c r="B38" s="253" t="s">
        <v>81</v>
      </c>
      <c r="C38" s="812" t="s">
        <v>434</v>
      </c>
      <c r="D38" s="483" t="e">
        <f>SUM('4.1 sz. mell'!D40+#REF!+#REF!+#REF!+'4.2.sz. mell. '!D37+'4.3 sz. mell.'!D37+'4.4.sz. mell.'!D38)</f>
        <v>#REF!</v>
      </c>
      <c r="E38" s="483" t="e">
        <f>SUM('4.1 sz. mell'!E40+#REF!+#REF!+#REF!+'4.2.sz. mell. '!E37+'4.3 sz. mell.'!E37+'4.4.sz. mell.'!E38)</f>
        <v>#REF!</v>
      </c>
      <c r="F38" s="483"/>
      <c r="G38" s="1415"/>
      <c r="H38" s="483"/>
      <c r="I38" s="1404"/>
      <c r="J38" s="483"/>
      <c r="K38" s="3351"/>
      <c r="L38" s="483"/>
      <c r="M38" s="483"/>
    </row>
    <row r="39" spans="1:20" s="141" customFormat="1" ht="15" customHeight="1" x14ac:dyDescent="0.2">
      <c r="A39" s="142"/>
      <c r="B39" s="253" t="s">
        <v>83</v>
      </c>
      <c r="C39" s="812" t="s">
        <v>435</v>
      </c>
      <c r="D39" s="825" t="e">
        <f>SUM('4.1 sz. mell'!D41+#REF!+#REF!+#REF!+'4.2.sz. mell. '!D38+'4.3 sz. mell.'!D38+'4.4.sz. mell.'!D39)</f>
        <v>#REF!</v>
      </c>
      <c r="E39" s="825" t="e">
        <f>SUM('4.1 sz. mell'!E41+#REF!+#REF!+#REF!+'4.2.sz. mell. '!E38+'4.3 sz. mell.'!E38+'4.4.sz. mell.'!E39)</f>
        <v>#REF!</v>
      </c>
      <c r="F39" s="825"/>
      <c r="G39" s="1518"/>
      <c r="H39" s="825"/>
      <c r="I39" s="1406"/>
      <c r="J39" s="825"/>
      <c r="K39" s="3349"/>
      <c r="L39" s="825"/>
      <c r="M39" s="825"/>
    </row>
    <row r="40" spans="1:20" s="145" customFormat="1" ht="17.25" customHeight="1" thickBot="1" x14ac:dyDescent="0.25">
      <c r="A40" s="671"/>
      <c r="B40" s="253" t="s">
        <v>85</v>
      </c>
      <c r="C40" s="812" t="s">
        <v>1434</v>
      </c>
      <c r="D40" s="825" t="e">
        <f>'4.1 sz. mell'!D42+#REF!+#REF!+#REF!+'4.2.sz. mell. '!D39+'4.3 sz. mell.'!D39+'4.4.sz. mell.'!D40+#REF!</f>
        <v>#REF!</v>
      </c>
      <c r="E40" s="825" t="e">
        <f>'4.1 sz. mell'!E42+#REF!+#REF!+#REF!+'4.2.sz. mell. '!E39+'4.3 sz. mell.'!E39+'4.4.sz. mell.'!E40+#REF!</f>
        <v>#REF!</v>
      </c>
      <c r="F40" s="825">
        <f t="shared" ref="F40:M40" si="1">SUM(F41:F42)</f>
        <v>253084025</v>
      </c>
      <c r="G40" s="1518">
        <f t="shared" si="1"/>
        <v>0</v>
      </c>
      <c r="H40" s="825">
        <f t="shared" si="1"/>
        <v>309932221</v>
      </c>
      <c r="I40" s="1518">
        <f t="shared" si="1"/>
        <v>-42524797</v>
      </c>
      <c r="J40" s="825">
        <f t="shared" si="1"/>
        <v>267407424</v>
      </c>
      <c r="K40" s="3349">
        <f t="shared" si="1"/>
        <v>0</v>
      </c>
      <c r="L40" s="825">
        <f t="shared" si="1"/>
        <v>267407424</v>
      </c>
      <c r="M40" s="825">
        <f t="shared" si="1"/>
        <v>265849573</v>
      </c>
      <c r="N40" s="141"/>
    </row>
    <row r="41" spans="1:20" s="145" customFormat="1" ht="15" customHeight="1" thickBot="1" x14ac:dyDescent="0.25">
      <c r="A41" s="671"/>
      <c r="B41" s="260" t="s">
        <v>437</v>
      </c>
      <c r="C41" s="850" t="s">
        <v>891</v>
      </c>
      <c r="D41" s="827"/>
      <c r="E41" s="827"/>
      <c r="F41" s="483"/>
      <c r="G41" s="1518"/>
      <c r="H41" s="825"/>
      <c r="I41" s="1406"/>
      <c r="J41" s="825"/>
      <c r="K41" s="3349"/>
      <c r="L41" s="825"/>
      <c r="M41" s="825"/>
      <c r="N41" s="141"/>
      <c r="R41" s="4438" t="s">
        <v>1065</v>
      </c>
      <c r="S41" s="4438" t="s">
        <v>1062</v>
      </c>
      <c r="T41" s="4438" t="s">
        <v>1801</v>
      </c>
    </row>
    <row r="42" spans="1:20" s="145" customFormat="1" ht="15" customHeight="1" thickBot="1" x14ac:dyDescent="0.25">
      <c r="A42" s="672"/>
      <c r="B42" s="263" t="s">
        <v>439</v>
      </c>
      <c r="C42" s="851" t="s">
        <v>532</v>
      </c>
      <c r="D42" s="827"/>
      <c r="E42" s="827"/>
      <c r="F42" s="855">
        <v>253084025</v>
      </c>
      <c r="G42" s="2762"/>
      <c r="H42" s="855">
        <f t="shared" ref="H42:M42" si="2">SUM(H61)</f>
        <v>309932221</v>
      </c>
      <c r="I42" s="2762">
        <f t="shared" si="2"/>
        <v>-42524797</v>
      </c>
      <c r="J42" s="855">
        <f t="shared" si="2"/>
        <v>267407424</v>
      </c>
      <c r="K42" s="3420">
        <f t="shared" si="2"/>
        <v>0</v>
      </c>
      <c r="L42" s="855">
        <f t="shared" si="2"/>
        <v>267407424</v>
      </c>
      <c r="M42" s="855">
        <f t="shared" si="2"/>
        <v>265849573</v>
      </c>
      <c r="N42" s="141"/>
      <c r="R42" s="4438"/>
      <c r="S42" s="4438"/>
      <c r="T42" s="4438"/>
    </row>
    <row r="43" spans="1:20" s="145" customFormat="1" ht="18" customHeight="1" thickBot="1" x14ac:dyDescent="0.3">
      <c r="A43" s="192" t="s">
        <v>99</v>
      </c>
      <c r="B43" s="265"/>
      <c r="C43" s="861" t="s">
        <v>441</v>
      </c>
      <c r="D43" s="545" t="e">
        <f>SUM(D8,D20,D29,D33,D36,D37,D40)</f>
        <v>#REF!</v>
      </c>
      <c r="E43" s="545" t="e">
        <f>SUM(E8,E20,E29,E33,E36,E37,E40)</f>
        <v>#REF!</v>
      </c>
      <c r="F43" s="545">
        <f t="shared" ref="F43:M43" si="3">SUM(F37+F35+F33+F29+F27+F20+F8)</f>
        <v>253084025</v>
      </c>
      <c r="G43" s="1437">
        <f t="shared" si="3"/>
        <v>0</v>
      </c>
      <c r="H43" s="545">
        <f t="shared" si="3"/>
        <v>309932221</v>
      </c>
      <c r="I43" s="1437">
        <f t="shared" si="3"/>
        <v>-42524797</v>
      </c>
      <c r="J43" s="545">
        <f t="shared" si="3"/>
        <v>267407424</v>
      </c>
      <c r="K43" s="3371">
        <f t="shared" si="3"/>
        <v>0</v>
      </c>
      <c r="L43" s="545">
        <f t="shared" si="3"/>
        <v>267407424</v>
      </c>
      <c r="M43" s="545">
        <f t="shared" si="3"/>
        <v>265849573</v>
      </c>
      <c r="N43" s="205">
        <f t="shared" ref="N43:S43" si="4">SUM(F61-F43)</f>
        <v>0</v>
      </c>
      <c r="O43" s="205">
        <f t="shared" si="4"/>
        <v>0</v>
      </c>
      <c r="P43" s="205">
        <f t="shared" si="4"/>
        <v>0</v>
      </c>
      <c r="Q43" s="205">
        <f t="shared" si="4"/>
        <v>0</v>
      </c>
      <c r="R43" s="205">
        <f t="shared" si="4"/>
        <v>0</v>
      </c>
      <c r="S43" s="205">
        <f t="shared" si="4"/>
        <v>0</v>
      </c>
      <c r="T43" s="205">
        <f>SUM(M61-M43)</f>
        <v>0</v>
      </c>
    </row>
    <row r="44" spans="1:20" s="145" customFormat="1" ht="15" customHeight="1" thickBot="1" x14ac:dyDescent="0.25">
      <c r="A44" s="2098"/>
      <c r="B44" s="163"/>
      <c r="C44" s="164"/>
      <c r="D44" s="857"/>
      <c r="E44" s="868"/>
      <c r="F44" s="2770"/>
      <c r="G44" s="1563"/>
      <c r="H44" s="1563"/>
      <c r="I44" s="1563"/>
      <c r="J44" s="1563"/>
      <c r="K44" s="1563"/>
      <c r="L44" s="1563"/>
      <c r="M44" s="753"/>
    </row>
    <row r="45" spans="1:20" s="129" customFormat="1" ht="21" customHeight="1" thickBot="1" x14ac:dyDescent="0.25">
      <c r="A45" s="244"/>
      <c r="B45" s="245"/>
      <c r="C45" s="245" t="s">
        <v>231</v>
      </c>
      <c r="D45" s="858"/>
      <c r="E45" s="858"/>
      <c r="F45" s="858"/>
      <c r="G45" s="2763"/>
      <c r="H45" s="858"/>
      <c r="I45" s="1558"/>
      <c r="J45" s="858"/>
      <c r="K45" s="3421"/>
      <c r="L45" s="858"/>
      <c r="M45" s="858"/>
    </row>
    <row r="46" spans="1:20" s="172" customFormat="1" ht="15" customHeight="1" thickBot="1" x14ac:dyDescent="0.25">
      <c r="A46" s="134" t="s">
        <v>3</v>
      </c>
      <c r="B46" s="170"/>
      <c r="C46" s="817" t="s">
        <v>442</v>
      </c>
      <c r="D46" s="823" t="e">
        <f t="shared" ref="D46:M46" si="5">SUM(D47:D51)</f>
        <v>#REF!</v>
      </c>
      <c r="E46" s="823" t="e">
        <f t="shared" si="5"/>
        <v>#REF!</v>
      </c>
      <c r="F46" s="823">
        <f t="shared" si="5"/>
        <v>253084025</v>
      </c>
      <c r="G46" s="2665">
        <f t="shared" si="5"/>
        <v>0</v>
      </c>
      <c r="H46" s="823">
        <f t="shared" si="5"/>
        <v>309932221</v>
      </c>
      <c r="I46" s="2665">
        <f t="shared" si="5"/>
        <v>-42524797</v>
      </c>
      <c r="J46" s="823">
        <f t="shared" si="5"/>
        <v>267407424</v>
      </c>
      <c r="K46" s="3375">
        <f>SUM(L46-J46)</f>
        <v>0</v>
      </c>
      <c r="L46" s="823">
        <f t="shared" si="5"/>
        <v>267407424</v>
      </c>
      <c r="M46" s="823">
        <f t="shared" si="5"/>
        <v>265849573</v>
      </c>
    </row>
    <row r="47" spans="1:20" ht="15" customHeight="1" x14ac:dyDescent="0.2">
      <c r="A47" s="173"/>
      <c r="B47" s="174" t="s">
        <v>152</v>
      </c>
      <c r="C47" s="814" t="s">
        <v>153</v>
      </c>
      <c r="D47" s="483" t="e">
        <f>SUM('4.1 sz. mell'!D50+#REF!+#REF!+#REF!+'4.2.sz. mell. '!D47+'4.3 sz. mell.'!D46+'4.4.sz. mell.'!D47+#REF!)</f>
        <v>#REF!</v>
      </c>
      <c r="E47" s="483" t="e">
        <f>SUM('4.1 sz. mell'!E50+#REF!+#REF!+#REF!+'4.2.sz. mell. '!E47+'4.3 sz. mell.'!E46+'4.4.sz. mell.'!E47+#REF!)</f>
        <v>#REF!</v>
      </c>
      <c r="F47" s="483">
        <f>SUM('4.1 sz. mell'!F50)</f>
        <v>170349907</v>
      </c>
      <c r="G47" s="1415"/>
      <c r="H47" s="483">
        <f>SUM('4.1 sz. mell'!H50)</f>
        <v>219897352</v>
      </c>
      <c r="I47" s="1404">
        <f>SUM('4.1 sz. mell'!I50)</f>
        <v>-23418263</v>
      </c>
      <c r="J47" s="483">
        <f>SUM('4.1 sz. mell'!J50)</f>
        <v>196479089</v>
      </c>
      <c r="K47" s="3351">
        <f>SUM('4.1 sz. mell'!K50)</f>
        <v>0</v>
      </c>
      <c r="L47" s="483">
        <f>SUM('4.1 sz. mell'!L50)</f>
        <v>196479089</v>
      </c>
      <c r="M47" s="483">
        <f>SUM('4.1 sz. mell'!M50)</f>
        <v>196479089</v>
      </c>
    </row>
    <row r="48" spans="1:20" ht="15" customHeight="1" x14ac:dyDescent="0.2">
      <c r="A48" s="142"/>
      <c r="B48" s="176" t="s">
        <v>154</v>
      </c>
      <c r="C48" s="812" t="s">
        <v>155</v>
      </c>
      <c r="D48" s="483" t="e">
        <f>SUM('4.1 sz. mell'!D51+#REF!+#REF!+#REF!+'4.2.sz. mell. '!D48+'4.3 sz. mell.'!D47+'4.4.sz. mell.'!D48+#REF!)</f>
        <v>#REF!</v>
      </c>
      <c r="E48" s="483" t="e">
        <f>SUM('4.1 sz. mell'!E51+#REF!+#REF!+#REF!+'4.2.sz. mell. '!E48+'4.3 sz. mell.'!E47+'4.4.sz. mell.'!E48+#REF!)</f>
        <v>#REF!</v>
      </c>
      <c r="F48" s="483">
        <f>SUM('4.1 sz. mell'!F51)</f>
        <v>36041456</v>
      </c>
      <c r="G48" s="1415"/>
      <c r="H48" s="483">
        <f>SUM('4.1 sz. mell'!H51)</f>
        <v>45957434</v>
      </c>
      <c r="I48" s="1404">
        <f>SUM('4.1 sz. mell'!I51)</f>
        <v>-8193203</v>
      </c>
      <c r="J48" s="483">
        <f>SUM('4.1 sz. mell'!J51)</f>
        <v>37764231</v>
      </c>
      <c r="K48" s="3351">
        <f>SUM('4.1 sz. mell'!K51)</f>
        <v>0</v>
      </c>
      <c r="L48" s="483">
        <f>SUM('4.1 sz. mell'!L51)</f>
        <v>37764231</v>
      </c>
      <c r="M48" s="483">
        <f>SUM('4.1 sz. mell'!M51)</f>
        <v>37764231</v>
      </c>
    </row>
    <row r="49" spans="1:13" ht="15" customHeight="1" x14ac:dyDescent="0.2">
      <c r="A49" s="142"/>
      <c r="B49" s="176" t="s">
        <v>156</v>
      </c>
      <c r="C49" s="812" t="s">
        <v>157</v>
      </c>
      <c r="D49" s="483" t="e">
        <f>SUM('4.1 sz. mell'!D52+#REF!+#REF!+#REF!+'4.2.sz. mell. '!D49+'4.3 sz. mell.'!D48+'4.4.sz. mell.'!D49+#REF!)</f>
        <v>#REF!</v>
      </c>
      <c r="E49" s="483" t="e">
        <f>SUM('4.1 sz. mell'!E52+#REF!+#REF!+#REF!+'4.2.sz. mell. '!E49+'4.3 sz. mell.'!E48+'4.4.sz. mell.'!E49+#REF!)</f>
        <v>#REF!</v>
      </c>
      <c r="F49" s="483">
        <f>SUM('4.1 sz. mell'!F52)</f>
        <v>46692662</v>
      </c>
      <c r="G49" s="1415"/>
      <c r="H49" s="483">
        <f>SUM('4.1 sz. mell'!H52)</f>
        <v>44077435</v>
      </c>
      <c r="I49" s="1404">
        <f>SUM('4.1 sz. mell'!I52)</f>
        <v>-10913331</v>
      </c>
      <c r="J49" s="483">
        <f>SUM('4.1 sz. mell'!J52)</f>
        <v>33164104</v>
      </c>
      <c r="K49" s="3351">
        <f>SUM('4.1 sz. mell'!K52)</f>
        <v>0</v>
      </c>
      <c r="L49" s="483">
        <f>SUM('4.1 sz. mell'!L52)</f>
        <v>33164104</v>
      </c>
      <c r="M49" s="483">
        <f>SUM('4.1 sz. mell'!M52)</f>
        <v>31606253</v>
      </c>
    </row>
    <row r="50" spans="1:13" ht="15" customHeight="1" x14ac:dyDescent="0.2">
      <c r="A50" s="142"/>
      <c r="B50" s="176" t="s">
        <v>158</v>
      </c>
      <c r="C50" s="812" t="s">
        <v>159</v>
      </c>
      <c r="D50" s="483" t="e">
        <f>SUM('4.1 sz. mell'!D53+#REF!+#REF!+#REF!+'4.2.sz. mell. '!D50+'4.3 sz. mell.'!D49+'4.4.sz. mell.'!D50+#REF!)</f>
        <v>#REF!</v>
      </c>
      <c r="E50" s="483" t="e">
        <f>SUM('4.1 sz. mell'!E53+#REF!+#REF!+#REF!+'4.2.sz. mell. '!E50+'4.3 sz. mell.'!E49+'4.4.sz. mell.'!E50+#REF!)</f>
        <v>#REF!</v>
      </c>
      <c r="F50" s="483">
        <f>SUM('4.1 sz. mell'!F53)</f>
        <v>0</v>
      </c>
      <c r="G50" s="1415"/>
      <c r="H50" s="483"/>
      <c r="I50" s="1404"/>
      <c r="J50" s="483"/>
      <c r="K50" s="3351"/>
      <c r="L50" s="483"/>
      <c r="M50" s="483"/>
    </row>
    <row r="51" spans="1:13" ht="15" customHeight="1" thickBot="1" x14ac:dyDescent="0.25">
      <c r="A51" s="142"/>
      <c r="B51" s="176" t="s">
        <v>160</v>
      </c>
      <c r="C51" s="812" t="s">
        <v>161</v>
      </c>
      <c r="D51" s="483" t="e">
        <f>SUM('4.1 sz. mell'!D54+#REF!+#REF!+#REF!+'4.2.sz. mell. '!D51+'4.3 sz. mell.'!D50+'4.4.sz. mell.'!D51+#REF!)</f>
        <v>#REF!</v>
      </c>
      <c r="E51" s="483" t="e">
        <f>SUM('4.1 sz. mell'!E54+#REF!+#REF!+#REF!+'4.2.sz. mell. '!E51+'4.3 sz. mell.'!E50+'4.4.sz. mell.'!E51+#REF!)</f>
        <v>#REF!</v>
      </c>
      <c r="F51" s="483">
        <f>SUM('4.1 sz. mell'!F54)</f>
        <v>0</v>
      </c>
      <c r="G51" s="1415"/>
      <c r="H51" s="483"/>
      <c r="I51" s="1404"/>
      <c r="J51" s="483"/>
      <c r="K51" s="3351"/>
      <c r="L51" s="483"/>
      <c r="M51" s="483"/>
    </row>
    <row r="52" spans="1:13" ht="12.75" hidden="1" customHeight="1" x14ac:dyDescent="0.2">
      <c r="A52" s="142"/>
      <c r="B52" s="143"/>
      <c r="C52" s="812"/>
      <c r="D52" s="483"/>
      <c r="E52" s="483"/>
      <c r="F52" s="483"/>
      <c r="G52" s="1415"/>
      <c r="H52" s="483"/>
      <c r="I52" s="1404"/>
      <c r="J52" s="483"/>
      <c r="K52" s="3351"/>
      <c r="L52" s="483"/>
      <c r="M52" s="483"/>
    </row>
    <row r="53" spans="1:13" ht="12.75" hidden="1" customHeight="1" x14ac:dyDescent="0.2">
      <c r="A53" s="142"/>
      <c r="B53" s="143"/>
      <c r="C53" s="812"/>
      <c r="D53" s="483"/>
      <c r="E53" s="483"/>
      <c r="F53" s="483"/>
      <c r="G53" s="1415"/>
      <c r="H53" s="483"/>
      <c r="I53" s="1404"/>
      <c r="J53" s="483"/>
      <c r="K53" s="3351"/>
      <c r="L53" s="483"/>
      <c r="M53" s="483"/>
    </row>
    <row r="54" spans="1:13" ht="18.75" customHeight="1" thickBot="1" x14ac:dyDescent="0.25">
      <c r="A54" s="134" t="s">
        <v>17</v>
      </c>
      <c r="B54" s="170"/>
      <c r="C54" s="817" t="s">
        <v>443</v>
      </c>
      <c r="D54" s="865" t="e">
        <f>SUM(D55:D58)</f>
        <v>#REF!</v>
      </c>
      <c r="E54" s="865" t="e">
        <f>SUM(E55:E58)</f>
        <v>#REF!</v>
      </c>
      <c r="F54" s="865"/>
      <c r="G54" s="2768"/>
      <c r="H54" s="865"/>
      <c r="I54" s="1564"/>
      <c r="J54" s="865"/>
      <c r="K54" s="3422"/>
      <c r="L54" s="865"/>
      <c r="M54" s="865"/>
    </row>
    <row r="55" spans="1:13" s="172" customFormat="1" ht="15" customHeight="1" x14ac:dyDescent="0.2">
      <c r="A55" s="173"/>
      <c r="B55" s="267" t="s">
        <v>5</v>
      </c>
      <c r="C55" s="814" t="s">
        <v>183</v>
      </c>
      <c r="D55" s="483">
        <f>SUM('6.2.sz.mell.'!H122)</f>
        <v>6985000</v>
      </c>
      <c r="E55" s="483">
        <f>'4.1 sz. mell'!E56</f>
        <v>17440</v>
      </c>
      <c r="F55" s="483"/>
      <c r="G55" s="1415"/>
      <c r="H55" s="483"/>
      <c r="I55" s="1404"/>
      <c r="J55" s="483"/>
      <c r="K55" s="3351"/>
      <c r="L55" s="483"/>
      <c r="M55" s="483"/>
    </row>
    <row r="56" spans="1:13" ht="15" customHeight="1" x14ac:dyDescent="0.2">
      <c r="A56" s="142"/>
      <c r="B56" s="253" t="s">
        <v>7</v>
      </c>
      <c r="C56" s="812" t="s">
        <v>185</v>
      </c>
      <c r="D56" s="483"/>
      <c r="E56" s="483"/>
      <c r="F56" s="483"/>
      <c r="G56" s="1415"/>
      <c r="H56" s="483"/>
      <c r="I56" s="1404"/>
      <c r="J56" s="483"/>
      <c r="K56" s="3351"/>
      <c r="L56" s="483"/>
      <c r="M56" s="483"/>
    </row>
    <row r="57" spans="1:13" ht="15" customHeight="1" thickBot="1" x14ac:dyDescent="0.25">
      <c r="A57" s="142"/>
      <c r="B57" s="253" t="s">
        <v>9</v>
      </c>
      <c r="C57" s="812" t="s">
        <v>444</v>
      </c>
      <c r="D57" s="483" t="e">
        <f>SUM('4.1 sz. mell'!D58+#REF!+#REF!+#REF!+'4.2.sz. mell. '!D55+'4.3 sz. mell.'!D54+'4.4.sz. mell.'!D55)</f>
        <v>#REF!</v>
      </c>
      <c r="E57" s="483" t="e">
        <f>SUM('4.1 sz. mell'!E58+#REF!+#REF!+#REF!+'4.2.sz. mell. '!E55+'4.3 sz. mell.'!E54+'4.4.sz. mell.'!E55)</f>
        <v>#REF!</v>
      </c>
      <c r="F57" s="483"/>
      <c r="G57" s="1415"/>
      <c r="H57" s="483"/>
      <c r="I57" s="1404"/>
      <c r="J57" s="483"/>
      <c r="K57" s="3351"/>
      <c r="L57" s="483"/>
      <c r="M57" s="483"/>
    </row>
    <row r="58" spans="1:13" ht="12.75" hidden="1" customHeight="1" x14ac:dyDescent="0.2">
      <c r="A58" s="151"/>
      <c r="B58" s="152"/>
      <c r="C58" s="812"/>
      <c r="D58" s="483" t="e">
        <f>SUM('4.1 sz. mell'!#REF!+#REF!+#REF!+#REF!+'4.2.sz. mell. '!D56+'4.3 sz. mell.'!D55+'4.4.sz. mell.'!D56)</f>
        <v>#REF!</v>
      </c>
      <c r="E58" s="483" t="e">
        <f>SUM('4.1 sz. mell'!#REF!+#REF!+#REF!+#REF!+'4.2.sz. mell. '!E56+'4.3 sz. mell.'!E55+'4.4.sz. mell.'!E56)</f>
        <v>#REF!</v>
      </c>
      <c r="F58" s="483"/>
      <c r="G58" s="1415"/>
      <c r="H58" s="483"/>
      <c r="I58" s="1404"/>
      <c r="J58" s="483"/>
      <c r="K58" s="3351"/>
      <c r="L58" s="483"/>
      <c r="M58" s="483"/>
    </row>
    <row r="59" spans="1:13" ht="15" hidden="1" customHeight="1" thickBot="1" x14ac:dyDescent="0.25">
      <c r="A59" s="151"/>
      <c r="B59" s="2766"/>
      <c r="C59" s="862" t="s">
        <v>445</v>
      </c>
      <c r="D59" s="825" t="e">
        <f>SUM('4.1 sz. mell'!D59+#REF!+#REF!+#REF!+'4.2.sz. mell. '!D57+'4.3 sz. mell.'!D56+'4.4.sz. mell.'!D57)</f>
        <v>#REF!</v>
      </c>
      <c r="E59" s="825" t="e">
        <f>SUM('4.1 sz. mell'!E59+#REF!+#REF!+#REF!+'4.2.sz. mell. '!E57+'4.3 sz. mell.'!E56+'4.4.sz. mell.'!E57)</f>
        <v>#REF!</v>
      </c>
      <c r="F59" s="825"/>
      <c r="G59" s="1518"/>
      <c r="H59" s="825"/>
      <c r="I59" s="1406"/>
      <c r="J59" s="825"/>
      <c r="K59" s="3349"/>
      <c r="L59" s="825"/>
      <c r="M59" s="825"/>
    </row>
    <row r="60" spans="1:13" s="145" customFormat="1" ht="15" hidden="1" customHeight="1" thickBot="1" x14ac:dyDescent="0.25">
      <c r="A60" s="178"/>
      <c r="B60" s="2748"/>
      <c r="C60" s="2764"/>
      <c r="D60" s="804"/>
      <c r="E60" s="804"/>
      <c r="F60" s="804"/>
      <c r="G60" s="1381"/>
      <c r="H60" s="827"/>
      <c r="I60" s="1408"/>
      <c r="J60" s="827"/>
      <c r="K60" s="3376"/>
      <c r="L60" s="827"/>
      <c r="M60" s="827"/>
    </row>
    <row r="61" spans="1:13" ht="19.5" customHeight="1" thickBot="1" x14ac:dyDescent="0.3">
      <c r="A61" s="192" t="s">
        <v>31</v>
      </c>
      <c r="B61" s="160"/>
      <c r="C61" s="861" t="s">
        <v>446</v>
      </c>
      <c r="D61" s="866" t="e">
        <f>+D46+D54+D59</f>
        <v>#REF!</v>
      </c>
      <c r="E61" s="866" t="e">
        <f>+E46+E54+E59</f>
        <v>#REF!</v>
      </c>
      <c r="F61" s="866">
        <f t="shared" ref="F61:M61" si="6">SUM(F46+F54+F59)</f>
        <v>253084025</v>
      </c>
      <c r="G61" s="2769">
        <f t="shared" si="6"/>
        <v>0</v>
      </c>
      <c r="H61" s="866">
        <f t="shared" si="6"/>
        <v>309932221</v>
      </c>
      <c r="I61" s="2769">
        <f t="shared" si="6"/>
        <v>-42524797</v>
      </c>
      <c r="J61" s="866">
        <f t="shared" si="6"/>
        <v>267407424</v>
      </c>
      <c r="K61" s="3371">
        <f t="shared" si="6"/>
        <v>0</v>
      </c>
      <c r="L61" s="866">
        <f t="shared" si="6"/>
        <v>267407424</v>
      </c>
      <c r="M61" s="866">
        <f t="shared" si="6"/>
        <v>265849573</v>
      </c>
    </row>
    <row r="62" spans="1:13" ht="15" customHeight="1" thickBot="1" x14ac:dyDescent="0.25">
      <c r="A62" s="884"/>
      <c r="B62" s="885"/>
      <c r="C62" s="2918"/>
      <c r="D62" s="277"/>
      <c r="E62" s="277"/>
      <c r="F62" s="2919"/>
      <c r="G62" s="2919"/>
      <c r="H62" s="2919"/>
      <c r="I62" s="1439"/>
      <c r="J62" s="1550"/>
      <c r="K62" s="1550"/>
      <c r="L62" s="1550"/>
      <c r="M62" s="2100"/>
    </row>
    <row r="63" spans="1:13" ht="15" customHeight="1" thickBot="1" x14ac:dyDescent="0.25">
      <c r="A63" s="4500" t="s">
        <v>324</v>
      </c>
      <c r="B63" s="4501"/>
      <c r="C63" s="4501"/>
      <c r="D63" s="269" t="e">
        <f>SUM('4.1 sz. mell'!D63+#REF!+#REF!+#REF!+'4.2.sz. mell. '!D61+'4.3 sz. mell.'!D60+'4.4.sz. mell.'!D61+#REF!)</f>
        <v>#REF!</v>
      </c>
      <c r="E63" s="269">
        <v>104</v>
      </c>
      <c r="F63" s="867"/>
      <c r="G63" s="1571"/>
      <c r="H63" s="269"/>
      <c r="I63" s="1566"/>
      <c r="J63" s="269"/>
      <c r="K63" s="3423"/>
      <c r="L63" s="269"/>
      <c r="M63" s="269"/>
    </row>
    <row r="64" spans="1:13" ht="15" customHeight="1" thickBot="1" x14ac:dyDescent="0.25">
      <c r="A64" s="4500" t="s">
        <v>325</v>
      </c>
      <c r="B64" s="4501"/>
      <c r="C64" s="4501"/>
      <c r="D64" s="155" t="e">
        <f>SUM('4.1 sz. mell'!D64+#REF!+#REF!+#REF!+'4.2.sz. mell. '!D62+'4.3 sz. mell.'!D61+'4.4.sz. mell.'!D62)</f>
        <v>#REF!</v>
      </c>
      <c r="E64" s="155" t="e">
        <f>SUM('4.1 sz. mell'!E64+#REF!+#REF!+#REF!+'4.2.sz. mell. '!E62+'4.3 sz. mell.'!E61+'4.4.sz. mell.'!E62)</f>
        <v>#REF!</v>
      </c>
      <c r="F64" s="827">
        <f>SUM('4.1 sz. mell'!F64+'4.2.sz. mell. '!F62+'4.3 sz. mell.'!F61+'4.4.sz. mell.'!F62)</f>
        <v>0</v>
      </c>
      <c r="G64" s="1381">
        <f>SUM('4.1 sz. mell'!H64+'4.2.sz. mell. '!H62+'4.3 sz. mell.'!H61+'4.4.sz. mell.'!H62)</f>
        <v>0</v>
      </c>
      <c r="H64" s="155">
        <f>SUM('4.1 sz. mell'!H64+'4.2.sz. mell. '!H62+'4.3 sz. mell.'!H61+'4.4.sz. mell.'!H62)</f>
        <v>0</v>
      </c>
      <c r="I64" s="155">
        <f>SUM('4.1 sz. mell'!I64+'4.2.sz. mell. '!I62+'4.3 sz. mell.'!I61+'4.4.sz. mell.'!I62)</f>
        <v>0</v>
      </c>
      <c r="J64" s="155">
        <f>SUM('4.1 sz. mell'!J64+'4.2.sz. mell. '!J62+'4.3 sz. mell.'!J61+'4.4.sz. mell.'!J62)</f>
        <v>0</v>
      </c>
      <c r="K64" s="155">
        <f>SUM('4.1 sz. mell'!K64+'4.2.sz. mell. '!K62+'4.3 sz. mell.'!K61+'4.4.sz. mell.'!K62)</f>
        <v>0</v>
      </c>
      <c r="L64" s="155">
        <f>SUM('4.1 sz. mell'!L64+'4.2.sz. mell. '!L62+'4.3 sz. mell.'!L61+'4.4.sz. mell.'!L62)</f>
        <v>0</v>
      </c>
      <c r="M64" s="155">
        <f>SUM('4.1 sz. mell'!M64+'4.2.sz. mell. '!M62+'4.3 sz. mell.'!M61+'4.4.sz. mell.'!M62)</f>
        <v>0</v>
      </c>
    </row>
  </sheetData>
  <mergeCells count="19">
    <mergeCell ref="C1:M1"/>
    <mergeCell ref="M2:M3"/>
    <mergeCell ref="D4:F4"/>
    <mergeCell ref="A5:B5"/>
    <mergeCell ref="A63:C63"/>
    <mergeCell ref="I2:I3"/>
    <mergeCell ref="J2:J3"/>
    <mergeCell ref="K2:K3"/>
    <mergeCell ref="L2:L3"/>
    <mergeCell ref="H2:H3"/>
    <mergeCell ref="R41:R42"/>
    <mergeCell ref="S41:S42"/>
    <mergeCell ref="T41:T42"/>
    <mergeCell ref="G2:G3"/>
    <mergeCell ref="A64:C64"/>
    <mergeCell ref="A2:B2"/>
    <mergeCell ref="D2:D3"/>
    <mergeCell ref="F2:F3"/>
    <mergeCell ref="A3:B3"/>
  </mergeCells>
  <printOptions horizontalCentered="1"/>
  <pageMargins left="0.27559055118110237" right="0.23622047244094491" top="0.19685039370078741" bottom="0.47244094488188981" header="0.51181102362204722" footer="0.23622047244094491"/>
  <pageSetup paperSize="9" scale="73" firstPageNumber="35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R64"/>
  <sheetViews>
    <sheetView view="pageBreakPreview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9.6640625" style="114" customWidth="1"/>
    <col min="2" max="2" width="7.6640625" style="115" customWidth="1"/>
    <col min="3" max="3" width="62.1640625" style="115" customWidth="1"/>
    <col min="4" max="5" width="9.33203125" style="115" hidden="1" customWidth="1"/>
    <col min="6" max="6" width="14.83203125" style="115" customWidth="1"/>
    <col min="7" max="7" width="16.83203125" style="1390" hidden="1" customWidth="1"/>
    <col min="8" max="8" width="13.33203125" style="115" hidden="1" customWidth="1"/>
    <col min="9" max="9" width="11.5" style="1390" hidden="1" customWidth="1"/>
    <col min="10" max="10" width="15.33203125" style="115" customWidth="1"/>
    <col min="11" max="11" width="16.33203125" style="1390" customWidth="1"/>
    <col min="12" max="12" width="16.33203125" style="115" customWidth="1"/>
    <col min="13" max="13" width="15.5" style="115" customWidth="1"/>
    <col min="14" max="14" width="9.33203125" style="115"/>
    <col min="15" max="15" width="16.1640625" style="115" customWidth="1"/>
    <col min="16" max="16" width="13.6640625" style="115" customWidth="1"/>
    <col min="17" max="17" width="18.6640625" style="115" customWidth="1"/>
    <col min="18" max="18" width="15" style="115" customWidth="1"/>
    <col min="19" max="16384" width="9.33203125" style="115"/>
  </cols>
  <sheetData>
    <row r="1" spans="1:17" s="95" customFormat="1" ht="21" customHeight="1" thickBot="1" x14ac:dyDescent="0.25">
      <c r="A1" s="240"/>
      <c r="B1" s="241"/>
      <c r="C1" s="4517" t="s">
        <v>451</v>
      </c>
      <c r="D1" s="4517"/>
      <c r="E1" s="4517"/>
      <c r="F1" s="4517"/>
      <c r="G1" s="4517"/>
      <c r="H1" s="4517"/>
      <c r="I1" s="4517"/>
      <c r="J1" s="4517"/>
      <c r="K1" s="4517"/>
      <c r="L1" s="4517"/>
      <c r="M1" s="4517"/>
      <c r="N1" s="447"/>
      <c r="O1" s="447"/>
      <c r="P1" s="447"/>
      <c r="Q1" s="447"/>
    </row>
    <row r="2" spans="1:17" s="120" customFormat="1" ht="52.5" customHeight="1" thickBot="1" x14ac:dyDescent="0.25">
      <c r="A2" s="4516" t="s">
        <v>411</v>
      </c>
      <c r="B2" s="4516"/>
      <c r="C2" s="805" t="s">
        <v>412</v>
      </c>
      <c r="D2" s="4415" t="s">
        <v>282</v>
      </c>
      <c r="E2" s="818"/>
      <c r="F2" s="4415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440" t="s">
        <v>1945</v>
      </c>
      <c r="N2" s="448"/>
      <c r="O2" s="448"/>
      <c r="P2" s="448"/>
      <c r="Q2" s="448"/>
    </row>
    <row r="3" spans="1:17" s="120" customFormat="1" ht="33" customHeight="1" thickBot="1" x14ac:dyDescent="0.25">
      <c r="A3" s="4506" t="s">
        <v>283</v>
      </c>
      <c r="B3" s="4506"/>
      <c r="C3" s="806" t="s">
        <v>856</v>
      </c>
      <c r="D3" s="4415"/>
      <c r="E3" s="819"/>
      <c r="F3" s="4415"/>
      <c r="G3" s="4423"/>
      <c r="H3" s="4416" t="s">
        <v>1028</v>
      </c>
      <c r="I3" s="4423" t="s">
        <v>1031</v>
      </c>
      <c r="J3" s="4496" t="s">
        <v>1028</v>
      </c>
      <c r="K3" s="4450"/>
      <c r="L3" s="4416"/>
      <c r="M3" s="4441"/>
    </row>
    <row r="4" spans="1:17" s="123" customFormat="1" ht="15.95" customHeight="1" thickBot="1" x14ac:dyDescent="0.25">
      <c r="A4" s="2101"/>
      <c r="B4" s="2102"/>
      <c r="C4" s="2102"/>
      <c r="D4" s="4459"/>
      <c r="E4" s="4459"/>
      <c r="F4" s="4459"/>
      <c r="G4" s="1453"/>
      <c r="H4" s="1454"/>
      <c r="I4" s="1449"/>
      <c r="J4" s="1454"/>
      <c r="K4" s="1449"/>
      <c r="L4" s="1449"/>
      <c r="M4" s="1508" t="s">
        <v>935</v>
      </c>
    </row>
    <row r="5" spans="1:17" ht="23.25" customHeight="1" thickBot="1" x14ac:dyDescent="0.25">
      <c r="A5" s="4515" t="s">
        <v>285</v>
      </c>
      <c r="B5" s="4515"/>
      <c r="C5" s="849" t="s">
        <v>286</v>
      </c>
      <c r="D5" s="852" t="s">
        <v>287</v>
      </c>
      <c r="E5" s="852" t="s">
        <v>288</v>
      </c>
      <c r="F5" s="852"/>
      <c r="G5" s="2758"/>
      <c r="H5" s="852"/>
      <c r="I5" s="1551"/>
      <c r="J5" s="852"/>
      <c r="K5" s="3416"/>
      <c r="L5" s="852"/>
      <c r="M5" s="852"/>
    </row>
    <row r="6" spans="1:17" s="129" customFormat="1" ht="15" customHeight="1" thickBot="1" x14ac:dyDescent="0.25">
      <c r="A6" s="134"/>
      <c r="B6" s="270"/>
      <c r="C6" s="808"/>
      <c r="D6" s="822"/>
      <c r="E6" s="822"/>
      <c r="F6" s="822"/>
      <c r="G6" s="2759"/>
      <c r="H6" s="822"/>
      <c r="I6" s="1552"/>
      <c r="J6" s="822"/>
      <c r="K6" s="3417"/>
      <c r="L6" s="822"/>
      <c r="M6" s="822"/>
    </row>
    <row r="7" spans="1:17" s="129" customFormat="1" ht="15" customHeight="1" thickBot="1" x14ac:dyDescent="0.25">
      <c r="A7" s="271"/>
      <c r="B7" s="272"/>
      <c r="C7" s="272" t="s">
        <v>230</v>
      </c>
      <c r="D7" s="853"/>
      <c r="E7" s="853"/>
      <c r="F7" s="853"/>
      <c r="G7" s="2760"/>
      <c r="H7" s="853"/>
      <c r="I7" s="1553"/>
      <c r="J7" s="853"/>
      <c r="K7" s="3418"/>
      <c r="L7" s="853"/>
      <c r="M7" s="853"/>
    </row>
    <row r="8" spans="1:17" s="141" customFormat="1" ht="15" customHeight="1" thickBot="1" x14ac:dyDescent="0.25">
      <c r="A8" s="134" t="s">
        <v>3</v>
      </c>
      <c r="B8" s="148"/>
      <c r="C8" s="810" t="s">
        <v>413</v>
      </c>
      <c r="D8" s="823">
        <f>SUM(D9:D18)</f>
        <v>0</v>
      </c>
      <c r="E8" s="823">
        <f>SUM(E9:E18)</f>
        <v>0</v>
      </c>
      <c r="F8" s="823">
        <f>SUM(F9:F18)</f>
        <v>11500000</v>
      </c>
      <c r="G8" s="2665">
        <f>SUM(H8-F8)</f>
        <v>0</v>
      </c>
      <c r="H8" s="823">
        <f>SUM(H10:H18)</f>
        <v>11500000</v>
      </c>
      <c r="I8" s="1402">
        <f>SUM(J8-H8)</f>
        <v>9321944</v>
      </c>
      <c r="J8" s="823">
        <f>SUM(J10:J18)</f>
        <v>20821944</v>
      </c>
      <c r="K8" s="3372">
        <f>SUM(L8-J8)</f>
        <v>0</v>
      </c>
      <c r="L8" s="823">
        <f>SUM(L10:L18)</f>
        <v>20821944</v>
      </c>
      <c r="M8" s="823">
        <f>SUM(M9:M18)</f>
        <v>20821944</v>
      </c>
    </row>
    <row r="9" spans="1:17" s="141" customFormat="1" ht="15" customHeight="1" x14ac:dyDescent="0.2">
      <c r="A9" s="149"/>
      <c r="B9" s="143" t="s">
        <v>152</v>
      </c>
      <c r="C9" s="811" t="s">
        <v>48</v>
      </c>
      <c r="D9" s="831">
        <v>0</v>
      </c>
      <c r="E9" s="831">
        <v>0</v>
      </c>
      <c r="F9" s="831">
        <v>0</v>
      </c>
      <c r="G9" s="1432"/>
      <c r="H9" s="831"/>
      <c r="I9" s="1411"/>
      <c r="J9" s="831"/>
      <c r="K9" s="3381"/>
      <c r="L9" s="831"/>
      <c r="M9" s="831"/>
    </row>
    <row r="10" spans="1:17" s="141" customFormat="1" ht="15" customHeight="1" x14ac:dyDescent="0.2">
      <c r="A10" s="142"/>
      <c r="B10" s="143" t="s">
        <v>154</v>
      </c>
      <c r="C10" s="812" t="s">
        <v>50</v>
      </c>
      <c r="D10" s="483"/>
      <c r="E10" s="483"/>
      <c r="F10" s="483"/>
      <c r="G10" s="1415">
        <f>SUM(H10-F10)</f>
        <v>0</v>
      </c>
      <c r="H10" s="483"/>
      <c r="I10" s="1404">
        <f>SUM(J10-H10)</f>
        <v>6992290</v>
      </c>
      <c r="J10" s="483">
        <v>6992290</v>
      </c>
      <c r="K10" s="3351">
        <f>SUM(L10-J10)</f>
        <v>0</v>
      </c>
      <c r="L10" s="483">
        <v>6992290</v>
      </c>
      <c r="M10" s="483">
        <v>6992290</v>
      </c>
    </row>
    <row r="11" spans="1:17" s="141" customFormat="1" ht="15" customHeight="1" x14ac:dyDescent="0.2">
      <c r="A11" s="142"/>
      <c r="B11" s="143" t="s">
        <v>156</v>
      </c>
      <c r="C11" s="812" t="s">
        <v>414</v>
      </c>
      <c r="D11" s="483">
        <v>0</v>
      </c>
      <c r="E11" s="483">
        <v>0</v>
      </c>
      <c r="F11" s="483"/>
      <c r="G11" s="1415">
        <f t="shared" ref="G11:K21" si="0">SUM(H11-F11)</f>
        <v>0</v>
      </c>
      <c r="H11" s="483"/>
      <c r="I11" s="1404">
        <f t="shared" si="0"/>
        <v>0</v>
      </c>
      <c r="J11" s="483"/>
      <c r="K11" s="3351">
        <f t="shared" si="0"/>
        <v>0</v>
      </c>
      <c r="L11" s="483"/>
      <c r="M11" s="483"/>
    </row>
    <row r="12" spans="1:17" s="141" customFormat="1" ht="15" customHeight="1" x14ac:dyDescent="0.2">
      <c r="A12" s="142"/>
      <c r="B12" s="143" t="s">
        <v>158</v>
      </c>
      <c r="C12" s="812" t="s">
        <v>978</v>
      </c>
      <c r="D12" s="483">
        <v>0</v>
      </c>
      <c r="E12" s="483">
        <v>0</v>
      </c>
      <c r="F12" s="483"/>
      <c r="G12" s="1415">
        <f t="shared" si="0"/>
        <v>0</v>
      </c>
      <c r="H12" s="483"/>
      <c r="I12" s="1404">
        <f t="shared" si="0"/>
        <v>0</v>
      </c>
      <c r="J12" s="483"/>
      <c r="K12" s="3351">
        <f t="shared" si="0"/>
        <v>0</v>
      </c>
      <c r="L12" s="483"/>
      <c r="M12" s="483"/>
    </row>
    <row r="13" spans="1:17" s="141" customFormat="1" ht="15" customHeight="1" x14ac:dyDescent="0.2">
      <c r="A13" s="142"/>
      <c r="B13" s="143" t="s">
        <v>375</v>
      </c>
      <c r="C13" s="813" t="s">
        <v>416</v>
      </c>
      <c r="D13" s="483">
        <v>0</v>
      </c>
      <c r="E13" s="483">
        <v>0</v>
      </c>
      <c r="F13" s="483">
        <v>11500000</v>
      </c>
      <c r="G13" s="1415">
        <f t="shared" si="0"/>
        <v>0</v>
      </c>
      <c r="H13" s="483">
        <v>11500000</v>
      </c>
      <c r="I13" s="1404">
        <f t="shared" si="0"/>
        <v>2175857</v>
      </c>
      <c r="J13" s="483">
        <v>13675857</v>
      </c>
      <c r="K13" s="3351">
        <f t="shared" si="0"/>
        <v>0</v>
      </c>
      <c r="L13" s="483">
        <v>13675857</v>
      </c>
      <c r="M13" s="483">
        <v>13675857</v>
      </c>
    </row>
    <row r="14" spans="1:17" s="141" customFormat="1" ht="15" customHeight="1" x14ac:dyDescent="0.2">
      <c r="A14" s="146"/>
      <c r="B14" s="143" t="s">
        <v>162</v>
      </c>
      <c r="C14" s="812" t="s">
        <v>340</v>
      </c>
      <c r="D14" s="483">
        <v>0</v>
      </c>
      <c r="E14" s="483">
        <v>0</v>
      </c>
      <c r="F14" s="483"/>
      <c r="G14" s="1415">
        <f t="shared" si="0"/>
        <v>0</v>
      </c>
      <c r="H14" s="483"/>
      <c r="I14" s="1404">
        <f t="shared" si="0"/>
        <v>0</v>
      </c>
      <c r="J14" s="483"/>
      <c r="K14" s="3351">
        <f t="shared" si="0"/>
        <v>0</v>
      </c>
      <c r="L14" s="483"/>
      <c r="M14" s="483"/>
    </row>
    <row r="15" spans="1:17" s="145" customFormat="1" ht="15" customHeight="1" x14ac:dyDescent="0.2">
      <c r="A15" s="142"/>
      <c r="B15" s="143" t="s">
        <v>164</v>
      </c>
      <c r="C15" s="812" t="s">
        <v>60</v>
      </c>
      <c r="D15" s="483">
        <v>0</v>
      </c>
      <c r="E15" s="483">
        <v>0</v>
      </c>
      <c r="F15" s="483"/>
      <c r="G15" s="1415">
        <f t="shared" si="0"/>
        <v>0</v>
      </c>
      <c r="H15" s="483"/>
      <c r="I15" s="1404">
        <f t="shared" si="0"/>
        <v>0</v>
      </c>
      <c r="J15" s="483"/>
      <c r="K15" s="3351">
        <f t="shared" si="0"/>
        <v>0</v>
      </c>
      <c r="L15" s="483"/>
      <c r="M15" s="483"/>
    </row>
    <row r="16" spans="1:17" s="145" customFormat="1" ht="15" customHeight="1" x14ac:dyDescent="0.2">
      <c r="A16" s="151"/>
      <c r="B16" s="152" t="s">
        <v>166</v>
      </c>
      <c r="C16" s="812" t="s">
        <v>417</v>
      </c>
      <c r="D16" s="831"/>
      <c r="E16" s="831"/>
      <c r="F16" s="831"/>
      <c r="G16" s="1415">
        <f t="shared" si="0"/>
        <v>0</v>
      </c>
      <c r="H16" s="831"/>
      <c r="I16" s="1404">
        <f t="shared" si="0"/>
        <v>4</v>
      </c>
      <c r="J16" s="831">
        <v>4</v>
      </c>
      <c r="K16" s="3351">
        <f t="shared" si="0"/>
        <v>0</v>
      </c>
      <c r="L16" s="831">
        <v>4</v>
      </c>
      <c r="M16" s="831">
        <v>4</v>
      </c>
    </row>
    <row r="17" spans="1:13" s="145" customFormat="1" ht="15" customHeight="1" x14ac:dyDescent="0.2">
      <c r="A17" s="151"/>
      <c r="B17" s="152" t="s">
        <v>168</v>
      </c>
      <c r="C17" s="812" t="s">
        <v>64</v>
      </c>
      <c r="D17" s="831"/>
      <c r="E17" s="831"/>
      <c r="F17" s="831"/>
      <c r="G17" s="1415">
        <f t="shared" si="0"/>
        <v>0</v>
      </c>
      <c r="H17" s="831"/>
      <c r="I17" s="1404">
        <f t="shared" si="0"/>
        <v>0</v>
      </c>
      <c r="J17" s="831"/>
      <c r="K17" s="3351">
        <f t="shared" si="0"/>
        <v>0</v>
      </c>
      <c r="L17" s="831"/>
      <c r="M17" s="831"/>
    </row>
    <row r="18" spans="1:13" s="145" customFormat="1" ht="15" customHeight="1" thickBot="1" x14ac:dyDescent="0.25">
      <c r="A18" s="151"/>
      <c r="B18" s="152" t="s">
        <v>170</v>
      </c>
      <c r="C18" s="813" t="s">
        <v>418</v>
      </c>
      <c r="D18" s="831">
        <v>0</v>
      </c>
      <c r="E18" s="831">
        <v>0</v>
      </c>
      <c r="F18" s="831"/>
      <c r="G18" s="1415">
        <f t="shared" si="0"/>
        <v>0</v>
      </c>
      <c r="H18" s="831"/>
      <c r="I18" s="1404">
        <f t="shared" si="0"/>
        <v>153793</v>
      </c>
      <c r="J18" s="831">
        <v>153793</v>
      </c>
      <c r="K18" s="3351">
        <f t="shared" si="0"/>
        <v>0</v>
      </c>
      <c r="L18" s="831">
        <v>153793</v>
      </c>
      <c r="M18" s="831">
        <v>153793</v>
      </c>
    </row>
    <row r="19" spans="1:13" s="141" customFormat="1" ht="19.5" customHeight="1" thickBot="1" x14ac:dyDescent="0.25">
      <c r="A19" s="134"/>
      <c r="B19" s="148"/>
      <c r="C19" s="810" t="s">
        <v>32</v>
      </c>
      <c r="D19" s="802">
        <f>SUM(D20:D26)</f>
        <v>29874</v>
      </c>
      <c r="E19" s="802">
        <f>SUM(E20:E26)</f>
        <v>33054</v>
      </c>
      <c r="F19" s="802"/>
      <c r="G19" s="1546"/>
      <c r="H19" s="802"/>
      <c r="I19" s="1391"/>
      <c r="J19" s="802">
        <v>56800</v>
      </c>
      <c r="K19" s="3377">
        <f t="shared" si="0"/>
        <v>0</v>
      </c>
      <c r="L19" s="802">
        <v>56800</v>
      </c>
      <c r="M19" s="802">
        <v>56800</v>
      </c>
    </row>
    <row r="20" spans="1:13" s="141" customFormat="1" ht="32.25" customHeight="1" thickBot="1" x14ac:dyDescent="0.25">
      <c r="A20" s="134" t="s">
        <v>17</v>
      </c>
      <c r="B20" s="148"/>
      <c r="C20" s="810" t="s">
        <v>419</v>
      </c>
      <c r="D20" s="802">
        <f>SUM(D21:D27)</f>
        <v>14937</v>
      </c>
      <c r="E20" s="802">
        <f>SUM(E21:E27)</f>
        <v>16527</v>
      </c>
      <c r="F20" s="827">
        <f>SUM(F21+F26+F27)</f>
        <v>0</v>
      </c>
      <c r="G20" s="1554">
        <f>SUM(H20-F20)</f>
        <v>7513536</v>
      </c>
      <c r="H20" s="802">
        <f>SUM(H21+H26+H27)</f>
        <v>7513536</v>
      </c>
      <c r="I20" s="1554">
        <f>SUM(J20-H20)</f>
        <v>0</v>
      </c>
      <c r="J20" s="802">
        <f>SUM(J21+J26+J27)</f>
        <v>7513536</v>
      </c>
      <c r="K20" s="4244">
        <f t="shared" si="0"/>
        <v>0</v>
      </c>
      <c r="L20" s="802">
        <f>SUM(L21+L26+L27)</f>
        <v>7513536</v>
      </c>
      <c r="M20" s="802">
        <f>SUM(M21+M26+M27)</f>
        <v>7513536</v>
      </c>
    </row>
    <row r="21" spans="1:13" s="145" customFormat="1" ht="30" customHeight="1" x14ac:dyDescent="0.2">
      <c r="A21" s="142"/>
      <c r="B21" s="143" t="s">
        <v>5</v>
      </c>
      <c r="C21" s="814" t="s">
        <v>420</v>
      </c>
      <c r="D21" s="828">
        <v>14937</v>
      </c>
      <c r="E21" s="828">
        <v>16527</v>
      </c>
      <c r="F21" s="483">
        <f>SUM(F22:F23)</f>
        <v>0</v>
      </c>
      <c r="G21" s="1404">
        <f t="shared" ref="G21:M21" si="1">SUM(G22:G25)</f>
        <v>0</v>
      </c>
      <c r="H21" s="483">
        <f t="shared" si="1"/>
        <v>7513536</v>
      </c>
      <c r="I21" s="1404">
        <f t="shared" si="1"/>
        <v>0</v>
      </c>
      <c r="J21" s="483">
        <f t="shared" si="1"/>
        <v>7513536</v>
      </c>
      <c r="K21" s="4243">
        <f t="shared" si="0"/>
        <v>0</v>
      </c>
      <c r="L21" s="483">
        <f t="shared" si="1"/>
        <v>7513536</v>
      </c>
      <c r="M21" s="483">
        <f t="shared" si="1"/>
        <v>7513536</v>
      </c>
    </row>
    <row r="22" spans="1:13" s="145" customFormat="1" ht="15" customHeight="1" x14ac:dyDescent="0.2">
      <c r="A22" s="142"/>
      <c r="B22" s="143" t="s">
        <v>421</v>
      </c>
      <c r="C22" s="812" t="s">
        <v>422</v>
      </c>
      <c r="D22" s="824"/>
      <c r="E22" s="824"/>
      <c r="F22" s="483"/>
      <c r="G22" s="1404">
        <f>SUM(G23:G26)</f>
        <v>0</v>
      </c>
      <c r="H22" s="483"/>
      <c r="I22" s="1404">
        <f>SUM(I23:I26)</f>
        <v>0</v>
      </c>
      <c r="J22" s="483"/>
      <c r="K22" s="3351"/>
      <c r="L22" s="483"/>
      <c r="M22" s="483"/>
    </row>
    <row r="23" spans="1:13" s="145" customFormat="1" ht="19.5" customHeight="1" x14ac:dyDescent="0.2">
      <c r="A23" s="142"/>
      <c r="B23" s="143" t="s">
        <v>360</v>
      </c>
      <c r="C23" s="812" t="s">
        <v>1430</v>
      </c>
      <c r="D23" s="824"/>
      <c r="E23" s="824"/>
      <c r="F23" s="483"/>
      <c r="G23" s="1404">
        <f>SUM(G24:G27)</f>
        <v>0</v>
      </c>
      <c r="H23" s="483"/>
      <c r="I23" s="1404">
        <f>SUM(I24:I27)</f>
        <v>0</v>
      </c>
      <c r="J23" s="483"/>
      <c r="K23" s="3351"/>
      <c r="L23" s="483"/>
      <c r="M23" s="483"/>
    </row>
    <row r="24" spans="1:13" s="145" customFormat="1" ht="15" customHeight="1" x14ac:dyDescent="0.2">
      <c r="A24" s="142"/>
      <c r="B24" s="143" t="s">
        <v>357</v>
      </c>
      <c r="C24" s="812" t="s">
        <v>424</v>
      </c>
      <c r="D24" s="483">
        <v>0</v>
      </c>
      <c r="E24" s="483">
        <v>0</v>
      </c>
      <c r="F24" s="483">
        <v>0</v>
      </c>
      <c r="G24" s="1404">
        <f>SUM(G25:G28)</f>
        <v>0</v>
      </c>
      <c r="H24" s="483"/>
      <c r="I24" s="1404">
        <f>SUM(I25:I28)</f>
        <v>0</v>
      </c>
      <c r="J24" s="483"/>
      <c r="K24" s="3351"/>
      <c r="L24" s="483"/>
      <c r="M24" s="483">
        <v>0</v>
      </c>
    </row>
    <row r="25" spans="1:13" s="145" customFormat="1" ht="30.75" customHeight="1" x14ac:dyDescent="0.2">
      <c r="A25" s="142"/>
      <c r="B25" s="143" t="s">
        <v>1728</v>
      </c>
      <c r="C25" s="812" t="s">
        <v>1729</v>
      </c>
      <c r="D25" s="483"/>
      <c r="E25" s="483"/>
      <c r="F25" s="483">
        <v>0</v>
      </c>
      <c r="G25" s="1404">
        <f>SUM(G26:G29)</f>
        <v>0</v>
      </c>
      <c r="H25" s="483">
        <v>7513536</v>
      </c>
      <c r="I25" s="1404">
        <f>SUM(I26:I29)</f>
        <v>0</v>
      </c>
      <c r="J25" s="483">
        <v>7513536</v>
      </c>
      <c r="K25" s="3351">
        <f>SUM(L25-J25)</f>
        <v>0</v>
      </c>
      <c r="L25" s="483">
        <v>7513536</v>
      </c>
      <c r="M25" s="483">
        <v>7513536</v>
      </c>
    </row>
    <row r="26" spans="1:13" s="145" customFormat="1" ht="15" customHeight="1" x14ac:dyDescent="0.2">
      <c r="A26" s="142"/>
      <c r="B26" s="143" t="s">
        <v>7</v>
      </c>
      <c r="C26" s="812" t="s">
        <v>6</v>
      </c>
      <c r="D26" s="483">
        <v>0</v>
      </c>
      <c r="E26" s="483">
        <v>0</v>
      </c>
      <c r="F26" s="483">
        <v>0</v>
      </c>
      <c r="G26" s="1404"/>
      <c r="H26" s="483">
        <v>0</v>
      </c>
      <c r="I26" s="1404"/>
      <c r="J26" s="483">
        <v>0</v>
      </c>
      <c r="K26" s="3351"/>
      <c r="L26" s="483">
        <v>0</v>
      </c>
      <c r="M26" s="483">
        <v>0</v>
      </c>
    </row>
    <row r="27" spans="1:13" s="145" customFormat="1" ht="15" customHeight="1" thickBot="1" x14ac:dyDescent="0.25">
      <c r="A27" s="142"/>
      <c r="B27" s="143" t="s">
        <v>9</v>
      </c>
      <c r="C27" s="812" t="s">
        <v>425</v>
      </c>
      <c r="D27" s="825">
        <v>0</v>
      </c>
      <c r="E27" s="825">
        <v>0</v>
      </c>
      <c r="F27" s="825">
        <v>0</v>
      </c>
      <c r="G27" s="1518"/>
      <c r="H27" s="825">
        <v>0</v>
      </c>
      <c r="I27" s="1406"/>
      <c r="J27" s="825">
        <v>0</v>
      </c>
      <c r="K27" s="3349"/>
      <c r="L27" s="825">
        <v>0</v>
      </c>
      <c r="M27" s="825">
        <v>0</v>
      </c>
    </row>
    <row r="28" spans="1:13" s="145" customFormat="1" ht="15" customHeight="1" thickBot="1" x14ac:dyDescent="0.25">
      <c r="A28" s="134" t="s">
        <v>31</v>
      </c>
      <c r="B28" s="170"/>
      <c r="C28" s="810" t="s">
        <v>426</v>
      </c>
      <c r="D28" s="824"/>
      <c r="E28" s="824"/>
      <c r="F28" s="827"/>
      <c r="G28" s="1381"/>
      <c r="H28" s="827"/>
      <c r="I28" s="1408"/>
      <c r="J28" s="827"/>
      <c r="K28" s="3376"/>
      <c r="L28" s="827"/>
      <c r="M28" s="827"/>
    </row>
    <row r="29" spans="1:13" s="145" customFormat="1" ht="15" customHeight="1" thickBot="1" x14ac:dyDescent="0.25">
      <c r="A29" s="142"/>
      <c r="B29" s="143" t="s">
        <v>19</v>
      </c>
      <c r="C29" s="812" t="s">
        <v>427</v>
      </c>
      <c r="D29" s="824"/>
      <c r="E29" s="824"/>
      <c r="F29" s="824"/>
      <c r="G29" s="1519"/>
      <c r="H29" s="824"/>
      <c r="I29" s="1405"/>
      <c r="J29" s="824"/>
      <c r="K29" s="3374"/>
      <c r="L29" s="824"/>
      <c r="M29" s="824"/>
    </row>
    <row r="30" spans="1:13" s="145" customFormat="1" ht="12.75" hidden="1" customHeight="1" x14ac:dyDescent="0.2">
      <c r="A30" s="134"/>
      <c r="B30" s="170"/>
      <c r="C30" s="815"/>
      <c r="D30" s="827">
        <v>0</v>
      </c>
      <c r="E30" s="827">
        <v>0</v>
      </c>
      <c r="F30" s="827"/>
      <c r="G30" s="1381"/>
      <c r="H30" s="827"/>
      <c r="I30" s="1408"/>
      <c r="J30" s="827"/>
      <c r="K30" s="3376"/>
      <c r="L30" s="827"/>
      <c r="M30" s="827"/>
    </row>
    <row r="31" spans="1:13" s="145" customFormat="1" ht="15" customHeight="1" thickBot="1" x14ac:dyDescent="0.25">
      <c r="A31" s="134" t="s">
        <v>45</v>
      </c>
      <c r="B31" s="148"/>
      <c r="C31" s="815" t="s">
        <v>428</v>
      </c>
      <c r="D31" s="827"/>
      <c r="E31" s="827"/>
      <c r="F31" s="827"/>
      <c r="G31" s="1381">
        <f>SUM(H31-F31)</f>
        <v>0</v>
      </c>
      <c r="H31" s="827">
        <f>SUM(H32:H34)</f>
        <v>0</v>
      </c>
      <c r="I31" s="1408">
        <f>SUM(J31-H31)</f>
        <v>0</v>
      </c>
      <c r="J31" s="827">
        <f>SUM(J32:J34)</f>
        <v>0</v>
      </c>
      <c r="K31" s="3376">
        <f>SUM(L31-J31)</f>
        <v>0</v>
      </c>
      <c r="L31" s="827">
        <f>SUM(L32:L34)</f>
        <v>0</v>
      </c>
      <c r="M31" s="827">
        <f>SUM(M32:M34)</f>
        <v>0</v>
      </c>
    </row>
    <row r="32" spans="1:13" s="145" customFormat="1" ht="15" customHeight="1" thickBot="1" x14ac:dyDescent="0.25">
      <c r="A32" s="142"/>
      <c r="B32" s="253" t="s">
        <v>33</v>
      </c>
      <c r="C32" s="812" t="s">
        <v>359</v>
      </c>
      <c r="D32" s="827"/>
      <c r="E32" s="827"/>
      <c r="F32" s="802"/>
      <c r="G32" s="1546"/>
      <c r="H32" s="802"/>
      <c r="I32" s="1391"/>
      <c r="J32" s="802"/>
      <c r="K32" s="3377"/>
      <c r="L32" s="802"/>
      <c r="M32" s="802"/>
    </row>
    <row r="33" spans="1:18" s="145" customFormat="1" ht="15" customHeight="1" thickBot="1" x14ac:dyDescent="0.25">
      <c r="A33" s="142"/>
      <c r="B33" s="253" t="s">
        <v>39</v>
      </c>
      <c r="C33" s="812" t="s">
        <v>72</v>
      </c>
      <c r="D33" s="827"/>
      <c r="E33" s="827"/>
      <c r="F33" s="803"/>
      <c r="G33" s="2666"/>
      <c r="H33" s="803"/>
      <c r="I33" s="1392"/>
      <c r="J33" s="803"/>
      <c r="K33" s="3378"/>
      <c r="L33" s="803"/>
      <c r="M33" s="803"/>
    </row>
    <row r="34" spans="1:18" s="145" customFormat="1" ht="15" customHeight="1" thickBot="1" x14ac:dyDescent="0.25">
      <c r="A34" s="142"/>
      <c r="B34" s="253" t="s">
        <v>41</v>
      </c>
      <c r="C34" s="812" t="s">
        <v>74</v>
      </c>
      <c r="D34" s="827"/>
      <c r="E34" s="827"/>
      <c r="F34" s="829"/>
      <c r="G34" s="1415">
        <f>SUM(H34-F34)</f>
        <v>0</v>
      </c>
      <c r="H34" s="829"/>
      <c r="I34" s="1404">
        <f>SUM(J34-H34)</f>
        <v>0</v>
      </c>
      <c r="J34" s="829"/>
      <c r="K34" s="3351">
        <f>SUM(L34-J34)</f>
        <v>0</v>
      </c>
      <c r="L34" s="829"/>
      <c r="M34" s="829"/>
    </row>
    <row r="35" spans="1:18" s="145" customFormat="1" ht="30.75" customHeight="1" thickBot="1" x14ac:dyDescent="0.25">
      <c r="A35" s="134">
        <v>5</v>
      </c>
      <c r="B35" s="254"/>
      <c r="C35" s="815" t="s">
        <v>429</v>
      </c>
      <c r="D35" s="827"/>
      <c r="E35" s="827"/>
      <c r="F35" s="827"/>
      <c r="G35" s="1381"/>
      <c r="H35" s="827"/>
      <c r="I35" s="1408"/>
      <c r="J35" s="827"/>
      <c r="K35" s="3376"/>
      <c r="L35" s="827"/>
      <c r="M35" s="827"/>
    </row>
    <row r="36" spans="1:18" s="145" customFormat="1" ht="35.25" customHeight="1" thickBot="1" x14ac:dyDescent="0.25">
      <c r="A36" s="134"/>
      <c r="B36" s="255" t="s">
        <v>47</v>
      </c>
      <c r="C36" s="814" t="s">
        <v>430</v>
      </c>
      <c r="D36" s="827"/>
      <c r="E36" s="827"/>
      <c r="F36" s="827"/>
      <c r="G36" s="1381"/>
      <c r="H36" s="827"/>
      <c r="I36" s="1408"/>
      <c r="J36" s="827"/>
      <c r="K36" s="3376"/>
      <c r="L36" s="827"/>
      <c r="M36" s="827"/>
    </row>
    <row r="37" spans="1:18" s="145" customFormat="1" ht="15" customHeight="1" thickBot="1" x14ac:dyDescent="0.3">
      <c r="A37" s="134" t="s">
        <v>79</v>
      </c>
      <c r="B37" s="256"/>
      <c r="C37" s="810" t="s">
        <v>431</v>
      </c>
      <c r="D37" s="827"/>
      <c r="E37" s="827"/>
      <c r="F37" s="827"/>
      <c r="G37" s="1381">
        <f>SUM(H37-F37)</f>
        <v>0</v>
      </c>
      <c r="H37" s="827">
        <f>SUM(H38)</f>
        <v>0</v>
      </c>
      <c r="I37" s="1408">
        <f>SUM(J37-H37)</f>
        <v>556836</v>
      </c>
      <c r="J37" s="827">
        <f>SUM(J38)</f>
        <v>556836</v>
      </c>
      <c r="K37" s="3376">
        <f>SUM(L37-J37)</f>
        <v>0</v>
      </c>
      <c r="L37" s="827">
        <f>SUM(L38)</f>
        <v>556836</v>
      </c>
      <c r="M37" s="827">
        <f>SUM(M38)</f>
        <v>556836</v>
      </c>
    </row>
    <row r="38" spans="1:18" s="141" customFormat="1" ht="31.5" customHeight="1" thickBot="1" x14ac:dyDescent="0.25">
      <c r="A38" s="134"/>
      <c r="B38" s="257" t="s">
        <v>69</v>
      </c>
      <c r="C38" s="812" t="s">
        <v>432</v>
      </c>
      <c r="D38" s="827"/>
      <c r="E38" s="827"/>
      <c r="F38" s="854"/>
      <c r="G38" s="2660">
        <f t="shared" ref="G38:K46" si="2">SUM(H38-F38)</f>
        <v>0</v>
      </c>
      <c r="H38" s="854"/>
      <c r="I38" s="1427">
        <f t="shared" si="2"/>
        <v>556836</v>
      </c>
      <c r="J38" s="854">
        <v>556836</v>
      </c>
      <c r="K38" s="3365">
        <f t="shared" si="2"/>
        <v>0</v>
      </c>
      <c r="L38" s="854">
        <v>556836</v>
      </c>
      <c r="M38" s="854">
        <v>556836</v>
      </c>
    </row>
    <row r="39" spans="1:18" s="141" customFormat="1" ht="25.5" customHeight="1" thickBot="1" x14ac:dyDescent="0.3">
      <c r="A39" s="134" t="s">
        <v>89</v>
      </c>
      <c r="B39" s="256"/>
      <c r="C39" s="815" t="s">
        <v>433</v>
      </c>
      <c r="D39" s="826">
        <f>+D40+D41</f>
        <v>0</v>
      </c>
      <c r="E39" s="826">
        <f>+E40+E41</f>
        <v>0</v>
      </c>
      <c r="F39" s="826">
        <f>+F40+F41</f>
        <v>0</v>
      </c>
      <c r="G39" s="1381">
        <f t="shared" si="2"/>
        <v>305715616</v>
      </c>
      <c r="H39" s="826">
        <f>H42+H40+H41</f>
        <v>305715616</v>
      </c>
      <c r="I39" s="1408">
        <f t="shared" si="2"/>
        <v>-54222418</v>
      </c>
      <c r="J39" s="826">
        <f>J42+J40+J41</f>
        <v>251493198</v>
      </c>
      <c r="K39" s="3376">
        <f t="shared" si="2"/>
        <v>0</v>
      </c>
      <c r="L39" s="826">
        <f>L42+L40+L41</f>
        <v>251493198</v>
      </c>
      <c r="M39" s="826">
        <f>M42+M40+M41</f>
        <v>253624483</v>
      </c>
    </row>
    <row r="40" spans="1:18" s="141" customFormat="1" ht="15" customHeight="1" x14ac:dyDescent="0.2">
      <c r="A40" s="149"/>
      <c r="B40" s="253" t="s">
        <v>81</v>
      </c>
      <c r="C40" s="812" t="s">
        <v>434</v>
      </c>
      <c r="D40" s="483"/>
      <c r="E40" s="483"/>
      <c r="F40" s="483"/>
      <c r="G40" s="1533">
        <f t="shared" si="2"/>
        <v>4003410</v>
      </c>
      <c r="H40" s="483">
        <v>4003410</v>
      </c>
      <c r="I40" s="1403">
        <f t="shared" si="2"/>
        <v>0</v>
      </c>
      <c r="J40" s="483">
        <v>4003410</v>
      </c>
      <c r="K40" s="3373">
        <f t="shared" si="2"/>
        <v>0</v>
      </c>
      <c r="L40" s="483">
        <v>4003410</v>
      </c>
      <c r="M40" s="483">
        <v>4003410</v>
      </c>
    </row>
    <row r="41" spans="1:18" s="141" customFormat="1" ht="15" customHeight="1" x14ac:dyDescent="0.2">
      <c r="A41" s="142"/>
      <c r="B41" s="253" t="s">
        <v>83</v>
      </c>
      <c r="C41" s="812" t="s">
        <v>435</v>
      </c>
      <c r="D41" s="483"/>
      <c r="E41" s="483"/>
      <c r="F41" s="483"/>
      <c r="G41" s="2664">
        <f t="shared" si="2"/>
        <v>0</v>
      </c>
      <c r="H41" s="483"/>
      <c r="I41" s="1425">
        <f t="shared" si="2"/>
        <v>0</v>
      </c>
      <c r="J41" s="483"/>
      <c r="K41" s="3363">
        <f t="shared" si="2"/>
        <v>0</v>
      </c>
      <c r="L41" s="483"/>
      <c r="M41" s="483"/>
    </row>
    <row r="42" spans="1:18" s="145" customFormat="1" ht="15" customHeight="1" thickBot="1" x14ac:dyDescent="0.25">
      <c r="A42" s="671"/>
      <c r="B42" s="253" t="s">
        <v>85</v>
      </c>
      <c r="C42" s="812" t="s">
        <v>1433</v>
      </c>
      <c r="D42" s="483">
        <v>188571</v>
      </c>
      <c r="E42" s="483">
        <v>269818</v>
      </c>
      <c r="F42" s="483">
        <f>SUM(F43:F44)</f>
        <v>248569025</v>
      </c>
      <c r="G42" s="1415">
        <f t="shared" si="2"/>
        <v>53143181</v>
      </c>
      <c r="H42" s="483">
        <f>SUM(H43:H44)</f>
        <v>301712206</v>
      </c>
      <c r="I42" s="1404">
        <f t="shared" si="2"/>
        <v>-54222418</v>
      </c>
      <c r="J42" s="483">
        <f>SUM(J43:J44)</f>
        <v>247489788</v>
      </c>
      <c r="K42" s="3351">
        <f t="shared" si="2"/>
        <v>0</v>
      </c>
      <c r="L42" s="483">
        <f>SUM(L43:L44)</f>
        <v>247489788</v>
      </c>
      <c r="M42" s="483">
        <f>SUM(M43:M44)</f>
        <v>249621073</v>
      </c>
      <c r="P42" s="205">
        <f>SUM(F61-F46)</f>
        <v>0</v>
      </c>
      <c r="Q42" s="205">
        <f>SUM(H61-H46)</f>
        <v>0</v>
      </c>
      <c r="R42" s="205">
        <f>SUM(M61-M46)</f>
        <v>-4456715</v>
      </c>
    </row>
    <row r="43" spans="1:18" s="145" customFormat="1" ht="15" customHeight="1" thickBot="1" x14ac:dyDescent="0.25">
      <c r="A43" s="671"/>
      <c r="B43" s="260" t="s">
        <v>437</v>
      </c>
      <c r="C43" s="850" t="s">
        <v>891</v>
      </c>
      <c r="D43" s="827"/>
      <c r="E43" s="827"/>
      <c r="F43" s="848"/>
      <c r="G43" s="2761">
        <f t="shared" si="2"/>
        <v>0</v>
      </c>
      <c r="H43" s="848"/>
      <c r="I43" s="1555">
        <f t="shared" si="2"/>
        <v>0</v>
      </c>
      <c r="J43" s="848"/>
      <c r="K43" s="3419">
        <f t="shared" si="2"/>
        <v>0</v>
      </c>
      <c r="L43" s="848"/>
      <c r="M43" s="848">
        <v>0</v>
      </c>
      <c r="O43" s="145" t="s">
        <v>955</v>
      </c>
      <c r="P43" s="205" t="e">
        <f>SUM(F44+#REF!+'4.2.sz. mell. '!F41+'4.3 sz. mell.'!F41+'4.4.sz. mell.'!F42+#REF!)</f>
        <v>#REF!</v>
      </c>
      <c r="Q43" s="205" t="e">
        <f>SUM(H44+#REF!+'4.2.sz. mell. '!H41+'4.3 sz. mell.'!H41+'4.4.sz. mell.'!H42+#REF!)</f>
        <v>#REF!</v>
      </c>
      <c r="R43" s="205" t="e">
        <f>SUM(M44+#REF!+'4.2.sz. mell. '!M41+'4.3 sz. mell.'!M41+'4.4.sz. mell.'!M42+#REF!)</f>
        <v>#REF!</v>
      </c>
    </row>
    <row r="44" spans="1:18" s="145" customFormat="1" ht="15" customHeight="1" thickBot="1" x14ac:dyDescent="0.25">
      <c r="A44" s="672"/>
      <c r="B44" s="263" t="s">
        <v>439</v>
      </c>
      <c r="C44" s="851" t="s">
        <v>532</v>
      </c>
      <c r="D44" s="827"/>
      <c r="E44" s="827"/>
      <c r="F44" s="855">
        <v>248569025</v>
      </c>
      <c r="G44" s="2762">
        <f t="shared" si="2"/>
        <v>53143181</v>
      </c>
      <c r="H44" s="856">
        <v>301712206</v>
      </c>
      <c r="I44" s="1556">
        <f t="shared" si="2"/>
        <v>-54222418</v>
      </c>
      <c r="J44" s="856">
        <v>247489788</v>
      </c>
      <c r="K44" s="3420">
        <f t="shared" si="2"/>
        <v>0</v>
      </c>
      <c r="L44" s="856">
        <v>247489788</v>
      </c>
      <c r="M44" s="856">
        <v>249621073</v>
      </c>
      <c r="O44" s="145" t="s">
        <v>802</v>
      </c>
      <c r="P44" s="205" t="e">
        <f>SUM('4. sz. mell.'!F41-'4.1 sz. mell'!P43)</f>
        <v>#REF!</v>
      </c>
      <c r="Q44" s="205" t="e">
        <f>SUM('4. sz. mell.'!H41-'4.1 sz. mell'!Q43)</f>
        <v>#REF!</v>
      </c>
      <c r="R44" s="205" t="e">
        <f>SUM('4. sz. mell.'!M41-'4.1 sz. mell'!R43)</f>
        <v>#REF!</v>
      </c>
    </row>
    <row r="45" spans="1:18" s="145" customFormat="1" ht="15" customHeight="1" thickBot="1" x14ac:dyDescent="0.3">
      <c r="A45" s="258"/>
      <c r="B45" s="256"/>
      <c r="C45" s="815" t="s">
        <v>452</v>
      </c>
      <c r="D45" s="827"/>
      <c r="E45" s="827"/>
      <c r="F45" s="827"/>
      <c r="G45" s="2762"/>
      <c r="H45" s="827"/>
      <c r="I45" s="1556"/>
      <c r="J45" s="827"/>
      <c r="K45" s="3420"/>
      <c r="L45" s="827"/>
      <c r="M45" s="827"/>
    </row>
    <row r="46" spans="1:18" s="145" customFormat="1" ht="21" customHeight="1" thickBot="1" x14ac:dyDescent="0.25">
      <c r="A46" s="192" t="s">
        <v>99</v>
      </c>
      <c r="B46" s="160"/>
      <c r="C46" s="816" t="s">
        <v>441</v>
      </c>
      <c r="D46" s="545">
        <f>SUM(D8,D20,D30,D34,D38,D39,D42)</f>
        <v>203508</v>
      </c>
      <c r="E46" s="545">
        <f>SUM(E8,E20,E30,E34,E38,E39,E42)</f>
        <v>286345</v>
      </c>
      <c r="F46" s="545">
        <f>SUM(F8,F20,F30,F34,F38,F39,F42,F45)</f>
        <v>260069025</v>
      </c>
      <c r="G46" s="1437">
        <f t="shared" si="2"/>
        <v>64660127</v>
      </c>
      <c r="H46" s="545">
        <f>SUM(H8,H20,H30,H34,H38,H39,H45,H19)</f>
        <v>324729152</v>
      </c>
      <c r="I46" s="1401">
        <f t="shared" si="2"/>
        <v>-44286838</v>
      </c>
      <c r="J46" s="545">
        <f>SUM(J8,J20,J30,J34,J38,J39,J45,J19)</f>
        <v>280442314</v>
      </c>
      <c r="K46" s="3371">
        <f t="shared" si="2"/>
        <v>0</v>
      </c>
      <c r="L46" s="545">
        <f>SUM(L8,L20,L30,L34,L38,L39,L45,L19)</f>
        <v>280442314</v>
      </c>
      <c r="M46" s="545">
        <f>SUM(M8,M20,M30,M34,M38,M39,M45,M19)</f>
        <v>282573599</v>
      </c>
      <c r="P46" s="1305">
        <f>SUM(F46-F61)</f>
        <v>0</v>
      </c>
      <c r="Q46" s="1305">
        <f>SUM(H46-H61)</f>
        <v>0</v>
      </c>
      <c r="R46" s="1305">
        <f>SUM(M46-M61)</f>
        <v>4456715</v>
      </c>
    </row>
    <row r="47" spans="1:18" s="145" customFormat="1" ht="15" customHeight="1" thickBot="1" x14ac:dyDescent="0.25">
      <c r="A47" s="2098"/>
      <c r="B47" s="266"/>
      <c r="C47" s="838"/>
      <c r="D47" s="859"/>
      <c r="E47" s="859"/>
      <c r="F47" s="753"/>
      <c r="G47" s="1563"/>
      <c r="H47" s="1563"/>
      <c r="I47" s="1563"/>
      <c r="J47" s="1563"/>
      <c r="K47" s="1563"/>
      <c r="L47" s="1563"/>
      <c r="M47" s="753"/>
    </row>
    <row r="48" spans="1:18" s="129" customFormat="1" ht="15" customHeight="1" thickBot="1" x14ac:dyDescent="0.25">
      <c r="A48" s="244"/>
      <c r="B48" s="245"/>
      <c r="C48" s="245" t="s">
        <v>231</v>
      </c>
      <c r="D48" s="858"/>
      <c r="E48" s="858"/>
      <c r="F48" s="858"/>
      <c r="G48" s="2763"/>
      <c r="H48" s="858"/>
      <c r="I48" s="1558"/>
      <c r="J48" s="858"/>
      <c r="K48" s="3421"/>
      <c r="L48" s="858"/>
      <c r="M48" s="858"/>
    </row>
    <row r="49" spans="1:13" s="172" customFormat="1" ht="15" customHeight="1" thickBot="1" x14ac:dyDescent="0.25">
      <c r="A49" s="134" t="s">
        <v>3</v>
      </c>
      <c r="B49" s="170"/>
      <c r="C49" s="817" t="s">
        <v>442</v>
      </c>
      <c r="D49" s="826">
        <f>SUM(D50:D54)</f>
        <v>203508</v>
      </c>
      <c r="E49" s="826">
        <f>SUM(E50:E54)</f>
        <v>267705</v>
      </c>
      <c r="F49" s="826">
        <f>SUM(F50:F54)</f>
        <v>253084025</v>
      </c>
      <c r="G49" s="1382">
        <f>SUM(H49-F49)</f>
        <v>56848196</v>
      </c>
      <c r="H49" s="826">
        <f>SUM(H50:H54)</f>
        <v>309932221</v>
      </c>
      <c r="I49" s="1407">
        <f>SUM(J49-H49)</f>
        <v>-42524797</v>
      </c>
      <c r="J49" s="826">
        <f>SUM(J50:J54)</f>
        <v>267407424</v>
      </c>
      <c r="K49" s="3375">
        <f>SUM(L49-J49)</f>
        <v>0</v>
      </c>
      <c r="L49" s="826">
        <f>SUM(L50:L54)</f>
        <v>267407424</v>
      </c>
      <c r="M49" s="826">
        <f>SUM(M50:M54)</f>
        <v>265849573</v>
      </c>
    </row>
    <row r="50" spans="1:13" ht="15" customHeight="1" x14ac:dyDescent="0.2">
      <c r="A50" s="173"/>
      <c r="B50" s="174" t="s">
        <v>152</v>
      </c>
      <c r="C50" s="814" t="s">
        <v>153</v>
      </c>
      <c r="D50" s="831">
        <v>121542</v>
      </c>
      <c r="E50" s="831">
        <v>168043</v>
      </c>
      <c r="F50" s="831">
        <v>170349907</v>
      </c>
      <c r="G50" s="1432">
        <f>SUM(H50-F50)</f>
        <v>49547445</v>
      </c>
      <c r="H50" s="831">
        <v>219897352</v>
      </c>
      <c r="I50" s="1411">
        <f>SUM(J50-H50)</f>
        <v>-23418263</v>
      </c>
      <c r="J50" s="831">
        <v>196479089</v>
      </c>
      <c r="K50" s="3381">
        <f>SUM(L50-J50)</f>
        <v>0</v>
      </c>
      <c r="L50" s="831">
        <v>196479089</v>
      </c>
      <c r="M50" s="831">
        <v>196479089</v>
      </c>
    </row>
    <row r="51" spans="1:13" ht="15" customHeight="1" x14ac:dyDescent="0.2">
      <c r="A51" s="142"/>
      <c r="B51" s="176" t="s">
        <v>154</v>
      </c>
      <c r="C51" s="812" t="s">
        <v>155</v>
      </c>
      <c r="D51" s="483">
        <v>31363</v>
      </c>
      <c r="E51" s="483">
        <v>44243</v>
      </c>
      <c r="F51" s="483">
        <v>36041456</v>
      </c>
      <c r="G51" s="1432">
        <f>SUM(H51-F51)</f>
        <v>9915978</v>
      </c>
      <c r="H51" s="483">
        <v>45957434</v>
      </c>
      <c r="I51" s="1411">
        <f>SUM(J51-H51)</f>
        <v>-8193203</v>
      </c>
      <c r="J51" s="483">
        <v>37764231</v>
      </c>
      <c r="K51" s="3381">
        <f>SUM(L51-J51)</f>
        <v>0</v>
      </c>
      <c r="L51" s="483">
        <v>37764231</v>
      </c>
      <c r="M51" s="483">
        <v>37764231</v>
      </c>
    </row>
    <row r="52" spans="1:13" ht="15" customHeight="1" x14ac:dyDescent="0.2">
      <c r="A52" s="142"/>
      <c r="B52" s="176" t="s">
        <v>156</v>
      </c>
      <c r="C52" s="812" t="s">
        <v>157</v>
      </c>
      <c r="D52" s="483">
        <v>50603</v>
      </c>
      <c r="E52" s="483">
        <v>55419</v>
      </c>
      <c r="F52" s="483">
        <v>46692662</v>
      </c>
      <c r="G52" s="1432">
        <f>SUM(H52-F52)</f>
        <v>-2615227</v>
      </c>
      <c r="H52" s="483">
        <v>44077435</v>
      </c>
      <c r="I52" s="1411">
        <f>SUM(J52-H52)</f>
        <v>-10913331</v>
      </c>
      <c r="J52" s="483">
        <v>33164104</v>
      </c>
      <c r="K52" s="3381">
        <f>SUM(L52-J52)</f>
        <v>0</v>
      </c>
      <c r="L52" s="483">
        <v>33164104</v>
      </c>
      <c r="M52" s="483">
        <v>31606253</v>
      </c>
    </row>
    <row r="53" spans="1:13" ht="15" customHeight="1" x14ac:dyDescent="0.2">
      <c r="A53" s="142"/>
      <c r="B53" s="176" t="s">
        <v>158</v>
      </c>
      <c r="C53" s="812" t="s">
        <v>159</v>
      </c>
      <c r="D53" s="483"/>
      <c r="E53" s="483"/>
      <c r="F53" s="483"/>
      <c r="G53" s="1432">
        <f>SUM(H53-F53)</f>
        <v>0</v>
      </c>
      <c r="H53" s="483"/>
      <c r="I53" s="1411">
        <f>SUM(J53-H53)</f>
        <v>0</v>
      </c>
      <c r="J53" s="483"/>
      <c r="K53" s="3381">
        <f>SUM(L53-J53)</f>
        <v>0</v>
      </c>
      <c r="L53" s="483"/>
      <c r="M53" s="483"/>
    </row>
    <row r="54" spans="1:13" ht="15" customHeight="1" thickBot="1" x14ac:dyDescent="0.25">
      <c r="A54" s="142"/>
      <c r="B54" s="176" t="s">
        <v>160</v>
      </c>
      <c r="C54" s="812" t="s">
        <v>161</v>
      </c>
      <c r="D54" s="483"/>
      <c r="E54" s="483"/>
      <c r="F54" s="483"/>
      <c r="G54" s="1415"/>
      <c r="H54" s="483"/>
      <c r="I54" s="1404"/>
      <c r="J54" s="483"/>
      <c r="K54" s="3351"/>
      <c r="L54" s="483"/>
      <c r="M54" s="483"/>
    </row>
    <row r="55" spans="1:13" ht="15" customHeight="1" thickBot="1" x14ac:dyDescent="0.25">
      <c r="A55" s="134" t="s">
        <v>17</v>
      </c>
      <c r="B55" s="170"/>
      <c r="C55" s="817" t="s">
        <v>443</v>
      </c>
      <c r="D55" s="826">
        <f>SUM(D56:D58)</f>
        <v>0</v>
      </c>
      <c r="E55" s="826">
        <f>SUM(E56:E58)</f>
        <v>17440</v>
      </c>
      <c r="F55" s="826">
        <f>SUM(F56:F58)</f>
        <v>6985000</v>
      </c>
      <c r="G55" s="1382">
        <f>SUM(H55-F55)</f>
        <v>7811931</v>
      </c>
      <c r="H55" s="826">
        <f>SUM(H56:H58)</f>
        <v>14796931</v>
      </c>
      <c r="I55" s="1407">
        <f>SUM(J55-H55)</f>
        <v>-1762041</v>
      </c>
      <c r="J55" s="826">
        <f>SUM(J56:J58)</f>
        <v>13034890</v>
      </c>
      <c r="K55" s="3375">
        <f>SUM(L55-J55)</f>
        <v>0</v>
      </c>
      <c r="L55" s="826">
        <f>SUM(L56:L58)</f>
        <v>13034890</v>
      </c>
      <c r="M55" s="826">
        <f>SUM(M56:M58)</f>
        <v>12267311</v>
      </c>
    </row>
    <row r="56" spans="1:13" s="172" customFormat="1" ht="15" customHeight="1" x14ac:dyDescent="0.2">
      <c r="A56" s="173"/>
      <c r="B56" s="267" t="s">
        <v>5</v>
      </c>
      <c r="C56" s="814" t="s">
        <v>183</v>
      </c>
      <c r="D56" s="831"/>
      <c r="E56" s="831">
        <v>17440</v>
      </c>
      <c r="F56" s="831">
        <v>6985000</v>
      </c>
      <c r="G56" s="1432">
        <f>SUM(H56-F56)</f>
        <v>7811931</v>
      </c>
      <c r="H56" s="831">
        <v>14796931</v>
      </c>
      <c r="I56" s="1411">
        <f>SUM(J56-H56)</f>
        <v>-1762041</v>
      </c>
      <c r="J56" s="831">
        <v>13034890</v>
      </c>
      <c r="K56" s="3381">
        <f>SUM(L56-J56)</f>
        <v>0</v>
      </c>
      <c r="L56" s="831">
        <v>13034890</v>
      </c>
      <c r="M56" s="831">
        <v>12267311</v>
      </c>
    </row>
    <row r="57" spans="1:13" ht="15" customHeight="1" x14ac:dyDescent="0.2">
      <c r="A57" s="142"/>
      <c r="B57" s="253" t="s">
        <v>7</v>
      </c>
      <c r="C57" s="812" t="s">
        <v>185</v>
      </c>
      <c r="D57" s="483">
        <v>0</v>
      </c>
      <c r="E57" s="483">
        <v>0</v>
      </c>
      <c r="F57" s="483"/>
      <c r="G57" s="1415"/>
      <c r="H57" s="483"/>
      <c r="I57" s="1411">
        <f>SUM(J57-H57)</f>
        <v>0</v>
      </c>
      <c r="J57" s="483"/>
      <c r="K57" s="3381">
        <f>SUM(L57-J57)</f>
        <v>0</v>
      </c>
      <c r="L57" s="483"/>
      <c r="M57" s="483"/>
    </row>
    <row r="58" spans="1:13" ht="15.75" customHeight="1" thickBot="1" x14ac:dyDescent="0.25">
      <c r="A58" s="151"/>
      <c r="B58" s="2676" t="s">
        <v>9</v>
      </c>
      <c r="C58" s="870" t="s">
        <v>444</v>
      </c>
      <c r="D58" s="825">
        <v>0</v>
      </c>
      <c r="E58" s="825">
        <v>0</v>
      </c>
      <c r="F58" s="825"/>
      <c r="G58" s="1415"/>
      <c r="H58" s="483"/>
      <c r="I58" s="1411">
        <f>SUM(J58-H58)</f>
        <v>0</v>
      </c>
      <c r="J58" s="483"/>
      <c r="K58" s="3381">
        <f>SUM(L58-J58)</f>
        <v>0</v>
      </c>
      <c r="L58" s="483"/>
      <c r="M58" s="483"/>
    </row>
    <row r="59" spans="1:13" ht="15" hidden="1" customHeight="1" thickBot="1" x14ac:dyDescent="0.25">
      <c r="A59" s="178" t="s">
        <v>31</v>
      </c>
      <c r="B59" s="2748"/>
      <c r="C59" s="2764" t="s">
        <v>445</v>
      </c>
      <c r="D59" s="804">
        <v>0</v>
      </c>
      <c r="E59" s="804">
        <v>1200</v>
      </c>
      <c r="F59" s="804"/>
      <c r="G59" s="1381"/>
      <c r="H59" s="827"/>
      <c r="I59" s="1408"/>
      <c r="J59" s="827"/>
      <c r="K59" s="3376"/>
      <c r="L59" s="827"/>
      <c r="M59" s="827"/>
    </row>
    <row r="60" spans="1:13" s="145" customFormat="1" ht="12.75" hidden="1" customHeight="1" x14ac:dyDescent="0.2">
      <c r="A60" s="134"/>
      <c r="B60" s="170"/>
      <c r="C60" s="817"/>
      <c r="D60" s="827"/>
      <c r="E60" s="827"/>
      <c r="F60" s="827"/>
      <c r="G60" s="1381"/>
      <c r="H60" s="827"/>
      <c r="I60" s="1408"/>
      <c r="J60" s="827"/>
      <c r="K60" s="3376"/>
      <c r="L60" s="827"/>
      <c r="M60" s="827"/>
    </row>
    <row r="61" spans="1:13" ht="15" customHeight="1" thickBot="1" x14ac:dyDescent="0.25">
      <c r="A61" s="192" t="s">
        <v>31</v>
      </c>
      <c r="B61" s="160"/>
      <c r="C61" s="816" t="s">
        <v>446</v>
      </c>
      <c r="D61" s="545">
        <f>+D49+D55+D59</f>
        <v>203508</v>
      </c>
      <c r="E61" s="545">
        <f>+E49+E55+E59</f>
        <v>286345</v>
      </c>
      <c r="F61" s="545">
        <f>+F49+F55+F59+F60</f>
        <v>260069025</v>
      </c>
      <c r="G61" s="1437">
        <f>SUM(H61-F61)</f>
        <v>64660127</v>
      </c>
      <c r="H61" s="545">
        <f>+H49+H55+H59+H60</f>
        <v>324729152</v>
      </c>
      <c r="I61" s="3265">
        <f>+I49+I55+I59+I60</f>
        <v>-44286838</v>
      </c>
      <c r="J61" s="545">
        <f>+J49+J55+J59+J60</f>
        <v>280442314</v>
      </c>
      <c r="K61" s="3371"/>
      <c r="L61" s="545">
        <f>+L49+L55+L59+L60</f>
        <v>280442314</v>
      </c>
      <c r="M61" s="545">
        <f>+M49+M55+M59+M60</f>
        <v>278116884</v>
      </c>
    </row>
    <row r="62" spans="1:13" ht="15" customHeight="1" thickBot="1" x14ac:dyDescent="0.25">
      <c r="A62" s="1303"/>
      <c r="B62" s="886"/>
      <c r="C62" s="886"/>
      <c r="D62" s="886"/>
      <c r="E62" s="886"/>
      <c r="F62" s="2100"/>
      <c r="G62" s="1439"/>
      <c r="H62" s="1439"/>
      <c r="I62" s="1439"/>
      <c r="J62" s="1439"/>
      <c r="K62" s="1439"/>
      <c r="L62" s="1439"/>
      <c r="M62" s="198"/>
    </row>
    <row r="63" spans="1:13" ht="15" customHeight="1" thickBot="1" x14ac:dyDescent="0.25">
      <c r="A63" s="276" t="s">
        <v>324</v>
      </c>
      <c r="B63" s="277"/>
      <c r="C63" s="278"/>
      <c r="D63" s="200">
        <v>31.5</v>
      </c>
      <c r="E63" s="200">
        <v>31.5</v>
      </c>
      <c r="F63" s="835">
        <v>32.5</v>
      </c>
      <c r="G63" s="1559"/>
      <c r="H63" s="835">
        <v>32.5</v>
      </c>
      <c r="I63" s="1407"/>
      <c r="J63" s="835">
        <v>32.5</v>
      </c>
      <c r="K63" s="3382"/>
      <c r="L63" s="835">
        <v>32.5</v>
      </c>
      <c r="M63" s="835">
        <v>32.5</v>
      </c>
    </row>
    <row r="64" spans="1:13" ht="15" customHeight="1" thickBot="1" x14ac:dyDescent="0.25">
      <c r="A64" s="276" t="s">
        <v>325</v>
      </c>
      <c r="B64" s="277"/>
      <c r="C64" s="278"/>
      <c r="D64" s="279"/>
      <c r="E64" s="279"/>
      <c r="F64" s="836"/>
      <c r="G64" s="1560"/>
      <c r="H64" s="279"/>
      <c r="I64" s="1389"/>
      <c r="J64" s="279"/>
      <c r="K64" s="3347"/>
      <c r="L64" s="279"/>
      <c r="M64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7559055118110237" right="0.43307086614173229" top="0.27559055118110237" bottom="0.39370078740157483" header="0.51181102362204722" footer="0.15748031496062992"/>
  <pageSetup paperSize="9" scale="68" firstPageNumber="36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62"/>
  <sheetViews>
    <sheetView view="pageBreakPreview" zoomScale="90" zoomScaleNormal="100" zoomScaleSheetLayoutView="90" zoomScalePageLayoutView="60" workbookViewId="0">
      <selection activeCell="K4" sqref="K4"/>
    </sheetView>
  </sheetViews>
  <sheetFormatPr defaultColWidth="9.33203125" defaultRowHeight="12.75" x14ac:dyDescent="0.2"/>
  <cols>
    <col min="1" max="1" width="6.6640625" style="114" customWidth="1"/>
    <col min="2" max="2" width="9.6640625" style="115" customWidth="1"/>
    <col min="3" max="3" width="66.5" style="115" customWidth="1"/>
    <col min="4" max="5" width="9.33203125" style="115" hidden="1" customWidth="1"/>
    <col min="6" max="6" width="14.5" style="115" customWidth="1"/>
    <col min="7" max="7" width="14" style="1390" hidden="1" customWidth="1"/>
    <col min="8" max="8" width="15.6640625" style="115" hidden="1" customWidth="1"/>
    <col min="9" max="9" width="15.1640625" style="1390" hidden="1" customWidth="1"/>
    <col min="10" max="10" width="15.1640625" style="115" customWidth="1"/>
    <col min="11" max="11" width="15.1640625" style="1390" customWidth="1"/>
    <col min="12" max="12" width="15.6640625" style="115" customWidth="1"/>
    <col min="13" max="13" width="14.83203125" style="115" customWidth="1"/>
    <col min="14" max="14" width="9.33203125" style="115"/>
    <col min="15" max="15" width="14.33203125" style="115" customWidth="1"/>
    <col min="16" max="16" width="14.1640625" style="115" customWidth="1"/>
    <col min="17" max="17" width="12.5" style="115" customWidth="1"/>
    <col min="18" max="16384" width="9.33203125" style="115"/>
  </cols>
  <sheetData>
    <row r="1" spans="1:16" s="95" customFormat="1" ht="21" customHeight="1" thickBot="1" x14ac:dyDescent="0.25">
      <c r="A1" s="280"/>
      <c r="B1" s="281"/>
      <c r="C1" s="4494" t="s">
        <v>453</v>
      </c>
      <c r="D1" s="4494"/>
      <c r="E1" s="4494"/>
      <c r="F1" s="4494"/>
      <c r="G1" s="4494"/>
      <c r="H1" s="4494"/>
      <c r="I1" s="4494"/>
      <c r="J1" s="4494"/>
      <c r="K1" s="4494"/>
      <c r="L1" s="4494"/>
      <c r="M1" s="4494"/>
      <c r="N1" s="441"/>
      <c r="O1" s="441"/>
      <c r="P1" s="441"/>
    </row>
    <row r="2" spans="1:16" s="120" customFormat="1" ht="45.75" customHeight="1" thickBot="1" x14ac:dyDescent="0.25">
      <c r="A2" s="4516" t="s">
        <v>411</v>
      </c>
      <c r="B2" s="4520"/>
      <c r="C2" s="117" t="s">
        <v>412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1951</v>
      </c>
    </row>
    <row r="3" spans="1:16" s="120" customFormat="1" ht="30.75" customHeight="1" thickBot="1" x14ac:dyDescent="0.25">
      <c r="A3" s="4506" t="s">
        <v>283</v>
      </c>
      <c r="B3" s="4507"/>
      <c r="C3" s="204" t="s">
        <v>857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6" s="123" customFormat="1" ht="15.95" customHeight="1" thickBot="1" x14ac:dyDescent="0.3">
      <c r="A4" s="1300"/>
      <c r="B4" s="1301"/>
      <c r="C4" s="1300"/>
      <c r="D4" s="4518"/>
      <c r="E4" s="4518"/>
      <c r="F4" s="4519"/>
      <c r="G4" s="1511"/>
      <c r="H4" s="1549"/>
      <c r="I4" s="1549"/>
      <c r="J4" s="1549"/>
      <c r="K4" s="1549"/>
      <c r="L4" s="1549"/>
      <c r="M4" s="1302" t="s">
        <v>935</v>
      </c>
    </row>
    <row r="5" spans="1:16" ht="25.5" customHeight="1" thickBot="1" x14ac:dyDescent="0.25">
      <c r="A5" s="4431" t="s">
        <v>285</v>
      </c>
      <c r="B5" s="4510"/>
      <c r="C5" s="2117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6" s="129" customFormat="1" ht="15" customHeight="1" thickBot="1" x14ac:dyDescent="0.25">
      <c r="A6" s="124"/>
      <c r="B6" s="843"/>
      <c r="C6" s="124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6" s="129" customFormat="1" ht="15.95" customHeight="1" thickBot="1" x14ac:dyDescent="0.25">
      <c r="A7" s="192"/>
      <c r="B7" s="2103"/>
      <c r="C7" s="19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6" s="141" customFormat="1" ht="15" customHeight="1" thickBot="1" x14ac:dyDescent="0.25">
      <c r="A8" s="134" t="s">
        <v>3</v>
      </c>
      <c r="B8" s="1291"/>
      <c r="C8" s="2118" t="s">
        <v>413</v>
      </c>
      <c r="D8" s="64">
        <f>SUM(D9:D18)</f>
        <v>0</v>
      </c>
      <c r="E8" s="64">
        <f>SUM(E9:E18)</f>
        <v>0</v>
      </c>
      <c r="F8" s="64">
        <f>SUM(F9:F18)</f>
        <v>0</v>
      </c>
      <c r="G8" s="2665"/>
      <c r="H8" s="64">
        <f>SUM(H9:H18)</f>
        <v>0</v>
      </c>
      <c r="I8" s="1530"/>
      <c r="J8" s="64"/>
      <c r="K8" s="1530"/>
      <c r="L8" s="64"/>
      <c r="M8" s="64">
        <f>SUM(M9:M18)</f>
        <v>0</v>
      </c>
    </row>
    <row r="9" spans="1:16" s="141" customFormat="1" ht="15" customHeight="1" x14ac:dyDescent="0.2">
      <c r="A9" s="149"/>
      <c r="B9" s="2104" t="s">
        <v>152</v>
      </c>
      <c r="C9" s="2119" t="s">
        <v>48</v>
      </c>
      <c r="D9" s="150"/>
      <c r="E9" s="150"/>
      <c r="F9" s="150"/>
      <c r="G9" s="1533"/>
      <c r="H9" s="150"/>
      <c r="I9" s="1375"/>
      <c r="J9" s="150"/>
      <c r="K9" s="1375"/>
      <c r="L9" s="150"/>
      <c r="M9" s="150"/>
    </row>
    <row r="10" spans="1:16" s="141" customFormat="1" ht="15" customHeight="1" x14ac:dyDescent="0.2">
      <c r="A10" s="142"/>
      <c r="B10" s="2104" t="s">
        <v>154</v>
      </c>
      <c r="C10" s="2120" t="s">
        <v>50</v>
      </c>
      <c r="D10" s="144"/>
      <c r="E10" s="144"/>
      <c r="F10" s="144"/>
      <c r="G10" s="1415"/>
      <c r="H10" s="144"/>
      <c r="I10" s="1376"/>
      <c r="J10" s="144"/>
      <c r="K10" s="1376"/>
      <c r="L10" s="144"/>
      <c r="M10" s="144"/>
    </row>
    <row r="11" spans="1:16" s="141" customFormat="1" ht="15" customHeight="1" x14ac:dyDescent="0.2">
      <c r="A11" s="142"/>
      <c r="B11" s="2104" t="s">
        <v>156</v>
      </c>
      <c r="C11" s="2120" t="s">
        <v>414</v>
      </c>
      <c r="D11" s="144"/>
      <c r="E11" s="144"/>
      <c r="F11" s="144"/>
      <c r="G11" s="1415"/>
      <c r="H11" s="144"/>
      <c r="I11" s="1376"/>
      <c r="J11" s="144"/>
      <c r="K11" s="1376"/>
      <c r="L11" s="144"/>
      <c r="M11" s="144"/>
    </row>
    <row r="12" spans="1:16" s="141" customFormat="1" ht="15" customHeight="1" x14ac:dyDescent="0.2">
      <c r="A12" s="142"/>
      <c r="B12" s="2104" t="s">
        <v>158</v>
      </c>
      <c r="C12" s="2120" t="s">
        <v>978</v>
      </c>
      <c r="D12" s="144"/>
      <c r="E12" s="144"/>
      <c r="F12" s="144"/>
      <c r="G12" s="1415"/>
      <c r="H12" s="144"/>
      <c r="I12" s="1376"/>
      <c r="J12" s="144"/>
      <c r="K12" s="1376"/>
      <c r="L12" s="144"/>
      <c r="M12" s="144"/>
    </row>
    <row r="13" spans="1:16" s="141" customFormat="1" ht="15" customHeight="1" x14ac:dyDescent="0.2">
      <c r="A13" s="142"/>
      <c r="B13" s="2104" t="s">
        <v>375</v>
      </c>
      <c r="C13" s="2121" t="s">
        <v>416</v>
      </c>
      <c r="D13" s="144"/>
      <c r="E13" s="144"/>
      <c r="F13" s="144"/>
      <c r="G13" s="1415"/>
      <c r="H13" s="144"/>
      <c r="I13" s="1376"/>
      <c r="J13" s="144"/>
      <c r="K13" s="1376"/>
      <c r="L13" s="144"/>
      <c r="M13" s="144"/>
    </row>
    <row r="14" spans="1:16" s="141" customFormat="1" ht="15" customHeight="1" x14ac:dyDescent="0.2">
      <c r="A14" s="146"/>
      <c r="B14" s="2104" t="s">
        <v>162</v>
      </c>
      <c r="C14" s="2120" t="s">
        <v>340</v>
      </c>
      <c r="D14" s="147"/>
      <c r="E14" s="147"/>
      <c r="F14" s="147"/>
      <c r="G14" s="1519"/>
      <c r="H14" s="147"/>
      <c r="I14" s="1377"/>
      <c r="J14" s="147"/>
      <c r="K14" s="1377"/>
      <c r="L14" s="147"/>
      <c r="M14" s="147"/>
    </row>
    <row r="15" spans="1:16" s="145" customFormat="1" ht="15" customHeight="1" x14ac:dyDescent="0.2">
      <c r="A15" s="142"/>
      <c r="B15" s="2104" t="s">
        <v>164</v>
      </c>
      <c r="C15" s="2120" t="s">
        <v>60</v>
      </c>
      <c r="D15" s="144"/>
      <c r="E15" s="144"/>
      <c r="F15" s="144"/>
      <c r="G15" s="1415"/>
      <c r="H15" s="144"/>
      <c r="I15" s="1376"/>
      <c r="J15" s="144"/>
      <c r="K15" s="1376"/>
      <c r="L15" s="144"/>
      <c r="M15" s="144"/>
    </row>
    <row r="16" spans="1:16" s="145" customFormat="1" ht="15" customHeight="1" x14ac:dyDescent="0.2">
      <c r="A16" s="151"/>
      <c r="B16" s="2105" t="s">
        <v>166</v>
      </c>
      <c r="C16" s="2120" t="s">
        <v>417</v>
      </c>
      <c r="D16" s="153"/>
      <c r="E16" s="153"/>
      <c r="F16" s="153"/>
      <c r="G16" s="1518"/>
      <c r="H16" s="153"/>
      <c r="I16" s="1378"/>
      <c r="J16" s="153"/>
      <c r="K16" s="1378"/>
      <c r="L16" s="153"/>
      <c r="M16" s="153"/>
    </row>
    <row r="17" spans="1:13" s="145" customFormat="1" ht="15" customHeight="1" x14ac:dyDescent="0.2">
      <c r="A17" s="151"/>
      <c r="B17" s="2105" t="s">
        <v>168</v>
      </c>
      <c r="C17" s="2120" t="s">
        <v>64</v>
      </c>
      <c r="D17" s="153"/>
      <c r="E17" s="153"/>
      <c r="F17" s="153"/>
      <c r="G17" s="1518"/>
      <c r="H17" s="153"/>
      <c r="I17" s="1378"/>
      <c r="J17" s="153"/>
      <c r="K17" s="1378"/>
      <c r="L17" s="153"/>
      <c r="M17" s="153"/>
    </row>
    <row r="18" spans="1:13" s="145" customFormat="1" ht="15" customHeight="1" thickBot="1" x14ac:dyDescent="0.25">
      <c r="A18" s="151"/>
      <c r="B18" s="2105" t="s">
        <v>170</v>
      </c>
      <c r="C18" s="2121" t="s">
        <v>418</v>
      </c>
      <c r="D18" s="153"/>
      <c r="E18" s="153"/>
      <c r="F18" s="153"/>
      <c r="G18" s="1518"/>
      <c r="H18" s="153"/>
      <c r="I18" s="1378"/>
      <c r="J18" s="153"/>
      <c r="K18" s="1378"/>
      <c r="L18" s="153"/>
      <c r="M18" s="153"/>
    </row>
    <row r="19" spans="1:13" s="141" customFormat="1" ht="36.75" customHeight="1" thickBot="1" x14ac:dyDescent="0.25">
      <c r="A19" s="134" t="s">
        <v>17</v>
      </c>
      <c r="B19" s="1291"/>
      <c r="C19" s="2118" t="s">
        <v>419</v>
      </c>
      <c r="D19" s="137">
        <f>SUM(D20:D25)</f>
        <v>10195</v>
      </c>
      <c r="E19" s="137">
        <f>SUM(E20:E25)</f>
        <v>11557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</row>
    <row r="20" spans="1:13" s="145" customFormat="1" ht="27.75" customHeight="1" x14ac:dyDescent="0.2">
      <c r="A20" s="142"/>
      <c r="B20" s="2104" t="s">
        <v>5</v>
      </c>
      <c r="C20" s="2122" t="s">
        <v>420</v>
      </c>
      <c r="D20" s="144">
        <v>10195</v>
      </c>
      <c r="E20" s="144">
        <v>11557</v>
      </c>
      <c r="F20" s="144"/>
      <c r="G20" s="1415"/>
      <c r="H20" s="144"/>
      <c r="I20" s="1376"/>
      <c r="J20" s="144"/>
      <c r="K20" s="1376"/>
      <c r="L20" s="144"/>
      <c r="M20" s="144"/>
    </row>
    <row r="21" spans="1:13" s="145" customFormat="1" ht="15" customHeight="1" x14ac:dyDescent="0.2">
      <c r="A21" s="142"/>
      <c r="B21" s="2104" t="s">
        <v>421</v>
      </c>
      <c r="C21" s="2120" t="s">
        <v>422</v>
      </c>
      <c r="D21" s="144"/>
      <c r="E21" s="144"/>
      <c r="F21" s="144"/>
      <c r="G21" s="1415"/>
      <c r="H21" s="144"/>
      <c r="I21" s="1376"/>
      <c r="J21" s="144"/>
      <c r="K21" s="1376"/>
      <c r="L21" s="144"/>
      <c r="M21" s="144"/>
    </row>
    <row r="22" spans="1:13" s="145" customFormat="1" ht="15" customHeight="1" x14ac:dyDescent="0.2">
      <c r="A22" s="142"/>
      <c r="B22" s="2104" t="s">
        <v>360</v>
      </c>
      <c r="C22" s="2120" t="s">
        <v>1430</v>
      </c>
      <c r="D22" s="144"/>
      <c r="E22" s="144"/>
      <c r="F22" s="144"/>
      <c r="G22" s="1415"/>
      <c r="H22" s="144"/>
      <c r="I22" s="1376"/>
      <c r="J22" s="144"/>
      <c r="K22" s="1376"/>
      <c r="L22" s="144"/>
      <c r="M22" s="144"/>
    </row>
    <row r="23" spans="1:13" s="145" customFormat="1" ht="15" customHeight="1" x14ac:dyDescent="0.2">
      <c r="A23" s="142"/>
      <c r="B23" s="2104" t="s">
        <v>357</v>
      </c>
      <c r="C23" s="2120" t="s">
        <v>424</v>
      </c>
      <c r="D23" s="144"/>
      <c r="E23" s="144"/>
      <c r="F23" s="144"/>
      <c r="G23" s="1415"/>
      <c r="H23" s="144"/>
      <c r="I23" s="1376"/>
      <c r="J23" s="144"/>
      <c r="K23" s="1376"/>
      <c r="L23" s="144"/>
      <c r="M23" s="144"/>
    </row>
    <row r="24" spans="1:13" s="145" customFormat="1" ht="15" customHeight="1" x14ac:dyDescent="0.2">
      <c r="A24" s="142"/>
      <c r="B24" s="2104" t="s">
        <v>7</v>
      </c>
      <c r="C24" s="2120" t="s">
        <v>6</v>
      </c>
      <c r="D24" s="144"/>
      <c r="E24" s="144"/>
      <c r="F24" s="144"/>
      <c r="G24" s="1415"/>
      <c r="H24" s="144"/>
      <c r="I24" s="1376"/>
      <c r="J24" s="144"/>
      <c r="K24" s="1376"/>
      <c r="L24" s="144"/>
      <c r="M24" s="144"/>
    </row>
    <row r="25" spans="1:13" s="145" customFormat="1" ht="15" customHeight="1" thickBot="1" x14ac:dyDescent="0.25">
      <c r="A25" s="142"/>
      <c r="B25" s="2104" t="s">
        <v>9</v>
      </c>
      <c r="C25" s="2120" t="s">
        <v>425</v>
      </c>
      <c r="D25" s="144"/>
      <c r="E25" s="144"/>
      <c r="F25" s="144"/>
      <c r="G25" s="1415"/>
      <c r="H25" s="144"/>
      <c r="I25" s="1376"/>
      <c r="J25" s="144"/>
      <c r="K25" s="1376"/>
      <c r="L25" s="144"/>
      <c r="M25" s="144"/>
    </row>
    <row r="26" spans="1:13" s="145" customFormat="1" ht="15" customHeight="1" thickBot="1" x14ac:dyDescent="0.25">
      <c r="A26" s="134" t="s">
        <v>31</v>
      </c>
      <c r="B26" s="815"/>
      <c r="C26" s="2118" t="s">
        <v>426</v>
      </c>
      <c r="D26" s="147"/>
      <c r="E26" s="147"/>
      <c r="F26" s="155"/>
      <c r="G26" s="1381"/>
      <c r="H26" s="155"/>
      <c r="I26" s="1380"/>
      <c r="J26" s="155"/>
      <c r="K26" s="1380"/>
      <c r="L26" s="155"/>
      <c r="M26" s="155"/>
    </row>
    <row r="27" spans="1:13" s="145" customFormat="1" ht="15" customHeight="1" thickBot="1" x14ac:dyDescent="0.25">
      <c r="A27" s="142"/>
      <c r="B27" s="2104" t="s">
        <v>19</v>
      </c>
      <c r="C27" s="2120" t="s">
        <v>427</v>
      </c>
      <c r="D27" s="147"/>
      <c r="E27" s="147"/>
      <c r="F27" s="147"/>
      <c r="G27" s="1519"/>
      <c r="H27" s="147"/>
      <c r="I27" s="1377"/>
      <c r="J27" s="147"/>
      <c r="K27" s="1377"/>
      <c r="L27" s="147"/>
      <c r="M27" s="147"/>
    </row>
    <row r="28" spans="1:13" s="145" customFormat="1" ht="15" customHeight="1" thickBot="1" x14ac:dyDescent="0.25">
      <c r="A28" s="134" t="s">
        <v>45</v>
      </c>
      <c r="B28" s="1291"/>
      <c r="C28" s="2123" t="s">
        <v>428</v>
      </c>
      <c r="D28" s="155"/>
      <c r="E28" s="155"/>
      <c r="F28" s="155"/>
      <c r="G28" s="1381"/>
      <c r="H28" s="155"/>
      <c r="I28" s="1380"/>
      <c r="J28" s="155"/>
      <c r="K28" s="1380"/>
      <c r="L28" s="155"/>
      <c r="M28" s="155"/>
    </row>
    <row r="29" spans="1:13" s="145" customFormat="1" ht="15" customHeight="1" x14ac:dyDescent="0.2">
      <c r="A29" s="142"/>
      <c r="B29" s="2106" t="s">
        <v>33</v>
      </c>
      <c r="C29" s="2120" t="s">
        <v>359</v>
      </c>
      <c r="D29" s="283"/>
      <c r="E29" s="669"/>
      <c r="F29" s="273"/>
      <c r="G29" s="2753"/>
      <c r="H29" s="283"/>
      <c r="I29" s="1394"/>
      <c r="J29" s="283"/>
      <c r="K29" s="1394"/>
      <c r="L29" s="283"/>
      <c r="M29" s="283"/>
    </row>
    <row r="30" spans="1:13" s="145" customFormat="1" ht="15" customHeight="1" x14ac:dyDescent="0.2">
      <c r="A30" s="142"/>
      <c r="B30" s="2106" t="s">
        <v>39</v>
      </c>
      <c r="C30" s="2120" t="s">
        <v>72</v>
      </c>
      <c r="D30" s="283"/>
      <c r="E30" s="669"/>
      <c r="F30" s="206"/>
      <c r="G30" s="2666"/>
      <c r="H30" s="206"/>
      <c r="I30" s="1548"/>
      <c r="J30" s="206"/>
      <c r="K30" s="1548"/>
      <c r="L30" s="206"/>
      <c r="M30" s="206"/>
    </row>
    <row r="31" spans="1:13" s="145" customFormat="1" ht="15" customHeight="1" thickBot="1" x14ac:dyDescent="0.25">
      <c r="A31" s="142"/>
      <c r="B31" s="2106" t="s">
        <v>41</v>
      </c>
      <c r="C31" s="2120" t="s">
        <v>74</v>
      </c>
      <c r="D31" s="283"/>
      <c r="E31" s="669"/>
      <c r="F31" s="297"/>
      <c r="G31" s="2753"/>
      <c r="H31" s="283"/>
      <c r="I31" s="1394"/>
      <c r="J31" s="283"/>
      <c r="K31" s="1394"/>
      <c r="L31" s="283"/>
      <c r="M31" s="283"/>
    </row>
    <row r="32" spans="1:13" s="145" customFormat="1" ht="30.75" customHeight="1" thickBot="1" x14ac:dyDescent="0.25">
      <c r="A32" s="134">
        <v>5</v>
      </c>
      <c r="B32" s="2107"/>
      <c r="C32" s="2123" t="s">
        <v>429</v>
      </c>
      <c r="D32" s="144"/>
      <c r="E32" s="144"/>
      <c r="F32" s="155"/>
      <c r="G32" s="1381"/>
      <c r="H32" s="155"/>
      <c r="I32" s="1380"/>
      <c r="J32" s="155"/>
      <c r="K32" s="1380"/>
      <c r="L32" s="155"/>
      <c r="M32" s="155"/>
    </row>
    <row r="33" spans="1:17" s="141" customFormat="1" ht="30" customHeight="1" thickBot="1" x14ac:dyDescent="0.25">
      <c r="A33" s="134"/>
      <c r="B33" s="2108" t="s">
        <v>47</v>
      </c>
      <c r="C33" s="2122" t="s">
        <v>430</v>
      </c>
      <c r="D33" s="144"/>
      <c r="E33" s="144"/>
      <c r="F33" s="153"/>
      <c r="G33" s="1518"/>
      <c r="H33" s="144"/>
      <c r="I33" s="1376"/>
      <c r="J33" s="144"/>
      <c r="K33" s="1376"/>
      <c r="L33" s="144"/>
      <c r="M33" s="144"/>
    </row>
    <row r="34" spans="1:17" s="141" customFormat="1" ht="17.25" customHeight="1" thickBot="1" x14ac:dyDescent="0.3">
      <c r="A34" s="134" t="s">
        <v>79</v>
      </c>
      <c r="B34" s="2109"/>
      <c r="C34" s="2118" t="s">
        <v>431</v>
      </c>
      <c r="D34" s="284"/>
      <c r="E34" s="463"/>
      <c r="F34" s="252"/>
      <c r="G34" s="1509"/>
      <c r="H34" s="252"/>
      <c r="I34" s="1436"/>
      <c r="J34" s="252"/>
      <c r="K34" s="1436"/>
      <c r="L34" s="252"/>
      <c r="M34" s="252"/>
    </row>
    <row r="35" spans="1:17" s="141" customFormat="1" ht="30" customHeight="1" thickBot="1" x14ac:dyDescent="0.25">
      <c r="A35" s="134"/>
      <c r="B35" s="2110" t="s">
        <v>69</v>
      </c>
      <c r="C35" s="2120" t="s">
        <v>432</v>
      </c>
      <c r="D35" s="284"/>
      <c r="E35" s="284"/>
      <c r="F35" s="284"/>
      <c r="G35" s="1519"/>
      <c r="H35" s="284"/>
      <c r="I35" s="1519"/>
      <c r="J35" s="284"/>
      <c r="K35" s="1519"/>
      <c r="L35" s="284"/>
      <c r="M35" s="284"/>
    </row>
    <row r="36" spans="1:17" s="141" customFormat="1" ht="15" customHeight="1" thickBot="1" x14ac:dyDescent="0.3">
      <c r="A36" s="134" t="s">
        <v>89</v>
      </c>
      <c r="B36" s="2109"/>
      <c r="C36" s="2123" t="s">
        <v>433</v>
      </c>
      <c r="D36" s="285">
        <f>+D37+D38</f>
        <v>0</v>
      </c>
      <c r="E36" s="285">
        <f>+E37+E38</f>
        <v>2614</v>
      </c>
      <c r="F36" s="285">
        <f>+F37+F38+F39</f>
        <v>161169740</v>
      </c>
      <c r="G36" s="1382">
        <f>SUM(H36-F36)</f>
        <v>1905529</v>
      </c>
      <c r="H36" s="285">
        <f>+H37+H38+H39</f>
        <v>163075269</v>
      </c>
      <c r="I36" s="1382">
        <f>SUM(J36-H36)</f>
        <v>-4740044</v>
      </c>
      <c r="J36" s="285">
        <f>+J37+J38+J39</f>
        <v>158335225</v>
      </c>
      <c r="K36" s="1382">
        <f>SUM(L36-J36)</f>
        <v>0</v>
      </c>
      <c r="L36" s="285">
        <f>+L37+L38+L39</f>
        <v>158335225</v>
      </c>
      <c r="M36" s="285">
        <f>+M37+M38+M39</f>
        <v>157252039</v>
      </c>
    </row>
    <row r="37" spans="1:17" s="141" customFormat="1" ht="15" customHeight="1" x14ac:dyDescent="0.2">
      <c r="A37" s="149"/>
      <c r="B37" s="2106" t="s">
        <v>81</v>
      </c>
      <c r="C37" s="2120" t="s">
        <v>434</v>
      </c>
      <c r="D37" s="144"/>
      <c r="E37" s="144">
        <v>2614</v>
      </c>
      <c r="F37" s="144"/>
      <c r="G37" s="1415"/>
      <c r="H37" s="144"/>
      <c r="I37" s="1376"/>
      <c r="J37" s="144"/>
      <c r="K37" s="1376"/>
      <c r="L37" s="144"/>
      <c r="M37" s="144"/>
    </row>
    <row r="38" spans="1:17" s="141" customFormat="1" ht="15" customHeight="1" x14ac:dyDescent="0.2">
      <c r="A38" s="671"/>
      <c r="B38" s="2106" t="s">
        <v>83</v>
      </c>
      <c r="C38" s="2120" t="s">
        <v>435</v>
      </c>
      <c r="D38" s="144"/>
      <c r="E38" s="144"/>
      <c r="F38" s="144"/>
      <c r="G38" s="1415"/>
      <c r="H38" s="144"/>
      <c r="I38" s="1376"/>
      <c r="J38" s="144"/>
      <c r="K38" s="1376"/>
      <c r="L38" s="144"/>
      <c r="M38" s="144"/>
    </row>
    <row r="39" spans="1:17" s="145" customFormat="1" ht="15" x14ac:dyDescent="0.2">
      <c r="A39" s="671"/>
      <c r="B39" s="2111" t="s">
        <v>85</v>
      </c>
      <c r="C39" s="2120" t="s">
        <v>1433</v>
      </c>
      <c r="D39" s="144">
        <v>153915</v>
      </c>
      <c r="E39" s="144">
        <v>133461</v>
      </c>
      <c r="F39" s="144">
        <f>SUM(F40:F41)</f>
        <v>161169740</v>
      </c>
      <c r="G39" s="1415">
        <f>SUM(H39-F39)</f>
        <v>1905529</v>
      </c>
      <c r="H39" s="144">
        <f>SUM(H40:H41)</f>
        <v>163075269</v>
      </c>
      <c r="I39" s="1376">
        <f>SUM(J39-H39)</f>
        <v>-4740044</v>
      </c>
      <c r="J39" s="144">
        <f>SUM(J40:J41)</f>
        <v>158335225</v>
      </c>
      <c r="K39" s="1376">
        <f>SUM(L39-J39)</f>
        <v>0</v>
      </c>
      <c r="L39" s="144">
        <f>SUM(L40:L41)</f>
        <v>158335225</v>
      </c>
      <c r="M39" s="144">
        <f>SUM(M40:M41)</f>
        <v>157252039</v>
      </c>
    </row>
    <row r="40" spans="1:17" s="145" customFormat="1" ht="15" x14ac:dyDescent="0.2">
      <c r="A40" s="671"/>
      <c r="B40" s="2106" t="s">
        <v>437</v>
      </c>
      <c r="C40" s="2124" t="s">
        <v>891</v>
      </c>
      <c r="D40" s="147"/>
      <c r="E40" s="498"/>
      <c r="F40" s="144"/>
      <c r="G40" s="1415"/>
      <c r="H40" s="144"/>
      <c r="I40" s="1376"/>
      <c r="J40" s="144"/>
      <c r="K40" s="1376"/>
      <c r="L40" s="144"/>
      <c r="M40" s="144">
        <v>0</v>
      </c>
    </row>
    <row r="41" spans="1:17" s="145" customFormat="1" ht="15.75" thickBot="1" x14ac:dyDescent="0.25">
      <c r="A41" s="672"/>
      <c r="B41" s="2112" t="s">
        <v>799</v>
      </c>
      <c r="C41" s="2125" t="s">
        <v>532</v>
      </c>
      <c r="D41" s="147"/>
      <c r="E41" s="498"/>
      <c r="F41" s="294">
        <v>161169740</v>
      </c>
      <c r="G41" s="1415">
        <f>SUM(H41-F41)</f>
        <v>1905529</v>
      </c>
      <c r="H41" s="294">
        <v>163075269</v>
      </c>
      <c r="I41" s="1376">
        <f>SUM(J41-H41)</f>
        <v>-4740044</v>
      </c>
      <c r="J41" s="294">
        <v>158335225</v>
      </c>
      <c r="K41" s="1376">
        <f>SUM(L41-J41)</f>
        <v>0</v>
      </c>
      <c r="L41" s="294">
        <v>158335225</v>
      </c>
      <c r="M41" s="294">
        <v>157252039</v>
      </c>
    </row>
    <row r="42" spans="1:17" s="145" customFormat="1" ht="15.75" thickBot="1" x14ac:dyDescent="0.3">
      <c r="A42" s="258"/>
      <c r="B42" s="2109"/>
      <c r="C42" s="2123" t="s">
        <v>452</v>
      </c>
      <c r="D42" s="155"/>
      <c r="E42" s="155"/>
      <c r="F42" s="155"/>
      <c r="G42" s="1381"/>
      <c r="H42" s="155"/>
      <c r="I42" s="1380"/>
      <c r="J42" s="155"/>
      <c r="K42" s="1380"/>
      <c r="L42" s="155"/>
      <c r="M42" s="155"/>
    </row>
    <row r="43" spans="1:17" s="145" customFormat="1" ht="15" customHeight="1" thickBot="1" x14ac:dyDescent="0.25">
      <c r="A43" s="192" t="s">
        <v>99</v>
      </c>
      <c r="B43" s="2103"/>
      <c r="C43" s="2126" t="s">
        <v>441</v>
      </c>
      <c r="D43" s="162">
        <f>SUM(D8,D19,D28,D32,D33,D36,D39)</f>
        <v>164110</v>
      </c>
      <c r="E43" s="162">
        <f>SUM(E8,E19,E28,E32,E33,E36,E39)</f>
        <v>147632</v>
      </c>
      <c r="F43" s="162">
        <f>SUM(F8,F19,F28,F32,F33,F36)</f>
        <v>161169740</v>
      </c>
      <c r="G43" s="1437">
        <f>SUM(H43-F43)</f>
        <v>1905529</v>
      </c>
      <c r="H43" s="162">
        <f>SUM(H8,H19,H28,H32,H33,H36)</f>
        <v>163075269</v>
      </c>
      <c r="I43" s="1373">
        <f>SUM(J43-H43)</f>
        <v>-4740044</v>
      </c>
      <c r="J43" s="162">
        <f>SUM(J8,J19,J28,J32,J33,J36)</f>
        <v>158335225</v>
      </c>
      <c r="K43" s="1373">
        <f>SUM(L43-J43)</f>
        <v>0</v>
      </c>
      <c r="L43" s="162">
        <f>SUM(L8,L19,L28,L32,L33,L36)</f>
        <v>158335225</v>
      </c>
      <c r="M43" s="162">
        <f>SUM(M8,M19,M28,M32,M33,M36)</f>
        <v>157252039</v>
      </c>
      <c r="O43" s="205">
        <f>SUM(F59-F43)</f>
        <v>0</v>
      </c>
      <c r="P43" s="205">
        <f>SUM(H59-H43)</f>
        <v>0</v>
      </c>
      <c r="Q43" s="205">
        <f>SUM(M59-M43)</f>
        <v>0</v>
      </c>
    </row>
    <row r="44" spans="1:17" ht="15" customHeight="1" thickBot="1" x14ac:dyDescent="0.25">
      <c r="A44" s="1303"/>
      <c r="B44" s="886"/>
      <c r="C44" s="277"/>
      <c r="D44" s="886"/>
      <c r="E44" s="886"/>
      <c r="F44" s="2100"/>
      <c r="G44" s="2127"/>
      <c r="H44" s="1550"/>
      <c r="I44" s="2127"/>
      <c r="J44" s="1550"/>
      <c r="K44" s="2127"/>
      <c r="L44" s="1550"/>
      <c r="M44" s="1304"/>
    </row>
    <row r="45" spans="1:17" s="129" customFormat="1" ht="15" customHeight="1" thickBot="1" x14ac:dyDescent="0.25">
      <c r="A45" s="192"/>
      <c r="B45" s="2103"/>
      <c r="C45" s="192" t="s">
        <v>231</v>
      </c>
      <c r="D45" s="162"/>
      <c r="E45" s="162"/>
      <c r="F45" s="162"/>
      <c r="G45" s="1437"/>
      <c r="H45" s="162"/>
      <c r="I45" s="1373"/>
      <c r="J45" s="162"/>
      <c r="K45" s="1373"/>
      <c r="L45" s="162"/>
      <c r="M45" s="162"/>
    </row>
    <row r="46" spans="1:17" s="172" customFormat="1" ht="15" customHeight="1" thickBot="1" x14ac:dyDescent="0.25">
      <c r="A46" s="134" t="s">
        <v>3</v>
      </c>
      <c r="B46" s="815"/>
      <c r="C46" s="2128" t="s">
        <v>442</v>
      </c>
      <c r="D46" s="137">
        <f>SUM(D47:D51)</f>
        <v>139610</v>
      </c>
      <c r="E46" s="137">
        <f>SUM(E47:E51)</f>
        <v>147632</v>
      </c>
      <c r="F46" s="137">
        <f>SUM(F47:F51)</f>
        <v>161169740</v>
      </c>
      <c r="G46" s="1382">
        <f>SUM(H46-F46)</f>
        <v>1883230</v>
      </c>
      <c r="H46" s="137">
        <f>SUM(H47:H51)</f>
        <v>163052970</v>
      </c>
      <c r="I46" s="1374">
        <f>SUM(J46-H46)</f>
        <v>-4740044</v>
      </c>
      <c r="J46" s="137">
        <f>SUM(J47:J51)</f>
        <v>158312926</v>
      </c>
      <c r="K46" s="1374">
        <f>SUM(L46-J46)</f>
        <v>0</v>
      </c>
      <c r="L46" s="137">
        <f>SUM(L47:L51)</f>
        <v>158312926</v>
      </c>
      <c r="M46" s="137">
        <f>SUM(M47:M51)</f>
        <v>157229740</v>
      </c>
    </row>
    <row r="47" spans="1:17" ht="15" customHeight="1" x14ac:dyDescent="0.2">
      <c r="A47" s="173"/>
      <c r="B47" s="2113" t="s">
        <v>152</v>
      </c>
      <c r="C47" s="2122" t="s">
        <v>153</v>
      </c>
      <c r="D47" s="175">
        <v>83460</v>
      </c>
      <c r="E47" s="175">
        <v>89283</v>
      </c>
      <c r="F47" s="175">
        <v>111663303</v>
      </c>
      <c r="G47" s="1432">
        <f>SUM(H47-F47)</f>
        <v>-1421300</v>
      </c>
      <c r="H47" s="175">
        <v>110242003</v>
      </c>
      <c r="I47" s="1386">
        <f>SUM(J47-H47)</f>
        <v>3557081</v>
      </c>
      <c r="J47" s="175">
        <v>113799084</v>
      </c>
      <c r="K47" s="1386">
        <f>SUM(L47-J47)</f>
        <v>0</v>
      </c>
      <c r="L47" s="175">
        <v>113799084</v>
      </c>
      <c r="M47" s="175">
        <v>113799084</v>
      </c>
    </row>
    <row r="48" spans="1:17" ht="15" customHeight="1" x14ac:dyDescent="0.2">
      <c r="A48" s="142"/>
      <c r="B48" s="2114" t="s">
        <v>154</v>
      </c>
      <c r="C48" s="2120" t="s">
        <v>155</v>
      </c>
      <c r="D48" s="144">
        <v>22064</v>
      </c>
      <c r="E48" s="144">
        <v>23190</v>
      </c>
      <c r="F48" s="144">
        <v>23839343</v>
      </c>
      <c r="G48" s="1432">
        <f t="shared" ref="G48:K53" si="0">SUM(H48-F48)</f>
        <v>15674</v>
      </c>
      <c r="H48" s="144">
        <v>23855017</v>
      </c>
      <c r="I48" s="1386">
        <f t="shared" si="0"/>
        <v>-2721690</v>
      </c>
      <c r="J48" s="144">
        <v>21133327</v>
      </c>
      <c r="K48" s="1386">
        <f t="shared" si="0"/>
        <v>0</v>
      </c>
      <c r="L48" s="144">
        <v>21133327</v>
      </c>
      <c r="M48" s="144">
        <v>21133327</v>
      </c>
    </row>
    <row r="49" spans="1:13" ht="15" customHeight="1" x14ac:dyDescent="0.2">
      <c r="A49" s="142"/>
      <c r="B49" s="2114" t="s">
        <v>156</v>
      </c>
      <c r="C49" s="2120" t="s">
        <v>157</v>
      </c>
      <c r="D49" s="144">
        <v>34086</v>
      </c>
      <c r="E49" s="144">
        <v>35159</v>
      </c>
      <c r="F49" s="144">
        <v>25667094</v>
      </c>
      <c r="G49" s="1432">
        <f t="shared" si="0"/>
        <v>3288856</v>
      </c>
      <c r="H49" s="144">
        <v>28955950</v>
      </c>
      <c r="I49" s="1386">
        <f t="shared" si="0"/>
        <v>-5575435</v>
      </c>
      <c r="J49" s="144">
        <v>23380515</v>
      </c>
      <c r="K49" s="1386">
        <f t="shared" si="0"/>
        <v>0</v>
      </c>
      <c r="L49" s="144">
        <v>23380515</v>
      </c>
      <c r="M49" s="144">
        <v>22297329</v>
      </c>
    </row>
    <row r="50" spans="1:13" ht="15" customHeight="1" x14ac:dyDescent="0.2">
      <c r="A50" s="142"/>
      <c r="B50" s="2114" t="s">
        <v>158</v>
      </c>
      <c r="C50" s="2120" t="s">
        <v>159</v>
      </c>
      <c r="D50" s="144"/>
      <c r="E50" s="144"/>
      <c r="F50" s="144"/>
      <c r="G50" s="1432">
        <f t="shared" si="0"/>
        <v>0</v>
      </c>
      <c r="H50" s="144"/>
      <c r="I50" s="1386">
        <f t="shared" si="0"/>
        <v>0</v>
      </c>
      <c r="J50" s="144"/>
      <c r="K50" s="1386">
        <f t="shared" si="0"/>
        <v>0</v>
      </c>
      <c r="L50" s="144"/>
      <c r="M50" s="144"/>
    </row>
    <row r="51" spans="1:13" ht="15" customHeight="1" thickBot="1" x14ac:dyDescent="0.25">
      <c r="A51" s="142"/>
      <c r="B51" s="2114" t="s">
        <v>160</v>
      </c>
      <c r="C51" s="2120" t="s">
        <v>161</v>
      </c>
      <c r="D51" s="144"/>
      <c r="E51" s="144"/>
      <c r="F51" s="144"/>
      <c r="G51" s="1432">
        <f t="shared" si="0"/>
        <v>0</v>
      </c>
      <c r="H51" s="144"/>
      <c r="I51" s="1386">
        <f t="shared" si="0"/>
        <v>0</v>
      </c>
      <c r="J51" s="144"/>
      <c r="K51" s="1386">
        <f t="shared" si="0"/>
        <v>0</v>
      </c>
      <c r="L51" s="144"/>
      <c r="M51" s="144"/>
    </row>
    <row r="52" spans="1:13" ht="15" customHeight="1" thickBot="1" x14ac:dyDescent="0.25">
      <c r="A52" s="134" t="s">
        <v>17</v>
      </c>
      <c r="B52" s="815"/>
      <c r="C52" s="2128" t="s">
        <v>443</v>
      </c>
      <c r="D52" s="137">
        <f>SUM(D53:D56)</f>
        <v>24500</v>
      </c>
      <c r="E52" s="137">
        <f>SUM(E53:E56)</f>
        <v>0</v>
      </c>
      <c r="F52" s="137">
        <f>SUM(F53:F56)</f>
        <v>0</v>
      </c>
      <c r="G52" s="1382">
        <f>SUM(H52-F52)</f>
        <v>22299</v>
      </c>
      <c r="H52" s="137">
        <f>SUM(H53:H56)</f>
        <v>22299</v>
      </c>
      <c r="I52" s="1374">
        <f>SUM(J52-H52)</f>
        <v>0</v>
      </c>
      <c r="J52" s="137">
        <f>SUM(J53:J56)</f>
        <v>22299</v>
      </c>
      <c r="K52" s="1374">
        <f>SUM(L52-J52)</f>
        <v>0</v>
      </c>
      <c r="L52" s="137">
        <f>SUM(L53:L56)</f>
        <v>22299</v>
      </c>
      <c r="M52" s="137">
        <f>SUM(M53:M56)</f>
        <v>22299</v>
      </c>
    </row>
    <row r="53" spans="1:13" s="172" customFormat="1" ht="15" customHeight="1" x14ac:dyDescent="0.2">
      <c r="A53" s="173"/>
      <c r="B53" s="2115" t="s">
        <v>5</v>
      </c>
      <c r="C53" s="2122" t="s">
        <v>183</v>
      </c>
      <c r="D53" s="175">
        <v>24500</v>
      </c>
      <c r="E53" s="175">
        <v>0</v>
      </c>
      <c r="F53" s="175">
        <v>0</v>
      </c>
      <c r="G53" s="1432">
        <f t="shared" si="0"/>
        <v>22299</v>
      </c>
      <c r="H53" s="175">
        <v>22299</v>
      </c>
      <c r="I53" s="1386">
        <f t="shared" si="0"/>
        <v>0</v>
      </c>
      <c r="J53" s="175">
        <v>22299</v>
      </c>
      <c r="K53" s="1386">
        <f t="shared" si="0"/>
        <v>0</v>
      </c>
      <c r="L53" s="175">
        <v>22299</v>
      </c>
      <c r="M53" s="175">
        <v>22299</v>
      </c>
    </row>
    <row r="54" spans="1:13" ht="15" customHeight="1" x14ac:dyDescent="0.2">
      <c r="A54" s="142"/>
      <c r="B54" s="2106" t="s">
        <v>7</v>
      </c>
      <c r="C54" s="2120" t="s">
        <v>185</v>
      </c>
      <c r="D54" s="144"/>
      <c r="E54" s="144"/>
      <c r="F54" s="144"/>
      <c r="G54" s="1415"/>
      <c r="H54" s="144"/>
      <c r="I54" s="1376"/>
      <c r="J54" s="144"/>
      <c r="K54" s="1376"/>
      <c r="L54" s="144"/>
      <c r="M54" s="144"/>
    </row>
    <row r="55" spans="1:13" ht="17.25" customHeight="1" thickBot="1" x14ac:dyDescent="0.25">
      <c r="A55" s="142"/>
      <c r="B55" s="2106" t="s">
        <v>9</v>
      </c>
      <c r="C55" s="2120" t="s">
        <v>444</v>
      </c>
      <c r="D55" s="144"/>
      <c r="E55" s="144"/>
      <c r="F55" s="144"/>
      <c r="G55" s="1415"/>
      <c r="H55" s="144"/>
      <c r="I55" s="1376"/>
      <c r="J55" s="144"/>
      <c r="K55" s="1376"/>
      <c r="L55" s="144"/>
      <c r="M55" s="144"/>
    </row>
    <row r="56" spans="1:13" ht="12.75" hidden="1" customHeight="1" x14ac:dyDescent="0.2">
      <c r="A56" s="151"/>
      <c r="B56" s="2754"/>
      <c r="C56" s="2755"/>
      <c r="D56" s="153"/>
      <c r="E56" s="153"/>
      <c r="F56" s="153"/>
      <c r="G56" s="1415"/>
      <c r="H56" s="144"/>
      <c r="I56" s="1376"/>
      <c r="J56" s="144"/>
      <c r="K56" s="1376"/>
      <c r="L56" s="144"/>
      <c r="M56" s="144"/>
    </row>
    <row r="57" spans="1:13" ht="15" hidden="1" customHeight="1" thickBot="1" x14ac:dyDescent="0.25">
      <c r="A57" s="178" t="s">
        <v>31</v>
      </c>
      <c r="B57" s="2756"/>
      <c r="C57" s="2757" t="s">
        <v>445</v>
      </c>
      <c r="D57" s="297"/>
      <c r="E57" s="297"/>
      <c r="F57" s="297"/>
      <c r="G57" s="1381"/>
      <c r="H57" s="155"/>
      <c r="I57" s="1380"/>
      <c r="J57" s="155"/>
      <c r="K57" s="1380"/>
      <c r="L57" s="155"/>
      <c r="M57" s="155"/>
    </row>
    <row r="58" spans="1:13" s="145" customFormat="1" ht="12.75" hidden="1" customHeight="1" x14ac:dyDescent="0.2">
      <c r="A58" s="134"/>
      <c r="B58" s="815"/>
      <c r="C58" s="2128"/>
      <c r="D58" s="155"/>
      <c r="E58" s="155"/>
      <c r="F58" s="155"/>
      <c r="G58" s="1381"/>
      <c r="H58" s="155"/>
      <c r="I58" s="1380"/>
      <c r="J58" s="155"/>
      <c r="K58" s="1380"/>
      <c r="L58" s="155"/>
      <c r="M58" s="155"/>
    </row>
    <row r="59" spans="1:13" ht="15" customHeight="1" thickBot="1" x14ac:dyDescent="0.25">
      <c r="A59" s="192" t="s">
        <v>31</v>
      </c>
      <c r="B59" s="2103"/>
      <c r="C59" s="2126" t="s">
        <v>446</v>
      </c>
      <c r="D59" s="162">
        <f>+D46+D52+D57</f>
        <v>164110</v>
      </c>
      <c r="E59" s="162">
        <f>+E46+E52+E57</f>
        <v>147632</v>
      </c>
      <c r="F59" s="162">
        <f>+F46+F52+F57</f>
        <v>161169740</v>
      </c>
      <c r="G59" s="1437">
        <f>SUM(H59-F59)</f>
        <v>1905529</v>
      </c>
      <c r="H59" s="162">
        <f>+H46+H52+H57</f>
        <v>163075269</v>
      </c>
      <c r="I59" s="1373">
        <f>SUM(J59-H59)</f>
        <v>-4740044</v>
      </c>
      <c r="J59" s="162">
        <f>+J46+J52+J57</f>
        <v>158335225</v>
      </c>
      <c r="K59" s="1373">
        <f>SUM(L59-J59)</f>
        <v>0</v>
      </c>
      <c r="L59" s="162">
        <f>+L46+L52+L57</f>
        <v>158335225</v>
      </c>
      <c r="M59" s="162">
        <f>+M46+M52+M57</f>
        <v>157252039</v>
      </c>
    </row>
    <row r="60" spans="1:13" ht="15" customHeight="1" thickBot="1" x14ac:dyDescent="0.25">
      <c r="A60" s="1303"/>
      <c r="B60" s="886"/>
      <c r="C60" s="277"/>
      <c r="D60" s="886"/>
      <c r="E60" s="886"/>
      <c r="F60" s="1304"/>
      <c r="G60" s="1550"/>
      <c r="H60" s="1550"/>
      <c r="I60" s="1550"/>
      <c r="J60" s="1550"/>
      <c r="K60" s="1550"/>
      <c r="L60" s="886"/>
      <c r="M60" s="1304"/>
    </row>
    <row r="61" spans="1:13" ht="15" customHeight="1" thickBot="1" x14ac:dyDescent="0.25">
      <c r="A61" s="276" t="s">
        <v>324</v>
      </c>
      <c r="B61" s="277"/>
      <c r="C61" s="2129"/>
      <c r="D61" s="200">
        <v>21.5</v>
      </c>
      <c r="E61" s="200">
        <v>21.5</v>
      </c>
      <c r="F61" s="200">
        <v>23.25</v>
      </c>
      <c r="G61" s="1559"/>
      <c r="H61" s="200">
        <v>23.25</v>
      </c>
      <c r="I61" s="1388"/>
      <c r="J61" s="200">
        <v>23.25</v>
      </c>
      <c r="K61" s="1388"/>
      <c r="L61" s="200">
        <v>23.25</v>
      </c>
      <c r="M61" s="200">
        <v>23.25</v>
      </c>
    </row>
    <row r="62" spans="1:13" ht="15" customHeight="1" thickBot="1" x14ac:dyDescent="0.25">
      <c r="A62" s="276" t="s">
        <v>325</v>
      </c>
      <c r="B62" s="277"/>
      <c r="C62" s="2129"/>
      <c r="D62" s="279"/>
      <c r="E62" s="279"/>
      <c r="F62" s="279"/>
      <c r="G62" s="1560"/>
      <c r="H62" s="279"/>
      <c r="I62" s="1389"/>
      <c r="J62" s="279"/>
      <c r="K62" s="1389"/>
      <c r="L62" s="279"/>
      <c r="M62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3622047244094491" right="0.23622047244094491" top="0.23622047244094491" bottom="0.31496062992125984" header="0.15748031496062992" footer="0.15748031496062992"/>
  <pageSetup paperSize="9" scale="70" firstPageNumber="37" orientation="portrait" useFirstPageNumber="1" r:id="rId1"/>
  <headerFooter>
    <oddFooter>&amp;C- &amp;P -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61"/>
  <sheetViews>
    <sheetView view="pageBreakPreview" topLeftCell="C1" zoomScaleNormal="100" zoomScaleSheetLayoutView="100" zoomScalePageLayoutView="60" workbookViewId="0">
      <selection activeCell="J46" sqref="J46:J48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7.1640625" style="115" customWidth="1"/>
    <col min="4" max="5" width="9.33203125" style="115" hidden="1" customWidth="1"/>
    <col min="6" max="6" width="13.83203125" style="115" customWidth="1"/>
    <col min="7" max="7" width="15.5" style="1390" hidden="1" customWidth="1"/>
    <col min="8" max="8" width="10.33203125" style="115" hidden="1" customWidth="1"/>
    <col min="9" max="9" width="10.33203125" style="1390" hidden="1" customWidth="1"/>
    <col min="10" max="10" width="13.33203125" style="115" customWidth="1"/>
    <col min="11" max="11" width="14" style="1390" customWidth="1"/>
    <col min="12" max="12" width="14.33203125" style="115" customWidth="1"/>
    <col min="13" max="13" width="13.83203125" style="115" customWidth="1"/>
    <col min="14" max="14" width="9.33203125" style="115"/>
    <col min="15" max="15" width="15.1640625" style="115" customWidth="1"/>
    <col min="16" max="16" width="15" style="115" customWidth="1"/>
    <col min="17" max="17" width="13.33203125" style="115" customWidth="1"/>
    <col min="18" max="16384" width="9.33203125" style="115"/>
  </cols>
  <sheetData>
    <row r="1" spans="1:13" s="95" customFormat="1" ht="21" customHeight="1" thickBot="1" x14ac:dyDescent="0.25">
      <c r="A1" s="2099"/>
      <c r="B1" s="84"/>
      <c r="C1" s="4494" t="s">
        <v>454</v>
      </c>
      <c r="D1" s="4494"/>
      <c r="E1" s="4494"/>
      <c r="F1" s="4494"/>
      <c r="G1" s="4494"/>
      <c r="H1" s="4494"/>
      <c r="I1" s="4494"/>
      <c r="J1" s="4494"/>
      <c r="K1" s="4494"/>
      <c r="L1" s="4494"/>
      <c r="M1" s="4494"/>
    </row>
    <row r="2" spans="1:13" s="120" customFormat="1" ht="49.5" customHeight="1" thickBot="1" x14ac:dyDescent="0.25">
      <c r="A2" s="4516" t="s">
        <v>411</v>
      </c>
      <c r="B2" s="4516"/>
      <c r="C2" s="117" t="s">
        <v>412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120" customFormat="1" ht="33.75" customHeight="1" thickBot="1" x14ac:dyDescent="0.25">
      <c r="A3" s="4506" t="s">
        <v>283</v>
      </c>
      <c r="B3" s="4506"/>
      <c r="C3" s="204" t="s">
        <v>858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123" customFormat="1" ht="15.95" customHeight="1" thickBot="1" x14ac:dyDescent="0.3">
      <c r="A4" s="1300"/>
      <c r="B4" s="1301"/>
      <c r="C4" s="1301"/>
      <c r="D4" s="4518"/>
      <c r="E4" s="4518"/>
      <c r="F4" s="4519"/>
      <c r="G4" s="1511"/>
      <c r="H4" s="1538"/>
      <c r="I4" s="1538"/>
      <c r="J4" s="1538"/>
      <c r="K4" s="1538"/>
      <c r="L4" s="771"/>
      <c r="M4" s="1302" t="s">
        <v>935</v>
      </c>
    </row>
    <row r="5" spans="1:13" ht="29.2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129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129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/>
      <c r="E9" s="150"/>
      <c r="F9" s="150"/>
      <c r="G9" s="1533"/>
      <c r="H9" s="150"/>
      <c r="I9" s="1375"/>
      <c r="J9" s="150"/>
      <c r="K9" s="1375"/>
      <c r="L9" s="150"/>
      <c r="M9" s="150"/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/>
      <c r="E10" s="144"/>
      <c r="F10" s="144"/>
      <c r="G10" s="1415"/>
      <c r="H10" s="144"/>
      <c r="I10" s="1376"/>
      <c r="J10" s="144"/>
      <c r="K10" s="1376"/>
      <c r="L10" s="144"/>
      <c r="M10" s="144"/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/>
      <c r="E11" s="144"/>
      <c r="F11" s="144"/>
      <c r="G11" s="1415"/>
      <c r="H11" s="144"/>
      <c r="I11" s="1376"/>
      <c r="J11" s="144"/>
      <c r="K11" s="1376"/>
      <c r="L11" s="144"/>
      <c r="M11" s="144"/>
    </row>
    <row r="12" spans="1:13" s="141" customFormat="1" ht="15" customHeight="1" x14ac:dyDescent="0.2">
      <c r="A12" s="142"/>
      <c r="B12" s="143" t="s">
        <v>158</v>
      </c>
      <c r="C12" s="55" t="s">
        <v>978</v>
      </c>
      <c r="D12" s="144"/>
      <c r="E12" s="144"/>
      <c r="F12" s="144"/>
      <c r="G12" s="1415"/>
      <c r="H12" s="144"/>
      <c r="I12" s="1376"/>
      <c r="J12" s="144"/>
      <c r="K12" s="1376"/>
      <c r="L12" s="144"/>
      <c r="M12" s="144"/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/>
      <c r="G13" s="1415"/>
      <c r="H13" s="144"/>
      <c r="I13" s="1376"/>
      <c r="J13" s="144"/>
      <c r="K13" s="1376"/>
      <c r="L13" s="144"/>
      <c r="M13" s="144"/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7"/>
      <c r="E14" s="147"/>
      <c r="F14" s="147"/>
      <c r="G14" s="1519"/>
      <c r="H14" s="147"/>
      <c r="I14" s="1377"/>
      <c r="J14" s="147"/>
      <c r="K14" s="1377"/>
      <c r="L14" s="147"/>
      <c r="M14" s="147"/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/>
      <c r="E15" s="144"/>
      <c r="F15" s="144"/>
      <c r="G15" s="1415"/>
      <c r="H15" s="144"/>
      <c r="I15" s="1376"/>
      <c r="J15" s="144"/>
      <c r="K15" s="1376"/>
      <c r="L15" s="144"/>
      <c r="M15" s="144"/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/>
      <c r="G16" s="1518"/>
      <c r="H16" s="153"/>
      <c r="I16" s="1378"/>
      <c r="J16" s="153"/>
      <c r="K16" s="1378"/>
      <c r="L16" s="153"/>
      <c r="M16" s="153"/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518"/>
      <c r="H17" s="153"/>
      <c r="I17" s="1378"/>
      <c r="J17" s="153"/>
      <c r="K17" s="1378"/>
      <c r="L17" s="153"/>
      <c r="M17" s="153"/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/>
      <c r="E18" s="153"/>
      <c r="F18" s="153"/>
      <c r="G18" s="1518"/>
      <c r="H18" s="153"/>
      <c r="I18" s="1378"/>
      <c r="J18" s="153"/>
      <c r="K18" s="1378"/>
      <c r="L18" s="153"/>
      <c r="M18" s="153"/>
    </row>
    <row r="19" spans="1:13" s="141" customFormat="1" ht="37.5" customHeight="1" thickBot="1" x14ac:dyDescent="0.25">
      <c r="A19" s="134" t="s">
        <v>17</v>
      </c>
      <c r="B19" s="148"/>
      <c r="C19" s="247" t="s">
        <v>419</v>
      </c>
      <c r="D19" s="137">
        <f>SUM(D20:D25)</f>
        <v>3675</v>
      </c>
      <c r="E19" s="137">
        <f>SUM(E20:E25)</f>
        <v>4378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</row>
    <row r="20" spans="1:13" s="145" customFormat="1" ht="27.75" customHeight="1" x14ac:dyDescent="0.2">
      <c r="A20" s="142"/>
      <c r="B20" s="143" t="s">
        <v>5</v>
      </c>
      <c r="C20" s="251" t="s">
        <v>420</v>
      </c>
      <c r="D20" s="144">
        <v>3675</v>
      </c>
      <c r="E20" s="144">
        <v>4378</v>
      </c>
      <c r="F20" s="144"/>
      <c r="G20" s="1415"/>
      <c r="H20" s="144"/>
      <c r="I20" s="1376"/>
      <c r="J20" s="144"/>
      <c r="K20" s="1376"/>
      <c r="L20" s="144"/>
      <c r="M20" s="144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/>
      <c r="G21" s="1415"/>
      <c r="H21" s="144"/>
      <c r="I21" s="1376"/>
      <c r="J21" s="144"/>
      <c r="K21" s="1376"/>
      <c r="L21" s="144"/>
      <c r="M21" s="144"/>
    </row>
    <row r="22" spans="1:13" s="145" customFormat="1" ht="16.5" customHeight="1" x14ac:dyDescent="0.2">
      <c r="A22" s="142"/>
      <c r="B22" s="143" t="s">
        <v>360</v>
      </c>
      <c r="C22" s="55" t="s">
        <v>1430</v>
      </c>
      <c r="D22" s="144"/>
      <c r="E22" s="144"/>
      <c r="F22" s="144"/>
      <c r="G22" s="1415"/>
      <c r="H22" s="144"/>
      <c r="I22" s="1376"/>
      <c r="J22" s="144"/>
      <c r="K22" s="1376"/>
      <c r="L22" s="144"/>
      <c r="M22" s="144"/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/>
      <c r="E23" s="144"/>
      <c r="F23" s="144"/>
      <c r="G23" s="1415"/>
      <c r="H23" s="144"/>
      <c r="I23" s="1376"/>
      <c r="J23" s="144"/>
      <c r="K23" s="1376"/>
      <c r="L23" s="144"/>
      <c r="M23" s="144"/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/>
      <c r="G24" s="1415"/>
      <c r="H24" s="144"/>
      <c r="I24" s="1376"/>
      <c r="J24" s="144"/>
      <c r="K24" s="1376"/>
      <c r="L24" s="144"/>
      <c r="M24" s="144"/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/>
      <c r="E25" s="144"/>
      <c r="F25" s="153"/>
      <c r="G25" s="1518"/>
      <c r="H25" s="144"/>
      <c r="I25" s="1378"/>
      <c r="J25" s="144"/>
      <c r="K25" s="1378"/>
      <c r="L25" s="144"/>
      <c r="M25" s="144"/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498"/>
      <c r="F26" s="252"/>
      <c r="G26" s="1509"/>
      <c r="H26" s="252"/>
      <c r="I26" s="1436"/>
      <c r="J26" s="252"/>
      <c r="K26" s="1436"/>
      <c r="L26" s="252"/>
      <c r="M26" s="252"/>
    </row>
    <row r="27" spans="1:13" s="145" customFormat="1" ht="15" customHeight="1" thickBot="1" x14ac:dyDescent="0.25">
      <c r="A27" s="142"/>
      <c r="B27" s="143" t="s">
        <v>19</v>
      </c>
      <c r="C27" s="55" t="s">
        <v>427</v>
      </c>
      <c r="D27" s="147"/>
      <c r="E27" s="147"/>
      <c r="F27" s="147"/>
      <c r="G27" s="1519"/>
      <c r="H27" s="147"/>
      <c r="I27" s="1377"/>
      <c r="J27" s="147"/>
      <c r="K27" s="1377"/>
      <c r="L27" s="147"/>
      <c r="M27" s="147"/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v>0</v>
      </c>
      <c r="G28" s="1381"/>
      <c r="H28" s="155">
        <v>0</v>
      </c>
      <c r="I28" s="1380"/>
      <c r="J28" s="155">
        <v>0</v>
      </c>
      <c r="K28" s="1380"/>
      <c r="L28" s="155">
        <v>0</v>
      </c>
      <c r="M28" s="155">
        <v>0</v>
      </c>
    </row>
    <row r="29" spans="1:13" s="145" customFormat="1" ht="15" customHeight="1" thickBot="1" x14ac:dyDescent="0.25">
      <c r="A29" s="142"/>
      <c r="B29" s="253" t="s">
        <v>33</v>
      </c>
      <c r="C29" s="55" t="s">
        <v>359</v>
      </c>
      <c r="D29" s="155"/>
      <c r="E29" s="668"/>
      <c r="F29" s="273"/>
      <c r="G29" s="1546"/>
      <c r="H29" s="802"/>
      <c r="I29" s="1546"/>
      <c r="J29" s="802"/>
      <c r="K29" s="1546"/>
      <c r="L29" s="802"/>
      <c r="M29" s="273"/>
    </row>
    <row r="30" spans="1:13" s="145" customFormat="1" ht="15" customHeight="1" thickBot="1" x14ac:dyDescent="0.25">
      <c r="A30" s="142"/>
      <c r="B30" s="253" t="s">
        <v>39</v>
      </c>
      <c r="C30" s="55" t="s">
        <v>72</v>
      </c>
      <c r="D30" s="155"/>
      <c r="E30" s="668"/>
      <c r="F30" s="206"/>
      <c r="G30" s="1547"/>
      <c r="H30" s="846"/>
      <c r="I30" s="1547"/>
      <c r="J30" s="846"/>
      <c r="K30" s="1547"/>
      <c r="L30" s="846"/>
      <c r="M30" s="847"/>
    </row>
    <row r="31" spans="1:13" s="145" customFormat="1" ht="15" customHeight="1" thickBot="1" x14ac:dyDescent="0.25">
      <c r="A31" s="142"/>
      <c r="B31" s="253" t="s">
        <v>41</v>
      </c>
      <c r="C31" s="55" t="s">
        <v>74</v>
      </c>
      <c r="D31" s="155">
        <v>0</v>
      </c>
      <c r="E31" s="668">
        <v>0</v>
      </c>
      <c r="F31" s="297">
        <v>0</v>
      </c>
      <c r="G31" s="1433"/>
      <c r="H31" s="804">
        <v>0</v>
      </c>
      <c r="I31" s="1433"/>
      <c r="J31" s="804">
        <v>0</v>
      </c>
      <c r="K31" s="1433"/>
      <c r="L31" s="804">
        <v>0</v>
      </c>
      <c r="M31" s="297">
        <v>0</v>
      </c>
    </row>
    <row r="32" spans="1:13" s="141" customFormat="1" ht="29.25" customHeight="1" thickBot="1" x14ac:dyDescent="0.25">
      <c r="A32" s="134">
        <v>5</v>
      </c>
      <c r="B32" s="254"/>
      <c r="C32" s="170" t="s">
        <v>429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0"/>
      <c r="J32" s="155">
        <v>0</v>
      </c>
      <c r="K32" s="1380"/>
      <c r="L32" s="155">
        <v>0</v>
      </c>
      <c r="M32" s="155">
        <v>0</v>
      </c>
    </row>
    <row r="33" spans="1:17" s="141" customFormat="1" ht="30.75" customHeight="1" thickBot="1" x14ac:dyDescent="0.25">
      <c r="A33" s="134"/>
      <c r="B33" s="255" t="s">
        <v>47</v>
      </c>
      <c r="C33" s="251" t="s">
        <v>430</v>
      </c>
      <c r="D33" s="155"/>
      <c r="E33" s="155"/>
      <c r="F33" s="155"/>
      <c r="G33" s="1381"/>
      <c r="H33" s="155"/>
      <c r="I33" s="1380"/>
      <c r="J33" s="155"/>
      <c r="K33" s="1380"/>
      <c r="L33" s="155"/>
      <c r="M33" s="155"/>
    </row>
    <row r="34" spans="1:17" s="141" customFormat="1" ht="20.25" customHeight="1" thickBot="1" x14ac:dyDescent="0.3">
      <c r="A34" s="134" t="s">
        <v>79</v>
      </c>
      <c r="B34" s="256"/>
      <c r="C34" s="247" t="s">
        <v>431</v>
      </c>
      <c r="D34" s="155"/>
      <c r="E34" s="155"/>
      <c r="F34" s="155"/>
      <c r="G34" s="1381"/>
      <c r="H34" s="155"/>
      <c r="I34" s="1380"/>
      <c r="J34" s="155"/>
      <c r="K34" s="1380"/>
      <c r="L34" s="155"/>
      <c r="M34" s="155"/>
    </row>
    <row r="35" spans="1:17" s="141" customFormat="1" ht="30.75" customHeight="1" thickBot="1" x14ac:dyDescent="0.25">
      <c r="A35" s="134"/>
      <c r="B35" s="257" t="s">
        <v>69</v>
      </c>
      <c r="C35" s="55" t="s">
        <v>432</v>
      </c>
      <c r="D35" s="155"/>
      <c r="E35" s="155"/>
      <c r="F35" s="155"/>
      <c r="G35" s="1381"/>
      <c r="H35" s="155"/>
      <c r="I35" s="1380"/>
      <c r="J35" s="155"/>
      <c r="K35" s="1380"/>
      <c r="L35" s="155"/>
      <c r="M35" s="155"/>
    </row>
    <row r="36" spans="1:17" s="141" customFormat="1" ht="15" customHeight="1" thickBot="1" x14ac:dyDescent="0.3">
      <c r="A36" s="134" t="s">
        <v>89</v>
      </c>
      <c r="B36" s="256"/>
      <c r="C36" s="170" t="s">
        <v>433</v>
      </c>
      <c r="D36" s="137">
        <f>+D37+D38</f>
        <v>0</v>
      </c>
      <c r="E36" s="137">
        <f>+E37+E38</f>
        <v>0</v>
      </c>
      <c r="F36" s="137">
        <f>+F37+F38</f>
        <v>0</v>
      </c>
      <c r="G36" s="1382"/>
      <c r="H36" s="137">
        <f>+H37+H38</f>
        <v>0</v>
      </c>
      <c r="I36" s="1374"/>
      <c r="J36" s="137">
        <f>+J37+J38</f>
        <v>0</v>
      </c>
      <c r="K36" s="1374"/>
      <c r="L36" s="137">
        <f>+L37+L38</f>
        <v>0</v>
      </c>
      <c r="M36" s="137">
        <f>+M37+M38</f>
        <v>0</v>
      </c>
    </row>
    <row r="37" spans="1:17" s="141" customFormat="1" ht="15" customHeight="1" x14ac:dyDescent="0.2">
      <c r="A37" s="149"/>
      <c r="B37" s="253" t="s">
        <v>81</v>
      </c>
      <c r="C37" s="55" t="s">
        <v>434</v>
      </c>
      <c r="D37" s="144"/>
      <c r="E37" s="144"/>
      <c r="F37" s="144"/>
      <c r="G37" s="1415"/>
      <c r="H37" s="144"/>
      <c r="I37" s="1376"/>
      <c r="J37" s="144"/>
      <c r="K37" s="1376"/>
      <c r="L37" s="144"/>
      <c r="M37" s="144"/>
    </row>
    <row r="38" spans="1:17" s="141" customFormat="1" ht="15" customHeight="1" thickBot="1" x14ac:dyDescent="0.25">
      <c r="A38" s="142"/>
      <c r="B38" s="253" t="s">
        <v>83</v>
      </c>
      <c r="C38" s="55" t="s">
        <v>435</v>
      </c>
      <c r="D38" s="153"/>
      <c r="E38" s="666"/>
      <c r="F38" s="144"/>
      <c r="G38" s="1518"/>
      <c r="H38" s="153"/>
      <c r="I38" s="1378"/>
      <c r="J38" s="153"/>
      <c r="K38" s="1378"/>
      <c r="L38" s="153"/>
      <c r="M38" s="153"/>
    </row>
    <row r="39" spans="1:17" s="145" customFormat="1" ht="15" customHeight="1" thickBot="1" x14ac:dyDescent="0.25">
      <c r="A39" s="671"/>
      <c r="B39" s="253" t="s">
        <v>85</v>
      </c>
      <c r="C39" s="55" t="s">
        <v>1433</v>
      </c>
      <c r="D39" s="252">
        <v>39074</v>
      </c>
      <c r="E39" s="667">
        <v>56825</v>
      </c>
      <c r="F39" s="144">
        <f>SUM(F40:F41)</f>
        <v>65783974</v>
      </c>
      <c r="G39" s="1415">
        <f>SUM(H39-F39)</f>
        <v>984945</v>
      </c>
      <c r="H39" s="483">
        <f>SUM(H40:H41)</f>
        <v>66768919</v>
      </c>
      <c r="I39" s="1415">
        <f>SUM(J39-H39)</f>
        <v>12034538</v>
      </c>
      <c r="J39" s="483">
        <f>SUM(J40:J41)</f>
        <v>78803457</v>
      </c>
      <c r="K39" s="1415">
        <f>SUM(L39-J39)</f>
        <v>0</v>
      </c>
      <c r="L39" s="483">
        <f>SUM(L40:L41)</f>
        <v>78803457</v>
      </c>
      <c r="M39" s="144">
        <f>SUM(M40:M41)</f>
        <v>78297967</v>
      </c>
    </row>
    <row r="40" spans="1:17" s="145" customFormat="1" ht="15" customHeight="1" thickBot="1" x14ac:dyDescent="0.25">
      <c r="A40" s="671"/>
      <c r="B40" s="253" t="s">
        <v>437</v>
      </c>
      <c r="C40" s="261" t="s">
        <v>891</v>
      </c>
      <c r="D40" s="252"/>
      <c r="E40" s="667"/>
      <c r="F40" s="1306"/>
      <c r="G40" s="1534">
        <f>SUM(H40-F40)</f>
        <v>0</v>
      </c>
      <c r="H40" s="1307"/>
      <c r="I40" s="1534">
        <f>SUM(J40-H40)</f>
        <v>0</v>
      </c>
      <c r="J40" s="1307"/>
      <c r="K40" s="1534">
        <f>SUM(L40-J40)</f>
        <v>0</v>
      </c>
      <c r="L40" s="1307"/>
      <c r="M40" s="175">
        <v>0</v>
      </c>
    </row>
    <row r="41" spans="1:17" s="145" customFormat="1" ht="15.75" thickBot="1" x14ac:dyDescent="0.25">
      <c r="A41" s="672"/>
      <c r="B41" s="257" t="s">
        <v>799</v>
      </c>
      <c r="C41" s="264" t="s">
        <v>532</v>
      </c>
      <c r="D41" s="155"/>
      <c r="E41" s="155"/>
      <c r="F41" s="1306">
        <v>65783974</v>
      </c>
      <c r="G41" s="1534">
        <f>SUM(H41-F41)</f>
        <v>984945</v>
      </c>
      <c r="H41" s="1306">
        <v>66768919</v>
      </c>
      <c r="I41" s="1534">
        <f>SUM(J41-H41)</f>
        <v>12034538</v>
      </c>
      <c r="J41" s="1306">
        <v>78803457</v>
      </c>
      <c r="K41" s="1534">
        <f>SUM(L41-J41)</f>
        <v>0</v>
      </c>
      <c r="L41" s="1306">
        <v>78803457</v>
      </c>
      <c r="M41" s="144">
        <v>78297967</v>
      </c>
    </row>
    <row r="42" spans="1:17" s="145" customFormat="1" ht="15" customHeight="1" thickBot="1" x14ac:dyDescent="0.25">
      <c r="A42" s="192" t="s">
        <v>99</v>
      </c>
      <c r="B42" s="160"/>
      <c r="C42" s="274" t="s">
        <v>441</v>
      </c>
      <c r="D42" s="162">
        <f>SUM(D8,D19,D28,D31,D32,D36,D39)</f>
        <v>42749</v>
      </c>
      <c r="E42" s="162">
        <f>SUM(E8,E19,E28,E31,E32,E36,E39)</f>
        <v>61203</v>
      </c>
      <c r="F42" s="162">
        <f>SUM(F8,F19,F28,F31,F32,F36,F39)</f>
        <v>65783974</v>
      </c>
      <c r="G42" s="1437">
        <f>SUM(H42-F42)</f>
        <v>984945</v>
      </c>
      <c r="H42" s="162">
        <f>SUM(H8,H19,H28,H31,H32,H36,H39)</f>
        <v>66768919</v>
      </c>
      <c r="I42" s="1373">
        <f>SUM(J42-H42)</f>
        <v>12034538</v>
      </c>
      <c r="J42" s="162">
        <f>SUM(J8,J19,J28,J31,J32,J36,J39)</f>
        <v>78803457</v>
      </c>
      <c r="K42" s="1373">
        <f>SUM(L42-J42)</f>
        <v>0</v>
      </c>
      <c r="L42" s="162">
        <f>SUM(L8,L19,L28,L31,L32,L36,L39)</f>
        <v>78803457</v>
      </c>
      <c r="M42" s="162">
        <f>SUM(M8,M19,M28,M31,M32,M36,M39)</f>
        <v>78297967</v>
      </c>
      <c r="O42" s="1305">
        <f>SUM(F58-F42)</f>
        <v>0</v>
      </c>
      <c r="P42" s="1305">
        <f>SUM(H58-H42)</f>
        <v>0</v>
      </c>
      <c r="Q42" s="1305">
        <f>SUM(M58-M42)</f>
        <v>0</v>
      </c>
    </row>
    <row r="43" spans="1:17" s="145" customFormat="1" ht="15" customHeight="1" thickBot="1" x14ac:dyDescent="0.25">
      <c r="A43" s="2098"/>
      <c r="B43" s="266"/>
      <c r="C43" s="275"/>
      <c r="D43" s="286"/>
      <c r="E43" s="286"/>
      <c r="F43" s="2163"/>
      <c r="G43" s="1443"/>
      <c r="H43" s="1443"/>
      <c r="I43" s="1443"/>
      <c r="J43" s="1443"/>
      <c r="K43" s="1443"/>
      <c r="L43" s="1443"/>
      <c r="M43" s="1458"/>
    </row>
    <row r="44" spans="1:17" s="129" customFormat="1" ht="15" customHeight="1" thickBot="1" x14ac:dyDescent="0.25">
      <c r="A44" s="192"/>
      <c r="B44" s="160"/>
      <c r="C44" s="282" t="s">
        <v>231</v>
      </c>
      <c r="D44" s="162"/>
      <c r="E44" s="162"/>
      <c r="F44" s="162"/>
      <c r="G44" s="1437"/>
      <c r="H44" s="162"/>
      <c r="I44" s="1373"/>
      <c r="J44" s="162"/>
      <c r="K44" s="1373"/>
      <c r="L44" s="162"/>
      <c r="M44" s="162"/>
    </row>
    <row r="45" spans="1:17" s="172" customFormat="1" ht="15" customHeight="1" thickBot="1" x14ac:dyDescent="0.25">
      <c r="A45" s="134" t="s">
        <v>3</v>
      </c>
      <c r="B45" s="170"/>
      <c r="C45" s="171" t="s">
        <v>442</v>
      </c>
      <c r="D45" s="137">
        <f>SUM(D46:D50)</f>
        <v>42749</v>
      </c>
      <c r="E45" s="137">
        <f>SUM(E46:E50)</f>
        <v>61203</v>
      </c>
      <c r="F45" s="137">
        <f>SUM(F46:F50)</f>
        <v>65783974</v>
      </c>
      <c r="G45" s="1382">
        <f>SUM(H45-F45)</f>
        <v>984945</v>
      </c>
      <c r="H45" s="137">
        <f>SUM(H46:H50)</f>
        <v>66768919</v>
      </c>
      <c r="I45" s="1374">
        <f>SUM(J45-H45)</f>
        <v>12034538</v>
      </c>
      <c r="J45" s="137">
        <f>SUM(J46:J50)</f>
        <v>78803457</v>
      </c>
      <c r="K45" s="1374">
        <f>SUM(L45-J45)</f>
        <v>0</v>
      </c>
      <c r="L45" s="137">
        <f>SUM(L46:L50)</f>
        <v>78803457</v>
      </c>
      <c r="M45" s="137">
        <f>SUM(M46:M50)</f>
        <v>78297967</v>
      </c>
    </row>
    <row r="46" spans="1:17" ht="15" customHeight="1" x14ac:dyDescent="0.2">
      <c r="A46" s="173"/>
      <c r="B46" s="174" t="s">
        <v>152</v>
      </c>
      <c r="C46" s="251" t="s">
        <v>153</v>
      </c>
      <c r="D46" s="175">
        <v>26956</v>
      </c>
      <c r="E46" s="175">
        <v>41259</v>
      </c>
      <c r="F46" s="175">
        <v>44011011</v>
      </c>
      <c r="G46" s="1432">
        <f>SUM(H46-F46)</f>
        <v>-614200</v>
      </c>
      <c r="H46" s="175">
        <v>43396811</v>
      </c>
      <c r="I46" s="1386">
        <f>SUM(J46-H46)</f>
        <v>13563959</v>
      </c>
      <c r="J46" s="175">
        <v>56960770</v>
      </c>
      <c r="K46" s="1386">
        <f>SUM(L46-J46)</f>
        <v>0</v>
      </c>
      <c r="L46" s="175">
        <v>56960770</v>
      </c>
      <c r="M46" s="175">
        <v>56960770</v>
      </c>
    </row>
    <row r="47" spans="1:17" ht="15" customHeight="1" x14ac:dyDescent="0.2">
      <c r="A47" s="142"/>
      <c r="B47" s="176" t="s">
        <v>154</v>
      </c>
      <c r="C47" s="55" t="s">
        <v>155</v>
      </c>
      <c r="D47" s="144">
        <v>7138</v>
      </c>
      <c r="E47" s="144">
        <v>11000</v>
      </c>
      <c r="F47" s="144">
        <v>9591786</v>
      </c>
      <c r="G47" s="1432">
        <f>SUM(H47-F47)</f>
        <v>17101</v>
      </c>
      <c r="H47" s="144">
        <v>9608887</v>
      </c>
      <c r="I47" s="1386">
        <f>SUM(J47-H47)</f>
        <v>1187164</v>
      </c>
      <c r="J47" s="144">
        <v>10796051</v>
      </c>
      <c r="K47" s="1386">
        <f>SUM(L47-J47)</f>
        <v>0</v>
      </c>
      <c r="L47" s="144">
        <v>10796051</v>
      </c>
      <c r="M47" s="144">
        <v>10796051</v>
      </c>
    </row>
    <row r="48" spans="1:17" ht="15" customHeight="1" x14ac:dyDescent="0.2">
      <c r="A48" s="142"/>
      <c r="B48" s="176" t="s">
        <v>156</v>
      </c>
      <c r="C48" s="55" t="s">
        <v>157</v>
      </c>
      <c r="D48" s="144">
        <v>8655</v>
      </c>
      <c r="E48" s="144">
        <v>8944</v>
      </c>
      <c r="F48" s="144">
        <v>12181177</v>
      </c>
      <c r="G48" s="1432">
        <f>SUM(H48-F48)</f>
        <v>1582044</v>
      </c>
      <c r="H48" s="144">
        <v>13763221</v>
      </c>
      <c r="I48" s="1386">
        <f>SUM(J48-H48)</f>
        <v>-2716585</v>
      </c>
      <c r="J48" s="144">
        <v>11046636</v>
      </c>
      <c r="K48" s="1386">
        <f>SUM(L48-J48)</f>
        <v>0</v>
      </c>
      <c r="L48" s="144">
        <v>11046636</v>
      </c>
      <c r="M48" s="144">
        <v>10541146</v>
      </c>
    </row>
    <row r="49" spans="1:13" ht="15" customHeight="1" x14ac:dyDescent="0.2">
      <c r="A49" s="142"/>
      <c r="B49" s="176" t="s">
        <v>158</v>
      </c>
      <c r="C49" s="55" t="s">
        <v>159</v>
      </c>
      <c r="D49" s="144"/>
      <c r="E49" s="144"/>
      <c r="F49" s="144"/>
      <c r="G49" s="1415"/>
      <c r="H49" s="144"/>
      <c r="I49" s="1376"/>
      <c r="J49" s="144"/>
      <c r="K49" s="1376"/>
      <c r="L49" s="144"/>
      <c r="M49" s="144"/>
    </row>
    <row r="50" spans="1:13" ht="15" customHeight="1" thickBot="1" x14ac:dyDescent="0.25">
      <c r="A50" s="142"/>
      <c r="B50" s="176" t="s">
        <v>160</v>
      </c>
      <c r="C50" s="55" t="s">
        <v>161</v>
      </c>
      <c r="D50" s="144"/>
      <c r="E50" s="144"/>
      <c r="F50" s="144"/>
      <c r="G50" s="1415"/>
      <c r="H50" s="144"/>
      <c r="I50" s="1376"/>
      <c r="J50" s="144"/>
      <c r="K50" s="1376"/>
      <c r="L50" s="144"/>
      <c r="M50" s="144"/>
    </row>
    <row r="51" spans="1:13" ht="15" customHeight="1" thickBot="1" x14ac:dyDescent="0.25">
      <c r="A51" s="134" t="s">
        <v>17</v>
      </c>
      <c r="B51" s="170"/>
      <c r="C51" s="171" t="s">
        <v>443</v>
      </c>
      <c r="D51" s="137">
        <f>SUM(D52:D55)</f>
        <v>0</v>
      </c>
      <c r="E51" s="137">
        <f>SUM(E52:E55)</f>
        <v>0</v>
      </c>
      <c r="F51" s="137">
        <f>SUM(F52:F55)</f>
        <v>0</v>
      </c>
      <c r="G51" s="1382">
        <f>SUM(H51-F51)</f>
        <v>0</v>
      </c>
      <c r="H51" s="137">
        <f>SUM(H52:H55)</f>
        <v>0</v>
      </c>
      <c r="I51" s="1374">
        <f>SUM(J51-H51)</f>
        <v>0</v>
      </c>
      <c r="J51" s="137">
        <f>SUM(J52:J55)</f>
        <v>0</v>
      </c>
      <c r="K51" s="1374">
        <f>SUM(L51-J51)</f>
        <v>0</v>
      </c>
      <c r="L51" s="137">
        <f>SUM(L52:L55)</f>
        <v>0</v>
      </c>
      <c r="M51" s="137">
        <f>SUM(M52:M55)</f>
        <v>0</v>
      </c>
    </row>
    <row r="52" spans="1:13" s="172" customFormat="1" ht="15" customHeight="1" x14ac:dyDescent="0.2">
      <c r="A52" s="173"/>
      <c r="B52" s="267" t="s">
        <v>5</v>
      </c>
      <c r="C52" s="251" t="s">
        <v>183</v>
      </c>
      <c r="D52" s="175"/>
      <c r="E52" s="175"/>
      <c r="F52" s="175"/>
      <c r="G52" s="1432">
        <f>SUM(H52-F52)</f>
        <v>0</v>
      </c>
      <c r="H52" s="175"/>
      <c r="I52" s="1386">
        <f>SUM(J52-H52)</f>
        <v>0</v>
      </c>
      <c r="J52" s="175"/>
      <c r="K52" s="1386">
        <f>SUM(L52-J52)</f>
        <v>0</v>
      </c>
      <c r="L52" s="175"/>
      <c r="M52" s="175"/>
    </row>
    <row r="53" spans="1:13" ht="15" customHeight="1" x14ac:dyDescent="0.2">
      <c r="A53" s="142"/>
      <c r="B53" s="253" t="s">
        <v>7</v>
      </c>
      <c r="C53" s="55" t="s">
        <v>185</v>
      </c>
      <c r="D53" s="144"/>
      <c r="E53" s="144"/>
      <c r="F53" s="144"/>
      <c r="G53" s="1415"/>
      <c r="H53" s="144"/>
      <c r="I53" s="1376"/>
      <c r="J53" s="144"/>
      <c r="K53" s="1376"/>
      <c r="L53" s="144"/>
      <c r="M53" s="144"/>
    </row>
    <row r="54" spans="1:13" ht="15" customHeight="1" thickBot="1" x14ac:dyDescent="0.25">
      <c r="A54" s="142"/>
      <c r="B54" s="253" t="s">
        <v>9</v>
      </c>
      <c r="C54" s="55" t="s">
        <v>444</v>
      </c>
      <c r="D54" s="144"/>
      <c r="E54" s="144"/>
      <c r="F54" s="144"/>
      <c r="G54" s="1415"/>
      <c r="H54" s="144"/>
      <c r="I54" s="1376"/>
      <c r="J54" s="144"/>
      <c r="K54" s="1376"/>
      <c r="L54" s="144"/>
      <c r="M54" s="144"/>
    </row>
    <row r="55" spans="1:13" ht="12.75" hidden="1" customHeight="1" x14ac:dyDescent="0.2">
      <c r="A55" s="151"/>
      <c r="B55" s="188"/>
      <c r="C55" s="2376"/>
      <c r="D55" s="153"/>
      <c r="E55" s="153"/>
      <c r="F55" s="153"/>
      <c r="G55" s="1415"/>
      <c r="H55" s="144"/>
      <c r="I55" s="1376"/>
      <c r="J55" s="144"/>
      <c r="K55" s="1376"/>
      <c r="L55" s="144"/>
      <c r="M55" s="144"/>
    </row>
    <row r="56" spans="1:13" ht="15" hidden="1" customHeight="1" thickBot="1" x14ac:dyDescent="0.25">
      <c r="A56" s="178" t="s">
        <v>31</v>
      </c>
      <c r="B56" s="2748"/>
      <c r="C56" s="2749" t="s">
        <v>445</v>
      </c>
      <c r="D56" s="297"/>
      <c r="E56" s="297"/>
      <c r="F56" s="297"/>
      <c r="G56" s="1381"/>
      <c r="H56" s="155"/>
      <c r="I56" s="1380"/>
      <c r="J56" s="155"/>
      <c r="K56" s="1380"/>
      <c r="L56" s="155"/>
      <c r="M56" s="155"/>
    </row>
    <row r="57" spans="1:13" s="145" customFormat="1" ht="12.75" hidden="1" customHeight="1" x14ac:dyDescent="0.2">
      <c r="A57" s="134"/>
      <c r="B57" s="170"/>
      <c r="C57" s="171"/>
      <c r="D57" s="155"/>
      <c r="E57" s="155"/>
      <c r="F57" s="155"/>
      <c r="G57" s="1381"/>
      <c r="H57" s="155"/>
      <c r="I57" s="1380"/>
      <c r="J57" s="155"/>
      <c r="K57" s="1380"/>
      <c r="L57" s="155"/>
      <c r="M57" s="155"/>
    </row>
    <row r="58" spans="1:13" ht="15" customHeight="1" thickBot="1" x14ac:dyDescent="0.25">
      <c r="A58" s="192" t="s">
        <v>31</v>
      </c>
      <c r="B58" s="160"/>
      <c r="C58" s="274" t="s">
        <v>446</v>
      </c>
      <c r="D58" s="162">
        <f>+D45+D51+D56</f>
        <v>42749</v>
      </c>
      <c r="E58" s="162">
        <f>+E45+E51+E56</f>
        <v>61203</v>
      </c>
      <c r="F58" s="162">
        <f>+F45+F51+F56</f>
        <v>65783974</v>
      </c>
      <c r="G58" s="1437">
        <f>SUM(H58-F58)</f>
        <v>984945</v>
      </c>
      <c r="H58" s="162">
        <f>+H45+H51+H56</f>
        <v>66768919</v>
      </c>
      <c r="I58" s="1373">
        <f>SUM(J58-H58)</f>
        <v>12034538</v>
      </c>
      <c r="J58" s="162">
        <f>+J45+J51+J56</f>
        <v>78803457</v>
      </c>
      <c r="K58" s="1373">
        <f>SUM(L58-J58)</f>
        <v>0</v>
      </c>
      <c r="L58" s="162">
        <f>+L45+L51+L56</f>
        <v>78803457</v>
      </c>
      <c r="M58" s="162">
        <f>+M45+M51+M56</f>
        <v>78297967</v>
      </c>
    </row>
    <row r="59" spans="1:13" ht="15" customHeight="1" thickBot="1" x14ac:dyDescent="0.25">
      <c r="A59" s="1303"/>
      <c r="B59" s="886"/>
      <c r="C59" s="886"/>
      <c r="D59" s="886"/>
      <c r="E59" s="886"/>
      <c r="F59" s="1304"/>
      <c r="G59" s="1439"/>
      <c r="H59" s="1439"/>
      <c r="I59" s="1439"/>
      <c r="J59" s="1439"/>
      <c r="K59" s="1439"/>
      <c r="L59" s="198"/>
      <c r="M59" s="2130"/>
    </row>
    <row r="60" spans="1:13" ht="15" customHeight="1" thickBot="1" x14ac:dyDescent="0.25">
      <c r="A60" s="276" t="s">
        <v>324</v>
      </c>
      <c r="B60" s="277"/>
      <c r="C60" s="278"/>
      <c r="D60" s="200">
        <v>7.75</v>
      </c>
      <c r="E60" s="200">
        <v>7.75</v>
      </c>
      <c r="F60" s="200">
        <v>10.75</v>
      </c>
      <c r="G60" s="1559">
        <f>SUM(H60-F60)</f>
        <v>0</v>
      </c>
      <c r="H60" s="200">
        <v>10.75</v>
      </c>
      <c r="I60" s="1388"/>
      <c r="J60" s="200">
        <v>10.75</v>
      </c>
      <c r="K60" s="1388"/>
      <c r="L60" s="200">
        <v>10.75</v>
      </c>
      <c r="M60" s="200">
        <v>10.75</v>
      </c>
    </row>
    <row r="61" spans="1:13" ht="15" customHeight="1" thickBot="1" x14ac:dyDescent="0.25">
      <c r="A61" s="276" t="s">
        <v>325</v>
      </c>
      <c r="B61" s="277"/>
      <c r="C61" s="278"/>
      <c r="D61" s="200"/>
      <c r="E61" s="200"/>
      <c r="F61" s="200"/>
      <c r="G61" s="1559"/>
      <c r="H61" s="200"/>
      <c r="I61" s="1388"/>
      <c r="J61" s="200"/>
      <c r="K61" s="1388"/>
      <c r="L61" s="200"/>
      <c r="M61" s="200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5748031496062992" right="0.15748031496062992" top="0.51181102362204722" bottom="0.39370078740157483" header="0.51181102362204722" footer="0.19685039370078741"/>
  <pageSetup paperSize="9" scale="73" firstPageNumber="38" orientation="portrait" useFirstPageNumber="1" r:id="rId1"/>
  <headerFooter>
    <oddFooter>&amp;C- &amp;P -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62"/>
  <sheetViews>
    <sheetView view="pageBreakPreview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4.1640625" style="115" customWidth="1"/>
    <col min="4" max="5" width="9.33203125" style="115" hidden="1" customWidth="1"/>
    <col min="6" max="6" width="13.5" style="115" customWidth="1"/>
    <col min="7" max="7" width="13.5" style="1390" hidden="1" customWidth="1"/>
    <col min="8" max="8" width="13.33203125" style="115" hidden="1" customWidth="1"/>
    <col min="9" max="9" width="11.5" style="1390" hidden="1" customWidth="1"/>
    <col min="10" max="10" width="13.1640625" style="115" customWidth="1"/>
    <col min="11" max="11" width="14.5" style="1390" customWidth="1"/>
    <col min="12" max="12" width="14.5" style="115" customWidth="1"/>
    <col min="13" max="13" width="13.6640625" style="115" customWidth="1"/>
    <col min="14" max="14" width="9.33203125" style="115"/>
    <col min="15" max="16" width="14.83203125" style="115" customWidth="1"/>
    <col min="17" max="17" width="16.5" style="115" customWidth="1"/>
    <col min="18" max="18" width="15.1640625" style="115" customWidth="1"/>
    <col min="19" max="19" width="18" style="115" customWidth="1"/>
    <col min="20" max="16384" width="9.33203125" style="115"/>
  </cols>
  <sheetData>
    <row r="1" spans="1:13" s="95" customFormat="1" ht="21" customHeight="1" thickBot="1" x14ac:dyDescent="0.25">
      <c r="A1" s="240"/>
      <c r="B1" s="241"/>
      <c r="C1" s="4494" t="s">
        <v>765</v>
      </c>
      <c r="D1" s="4494"/>
      <c r="E1" s="4494"/>
      <c r="F1" s="4494"/>
      <c r="G1" s="4494"/>
      <c r="H1" s="4494"/>
      <c r="I1" s="4494"/>
      <c r="J1" s="4494"/>
      <c r="K1" s="4494"/>
      <c r="L1" s="4494"/>
      <c r="M1" s="4494"/>
    </row>
    <row r="2" spans="1:13" s="120" customFormat="1" ht="51" customHeight="1" thickBot="1" x14ac:dyDescent="0.25">
      <c r="A2" s="4516" t="s">
        <v>411</v>
      </c>
      <c r="B2" s="4516"/>
      <c r="C2" s="117" t="s">
        <v>412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120" customFormat="1" ht="30" customHeight="1" thickBot="1" x14ac:dyDescent="0.25">
      <c r="A3" s="4506" t="s">
        <v>283</v>
      </c>
      <c r="B3" s="4506"/>
      <c r="C3" s="204" t="s">
        <v>859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123" customFormat="1" ht="15.95" customHeight="1" thickBot="1" x14ac:dyDescent="0.3">
      <c r="A4" s="1300"/>
      <c r="B4" s="1301"/>
      <c r="C4" s="1301"/>
      <c r="D4" s="4518"/>
      <c r="E4" s="4518"/>
      <c r="F4" s="4519"/>
      <c r="G4" s="1511"/>
      <c r="H4" s="1538"/>
      <c r="I4" s="1538"/>
      <c r="J4" s="1538"/>
      <c r="K4" s="1538"/>
      <c r="L4" s="1538"/>
      <c r="M4" s="1302" t="s">
        <v>935</v>
      </c>
    </row>
    <row r="5" spans="1:13" ht="22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129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129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5</v>
      </c>
      <c r="K8" s="1374">
        <f>SUM(L8-J8)</f>
        <v>0</v>
      </c>
      <c r="L8" s="137">
        <f>SUM(L9:L18)</f>
        <v>5</v>
      </c>
      <c r="M8" s="137">
        <f>SUM(M9:M18)</f>
        <v>5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/>
      <c r="E9" s="150"/>
      <c r="F9" s="150"/>
      <c r="G9" s="1533"/>
      <c r="H9" s="150"/>
      <c r="I9" s="1375"/>
      <c r="J9" s="150"/>
      <c r="K9" s="1375"/>
      <c r="L9" s="150"/>
      <c r="M9" s="150"/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/>
      <c r="E10" s="144"/>
      <c r="F10" s="144"/>
      <c r="G10" s="1415"/>
      <c r="H10" s="144"/>
      <c r="I10" s="1376"/>
      <c r="J10" s="144"/>
      <c r="K10" s="1376"/>
      <c r="L10" s="144"/>
      <c r="M10" s="144"/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/>
      <c r="E11" s="144"/>
      <c r="F11" s="144"/>
      <c r="G11" s="1415"/>
      <c r="H11" s="144"/>
      <c r="I11" s="1376"/>
      <c r="J11" s="144"/>
      <c r="K11" s="1376"/>
      <c r="L11" s="144"/>
      <c r="M11" s="144"/>
    </row>
    <row r="12" spans="1:13" s="141" customFormat="1" ht="15" customHeight="1" x14ac:dyDescent="0.2">
      <c r="A12" s="142"/>
      <c r="B12" s="143" t="s">
        <v>158</v>
      </c>
      <c r="C12" s="55" t="s">
        <v>978</v>
      </c>
      <c r="D12" s="144"/>
      <c r="E12" s="144"/>
      <c r="F12" s="144"/>
      <c r="G12" s="1415"/>
      <c r="H12" s="144"/>
      <c r="I12" s="1376"/>
      <c r="J12" s="144"/>
      <c r="K12" s="1376"/>
      <c r="L12" s="144"/>
      <c r="M12" s="144"/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/>
      <c r="G13" s="1415"/>
      <c r="H13" s="144"/>
      <c r="I13" s="1376"/>
      <c r="J13" s="144"/>
      <c r="K13" s="1376"/>
      <c r="L13" s="144"/>
      <c r="M13" s="144"/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7"/>
      <c r="E14" s="147"/>
      <c r="F14" s="147"/>
      <c r="G14" s="1519"/>
      <c r="H14" s="147"/>
      <c r="I14" s="1377"/>
      <c r="J14" s="147"/>
      <c r="K14" s="1377"/>
      <c r="L14" s="147"/>
      <c r="M14" s="147"/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/>
      <c r="E15" s="144"/>
      <c r="F15" s="144"/>
      <c r="G15" s="1415"/>
      <c r="H15" s="144"/>
      <c r="I15" s="1376"/>
      <c r="J15" s="144"/>
      <c r="K15" s="1376"/>
      <c r="L15" s="144"/>
      <c r="M15" s="144"/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/>
      <c r="G16" s="1518"/>
      <c r="H16" s="153"/>
      <c r="I16" s="1378"/>
      <c r="J16" s="153"/>
      <c r="K16" s="1378"/>
      <c r="L16" s="153"/>
      <c r="M16" s="153"/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518"/>
      <c r="H17" s="153"/>
      <c r="I17" s="1378"/>
      <c r="J17" s="153"/>
      <c r="K17" s="1378"/>
      <c r="L17" s="153"/>
      <c r="M17" s="153"/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/>
      <c r="E18" s="153"/>
      <c r="F18" s="153"/>
      <c r="G18" s="1518"/>
      <c r="H18" s="153"/>
      <c r="I18" s="1378"/>
      <c r="J18" s="153">
        <v>5</v>
      </c>
      <c r="K18" s="1378">
        <f>SUM(L18-J18)</f>
        <v>0</v>
      </c>
      <c r="L18" s="153">
        <v>5</v>
      </c>
      <c r="M18" s="153">
        <v>5</v>
      </c>
    </row>
    <row r="19" spans="1:13" s="141" customFormat="1" ht="36" customHeight="1" thickBot="1" x14ac:dyDescent="0.25">
      <c r="A19" s="134" t="s">
        <v>17</v>
      </c>
      <c r="B19" s="148"/>
      <c r="C19" s="247" t="s">
        <v>419</v>
      </c>
      <c r="D19" s="137">
        <f>SUM(D20:D25)</f>
        <v>4268</v>
      </c>
      <c r="E19" s="137">
        <f>SUM(E20:E25)</f>
        <v>4740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</row>
    <row r="20" spans="1:13" s="145" customFormat="1" ht="29.25" customHeight="1" x14ac:dyDescent="0.2">
      <c r="A20" s="142"/>
      <c r="B20" s="143" t="s">
        <v>5</v>
      </c>
      <c r="C20" s="251" t="s">
        <v>420</v>
      </c>
      <c r="D20" s="144">
        <v>4268</v>
      </c>
      <c r="E20" s="144">
        <v>4740</v>
      </c>
      <c r="F20" s="144"/>
      <c r="G20" s="1415"/>
      <c r="H20" s="144"/>
      <c r="I20" s="1376"/>
      <c r="J20" s="144"/>
      <c r="K20" s="1376"/>
      <c r="L20" s="144"/>
      <c r="M20" s="144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/>
      <c r="G21" s="1415"/>
      <c r="H21" s="144"/>
      <c r="I21" s="1376"/>
      <c r="J21" s="144"/>
      <c r="K21" s="1376"/>
      <c r="L21" s="144"/>
      <c r="M21" s="144"/>
    </row>
    <row r="22" spans="1:13" s="145" customFormat="1" ht="15" customHeight="1" x14ac:dyDescent="0.2">
      <c r="A22" s="142"/>
      <c r="B22" s="143" t="s">
        <v>360</v>
      </c>
      <c r="C22" s="55" t="s">
        <v>1430</v>
      </c>
      <c r="D22" s="144"/>
      <c r="E22" s="144"/>
      <c r="F22" s="144"/>
      <c r="G22" s="1415"/>
      <c r="H22" s="144"/>
      <c r="I22" s="1376"/>
      <c r="J22" s="144"/>
      <c r="K22" s="1376"/>
      <c r="L22" s="144"/>
      <c r="M22" s="144"/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/>
      <c r="E23" s="144"/>
      <c r="F23" s="144"/>
      <c r="G23" s="1415"/>
      <c r="H23" s="144"/>
      <c r="I23" s="1376"/>
      <c r="J23" s="144"/>
      <c r="K23" s="1376"/>
      <c r="L23" s="144"/>
      <c r="M23" s="144"/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/>
      <c r="G24" s="1415"/>
      <c r="H24" s="144"/>
      <c r="I24" s="1376"/>
      <c r="J24" s="144"/>
      <c r="K24" s="1376"/>
      <c r="L24" s="144"/>
      <c r="M24" s="144"/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/>
      <c r="E25" s="144"/>
      <c r="F25" s="153"/>
      <c r="G25" s="1518"/>
      <c r="H25" s="144"/>
      <c r="I25" s="1378"/>
      <c r="J25" s="144"/>
      <c r="K25" s="1378"/>
      <c r="L25" s="144"/>
      <c r="M25" s="144"/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498"/>
      <c r="F26" s="252"/>
      <c r="G26" s="1509"/>
      <c r="H26" s="252"/>
      <c r="I26" s="1436"/>
      <c r="J26" s="252"/>
      <c r="K26" s="1436"/>
      <c r="L26" s="252"/>
      <c r="M26" s="252"/>
    </row>
    <row r="27" spans="1:13" s="145" customFormat="1" ht="15" customHeight="1" thickBot="1" x14ac:dyDescent="0.25">
      <c r="A27" s="142"/>
      <c r="B27" s="143" t="s">
        <v>19</v>
      </c>
      <c r="C27" s="55" t="s">
        <v>427</v>
      </c>
      <c r="D27" s="147"/>
      <c r="E27" s="147"/>
      <c r="F27" s="147"/>
      <c r="G27" s="1519"/>
      <c r="H27" s="147"/>
      <c r="I27" s="1377"/>
      <c r="J27" s="147"/>
      <c r="K27" s="1377"/>
      <c r="L27" s="147"/>
      <c r="M27" s="147"/>
    </row>
    <row r="28" spans="1:13" s="145" customFormat="1" ht="15" hidden="1" customHeight="1" thickBot="1" x14ac:dyDescent="0.25">
      <c r="A28" s="134">
        <v>4</v>
      </c>
      <c r="B28" s="170"/>
      <c r="C28" s="170" t="s">
        <v>455</v>
      </c>
      <c r="D28" s="155"/>
      <c r="E28" s="155"/>
      <c r="F28" s="155"/>
      <c r="G28" s="1381"/>
      <c r="H28" s="155"/>
      <c r="I28" s="1380"/>
      <c r="J28" s="155"/>
      <c r="K28" s="1380"/>
      <c r="L28" s="155"/>
      <c r="M28" s="155"/>
    </row>
    <row r="29" spans="1:13" s="145" customFormat="1" ht="15" customHeight="1" thickBot="1" x14ac:dyDescent="0.25">
      <c r="A29" s="134" t="s">
        <v>45</v>
      </c>
      <c r="B29" s="148"/>
      <c r="C29" s="170" t="s">
        <v>428</v>
      </c>
      <c r="D29" s="283"/>
      <c r="E29" s="669"/>
      <c r="F29" s="155"/>
      <c r="G29" s="1381"/>
      <c r="H29" s="155"/>
      <c r="I29" s="1380"/>
      <c r="J29" s="155"/>
      <c r="K29" s="1380"/>
      <c r="L29" s="155"/>
      <c r="M29" s="155"/>
    </row>
    <row r="30" spans="1:13" s="145" customFormat="1" ht="15" customHeight="1" x14ac:dyDescent="0.2">
      <c r="A30" s="142"/>
      <c r="B30" s="253" t="s">
        <v>33</v>
      </c>
      <c r="C30" s="55" t="s">
        <v>359</v>
      </c>
      <c r="D30" s="283"/>
      <c r="E30" s="283"/>
      <c r="F30" s="283"/>
      <c r="G30" s="2753"/>
      <c r="H30" s="283"/>
      <c r="I30" s="1394"/>
      <c r="J30" s="283"/>
      <c r="K30" s="1394"/>
      <c r="L30" s="283"/>
      <c r="M30" s="283"/>
    </row>
    <row r="31" spans="1:13" s="145" customFormat="1" ht="15" customHeight="1" x14ac:dyDescent="0.2">
      <c r="A31" s="142"/>
      <c r="B31" s="253" t="s">
        <v>39</v>
      </c>
      <c r="C31" s="55" t="s">
        <v>72</v>
      </c>
      <c r="D31" s="144"/>
      <c r="E31" s="144"/>
      <c r="F31" s="144"/>
      <c r="G31" s="1415"/>
      <c r="H31" s="144"/>
      <c r="I31" s="1376"/>
      <c r="J31" s="144"/>
      <c r="K31" s="1376"/>
      <c r="L31" s="144"/>
      <c r="M31" s="144"/>
    </row>
    <row r="32" spans="1:13" s="141" customFormat="1" ht="15" customHeight="1" thickBot="1" x14ac:dyDescent="0.25">
      <c r="A32" s="142"/>
      <c r="B32" s="253" t="s">
        <v>41</v>
      </c>
      <c r="C32" s="55" t="s">
        <v>74</v>
      </c>
      <c r="D32" s="144"/>
      <c r="E32" s="144"/>
      <c r="F32" s="153"/>
      <c r="G32" s="1518"/>
      <c r="H32" s="144"/>
      <c r="I32" s="1378"/>
      <c r="J32" s="144"/>
      <c r="K32" s="1378"/>
      <c r="L32" s="144"/>
      <c r="M32" s="144"/>
    </row>
    <row r="33" spans="1:19" s="141" customFormat="1" ht="28.5" customHeight="1" thickBot="1" x14ac:dyDescent="0.25">
      <c r="A33" s="134">
        <v>5</v>
      </c>
      <c r="B33" s="254"/>
      <c r="C33" s="170" t="s">
        <v>429</v>
      </c>
      <c r="D33" s="284"/>
      <c r="E33" s="463"/>
      <c r="F33" s="252"/>
      <c r="G33" s="1509"/>
      <c r="H33" s="252"/>
      <c r="I33" s="1436"/>
      <c r="J33" s="252"/>
      <c r="K33" s="1436"/>
      <c r="L33" s="252"/>
      <c r="M33" s="252"/>
    </row>
    <row r="34" spans="1:19" s="141" customFormat="1" ht="29.25" customHeight="1" thickBot="1" x14ac:dyDescent="0.25">
      <c r="A34" s="134"/>
      <c r="B34" s="255" t="s">
        <v>47</v>
      </c>
      <c r="C34" s="251" t="s">
        <v>430</v>
      </c>
      <c r="D34" s="284"/>
      <c r="E34" s="463"/>
      <c r="F34" s="147"/>
      <c r="G34" s="1519"/>
      <c r="H34" s="284"/>
      <c r="I34" s="1519"/>
      <c r="J34" s="284"/>
      <c r="K34" s="1519"/>
      <c r="L34" s="284"/>
      <c r="M34" s="284"/>
    </row>
    <row r="35" spans="1:19" s="141" customFormat="1" ht="15" customHeight="1" thickBot="1" x14ac:dyDescent="0.3">
      <c r="A35" s="134" t="s">
        <v>79</v>
      </c>
      <c r="B35" s="256"/>
      <c r="C35" s="247" t="s">
        <v>431</v>
      </c>
      <c r="D35" s="284"/>
      <c r="E35" s="463"/>
      <c r="F35" s="252"/>
      <c r="G35" s="1509"/>
      <c r="H35" s="252"/>
      <c r="I35" s="1436"/>
      <c r="J35" s="252"/>
      <c r="K35" s="1436"/>
      <c r="L35" s="252"/>
      <c r="M35" s="252"/>
    </row>
    <row r="36" spans="1:19" s="141" customFormat="1" ht="15" customHeight="1" thickBot="1" x14ac:dyDescent="0.25">
      <c r="A36" s="134"/>
      <c r="B36" s="257" t="s">
        <v>69</v>
      </c>
      <c r="C36" s="55" t="s">
        <v>432</v>
      </c>
      <c r="D36" s="284"/>
      <c r="E36" s="463"/>
      <c r="F36" s="320"/>
      <c r="G36" s="1519"/>
      <c r="H36" s="284"/>
      <c r="I36" s="1519"/>
      <c r="J36" s="284"/>
      <c r="K36" s="1519"/>
      <c r="L36" s="284"/>
      <c r="M36" s="284"/>
    </row>
    <row r="37" spans="1:19" s="141" customFormat="1" ht="15" customHeight="1" thickBot="1" x14ac:dyDescent="0.3">
      <c r="A37" s="134" t="s">
        <v>89</v>
      </c>
      <c r="B37" s="256"/>
      <c r="C37" s="170" t="s">
        <v>433</v>
      </c>
      <c r="D37" s="285">
        <f>+D38+D39</f>
        <v>0</v>
      </c>
      <c r="E37" s="285">
        <f>+E38+E39</f>
        <v>0</v>
      </c>
      <c r="F37" s="285">
        <f>+F38+F39</f>
        <v>0</v>
      </c>
      <c r="G37" s="1382">
        <f>SUM(H37-F37)</f>
        <v>72778494</v>
      </c>
      <c r="H37" s="285">
        <f>+H38+H39+H40</f>
        <v>72778494</v>
      </c>
      <c r="I37" s="1382">
        <f>SUM(J37-H37)</f>
        <v>-3943344</v>
      </c>
      <c r="J37" s="285">
        <f>+J38+J39+J40</f>
        <v>68835150</v>
      </c>
      <c r="K37" s="1382">
        <f>SUM(L37-J37)</f>
        <v>0</v>
      </c>
      <c r="L37" s="285">
        <f>+L38+L39+L40</f>
        <v>68835150</v>
      </c>
      <c r="M37" s="285">
        <f>+M38+M39+M40</f>
        <v>68292541</v>
      </c>
    </row>
    <row r="38" spans="1:19" s="141" customFormat="1" ht="15" customHeight="1" x14ac:dyDescent="0.2">
      <c r="A38" s="149"/>
      <c r="B38" s="253" t="s">
        <v>81</v>
      </c>
      <c r="C38" s="55" t="s">
        <v>434</v>
      </c>
      <c r="D38" s="144"/>
      <c r="E38" s="144"/>
      <c r="F38" s="144"/>
      <c r="G38" s="1415"/>
      <c r="H38" s="144"/>
      <c r="I38" s="1376"/>
      <c r="J38" s="144"/>
      <c r="K38" s="1376"/>
      <c r="L38" s="144"/>
      <c r="M38" s="144"/>
    </row>
    <row r="39" spans="1:19" s="141" customFormat="1" ht="15" customHeight="1" x14ac:dyDescent="0.2">
      <c r="A39" s="142"/>
      <c r="B39" s="253" t="s">
        <v>83</v>
      </c>
      <c r="C39" s="55" t="s">
        <v>435</v>
      </c>
      <c r="D39" s="144"/>
      <c r="E39" s="144"/>
      <c r="F39" s="144"/>
      <c r="G39" s="1415"/>
      <c r="H39" s="144"/>
      <c r="I39" s="1376"/>
      <c r="J39" s="144"/>
      <c r="K39" s="1376"/>
      <c r="L39" s="144"/>
      <c r="M39" s="144"/>
    </row>
    <row r="40" spans="1:19" s="145" customFormat="1" ht="15" x14ac:dyDescent="0.2">
      <c r="A40" s="671"/>
      <c r="B40" s="253" t="s">
        <v>85</v>
      </c>
      <c r="C40" s="55" t="s">
        <v>1433</v>
      </c>
      <c r="D40" s="144">
        <v>34161</v>
      </c>
      <c r="E40" s="144">
        <v>34519</v>
      </c>
      <c r="F40" s="144">
        <f>SUM(F41:F42)</f>
        <v>71679562</v>
      </c>
      <c r="G40" s="1415">
        <f>SUM(H40-F40)</f>
        <v>1098932</v>
      </c>
      <c r="H40" s="144">
        <f>SUM(H41:H42)</f>
        <v>72778494</v>
      </c>
      <c r="I40" s="1376">
        <f>SUM(J40-H40)</f>
        <v>-3943344</v>
      </c>
      <c r="J40" s="144">
        <f>SUM(J41:J42)</f>
        <v>68835150</v>
      </c>
      <c r="K40" s="1376">
        <f>SUM(L40-J40)</f>
        <v>0</v>
      </c>
      <c r="L40" s="144">
        <f>SUM(L41:L42)</f>
        <v>68835150</v>
      </c>
      <c r="M40" s="144">
        <f>SUM(M41:M42)</f>
        <v>68292541</v>
      </c>
    </row>
    <row r="41" spans="1:19" s="145" customFormat="1" ht="15.75" thickBot="1" x14ac:dyDescent="0.25">
      <c r="A41" s="671"/>
      <c r="B41" s="253" t="s">
        <v>437</v>
      </c>
      <c r="C41" s="261" t="s">
        <v>891</v>
      </c>
      <c r="D41" s="147"/>
      <c r="E41" s="147"/>
      <c r="F41" s="1306"/>
      <c r="G41" s="1534">
        <f>SUM(H41-F41)</f>
        <v>0</v>
      </c>
      <c r="H41" s="1306"/>
      <c r="I41" s="1492">
        <f>SUM(J41-H41)</f>
        <v>0</v>
      </c>
      <c r="J41" s="1306"/>
      <c r="K41" s="1492">
        <f>SUM(L41-J41)</f>
        <v>0</v>
      </c>
      <c r="L41" s="1306"/>
      <c r="M41" s="144">
        <v>0</v>
      </c>
    </row>
    <row r="42" spans="1:19" s="145" customFormat="1" ht="15.75" thickBot="1" x14ac:dyDescent="0.25">
      <c r="A42" s="672"/>
      <c r="B42" s="257" t="s">
        <v>799</v>
      </c>
      <c r="C42" s="264" t="s">
        <v>532</v>
      </c>
      <c r="D42" s="155"/>
      <c r="E42" s="155"/>
      <c r="F42" s="1306">
        <v>71679562</v>
      </c>
      <c r="G42" s="1534">
        <f>SUM(H42-F42)</f>
        <v>1098932</v>
      </c>
      <c r="H42" s="1306">
        <v>72778494</v>
      </c>
      <c r="I42" s="1492">
        <f>SUM(J42-H42)</f>
        <v>-3943344</v>
      </c>
      <c r="J42" s="1306">
        <v>68835150</v>
      </c>
      <c r="K42" s="1492">
        <f>SUM(L42-J42)</f>
        <v>0</v>
      </c>
      <c r="L42" s="1306">
        <v>68835150</v>
      </c>
      <c r="M42" s="144">
        <v>68292541</v>
      </c>
      <c r="O42" s="470" t="s">
        <v>521</v>
      </c>
      <c r="P42" s="470" t="s">
        <v>1060</v>
      </c>
      <c r="Q42" s="470" t="s">
        <v>1061</v>
      </c>
      <c r="R42" s="470" t="s">
        <v>1062</v>
      </c>
      <c r="S42" s="470" t="s">
        <v>769</v>
      </c>
    </row>
    <row r="43" spans="1:19" s="145" customFormat="1" ht="16.5" thickBot="1" x14ac:dyDescent="0.25">
      <c r="A43" s="192" t="s">
        <v>99</v>
      </c>
      <c r="B43" s="160"/>
      <c r="C43" s="274" t="s">
        <v>441</v>
      </c>
      <c r="D43" s="162">
        <f>SUM(D8,D19,D28,D31,D32,D37,D40)</f>
        <v>38429</v>
      </c>
      <c r="E43" s="162">
        <f>SUM(E8,E19,E28,E31,E32,E37,E40)</f>
        <v>39259</v>
      </c>
      <c r="F43" s="162">
        <f>SUM(F8,F19,F28,F31,F32,F37,F40)</f>
        <v>71679562</v>
      </c>
      <c r="G43" s="1437">
        <f>SUM(H43-F43)</f>
        <v>1098932</v>
      </c>
      <c r="H43" s="162">
        <f>SUM(H8,H19,H28,H31,H32,H37)</f>
        <v>72778494</v>
      </c>
      <c r="I43" s="1373">
        <f>SUM(J43-H43)</f>
        <v>-3943339</v>
      </c>
      <c r="J43" s="162">
        <f>SUM(J8,J19,J28,J31,J32,J37)</f>
        <v>68835155</v>
      </c>
      <c r="K43" s="1373">
        <f>SUM(L43-J43)</f>
        <v>0</v>
      </c>
      <c r="L43" s="162">
        <f>SUM(L8,L19,L28,L31,L32,L37)</f>
        <v>68835155</v>
      </c>
      <c r="M43" s="162">
        <f>SUM(M8,M19,M28,M31,M32,M37)</f>
        <v>68292546</v>
      </c>
      <c r="O43" s="1305">
        <f>SUM(F59-F43)</f>
        <v>0</v>
      </c>
      <c r="P43" s="1305">
        <f>SUM(H59-H43)</f>
        <v>0</v>
      </c>
      <c r="Q43" s="1305">
        <f>SUM(J59-J43)</f>
        <v>0</v>
      </c>
      <c r="R43" s="1305">
        <f>SUM(L59-L43)</f>
        <v>0</v>
      </c>
      <c r="S43" s="1305">
        <f>SUM(M59-M43)</f>
        <v>-5</v>
      </c>
    </row>
    <row r="44" spans="1:19" ht="15" customHeight="1" thickBot="1" x14ac:dyDescent="0.25">
      <c r="A44" s="1303"/>
      <c r="B44" s="886"/>
      <c r="C44" s="886"/>
      <c r="D44" s="2145"/>
      <c r="E44" s="2145"/>
      <c r="F44" s="2131"/>
      <c r="G44" s="1512"/>
      <c r="H44" s="1512"/>
      <c r="I44" s="1512"/>
      <c r="J44" s="1512"/>
      <c r="K44" s="1512"/>
      <c r="L44" s="1512"/>
      <c r="M44" s="2131"/>
    </row>
    <row r="45" spans="1:19" s="129" customFormat="1" ht="15" customHeight="1" thickBot="1" x14ac:dyDescent="0.25">
      <c r="A45" s="192"/>
      <c r="B45" s="160"/>
      <c r="C45" s="282" t="s">
        <v>231</v>
      </c>
      <c r="D45" s="162"/>
      <c r="E45" s="162"/>
      <c r="F45" s="162"/>
      <c r="G45" s="1437"/>
      <c r="H45" s="162"/>
      <c r="I45" s="1373"/>
      <c r="J45" s="162"/>
      <c r="K45" s="1373"/>
      <c r="L45" s="162"/>
      <c r="M45" s="162"/>
    </row>
    <row r="46" spans="1:19" s="172" customFormat="1" ht="15" customHeight="1" thickBot="1" x14ac:dyDescent="0.25">
      <c r="A46" s="134" t="s">
        <v>3</v>
      </c>
      <c r="B46" s="170"/>
      <c r="C46" s="171" t="s">
        <v>442</v>
      </c>
      <c r="D46" s="137">
        <f>SUM(D47:D51)</f>
        <v>38429</v>
      </c>
      <c r="E46" s="137">
        <f>SUM(E47:E51)</f>
        <v>39259</v>
      </c>
      <c r="F46" s="137">
        <f>SUM(F47:F51)</f>
        <v>71679562</v>
      </c>
      <c r="G46" s="1382">
        <f>SUM(H46-F46)</f>
        <v>1041782</v>
      </c>
      <c r="H46" s="137">
        <f>SUM(H47:H51)</f>
        <v>72721344</v>
      </c>
      <c r="I46" s="1382">
        <f>SUM(J46-H46)</f>
        <v>-3943339</v>
      </c>
      <c r="J46" s="137">
        <f>SUM(J47:J51)</f>
        <v>68778005</v>
      </c>
      <c r="K46" s="1382">
        <f>SUM(L46-J46)</f>
        <v>0</v>
      </c>
      <c r="L46" s="137">
        <f>SUM(L47:L51)</f>
        <v>68778005</v>
      </c>
      <c r="M46" s="137">
        <f>SUM(M47:M51)</f>
        <v>68235391</v>
      </c>
    </row>
    <row r="47" spans="1:19" ht="15" customHeight="1" x14ac:dyDescent="0.2">
      <c r="A47" s="173"/>
      <c r="B47" s="174" t="s">
        <v>152</v>
      </c>
      <c r="C47" s="251" t="s">
        <v>153</v>
      </c>
      <c r="D47" s="175">
        <v>26469</v>
      </c>
      <c r="E47" s="175">
        <v>27041</v>
      </c>
      <c r="F47" s="175">
        <v>47979664</v>
      </c>
      <c r="G47" s="1415">
        <f>SUM(H47-F47)</f>
        <v>-669400</v>
      </c>
      <c r="H47" s="175">
        <v>47310264</v>
      </c>
      <c r="I47" s="1376">
        <f>SUM(J47-H47)</f>
        <v>768521</v>
      </c>
      <c r="J47" s="175">
        <v>48078785</v>
      </c>
      <c r="K47" s="1376">
        <f>SUM(L47-J47)</f>
        <v>0</v>
      </c>
      <c r="L47" s="175">
        <v>48078785</v>
      </c>
      <c r="M47" s="175">
        <v>48078785</v>
      </c>
    </row>
    <row r="48" spans="1:19" ht="15" customHeight="1" x14ac:dyDescent="0.2">
      <c r="A48" s="142"/>
      <c r="B48" s="176" t="s">
        <v>154</v>
      </c>
      <c r="C48" s="55" t="s">
        <v>155</v>
      </c>
      <c r="D48" s="144">
        <v>6957</v>
      </c>
      <c r="E48" s="144">
        <v>7111</v>
      </c>
      <c r="F48" s="144">
        <v>9913851</v>
      </c>
      <c r="G48" s="1415">
        <f>SUM(H48-F48)</f>
        <v>16132</v>
      </c>
      <c r="H48" s="144">
        <v>9929983</v>
      </c>
      <c r="I48" s="1376">
        <f>SUM(J48-H48)</f>
        <v>-973567</v>
      </c>
      <c r="J48" s="144">
        <v>8956416</v>
      </c>
      <c r="K48" s="1376">
        <f>SUM(L48-J48)</f>
        <v>0</v>
      </c>
      <c r="L48" s="144">
        <v>8956416</v>
      </c>
      <c r="M48" s="144">
        <v>8956416</v>
      </c>
    </row>
    <row r="49" spans="1:13" ht="15" customHeight="1" x14ac:dyDescent="0.2">
      <c r="A49" s="142"/>
      <c r="B49" s="176" t="s">
        <v>156</v>
      </c>
      <c r="C49" s="55" t="s">
        <v>157</v>
      </c>
      <c r="D49" s="144">
        <v>5003</v>
      </c>
      <c r="E49" s="144">
        <v>5107</v>
      </c>
      <c r="F49" s="144">
        <v>13786047</v>
      </c>
      <c r="G49" s="1415">
        <f>SUM(H49-F49)</f>
        <v>1695050</v>
      </c>
      <c r="H49" s="144">
        <v>15481097</v>
      </c>
      <c r="I49" s="1376">
        <f>SUM(J49-H49)</f>
        <v>-3738293</v>
      </c>
      <c r="J49" s="144">
        <v>11742804</v>
      </c>
      <c r="K49" s="1376">
        <f>SUM(L49-J49)</f>
        <v>0</v>
      </c>
      <c r="L49" s="144">
        <v>11742804</v>
      </c>
      <c r="M49" s="144">
        <v>11200190</v>
      </c>
    </row>
    <row r="50" spans="1:13" ht="15" customHeight="1" x14ac:dyDescent="0.2">
      <c r="A50" s="142"/>
      <c r="B50" s="176" t="s">
        <v>158</v>
      </c>
      <c r="C50" s="55" t="s">
        <v>159</v>
      </c>
      <c r="D50" s="144"/>
      <c r="E50" s="144"/>
      <c r="F50" s="144"/>
      <c r="G50" s="1415"/>
      <c r="H50" s="144"/>
      <c r="I50" s="1376"/>
      <c r="J50" s="144"/>
      <c r="K50" s="1376"/>
      <c r="L50" s="144"/>
      <c r="M50" s="144"/>
    </row>
    <row r="51" spans="1:13" ht="15" customHeight="1" thickBot="1" x14ac:dyDescent="0.25">
      <c r="A51" s="142"/>
      <c r="B51" s="176" t="s">
        <v>160</v>
      </c>
      <c r="C51" s="55" t="s">
        <v>161</v>
      </c>
      <c r="D51" s="144"/>
      <c r="E51" s="144"/>
      <c r="F51" s="144"/>
      <c r="G51" s="1415"/>
      <c r="H51" s="144"/>
      <c r="I51" s="1376"/>
      <c r="J51" s="144"/>
      <c r="K51" s="1376"/>
      <c r="L51" s="144"/>
      <c r="M51" s="144"/>
    </row>
    <row r="52" spans="1:13" ht="15" customHeight="1" thickBot="1" x14ac:dyDescent="0.25">
      <c r="A52" s="134" t="s">
        <v>17</v>
      </c>
      <c r="B52" s="170"/>
      <c r="C52" s="171" t="s">
        <v>443</v>
      </c>
      <c r="D52" s="137">
        <f>SUM(D53:D56)</f>
        <v>0</v>
      </c>
      <c r="E52" s="137">
        <f>SUM(E53:E56)</f>
        <v>0</v>
      </c>
      <c r="F52" s="137">
        <f>SUM(F53:F56)</f>
        <v>0</v>
      </c>
      <c r="G52" s="1382">
        <f>SUM(H52-F52)</f>
        <v>57150</v>
      </c>
      <c r="H52" s="137">
        <f>SUM(H53:H56)</f>
        <v>57150</v>
      </c>
      <c r="I52" s="1382">
        <f>SUM(J52-H52)</f>
        <v>0</v>
      </c>
      <c r="J52" s="137">
        <f>SUM(J53:J56)</f>
        <v>57150</v>
      </c>
      <c r="K52" s="1382">
        <f>SUM(L52-J52)</f>
        <v>0</v>
      </c>
      <c r="L52" s="137">
        <f>SUM(L53:L56)</f>
        <v>57150</v>
      </c>
      <c r="M52" s="137">
        <f>SUM(M53:M56)</f>
        <v>57150</v>
      </c>
    </row>
    <row r="53" spans="1:13" s="172" customFormat="1" ht="15" customHeight="1" thickBot="1" x14ac:dyDescent="0.25">
      <c r="A53" s="173"/>
      <c r="B53" s="267" t="s">
        <v>5</v>
      </c>
      <c r="C53" s="251" t="s">
        <v>183</v>
      </c>
      <c r="D53" s="175"/>
      <c r="E53" s="175"/>
      <c r="F53" s="175"/>
      <c r="G53" s="1432"/>
      <c r="H53" s="175">
        <v>57150</v>
      </c>
      <c r="I53" s="1382">
        <f>SUM(J53-H53)</f>
        <v>0</v>
      </c>
      <c r="J53" s="175">
        <v>57150</v>
      </c>
      <c r="K53" s="1376">
        <f>SUM(L53-J53)</f>
        <v>0</v>
      </c>
      <c r="L53" s="175">
        <v>57150</v>
      </c>
      <c r="M53" s="175">
        <v>57150</v>
      </c>
    </row>
    <row r="54" spans="1:13" ht="15" customHeight="1" x14ac:dyDescent="0.2">
      <c r="A54" s="142"/>
      <c r="B54" s="253" t="s">
        <v>7</v>
      </c>
      <c r="C54" s="55" t="s">
        <v>185</v>
      </c>
      <c r="D54" s="144"/>
      <c r="E54" s="144"/>
      <c r="F54" s="144"/>
      <c r="G54" s="1415"/>
      <c r="H54" s="144"/>
      <c r="I54" s="1376"/>
      <c r="J54" s="144"/>
      <c r="K54" s="1376"/>
      <c r="L54" s="144"/>
      <c r="M54" s="144"/>
    </row>
    <row r="55" spans="1:13" ht="16.5" customHeight="1" thickBot="1" x14ac:dyDescent="0.25">
      <c r="A55" s="142"/>
      <c r="B55" s="253" t="s">
        <v>9</v>
      </c>
      <c r="C55" s="55" t="s">
        <v>444</v>
      </c>
      <c r="D55" s="144"/>
      <c r="E55" s="144"/>
      <c r="F55" s="144"/>
      <c r="G55" s="1415"/>
      <c r="H55" s="144"/>
      <c r="I55" s="1376"/>
      <c r="J55" s="144"/>
      <c r="K55" s="1376"/>
      <c r="L55" s="144"/>
      <c r="M55" s="144"/>
    </row>
    <row r="56" spans="1:13" ht="12.75" hidden="1" customHeight="1" x14ac:dyDescent="0.2">
      <c r="A56" s="151"/>
      <c r="B56" s="188"/>
      <c r="C56" s="2376"/>
      <c r="D56" s="153"/>
      <c r="E56" s="153"/>
      <c r="F56" s="153"/>
      <c r="G56" s="1415"/>
      <c r="H56" s="144"/>
      <c r="I56" s="1376"/>
      <c r="J56" s="144"/>
      <c r="K56" s="1376"/>
      <c r="L56" s="144"/>
      <c r="M56" s="144"/>
    </row>
    <row r="57" spans="1:13" ht="15" hidden="1" customHeight="1" thickBot="1" x14ac:dyDescent="0.25">
      <c r="A57" s="178" t="s">
        <v>31</v>
      </c>
      <c r="B57" s="2748"/>
      <c r="C57" s="2749" t="s">
        <v>445</v>
      </c>
      <c r="D57" s="297"/>
      <c r="E57" s="297"/>
      <c r="F57" s="297"/>
      <c r="G57" s="1381"/>
      <c r="H57" s="155"/>
      <c r="I57" s="1380"/>
      <c r="J57" s="155"/>
      <c r="K57" s="1380"/>
      <c r="L57" s="155"/>
      <c r="M57" s="155"/>
    </row>
    <row r="58" spans="1:13" s="145" customFormat="1" ht="12.75" hidden="1" customHeight="1" x14ac:dyDescent="0.2">
      <c r="A58" s="134"/>
      <c r="B58" s="170"/>
      <c r="C58" s="171"/>
      <c r="D58" s="155"/>
      <c r="E58" s="155"/>
      <c r="F58" s="155"/>
      <c r="G58" s="1381"/>
      <c r="H58" s="155"/>
      <c r="I58" s="1380"/>
      <c r="J58" s="155"/>
      <c r="K58" s="1380"/>
      <c r="L58" s="155"/>
      <c r="M58" s="155"/>
    </row>
    <row r="59" spans="1:13" ht="15" customHeight="1" thickBot="1" x14ac:dyDescent="0.25">
      <c r="A59" s="192" t="s">
        <v>31</v>
      </c>
      <c r="B59" s="160"/>
      <c r="C59" s="274" t="s">
        <v>446</v>
      </c>
      <c r="D59" s="162">
        <f>+D46+D52+D57</f>
        <v>38429</v>
      </c>
      <c r="E59" s="162">
        <f>+E46+E52+E57</f>
        <v>39259</v>
      </c>
      <c r="F59" s="162">
        <f>+F46+F52+F57</f>
        <v>71679562</v>
      </c>
      <c r="G59" s="1437">
        <f>SUM(H59-F59)</f>
        <v>1098932</v>
      </c>
      <c r="H59" s="162">
        <f>+H46+H52+H57</f>
        <v>72778494</v>
      </c>
      <c r="I59" s="1373">
        <f>SUM(J59-H59)</f>
        <v>-3943339</v>
      </c>
      <c r="J59" s="162">
        <f>+J46+J52+J57</f>
        <v>68835155</v>
      </c>
      <c r="K59" s="1373">
        <f>SUM(L59-J59)</f>
        <v>0</v>
      </c>
      <c r="L59" s="162">
        <f>+L46+L52+L57</f>
        <v>68835155</v>
      </c>
      <c r="M59" s="162">
        <f>+M46+M52+M57</f>
        <v>68292541</v>
      </c>
    </row>
    <row r="60" spans="1:13" ht="15" customHeight="1" thickBot="1" x14ac:dyDescent="0.25">
      <c r="A60" s="1303"/>
      <c r="B60" s="886"/>
      <c r="C60" s="886"/>
      <c r="D60" s="886"/>
      <c r="E60" s="886"/>
      <c r="F60" s="2100"/>
      <c r="G60" s="1439"/>
      <c r="H60" s="1439"/>
      <c r="I60" s="1439"/>
      <c r="J60" s="1439"/>
      <c r="K60" s="1439"/>
      <c r="L60" s="1439"/>
      <c r="M60" s="1304"/>
    </row>
    <row r="61" spans="1:13" ht="15" customHeight="1" thickBot="1" x14ac:dyDescent="0.25">
      <c r="A61" s="276" t="s">
        <v>324</v>
      </c>
      <c r="B61" s="277"/>
      <c r="C61" s="278"/>
      <c r="D61" s="279">
        <v>9</v>
      </c>
      <c r="E61" s="279">
        <v>9</v>
      </c>
      <c r="F61" s="279">
        <v>12</v>
      </c>
      <c r="G61" s="1560">
        <f>SUM(H61-F61)</f>
        <v>0</v>
      </c>
      <c r="H61" s="279">
        <v>12</v>
      </c>
      <c r="I61" s="1389"/>
      <c r="J61" s="279">
        <v>12</v>
      </c>
      <c r="K61" s="1389"/>
      <c r="L61" s="279">
        <v>12</v>
      </c>
      <c r="M61" s="279">
        <v>12</v>
      </c>
    </row>
    <row r="62" spans="1:13" ht="15" customHeight="1" thickBot="1" x14ac:dyDescent="0.25">
      <c r="A62" s="276" t="s">
        <v>325</v>
      </c>
      <c r="B62" s="277"/>
      <c r="C62" s="278"/>
      <c r="D62" s="279"/>
      <c r="E62" s="279"/>
      <c r="F62" s="279"/>
      <c r="G62" s="1560"/>
      <c r="H62" s="279"/>
      <c r="I62" s="1389"/>
      <c r="J62" s="279"/>
      <c r="K62" s="1389"/>
      <c r="L62" s="279"/>
      <c r="M62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3622047244094491" right="0.23622047244094491" top="0.31496062992125984" bottom="0.35433070866141736" header="0.51181102362204722" footer="0.15748031496062992"/>
  <pageSetup paperSize="9" scale="74" firstPageNumber="39" orientation="portrait" useFirstPageNumber="1" r:id="rId1"/>
  <headerFooter>
    <oddFooter>&amp;C- &amp;P -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K86"/>
  <sheetViews>
    <sheetView view="pageBreakPreview" topLeftCell="J40" zoomScale="90" zoomScaleNormal="100" zoomScaleSheetLayoutView="90" zoomScalePageLayoutView="60" workbookViewId="0">
      <selection activeCell="K4" sqref="K4"/>
    </sheetView>
  </sheetViews>
  <sheetFormatPr defaultColWidth="9.33203125" defaultRowHeight="12.75" x14ac:dyDescent="0.2"/>
  <cols>
    <col min="1" max="1" width="7" style="114" customWidth="1"/>
    <col min="2" max="2" width="9.1640625" style="115" customWidth="1"/>
    <col min="3" max="3" width="58.83203125" style="115" customWidth="1"/>
    <col min="4" max="5" width="9.33203125" style="115" hidden="1" customWidth="1"/>
    <col min="6" max="6" width="14.5" style="115" customWidth="1"/>
    <col min="7" max="7" width="13.1640625" style="1390" hidden="1" customWidth="1"/>
    <col min="8" max="8" width="16.33203125" style="115" hidden="1" customWidth="1"/>
    <col min="9" max="9" width="12.5" style="1390" hidden="1" customWidth="1"/>
    <col min="10" max="10" width="15.1640625" style="115" customWidth="1"/>
    <col min="11" max="11" width="12.5" style="1390" customWidth="1"/>
    <col min="12" max="12" width="15.6640625" style="115" customWidth="1"/>
    <col min="13" max="13" width="14" style="115" customWidth="1"/>
    <col min="14" max="14" width="8.5" style="115" customWidth="1"/>
    <col min="15" max="15" width="13" style="115" customWidth="1"/>
    <col min="16" max="16" width="9.33203125" style="115"/>
    <col min="17" max="17" width="16.5" style="1877" customWidth="1"/>
    <col min="18" max="18" width="16.5" style="1877" hidden="1" customWidth="1"/>
    <col min="19" max="19" width="13.33203125" style="1886" bestFit="1" customWidth="1"/>
    <col min="20" max="20" width="20.5" style="1886" hidden="1" customWidth="1"/>
    <col min="21" max="21" width="14.1640625" style="115" bestFit="1" customWidth="1"/>
    <col min="22" max="22" width="20.5" style="115" hidden="1" customWidth="1"/>
    <col min="23" max="23" width="14" style="1161" customWidth="1"/>
    <col min="24" max="24" width="15.33203125" style="1904" customWidth="1"/>
    <col min="25" max="25" width="20" style="1877" bestFit="1" customWidth="1"/>
    <col min="26" max="26" width="20" style="1877" hidden="1" customWidth="1"/>
    <col min="27" max="27" width="22" style="1886" bestFit="1" customWidth="1"/>
    <col min="28" max="28" width="24.1640625" style="1886" hidden="1" customWidth="1"/>
    <col min="29" max="29" width="22.83203125" style="2027" bestFit="1" customWidth="1"/>
    <col min="30" max="30" width="24.1640625" style="115" hidden="1" customWidth="1"/>
    <col min="31" max="31" width="22.6640625" style="1161" customWidth="1"/>
    <col min="32" max="32" width="13.5" style="1904" bestFit="1" customWidth="1"/>
    <col min="33" max="33" width="10.6640625" style="115" customWidth="1"/>
    <col min="34" max="34" width="9.33203125" style="115"/>
    <col min="35" max="35" width="17.83203125" style="115" customWidth="1"/>
    <col min="36" max="16384" width="9.33203125" style="115"/>
  </cols>
  <sheetData>
    <row r="1" spans="1:32" s="95" customFormat="1" ht="14.25" customHeight="1" thickBot="1" x14ac:dyDescent="0.25">
      <c r="A1" s="240"/>
      <c r="B1" s="241"/>
      <c r="C1" s="4494" t="s">
        <v>713</v>
      </c>
      <c r="D1" s="4494"/>
      <c r="E1" s="4494"/>
      <c r="F1" s="4494"/>
      <c r="G1" s="4494"/>
      <c r="H1" s="4494"/>
      <c r="I1" s="4494"/>
      <c r="J1" s="4494"/>
      <c r="K1" s="4494"/>
      <c r="L1" s="4494"/>
      <c r="M1" s="4494"/>
      <c r="N1" s="441"/>
      <c r="Q1" s="1970"/>
      <c r="R1" s="1970"/>
      <c r="S1" s="1965"/>
      <c r="T1" s="1965"/>
      <c r="W1" s="1954"/>
      <c r="X1" s="1959"/>
      <c r="Y1" s="1970"/>
      <c r="Z1" s="1970"/>
      <c r="AA1" s="1965"/>
      <c r="AB1" s="1965"/>
      <c r="AE1" s="1954"/>
      <c r="AF1" s="1959"/>
    </row>
    <row r="2" spans="1:32" s="120" customFormat="1" ht="51.75" customHeight="1" thickBot="1" x14ac:dyDescent="0.25">
      <c r="A2" s="4516" t="s">
        <v>411</v>
      </c>
      <c r="B2" s="4516"/>
      <c r="C2" s="117" t="s">
        <v>457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  <c r="N2" s="4424" t="s">
        <v>290</v>
      </c>
      <c r="Q2" s="1971"/>
      <c r="R2" s="1971"/>
      <c r="S2" s="1966"/>
      <c r="T2" s="1966"/>
      <c r="W2" s="1955"/>
      <c r="X2" s="1960"/>
      <c r="Y2" s="1971"/>
      <c r="Z2" s="1971"/>
      <c r="AA2" s="1966"/>
      <c r="AB2" s="1966"/>
      <c r="AE2" s="1955"/>
      <c r="AF2" s="1960"/>
    </row>
    <row r="3" spans="1:32" s="120" customFormat="1" ht="30" customHeight="1" thickBot="1" x14ac:dyDescent="0.25">
      <c r="A3" s="4506" t="s">
        <v>283</v>
      </c>
      <c r="B3" s="4506"/>
      <c r="C3" s="204"/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  <c r="N3" s="4523"/>
      <c r="Q3" s="1874"/>
      <c r="R3" s="1874"/>
      <c r="S3" s="4493"/>
      <c r="T3" s="1884"/>
      <c r="U3" s="4442"/>
      <c r="V3" s="305"/>
      <c r="W3" s="4439"/>
      <c r="X3" s="1946"/>
      <c r="Y3" s="1971"/>
      <c r="Z3" s="1971"/>
      <c r="AA3" s="1966"/>
      <c r="AB3" s="1966"/>
      <c r="AE3" s="1955"/>
      <c r="AF3" s="1960"/>
    </row>
    <row r="4" spans="1:32" s="123" customFormat="1" ht="13.5" customHeight="1" thickBot="1" x14ac:dyDescent="0.3">
      <c r="A4" s="1300"/>
      <c r="B4" s="1301"/>
      <c r="C4" s="1301"/>
      <c r="D4" s="4521"/>
      <c r="E4" s="4521"/>
      <c r="F4" s="4522"/>
      <c r="G4" s="1511"/>
      <c r="H4" s="1531"/>
      <c r="I4" s="1531"/>
      <c r="J4" s="1531"/>
      <c r="K4" s="1531"/>
      <c r="L4" s="770"/>
      <c r="M4" s="2142" t="s">
        <v>935</v>
      </c>
      <c r="N4" s="122"/>
      <c r="Q4" s="1875"/>
      <c r="R4" s="1875"/>
      <c r="S4" s="4493"/>
      <c r="T4" s="1884"/>
      <c r="U4" s="4442"/>
      <c r="V4" s="305"/>
      <c r="W4" s="4439"/>
      <c r="X4" s="1947"/>
      <c r="Y4" s="1972"/>
      <c r="Z4" s="1972"/>
      <c r="AA4" s="1967"/>
      <c r="AB4" s="1967"/>
      <c r="AE4" s="1957"/>
      <c r="AF4" s="1963"/>
    </row>
    <row r="5" spans="1:32" ht="30.7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  <c r="N5" s="2141"/>
      <c r="Q5" s="1874"/>
      <c r="R5" s="1874"/>
      <c r="S5" s="4493" t="s">
        <v>1056</v>
      </c>
      <c r="T5" s="1884"/>
      <c r="U5" s="4442" t="s">
        <v>1057</v>
      </c>
      <c r="V5" s="305"/>
      <c r="W5" s="4439" t="s">
        <v>1058</v>
      </c>
      <c r="X5" s="1946"/>
      <c r="Y5" s="1874"/>
      <c r="Z5" s="1874"/>
      <c r="AA5" s="4493" t="s">
        <v>1056</v>
      </c>
      <c r="AB5" s="1884"/>
      <c r="AC5" s="4442" t="s">
        <v>1057</v>
      </c>
      <c r="AD5" s="305"/>
      <c r="AE5" s="4439" t="s">
        <v>1058</v>
      </c>
      <c r="AF5" s="1946"/>
    </row>
    <row r="6" spans="1:32" s="129" customFormat="1" ht="12.9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  <c r="N6" s="1574"/>
      <c r="Q6" s="1875" t="s">
        <v>771</v>
      </c>
      <c r="R6" s="1875"/>
      <c r="S6" s="4493"/>
      <c r="T6" s="1884"/>
      <c r="U6" s="4442"/>
      <c r="V6" s="305"/>
      <c r="W6" s="4439"/>
      <c r="X6" s="1947" t="s">
        <v>289</v>
      </c>
      <c r="Y6" s="1875" t="s">
        <v>771</v>
      </c>
      <c r="Z6" s="1875"/>
      <c r="AA6" s="4493"/>
      <c r="AB6" s="1884"/>
      <c r="AC6" s="4442"/>
      <c r="AD6" s="305"/>
      <c r="AE6" s="4439"/>
      <c r="AF6" s="1947" t="s">
        <v>289</v>
      </c>
    </row>
    <row r="7" spans="1:32" s="129" customFormat="1" ht="15.9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  <c r="N7" s="766"/>
      <c r="Q7" s="1974" t="s">
        <v>767</v>
      </c>
      <c r="R7" s="1974"/>
      <c r="S7" s="1969" t="s">
        <v>767</v>
      </c>
      <c r="T7" s="1969"/>
      <c r="U7" s="454" t="s">
        <v>767</v>
      </c>
      <c r="V7" s="454"/>
      <c r="W7" s="1956" t="s">
        <v>767</v>
      </c>
      <c r="X7" s="1961" t="s">
        <v>767</v>
      </c>
      <c r="Y7" s="1973" t="s">
        <v>1059</v>
      </c>
      <c r="Z7" s="1973"/>
      <c r="AA7" s="1968" t="s">
        <v>1059</v>
      </c>
      <c r="AB7" s="1968"/>
      <c r="AC7" s="129" t="s">
        <v>1059</v>
      </c>
      <c r="AE7" s="1958" t="s">
        <v>1059</v>
      </c>
      <c r="AF7" s="1964" t="s">
        <v>1059</v>
      </c>
    </row>
    <row r="8" spans="1:32" s="141" customFormat="1" ht="15" customHeight="1" thickBot="1" x14ac:dyDescent="0.25">
      <c r="A8" s="134" t="s">
        <v>3</v>
      </c>
      <c r="B8" s="148"/>
      <c r="C8" s="947" t="s">
        <v>413</v>
      </c>
      <c r="D8" s="948" t="e">
        <f>SUM(D9:D18)</f>
        <v>#REF!</v>
      </c>
      <c r="E8" s="948" t="e">
        <f>SUM(E9:E18)</f>
        <v>#REF!</v>
      </c>
      <c r="F8" s="948">
        <f>SUM(F9:F19)</f>
        <v>222968020</v>
      </c>
      <c r="G8" s="1382">
        <f>SUM(H8-F8)</f>
        <v>95957</v>
      </c>
      <c r="H8" s="137">
        <f>SUM(H9:H19)</f>
        <v>223063977</v>
      </c>
      <c r="I8" s="1374">
        <f>SUM(J8-H8)</f>
        <v>-3731926</v>
      </c>
      <c r="J8" s="137">
        <f>SUM(J9:J19)</f>
        <v>219332051</v>
      </c>
      <c r="K8" s="1374">
        <f>SUM(L8-J8)</f>
        <v>0</v>
      </c>
      <c r="L8" s="137">
        <f>SUM(L9:L19)</f>
        <v>219332051</v>
      </c>
      <c r="M8" s="137">
        <f>SUM(M9:M19)</f>
        <v>218999908</v>
      </c>
      <c r="N8" s="285">
        <f>SUM(M8/H8)*100</f>
        <v>98.178070231393761</v>
      </c>
      <c r="Q8" s="1876">
        <f t="shared" ref="Q8:Q16" si="0">SUM(F8-Y8)</f>
        <v>0</v>
      </c>
      <c r="R8" s="1876"/>
      <c r="S8" s="1885">
        <f t="shared" ref="S8:S16" si="1">SUM(H8-AA8)</f>
        <v>0</v>
      </c>
      <c r="T8" s="1885"/>
      <c r="U8" s="248">
        <f>SUM(J8-AC8)</f>
        <v>0</v>
      </c>
      <c r="V8" s="248"/>
      <c r="W8" s="1871">
        <f>SUM(L8-AE8)</f>
        <v>0</v>
      </c>
      <c r="X8" s="1962">
        <f>SUM(M8-AF8)</f>
        <v>0</v>
      </c>
      <c r="Y8" s="1876">
        <f>SUM('5.a sz. mell. '!F8+'5.b. sz. mell.'!F8)</f>
        <v>222968020</v>
      </c>
      <c r="Z8" s="1876"/>
      <c r="AA8" s="1885">
        <f>SUM('5.a sz. mell. '!H8+'5.b. sz. mell.'!H8)</f>
        <v>223063977</v>
      </c>
      <c r="AB8" s="1885"/>
      <c r="AC8" s="248">
        <f>SUM('5.a sz. mell. '!J8+'5.b. sz. mell.'!J8)</f>
        <v>219332051</v>
      </c>
      <c r="AD8" s="248"/>
      <c r="AE8" s="1871">
        <f>SUM('5.a sz. mell. '!L8+'5.b. sz. mell.'!L8)</f>
        <v>219332051</v>
      </c>
      <c r="AF8" s="1903">
        <f>SUM('5.a sz. mell. '!M8+'5.b. sz. mell.'!M8)</f>
        <v>218999908</v>
      </c>
    </row>
    <row r="9" spans="1:32" s="141" customFormat="1" ht="15" customHeight="1" x14ac:dyDescent="0.2">
      <c r="A9" s="149"/>
      <c r="B9" s="143" t="s">
        <v>152</v>
      </c>
      <c r="C9" s="249" t="s">
        <v>48</v>
      </c>
      <c r="D9" s="150" t="e">
        <f>SUM(#REF!+#REF!+#REF!+#REF!+#REF!+#REF!+'5.1. sz. mell. '!D9+'5.2. sz. mell.  '!D9+'5.3 sz. mell'!D9+'5.4. sz mell'!D9+'5.5. sz. mell.  '!D9+'5.6. sz. mell'!D9+'5.7. sz. mell.'!D9+'5.8. sz. mell.'!D9+#REF!+'5.9. sz. mell.'!D9+'5.10 sz. mell '!D9)</f>
        <v>#REF!</v>
      </c>
      <c r="E9" s="150" t="e">
        <f>SUM(#REF!+#REF!+#REF!+#REF!+#REF!+#REF!+'5.1. sz. mell. '!E9+'5.2. sz. mell.  '!E9+'5.3 sz. mell'!E9+'5.4. sz mell'!E9+'5.5. sz. mell.  '!E9+'5.6. sz. mell'!E9+'5.7. sz. mell.'!E9+'5.8. sz. mell.'!E9+#REF!+'5.9. sz. mell.'!E9+'5.10 sz. mell '!E9)</f>
        <v>#REF!</v>
      </c>
      <c r="F9" s="150">
        <f>SUM('5.1. sz. mell. '!F9+'5.2. sz. mell.  '!F9+'5.3 sz. mell'!F9+'5.4. sz mell'!F9+'5.5. sz. mell.  '!F9+'5.6. sz. mell'!F9+'5.7. sz. mell.'!F9+'5.8. sz. mell.'!F9+'5.9. sz. mell.'!F9+'5.10 sz. mell '!F9)</f>
        <v>0</v>
      </c>
      <c r="G9" s="1533">
        <f>SUM(H9-F9)</f>
        <v>0</v>
      </c>
      <c r="H9" s="150">
        <f>SUM('5.1. sz. mell. '!H9+'5.2. sz. mell.  '!H9+'5.3 sz. mell'!H9+'5.4. sz mell'!H9+'5.5. sz. mell.  '!H9+'5.6. sz. mell'!H9+'5.7. sz. mell.'!H9+'5.8. sz. mell.'!H9+'5.9. sz. mell.'!H9+'5.10 sz. mell '!H9)</f>
        <v>0</v>
      </c>
      <c r="I9" s="1403">
        <f>SUM(J9-H9)</f>
        <v>0</v>
      </c>
      <c r="J9" s="150">
        <f>SUM('5.1. sz. mell. '!J9+'5.2. sz. mell.  '!J9+'5.3 sz. mell'!J9+'5.4. sz mell'!J9+'5.5. sz. mell.  '!J9+'5.6. sz. mell'!J9+'5.7. sz. mell.'!J9+'5.8. sz. mell.'!J9+'5.9. sz. mell.'!J9+'5.10 sz. mell '!J9)</f>
        <v>0</v>
      </c>
      <c r="K9" s="1403">
        <f>SUM(L9-J9)</f>
        <v>0</v>
      </c>
      <c r="L9" s="150">
        <f>SUM('5.1. sz. mell. '!L9+'5.2. sz. mell.  '!L9+'5.3 sz. mell'!L9+'5.4. sz mell'!L9+'5.5. sz. mell.  '!L9+'5.6. sz. mell'!L9+'5.7. sz. mell.'!L9+'5.8. sz. mell.'!L9+'5.9. sz. mell.'!L9+'5.10 sz. mell '!L9)</f>
        <v>0</v>
      </c>
      <c r="M9" s="150">
        <f>SUM('5.1. sz. mell. '!M9+'5.2. sz. mell.  '!M9+'5.3 sz. mell'!M9+'5.4. sz mell'!M9+'5.5. sz. mell.  '!M9+'5.6. sz. mell'!M9+'5.7. sz. mell.'!M9+'5.8. sz. mell.'!M9+'5.9. sz. mell.'!M9+'5.10 sz. mell '!M9)</f>
        <v>0</v>
      </c>
      <c r="N9" s="1295"/>
      <c r="Q9" s="1876">
        <f t="shared" si="0"/>
        <v>0</v>
      </c>
      <c r="R9" s="1876"/>
      <c r="S9" s="1885">
        <f t="shared" si="1"/>
        <v>0</v>
      </c>
      <c r="T9" s="1885"/>
      <c r="U9" s="248">
        <f t="shared" ref="U9:U59" si="2">SUM(J9-AC9)</f>
        <v>0</v>
      </c>
      <c r="V9" s="248"/>
      <c r="W9" s="1871">
        <f t="shared" ref="W9:W59" si="3">SUM(L9-AE9)</f>
        <v>0</v>
      </c>
      <c r="X9" s="1962">
        <f t="shared" ref="X9:X16" si="4">SUM(M9-AF9)</f>
        <v>0</v>
      </c>
      <c r="Y9" s="1876">
        <f>SUM('5.a sz. mell. '!F9+'5.b. sz. mell.'!F9)</f>
        <v>0</v>
      </c>
      <c r="Z9" s="1876"/>
      <c r="AA9" s="1885">
        <f>SUM('5.a sz. mell. '!H9+'5.b. sz. mell.'!H9)</f>
        <v>0</v>
      </c>
      <c r="AB9" s="1885"/>
      <c r="AC9" s="248">
        <f>SUM('5.a sz. mell. '!J9+'5.b. sz. mell.'!J9)</f>
        <v>0</v>
      </c>
      <c r="AD9" s="248"/>
      <c r="AE9" s="1871">
        <f>SUM('5.a sz. mell. '!L9+'5.b. sz. mell.'!L9)</f>
        <v>0</v>
      </c>
      <c r="AF9" s="1903">
        <f>SUM('5.a sz. mell. '!M9+'5.b. sz. mell.'!M9)</f>
        <v>0</v>
      </c>
    </row>
    <row r="10" spans="1:32" s="141" customFormat="1" ht="15" customHeight="1" x14ac:dyDescent="0.2">
      <c r="A10" s="142"/>
      <c r="B10" s="143" t="s">
        <v>154</v>
      </c>
      <c r="C10" s="55" t="s">
        <v>50</v>
      </c>
      <c r="D10" s="144" t="e">
        <f>SUM(#REF!+#REF!+#REF!+#REF!+#REF!+#REF!+'5.1. sz. mell. '!D10+'5.2. sz. mell.  '!D10+'5.3 sz. mell'!D10+'5.4. sz mell'!D10+'5.5. sz. mell.  '!D10+'5.6. sz. mell'!D10+'5.7. sz. mell.'!D10+'5.8. sz. mell.'!D10+#REF!+'5.9. sz. mell.'!D10+'5.10 sz. mell '!D10)</f>
        <v>#REF!</v>
      </c>
      <c r="E10" s="144" t="e">
        <f>SUM(#REF!+#REF!+#REF!+#REF!+#REF!+#REF!+'5.1. sz. mell. '!E10+'5.2. sz. mell.  '!E10+'5.3 sz. mell'!E10+'5.4. sz mell'!E10+'5.5. sz. mell.  '!E10+'5.6. sz. mell'!E10+'5.7. sz. mell.'!E10+'5.8. sz. mell.'!E10+#REF!+'5.9. sz. mell.'!E10+'5.10 sz. mell '!E10)</f>
        <v>#REF!</v>
      </c>
      <c r="F10" s="144">
        <f>SUM('5.1. sz. mell. '!F10+'5.2. sz. mell.  '!F10+'5.3 sz. mell'!F10+'5.4. sz mell'!F10+'5.5. sz. mell.  '!F10+'5.6. sz. mell'!F10+'5.7. sz. mell.'!F10+'5.8. sz. mell.'!F10+'5.9. sz. mell.'!F10+'5.10 sz. mell '!F10)</f>
        <v>112256681</v>
      </c>
      <c r="G10" s="1432">
        <f t="shared" ref="G10:K19" si="5">SUM(H10-F10)</f>
        <v>1952794</v>
      </c>
      <c r="H10" s="144">
        <f>SUM('5.1. sz. mell. '!H10+'5.2. sz. mell.  '!H10+'5.3 sz. mell'!H10+'5.4. sz mell'!H10+'5.5. sz. mell.  '!H10+'5.6. sz. mell'!H10+'5.7. sz. mell.'!H10+'5.8. sz. mell.'!H10+'5.9. sz. mell.'!H10+'5.10 sz. mell '!H10)</f>
        <v>114209475</v>
      </c>
      <c r="I10" s="1411">
        <f t="shared" si="5"/>
        <v>-6031281</v>
      </c>
      <c r="J10" s="144">
        <f>SUM('5.1. sz. mell. '!J10+'5.2. sz. mell.  '!J10+'5.3 sz. mell'!J10+'5.4. sz mell'!J10+'5.5. sz. mell.  '!J10+'5.6. sz. mell'!J10+'5.7. sz. mell.'!J10+'5.8. sz. mell.'!J10+'5.9. sz. mell.'!J10+'5.10 sz. mell '!J10)</f>
        <v>108178194</v>
      </c>
      <c r="K10" s="1411">
        <f t="shared" si="5"/>
        <v>0</v>
      </c>
      <c r="L10" s="144">
        <f>SUM('5.1. sz. mell. '!L10+'5.2. sz. mell.  '!L10+'5.3 sz. mell'!L10+'5.4. sz mell'!L10+'5.5. sz. mell.  '!L10+'5.6. sz. mell'!L10+'5.7. sz. mell.'!L10+'5.8. sz. mell.'!L10+'5.9. sz. mell.'!L10+'5.10 sz. mell '!L10)</f>
        <v>108178194</v>
      </c>
      <c r="M10" s="144">
        <f>SUM('5.1. sz. mell. '!M10+'5.2. sz. mell.  '!M10+'5.3 sz. mell'!M10+'5.4. sz mell'!M10+'5.5. sz. mell.  '!M10+'5.6. sz. mell'!M10+'5.7. sz. mell.'!M10+'5.8. sz. mell.'!M10+'5.9. sz. mell.'!M10+'5.10 sz. mell '!M10)</f>
        <v>107942559</v>
      </c>
      <c r="N10" s="1295">
        <f t="shared" ref="N10:N60" si="6">SUM(M10/H10)*100</f>
        <v>94.512788015180007</v>
      </c>
      <c r="Q10" s="1876">
        <f t="shared" si="0"/>
        <v>0</v>
      </c>
      <c r="R10" s="1876"/>
      <c r="S10" s="1885">
        <f t="shared" si="1"/>
        <v>0</v>
      </c>
      <c r="T10" s="1885"/>
      <c r="U10" s="248">
        <f t="shared" si="2"/>
        <v>0</v>
      </c>
      <c r="V10" s="248"/>
      <c r="W10" s="1871">
        <f t="shared" si="3"/>
        <v>0</v>
      </c>
      <c r="X10" s="1962">
        <f t="shared" si="4"/>
        <v>0</v>
      </c>
      <c r="Y10" s="1876">
        <f>SUM('5.a sz. mell. '!F10+'5.b. sz. mell.'!F10)</f>
        <v>112256681</v>
      </c>
      <c r="Z10" s="1876"/>
      <c r="AA10" s="1885">
        <f>SUM('5.a sz. mell. '!H10+'5.b. sz. mell.'!H10)</f>
        <v>114209475</v>
      </c>
      <c r="AB10" s="1885"/>
      <c r="AC10" s="248">
        <f>SUM('5.a sz. mell. '!J10+'5.b. sz. mell.'!J10)</f>
        <v>108178194</v>
      </c>
      <c r="AD10" s="248"/>
      <c r="AE10" s="1871">
        <f>SUM('5.a sz. mell. '!L10+'5.b. sz. mell.'!L10)</f>
        <v>108178194</v>
      </c>
      <c r="AF10" s="1903">
        <f>SUM('5.a sz. mell. '!M10+'5.b. sz. mell.'!M10)</f>
        <v>107942559</v>
      </c>
    </row>
    <row r="11" spans="1:32" s="141" customFormat="1" ht="15" customHeight="1" x14ac:dyDescent="0.2">
      <c r="A11" s="142"/>
      <c r="B11" s="143" t="s">
        <v>156</v>
      </c>
      <c r="C11" s="55" t="s">
        <v>414</v>
      </c>
      <c r="D11" s="144" t="e">
        <f>SUM(#REF!+#REF!+#REF!+#REF!+#REF!+#REF!+'5.1. sz. mell. '!D11+'5.2. sz. mell.  '!D11+'5.3 sz. mell'!D11+'5.4. sz mell'!D11+'5.5. sz. mell.  '!D11+'5.6. sz. mell'!D11+'5.7. sz. mell.'!D11+'5.8. sz. mell.'!D11+#REF!+'5.9. sz. mell.'!D11+'5.10 sz. mell '!D11)</f>
        <v>#REF!</v>
      </c>
      <c r="E11" s="144" t="e">
        <f>SUM(#REF!+#REF!+#REF!+#REF!+#REF!+#REF!+'5.1. sz. mell. '!E11+'5.2. sz. mell.  '!E11+'5.3 sz. mell'!E11+'5.4. sz mell'!E11+'5.5. sz. mell.  '!E11+'5.6. sz. mell'!E11+'5.7. sz. mell.'!E11+'5.8. sz. mell.'!E11+#REF!+'5.9. sz. mell.'!E11+'5.10 sz. mell '!E11)</f>
        <v>#REF!</v>
      </c>
      <c r="F11" s="144">
        <f>SUM('5.1. sz. mell. '!F11+'5.2. sz. mell.  '!F11+'5.3 sz. mell'!F11+'5.4. sz mell'!F11+'5.5. sz. mell.  '!F11+'5.6. sz. mell'!F11+'5.7. sz. mell.'!F11+'5.8. sz. mell.'!F11+'5.9. sz. mell.'!F11+'5.10 sz. mell '!F11)</f>
        <v>7892000</v>
      </c>
      <c r="G11" s="1415">
        <f t="shared" si="5"/>
        <v>-1592000</v>
      </c>
      <c r="H11" s="144">
        <f>SUM('5.1. sz. mell. '!H11+'5.2. sz. mell.  '!H11+'5.3 sz. mell'!H11+'5.4. sz mell'!H11+'5.5. sz. mell.  '!H11+'5.6. sz. mell'!H11+'5.7. sz. mell.'!H11+'5.8. sz. mell.'!H11+'5.9. sz. mell.'!H11+'5.10 sz. mell '!H11)</f>
        <v>6300000</v>
      </c>
      <c r="I11" s="1404">
        <f t="shared" si="5"/>
        <v>771974</v>
      </c>
      <c r="J11" s="144">
        <f>SUM('5.1. sz. mell. '!J11+'5.2. sz. mell.  '!J11+'5.3 sz. mell'!J11+'5.4. sz mell'!J11+'5.5. sz. mell.  '!J11+'5.6. sz. mell'!J11+'5.7. sz. mell.'!J11+'5.8. sz. mell.'!J11+'5.9. sz. mell.'!J11+'5.10 sz. mell '!J11)</f>
        <v>7071974</v>
      </c>
      <c r="K11" s="1404">
        <f t="shared" si="5"/>
        <v>0</v>
      </c>
      <c r="L11" s="144">
        <f>SUM('5.1. sz. mell. '!L11+'5.2. sz. mell.  '!L11+'5.3 sz. mell'!L11+'5.4. sz mell'!L11+'5.5. sz. mell.  '!L11+'5.6. sz. mell'!L11+'5.7. sz. mell.'!L11+'5.8. sz. mell.'!L11+'5.9. sz. mell.'!L11+'5.10 sz. mell '!L11)</f>
        <v>7071974</v>
      </c>
      <c r="M11" s="144">
        <f>SUM('5.1. sz. mell. '!M11+'5.2. sz. mell.  '!M11+'5.3 sz. mell'!M11+'5.4. sz mell'!M11+'5.5. sz. mell.  '!M11+'5.6. sz. mell'!M11+'5.7. sz. mell.'!M11+'5.8. sz. mell.'!M11+'5.9. sz. mell.'!M11+'5.10 sz. mell '!M11)</f>
        <v>7071974</v>
      </c>
      <c r="N11" s="1295">
        <f t="shared" si="6"/>
        <v>112.25355555555556</v>
      </c>
      <c r="Q11" s="1876">
        <f t="shared" si="0"/>
        <v>0</v>
      </c>
      <c r="R11" s="1876"/>
      <c r="S11" s="1885">
        <f t="shared" si="1"/>
        <v>0</v>
      </c>
      <c r="T11" s="1885"/>
      <c r="U11" s="248">
        <f t="shared" si="2"/>
        <v>0</v>
      </c>
      <c r="V11" s="248"/>
      <c r="W11" s="1871">
        <f t="shared" si="3"/>
        <v>0</v>
      </c>
      <c r="X11" s="1962">
        <f t="shared" si="4"/>
        <v>0</v>
      </c>
      <c r="Y11" s="1876">
        <f>SUM('5.a sz. mell. '!F11+'5.b. sz. mell.'!F11)</f>
        <v>7892000</v>
      </c>
      <c r="Z11" s="1876"/>
      <c r="AA11" s="1885">
        <f>SUM('5.a sz. mell. '!H11+'5.b. sz. mell.'!H11)</f>
        <v>6300000</v>
      </c>
      <c r="AB11" s="1885"/>
      <c r="AC11" s="248">
        <f>SUM('5.a sz. mell. '!J11+'5.b. sz. mell.'!J11)</f>
        <v>7071974</v>
      </c>
      <c r="AD11" s="248"/>
      <c r="AE11" s="1871">
        <f>SUM('5.a sz. mell. '!L11+'5.b. sz. mell.'!L11)</f>
        <v>7071974</v>
      </c>
      <c r="AF11" s="1903">
        <f>SUM('5.a sz. mell. '!M11+'5.b. sz. mell.'!M11)</f>
        <v>7071974</v>
      </c>
    </row>
    <row r="12" spans="1:32" s="141" customFormat="1" ht="15" customHeight="1" x14ac:dyDescent="0.2">
      <c r="A12" s="142"/>
      <c r="B12" s="143" t="s">
        <v>158</v>
      </c>
      <c r="C12" s="55" t="s">
        <v>415</v>
      </c>
      <c r="D12" s="144" t="e">
        <f>SUM(#REF!+#REF!+#REF!+#REF!+#REF!+#REF!+'5.1. sz. mell. '!D12+'5.2. sz. mell.  '!D12+'5.3 sz. mell'!D12+'5.4. sz mell'!D12+'5.5. sz. mell.  '!D12+'5.6. sz. mell'!D12+'5.7. sz. mell.'!D12+'5.8. sz. mell.'!D12+#REF!+'5.9. sz. mell.'!D12+'5.10 sz. mell '!D12)</f>
        <v>#REF!</v>
      </c>
      <c r="E12" s="144" t="e">
        <f>SUM(#REF!+#REF!+#REF!+#REF!+#REF!+#REF!+'5.1. sz. mell. '!E12+'5.2. sz. mell.  '!E12+'5.3 sz. mell'!E12+'5.4. sz mell'!E12+'5.5. sz. mell.  '!E12+'5.6. sz. mell'!E12+'5.7. sz. mell.'!E12+'5.8. sz. mell.'!E12+#REF!+'5.9. sz. mell.'!E12+'5.10 sz. mell '!E12)</f>
        <v>#REF!</v>
      </c>
      <c r="F12" s="144">
        <f>SUM('5.1. sz. mell. '!F12+'5.2. sz. mell.  '!F12+'5.3 sz. mell'!F12+'5.4. sz mell'!F12+'5.5. sz. mell.  '!F12+'5.6. sz. mell'!F12+'5.7. sz. mell.'!F12+'5.8. sz. mell.'!F12+'5.9. sz. mell.'!F12+'5.10 sz. mell '!F12)</f>
        <v>54677004</v>
      </c>
      <c r="G12" s="1415">
        <f t="shared" si="5"/>
        <v>-1186800</v>
      </c>
      <c r="H12" s="144">
        <f>SUM('5.1. sz. mell. '!H12+'5.2. sz. mell.  '!H12+'5.3 sz. mell'!H12+'5.4. sz mell'!H12+'5.5. sz. mell.  '!H12+'5.6. sz. mell'!H12+'5.7. sz. mell.'!H12+'5.8. sz. mell.'!H12+'5.9. sz. mell.'!H12+'5.10 sz. mell '!H12)</f>
        <v>53490204</v>
      </c>
      <c r="I12" s="1404">
        <f t="shared" si="5"/>
        <v>421837</v>
      </c>
      <c r="J12" s="144">
        <f>SUM('5.1. sz. mell. '!J12+'5.2. sz. mell.  '!J12+'5.3 sz. mell'!J12+'5.4. sz mell'!J12+'5.5. sz. mell.  '!J12+'5.6. sz. mell'!J12+'5.7. sz. mell.'!J12+'5.8. sz. mell.'!J12+'5.9. sz. mell.'!J12+'5.10 sz. mell '!J12)</f>
        <v>53912041</v>
      </c>
      <c r="K12" s="1404">
        <f t="shared" si="5"/>
        <v>0</v>
      </c>
      <c r="L12" s="144">
        <f>SUM('5.1. sz. mell. '!L12+'5.2. sz. mell.  '!L12+'5.3 sz. mell'!L12+'5.4. sz mell'!L12+'5.5. sz. mell.  '!L12+'5.6. sz. mell'!L12+'5.7. sz. mell.'!L12+'5.8. sz. mell.'!L12+'5.9. sz. mell.'!L12+'5.10 sz. mell '!L12)</f>
        <v>53912041</v>
      </c>
      <c r="M12" s="144">
        <f>SUM('5.1. sz. mell. '!M12+'5.2. sz. mell.  '!M12+'5.3 sz. mell'!M12+'5.4. sz mell'!M12+'5.5. sz. mell.  '!M12+'5.6. sz. mell'!M12+'5.7. sz. mell.'!M12+'5.8. sz. mell.'!M12+'5.9. sz. mell.'!M12+'5.10 sz. mell '!M12)</f>
        <v>53912041</v>
      </c>
      <c r="N12" s="1295">
        <f t="shared" si="6"/>
        <v>100.78862477323884</v>
      </c>
      <c r="Q12" s="1876">
        <f t="shared" si="0"/>
        <v>0</v>
      </c>
      <c r="R12" s="1876"/>
      <c r="S12" s="1885">
        <f t="shared" si="1"/>
        <v>0</v>
      </c>
      <c r="T12" s="1885"/>
      <c r="U12" s="248">
        <f t="shared" si="2"/>
        <v>0</v>
      </c>
      <c r="V12" s="248"/>
      <c r="W12" s="1871">
        <f t="shared" si="3"/>
        <v>0</v>
      </c>
      <c r="X12" s="1962">
        <f t="shared" si="4"/>
        <v>0</v>
      </c>
      <c r="Y12" s="1876">
        <f>SUM('5.a sz. mell. '!F12+'5.b. sz. mell.'!F12)</f>
        <v>54677004</v>
      </c>
      <c r="Z12" s="1876"/>
      <c r="AA12" s="1885">
        <f>SUM('5.a sz. mell. '!H12+'5.b. sz. mell.'!H12)</f>
        <v>53490204</v>
      </c>
      <c r="AB12" s="1885"/>
      <c r="AC12" s="248">
        <f>SUM('5.a sz. mell. '!J12+'5.b. sz. mell.'!J12)</f>
        <v>53912041</v>
      </c>
      <c r="AD12" s="248"/>
      <c r="AE12" s="1871">
        <f>SUM('5.a sz. mell. '!L12+'5.b. sz. mell.'!L12)</f>
        <v>53912041</v>
      </c>
      <c r="AF12" s="1903">
        <f>SUM('5.a sz. mell. '!M12+'5.b. sz. mell.'!M12)</f>
        <v>53912041</v>
      </c>
    </row>
    <row r="13" spans="1:32" s="141" customFormat="1" ht="15" customHeight="1" x14ac:dyDescent="0.2">
      <c r="A13" s="142"/>
      <c r="B13" s="143" t="s">
        <v>375</v>
      </c>
      <c r="C13" s="950" t="s">
        <v>416</v>
      </c>
      <c r="D13" s="610" t="e">
        <f>SUM(#REF!+#REF!+#REF!+#REF!+#REF!+#REF!+'5.1. sz. mell. '!D13+'5.2. sz. mell.  '!D13+'5.3 sz. mell'!D13+'5.4. sz mell'!D13+'5.5. sz. mell.  '!D13+'5.6. sz. mell'!D13+'5.7. sz. mell.'!D13+'5.8. sz. mell.'!D13+#REF!+'5.9. sz. mell.'!D13+'5.10 sz. mell '!D13)</f>
        <v>#REF!</v>
      </c>
      <c r="E13" s="610" t="e">
        <f>SUM(#REF!+#REF!+#REF!+#REF!+#REF!+#REF!+'5.1. sz. mell. '!E13+'5.2. sz. mell.  '!E13+'5.3 sz. mell'!E13+'5.4. sz mell'!E13+'5.5. sz. mell.  '!E13+'5.6. sz. mell'!E13+'5.7. sz. mell.'!E13+'5.8. sz. mell.'!E13+#REF!+'5.9. sz. mell.'!E13+'5.10 sz. mell '!E13)</f>
        <v>#REF!</v>
      </c>
      <c r="F13" s="144">
        <f>SUM('5.1. sz. mell. '!F13+'5.2. sz. mell.  '!F13+'5.3 sz. mell'!F13+'5.4. sz mell'!F13+'5.5. sz. mell.  '!F13+'5.6. sz. mell'!F13+'5.7. sz. mell.'!F13+'5.8. sz. mell.'!F13+'5.9. sz. mell.'!F13+'5.10 sz. mell '!F13)</f>
        <v>6530000</v>
      </c>
      <c r="G13" s="1415">
        <f t="shared" si="5"/>
        <v>0</v>
      </c>
      <c r="H13" s="144">
        <f>SUM('5.1. sz. mell. '!H13+'5.2. sz. mell.  '!H13+'5.3 sz. mell'!H13+'5.4. sz mell'!H13+'5.5. sz. mell.  '!H13+'5.6. sz. mell'!H13+'5.7. sz. mell.'!H13+'5.8. sz. mell.'!H13+'5.9. sz. mell.'!H13+'5.10 sz. mell '!H13)</f>
        <v>6530000</v>
      </c>
      <c r="I13" s="1404">
        <f t="shared" si="5"/>
        <v>795214</v>
      </c>
      <c r="J13" s="144">
        <f>SUM('5.1. sz. mell. '!J13+'5.2. sz. mell.  '!J13+'5.3 sz. mell'!J13+'5.4. sz mell'!J13+'5.5. sz. mell.  '!J13+'5.6. sz. mell'!J13+'5.7. sz. mell.'!J13+'5.8. sz. mell.'!J13+'5.9. sz. mell.'!J13+'5.10 sz. mell '!J13)</f>
        <v>7325214</v>
      </c>
      <c r="K13" s="1404">
        <f t="shared" si="5"/>
        <v>0</v>
      </c>
      <c r="L13" s="144">
        <f>SUM('5.1. sz. mell. '!L13+'5.2. sz. mell.  '!L13+'5.3 sz. mell'!L13+'5.4. sz mell'!L13+'5.5. sz. mell.  '!L13+'5.6. sz. mell'!L13+'5.7. sz. mell.'!L13+'5.8. sz. mell.'!L13+'5.9. sz. mell.'!L13+'5.10 sz. mell '!L13)</f>
        <v>7325214</v>
      </c>
      <c r="M13" s="144">
        <f>SUM('5.1. sz. mell. '!M13+'5.2. sz. mell.  '!M13+'5.3 sz. mell'!M13+'5.4. sz mell'!M13+'5.5. sz. mell.  '!M13+'5.6. sz. mell'!M13+'5.7. sz. mell.'!M13+'5.8. sz. mell.'!M13+'5.9. sz. mell.'!M13+'5.10 sz. mell '!M13)</f>
        <v>7228706</v>
      </c>
      <c r="N13" s="1295">
        <f t="shared" si="6"/>
        <v>110.69993874425728</v>
      </c>
      <c r="Q13" s="1876">
        <f t="shared" si="0"/>
        <v>0</v>
      </c>
      <c r="R13" s="1876"/>
      <c r="S13" s="1885">
        <f t="shared" si="1"/>
        <v>0</v>
      </c>
      <c r="T13" s="1885"/>
      <c r="U13" s="248">
        <f t="shared" si="2"/>
        <v>0</v>
      </c>
      <c r="V13" s="248"/>
      <c r="W13" s="1871">
        <f t="shared" si="3"/>
        <v>0</v>
      </c>
      <c r="X13" s="1962">
        <f t="shared" si="4"/>
        <v>0</v>
      </c>
      <c r="Y13" s="1876">
        <f>SUM('5.a sz. mell. '!F13+'5.b. sz. mell.'!F13)</f>
        <v>6530000</v>
      </c>
      <c r="Z13" s="1876"/>
      <c r="AA13" s="1885">
        <f>SUM('5.a sz. mell. '!H13+'5.b. sz. mell.'!H13)</f>
        <v>6530000</v>
      </c>
      <c r="AB13" s="1885"/>
      <c r="AC13" s="248">
        <f>SUM('5.a sz. mell. '!J13+'5.b. sz. mell.'!J13)</f>
        <v>7325214</v>
      </c>
      <c r="AD13" s="248"/>
      <c r="AE13" s="1871">
        <f>SUM('5.a sz. mell. '!L13+'5.b. sz. mell.'!L13)</f>
        <v>7325214</v>
      </c>
      <c r="AF13" s="1903">
        <f>SUM('5.a sz. mell. '!M13+'5.b. sz. mell.'!M13)</f>
        <v>7228706</v>
      </c>
    </row>
    <row r="14" spans="1:32" s="141" customFormat="1" ht="15" customHeight="1" x14ac:dyDescent="0.2">
      <c r="A14" s="146"/>
      <c r="B14" s="143" t="s">
        <v>162</v>
      </c>
      <c r="C14" s="55" t="s">
        <v>340</v>
      </c>
      <c r="D14" s="144" t="e">
        <f>SUM(#REF!+#REF!+#REF!+#REF!+#REF!+#REF!+'5.1. sz. mell. '!D14+'5.2. sz. mell.  '!D14+'5.3 sz. mell'!D14+'5.4. sz mell'!D14+'5.5. sz. mell.  '!D14+'5.6. sz. mell'!D14+'5.7. sz. mell.'!D14+'5.8. sz. mell.'!D14+#REF!+'5.9. sz. mell.'!D14+'5.10 sz. mell '!D14)</f>
        <v>#REF!</v>
      </c>
      <c r="E14" s="144" t="e">
        <f>SUM(#REF!+#REF!+#REF!+#REF!+#REF!+#REF!+'5.1. sz. mell. '!E14+'5.2. sz. mell.  '!E14+'5.3 sz. mell'!E14+'5.4. sz mell'!E14+'5.5. sz. mell.  '!E14+'5.6. sz. mell'!E14+'5.7. sz. mell.'!E14+'5.8. sz. mell.'!E14+#REF!+'5.9. sz. mell.'!E14+'5.10 sz. mell '!E14)</f>
        <v>#REF!</v>
      </c>
      <c r="F14" s="144">
        <f>SUM('5.1. sz. mell. '!F14+'5.2. sz. mell.  '!F14+'5.3 sz. mell'!F14+'5.4. sz mell'!F14+'5.5. sz. mell.  '!F14+'5.6. sz. mell'!F14+'5.7. sz. mell.'!F14+'5.8. sz. mell.'!F14+'5.9. sz. mell.'!F14+'5.10 sz. mell '!F14)</f>
        <v>40296335</v>
      </c>
      <c r="G14" s="1415">
        <f t="shared" si="5"/>
        <v>-204094</v>
      </c>
      <c r="H14" s="144">
        <f>SUM('5.1. sz. mell. '!H14+'5.2. sz. mell.  '!H14+'5.3 sz. mell'!H14+'5.4. sz mell'!H14+'5.5. sz. mell.  '!H14+'5.6. sz. mell'!H14+'5.7. sz. mell.'!H14+'5.8. sz. mell.'!H14+'5.9. sz. mell.'!H14+'5.10 sz. mell '!H14)</f>
        <v>40092241</v>
      </c>
      <c r="I14" s="1404">
        <f t="shared" si="5"/>
        <v>-1632054</v>
      </c>
      <c r="J14" s="144">
        <f>SUM('5.1. sz. mell. '!J14+'5.2. sz. mell.  '!J14+'5.3 sz. mell'!J14+'5.4. sz mell'!J14+'5.5. sz. mell.  '!J14+'5.6. sz. mell'!J14+'5.7. sz. mell.'!J14+'5.8. sz. mell.'!J14+'5.9. sz. mell.'!J14+'5.10 sz. mell '!J14)</f>
        <v>38460187</v>
      </c>
      <c r="K14" s="1404">
        <f t="shared" si="5"/>
        <v>0</v>
      </c>
      <c r="L14" s="144">
        <f>SUM('5.1. sz. mell. '!L14+'5.2. sz. mell.  '!L14+'5.3 sz. mell'!L14+'5.4. sz mell'!L14+'5.5. sz. mell.  '!L14+'5.6. sz. mell'!L14+'5.7. sz. mell.'!L14+'5.8. sz. mell.'!L14+'5.9. sz. mell.'!L14+'5.10 sz. mell '!L14)</f>
        <v>38460187</v>
      </c>
      <c r="M14" s="144">
        <f>SUM('5.1. sz. mell. '!M14+'5.2. sz. mell.  '!M14+'5.3 sz. mell'!M14+'5.4. sz mell'!M14+'5.5. sz. mell.  '!M14+'5.6. sz. mell'!M14+'5.7. sz. mell.'!M14+'5.8. sz. mell.'!M14+'5.9. sz. mell.'!M14+'5.10 sz. mell '!M14)</f>
        <v>38460187</v>
      </c>
      <c r="N14" s="1295">
        <f t="shared" si="6"/>
        <v>95.92925224608922</v>
      </c>
      <c r="Q14" s="1876">
        <f t="shared" si="0"/>
        <v>0</v>
      </c>
      <c r="R14" s="1876"/>
      <c r="S14" s="1885">
        <f t="shared" si="1"/>
        <v>0</v>
      </c>
      <c r="T14" s="1885"/>
      <c r="U14" s="248">
        <f t="shared" si="2"/>
        <v>0</v>
      </c>
      <c r="V14" s="248"/>
      <c r="W14" s="1871">
        <f t="shared" si="3"/>
        <v>0</v>
      </c>
      <c r="X14" s="1962">
        <f t="shared" si="4"/>
        <v>0</v>
      </c>
      <c r="Y14" s="1876">
        <f>SUM('5.a sz. mell. '!F14+'5.b. sz. mell.'!F14)</f>
        <v>40296335</v>
      </c>
      <c r="Z14" s="1876"/>
      <c r="AA14" s="1885">
        <f>SUM('5.a sz. mell. '!H14+'5.b. sz. mell.'!H14)</f>
        <v>40092241</v>
      </c>
      <c r="AB14" s="1885"/>
      <c r="AC14" s="248">
        <f>SUM('5.a sz. mell. '!J14+'5.b. sz. mell.'!J14)</f>
        <v>38460187</v>
      </c>
      <c r="AD14" s="248"/>
      <c r="AE14" s="1871">
        <f>SUM('5.a sz. mell. '!L14+'5.b. sz. mell.'!L14)</f>
        <v>38460187</v>
      </c>
      <c r="AF14" s="1903">
        <f>SUM('5.a sz. mell. '!M14+'5.b. sz. mell.'!M14)</f>
        <v>38460187</v>
      </c>
    </row>
    <row r="15" spans="1:32" s="145" customFormat="1" ht="15" customHeight="1" x14ac:dyDescent="0.2">
      <c r="A15" s="142"/>
      <c r="B15" s="143" t="s">
        <v>164</v>
      </c>
      <c r="C15" s="55" t="s">
        <v>60</v>
      </c>
      <c r="D15" s="144" t="e">
        <f>SUM(#REF!+#REF!+#REF!+#REF!+#REF!+#REF!+'5.1. sz. mell. '!D15+'5.2. sz. mell.  '!D16+'5.3 sz. mell'!D16+'5.4. sz mell'!D16+'5.5. sz. mell.  '!D16+'5.6. sz. mell'!D16+'5.7. sz. mell.'!D16+'5.8. sz. mell.'!D15+#REF!+'5.9. sz. mell.'!D15+'5.10 sz. mell '!D15)</f>
        <v>#REF!</v>
      </c>
      <c r="E15" s="144" t="e">
        <f>SUM(#REF!+#REF!+#REF!+#REF!+#REF!+#REF!+'5.1. sz. mell. '!E15+'5.2. sz. mell.  '!E16+'5.3 sz. mell'!E16+'5.4. sz mell'!E16+'5.5. sz. mell.  '!E16+'5.6. sz. mell'!E16+'5.7. sz. mell.'!E16+'5.8. sz. mell.'!E15+#REF!+'5.9. sz. mell.'!E15+'5.10 sz. mell '!E15)</f>
        <v>#REF!</v>
      </c>
      <c r="F15" s="144">
        <f>SUM('5.1. sz. mell. '!F15+'5.2. sz. mell.  '!F15+'5.3 sz. mell'!F15+'5.4. sz mell'!F15+'5.5. sz. mell.  '!F15+'5.6. sz. mell'!F15+'5.7. sz. mell.'!F15+'5.8. sz. mell.'!F15+'5.9. sz. mell.'!F15+'5.10 sz. mell '!F15)</f>
        <v>0</v>
      </c>
      <c r="G15" s="1415">
        <f t="shared" si="5"/>
        <v>1030768</v>
      </c>
      <c r="H15" s="144">
        <f>SUM('5.1. sz. mell. '!H15+'5.2. sz. mell.  '!H15+'5.3 sz. mell'!H15+'5.4. sz mell'!H15+'5.5. sz. mell.  '!H15+'5.6. sz. mell'!H15+'5.7. sz. mell.'!H15+'5.8. sz. mell.'!H15+'5.9. sz. mell.'!H15+'5.10 sz. mell '!H15)</f>
        <v>1030768</v>
      </c>
      <c r="I15" s="1404">
        <f t="shared" si="5"/>
        <v>2736658</v>
      </c>
      <c r="J15" s="144">
        <f>SUM('5.1. sz. mell. '!J15+'5.2. sz. mell.  '!J15+'5.3 sz. mell'!J15+'5.4. sz mell'!J15+'5.5. sz. mell.  '!J15+'5.6. sz. mell'!J15+'5.7. sz. mell.'!J15+'5.8. sz. mell.'!J15+'5.9. sz. mell.'!J15+'5.10 sz. mell '!J15)</f>
        <v>3767426</v>
      </c>
      <c r="K15" s="1404">
        <f t="shared" si="5"/>
        <v>0</v>
      </c>
      <c r="L15" s="144">
        <f>SUM('5.1. sz. mell. '!L15+'5.2. sz. mell.  '!L15+'5.3 sz. mell'!L15+'5.4. sz mell'!L15+'5.5. sz. mell.  '!L15+'5.6. sz. mell'!L15+'5.7. sz. mell.'!L15+'5.8. sz. mell.'!L15+'5.9. sz. mell.'!L15+'5.10 sz. mell '!L15)</f>
        <v>3767426</v>
      </c>
      <c r="M15" s="144">
        <f>SUM('5.1. sz. mell. '!M15+'5.2. sz. mell.  '!M15+'5.3 sz. mell'!M15+'5.4. sz mell'!M15+'5.5. sz. mell.  '!M15+'5.6. sz. mell'!M15+'5.7. sz. mell.'!M15+'5.8. sz. mell.'!M15+'5.9. sz. mell.'!M15+'5.10 sz. mell '!M15)</f>
        <v>3767426</v>
      </c>
      <c r="N15" s="1295"/>
      <c r="Q15" s="1876">
        <f t="shared" si="0"/>
        <v>0</v>
      </c>
      <c r="R15" s="1876"/>
      <c r="S15" s="1885">
        <f t="shared" si="1"/>
        <v>0</v>
      </c>
      <c r="T15" s="1885"/>
      <c r="U15" s="248">
        <f t="shared" si="2"/>
        <v>0</v>
      </c>
      <c r="V15" s="248"/>
      <c r="W15" s="1871">
        <f t="shared" si="3"/>
        <v>0</v>
      </c>
      <c r="X15" s="1962">
        <f t="shared" si="4"/>
        <v>0</v>
      </c>
      <c r="Y15" s="1876">
        <f>SUM('5.a sz. mell. '!F15+'5.b. sz. mell.'!F15)</f>
        <v>0</v>
      </c>
      <c r="Z15" s="1876"/>
      <c r="AA15" s="1885">
        <f>SUM('5.a sz. mell. '!H15+'5.b. sz. mell.'!H15)</f>
        <v>1030768</v>
      </c>
      <c r="AB15" s="1885"/>
      <c r="AC15" s="248">
        <f>SUM('5.a sz. mell. '!J15+'5.b. sz. mell.'!J15)</f>
        <v>3767426</v>
      </c>
      <c r="AD15" s="248"/>
      <c r="AE15" s="1871">
        <f>SUM('5.a sz. mell. '!L15+'5.b. sz. mell.'!L15)</f>
        <v>3767426</v>
      </c>
      <c r="AF15" s="1903">
        <f>SUM('5.a sz. mell. '!M15+'5.b. sz. mell.'!M15)</f>
        <v>3767426</v>
      </c>
    </row>
    <row r="16" spans="1:32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44">
        <f>SUM('5.1. sz. mell. '!F16+'5.2. sz. mell.  '!F16+'5.3 sz. mell'!F16+'5.4. sz mell'!F16+'5.5. sz. mell.  '!F16+'5.6. sz. mell'!F16+'5.7. sz. mell.'!F16+'5.8. sz. mell.'!F16+'5.9. sz. mell.'!F16+'5.10 sz. mell '!F16)</f>
        <v>0</v>
      </c>
      <c r="G16" s="1415">
        <f t="shared" si="5"/>
        <v>100</v>
      </c>
      <c r="H16" s="144">
        <f>SUM('5.1. sz. mell. '!H16+'5.2. sz. mell.  '!H16+'5.3 sz. mell'!H16+'5.4. sz mell'!H16+'5.5. sz. mell.  '!H16+'5.6. sz. mell'!H16+'5.7. sz. mell.'!H16+'5.8. sz. mell.'!H16+'5.9. sz. mell.'!H16+'5.10 sz. mell '!H16)</f>
        <v>100</v>
      </c>
      <c r="I16" s="1404">
        <f t="shared" si="5"/>
        <v>-71</v>
      </c>
      <c r="J16" s="144">
        <f>SUM('5.1. sz. mell. '!J16+'5.2. sz. mell.  '!J16+'5.3 sz. mell'!J16+'5.4. sz mell'!J16+'5.5. sz. mell.  '!J16+'5.6. sz. mell'!J16+'5.7. sz. mell.'!J16+'5.8. sz. mell.'!J16+'5.9. sz. mell.'!J16+'5.10 sz. mell '!J16)</f>
        <v>29</v>
      </c>
      <c r="K16" s="1404">
        <f t="shared" si="5"/>
        <v>0</v>
      </c>
      <c r="L16" s="144">
        <f>SUM('5.1. sz. mell. '!L16+'5.2. sz. mell.  '!L16+'5.3 sz. mell'!L16+'5.4. sz mell'!L16+'5.5. sz. mell.  '!L16+'5.6. sz. mell'!L16+'5.7. sz. mell.'!L16+'5.8. sz. mell.'!L16+'5.9. sz. mell.'!L16+'5.10 sz. mell '!L16)</f>
        <v>29</v>
      </c>
      <c r="M16" s="144">
        <f>SUM('5.1. sz. mell. '!M16+'5.2. sz. mell.  '!M16+'5.3 sz. mell'!M16+'5.4. sz mell'!M16+'5.5. sz. mell.  '!M16+'5.6. sz. mell'!M16+'5.7. sz. mell.'!M16+'5.8. sz. mell.'!M16+'5.9. sz. mell.'!M16+'5.10 sz. mell '!M16)</f>
        <v>29</v>
      </c>
      <c r="N16" s="1295"/>
      <c r="Q16" s="1876">
        <f t="shared" si="0"/>
        <v>0</v>
      </c>
      <c r="R16" s="1876"/>
      <c r="S16" s="1885">
        <f t="shared" si="1"/>
        <v>0</v>
      </c>
      <c r="T16" s="1885"/>
      <c r="U16" s="248">
        <f t="shared" si="2"/>
        <v>0</v>
      </c>
      <c r="V16" s="248"/>
      <c r="W16" s="1871">
        <f t="shared" si="3"/>
        <v>0</v>
      </c>
      <c r="X16" s="1962">
        <f t="shared" si="4"/>
        <v>0</v>
      </c>
      <c r="Y16" s="1876">
        <f>SUM('5.a sz. mell. '!F16+'5.b. sz. mell.'!F16)</f>
        <v>0</v>
      </c>
      <c r="Z16" s="1876"/>
      <c r="AA16" s="1885">
        <f>SUM('5.a sz. mell. '!H16+'5.b. sz. mell.'!H16)</f>
        <v>100</v>
      </c>
      <c r="AB16" s="1885"/>
      <c r="AC16" s="248">
        <f>SUM('5.a sz. mell. '!J16+'5.b. sz. mell.'!J16)</f>
        <v>29</v>
      </c>
      <c r="AD16" s="248"/>
      <c r="AE16" s="1871">
        <f>SUM('5.a sz. mell. '!L16+'5.b. sz. mell.'!L16)</f>
        <v>29</v>
      </c>
      <c r="AF16" s="1903">
        <f>SUM('5.a sz. mell. '!M16+'5.b. sz. mell.'!M16)</f>
        <v>29</v>
      </c>
    </row>
    <row r="17" spans="1:32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44">
        <f>SUM('5.1. sz. mell. '!F17+'5.2. sz. mell.  '!F17+'5.3 sz. mell'!F17+'5.4. sz mell'!F17+'5.5. sz. mell.  '!F17+'5.6. sz. mell'!F17+'5.7. sz. mell.'!F17+'5.8. sz. mell.'!F17+'5.9. sz. mell.'!F17+'5.10 sz. mell '!F17)</f>
        <v>0</v>
      </c>
      <c r="G17" s="1415">
        <f t="shared" si="5"/>
        <v>0</v>
      </c>
      <c r="H17" s="144">
        <f>SUM('5.1. sz. mell. '!H17+'5.2. sz. mell.  '!H17+'5.3 sz. mell'!H17+'5.4. sz mell'!H17+'5.5. sz. mell.  '!H17+'5.6. sz. mell'!H17+'5.7. sz. mell.'!H17+'5.8. sz. mell.'!H17+'5.9. sz. mell.'!H17+'5.10 sz. mell '!H17)</f>
        <v>0</v>
      </c>
      <c r="I17" s="1404">
        <f t="shared" si="5"/>
        <v>0</v>
      </c>
      <c r="J17" s="144">
        <f>SUM('5.1. sz. mell. '!J17+'5.2. sz. mell.  '!J17+'5.3 sz. mell'!J17+'5.4. sz mell'!J17+'5.5. sz. mell.  '!J17+'5.6. sz. mell'!J17+'5.7. sz. mell.'!J17+'5.8. sz. mell.'!J17+'5.9. sz. mell.'!J17+'5.10 sz. mell '!J17)</f>
        <v>0</v>
      </c>
      <c r="K17" s="1404">
        <f t="shared" si="5"/>
        <v>0</v>
      </c>
      <c r="L17" s="144">
        <f>SUM('5.1. sz. mell. '!L17+'5.2. sz. mell.  '!L17+'5.3 sz. mell'!L17+'5.4. sz mell'!L17+'5.5. sz. mell.  '!L17+'5.6. sz. mell'!L17+'5.7. sz. mell.'!L17+'5.8. sz. mell.'!L17+'5.9. sz. mell.'!L17+'5.10 sz. mell '!L17)</f>
        <v>0</v>
      </c>
      <c r="M17" s="144">
        <f>SUM('5.1. sz. mell. '!M17+'5.2. sz. mell.  '!M17+'5.3 sz. mell'!M17+'5.4. sz mell'!M17+'5.5. sz. mell.  '!M17+'5.6. sz. mell'!M17+'5.7. sz. mell.'!M17+'5.8. sz. mell.'!M17+'5.9. sz. mell.'!M17+'5.10 sz. mell '!M17)</f>
        <v>0</v>
      </c>
      <c r="N17" s="1295"/>
      <c r="Q17" s="1876"/>
      <c r="R17" s="1876"/>
      <c r="S17" s="1885"/>
      <c r="T17" s="1885"/>
      <c r="U17" s="248">
        <f t="shared" si="2"/>
        <v>0</v>
      </c>
      <c r="V17" s="248"/>
      <c r="W17" s="1871">
        <f t="shared" si="3"/>
        <v>0</v>
      </c>
      <c r="X17" s="1962"/>
      <c r="Y17" s="1876"/>
      <c r="Z17" s="1876"/>
      <c r="AA17" s="1885"/>
      <c r="AB17" s="1885"/>
      <c r="AC17" s="248"/>
      <c r="AD17" s="248"/>
      <c r="AE17" s="1871"/>
      <c r="AF17" s="1903"/>
    </row>
    <row r="18" spans="1:32" s="145" customFormat="1" ht="15" customHeight="1" thickBot="1" x14ac:dyDescent="0.25">
      <c r="A18" s="151"/>
      <c r="B18" s="152" t="s">
        <v>170</v>
      </c>
      <c r="C18" s="250" t="s">
        <v>418</v>
      </c>
      <c r="D18" s="294" t="e">
        <f>SUM(#REF!+#REF!+#REF!+#REF!+#REF!+#REF!+'5.1. sz. mell. '!D16+'5.2. sz. mell.  '!D18+'5.3 sz. mell'!D18+'5.4. sz mell'!D18+'5.5. sz. mell.  '!D18+'5.6. sz. mell'!D18+'5.7. sz. mell.'!D18+'5.8. sz. mell.'!D18+#REF!+'5.9. sz. mell.'!D18+'5.10 sz. mell '!D18)</f>
        <v>#REF!</v>
      </c>
      <c r="E18" s="294" t="e">
        <f>SUM(#REF!+#REF!+#REF!+#REF!+#REF!+#REF!+'5.1. sz. mell. '!E16+'5.2. sz. mell.  '!E18+'5.3 sz. mell'!E18+'5.4. sz mell'!E18+'5.5. sz. mell.  '!E18+'5.6. sz. mell'!E18+'5.7. sz. mell.'!E18+'5.8. sz. mell.'!E18+#REF!+'5.9. sz. mell.'!E18+'5.10 sz. mell '!E18)</f>
        <v>#REF!</v>
      </c>
      <c r="F18" s="144">
        <f>SUM('5.1. sz. mell. '!F18+'5.2. sz. mell.  '!F18+'5.3 sz. mell'!F18+'5.4. sz mell'!F18+'5.5. sz. mell.  '!F18+'5.6. sz. mell'!F18+'5.7. sz. mell.'!F18+'5.8. sz. mell.'!F18+'5.9. sz. mell.'!F18+'5.10 sz. mell '!F18)</f>
        <v>1316000</v>
      </c>
      <c r="G18" s="1415">
        <f t="shared" si="5"/>
        <v>95189</v>
      </c>
      <c r="H18" s="144">
        <f>SUM('5.1. sz. mell. '!H18+'5.2. sz. mell.  '!H18+'5.3 sz. mell'!H18+'5.4. sz mell'!H18+'5.5. sz. mell.  '!H18+'5.6. sz. mell'!H18+'5.7. sz. mell.'!H18+'5.8. sz. mell.'!H18+'5.9. sz. mell.'!H18+'5.10 sz. mell '!H18)</f>
        <v>1411189</v>
      </c>
      <c r="I18" s="1404">
        <f t="shared" si="5"/>
        <v>-794203</v>
      </c>
      <c r="J18" s="144">
        <f>SUM('5.1. sz. mell. '!J18+'5.2. sz. mell.  '!J18+'5.3 sz. mell'!J18+'5.4. sz mell'!J18+'5.5. sz. mell.  '!J18+'5.6. sz. mell'!J18+'5.7. sz. mell.'!J18+'5.8. sz. mell.'!J18+'5.9. sz. mell.'!J18+'5.10 sz. mell '!J18)</f>
        <v>616986</v>
      </c>
      <c r="K18" s="1404">
        <f t="shared" si="5"/>
        <v>0</v>
      </c>
      <c r="L18" s="144">
        <f>SUM('5.1. sz. mell. '!L18+'5.2. sz. mell.  '!L18+'5.3 sz. mell'!L18+'5.4. sz mell'!L18+'5.5. sz. mell.  '!L18+'5.6. sz. mell'!L18+'5.7. sz. mell.'!L18+'5.8. sz. mell.'!L18+'5.9. sz. mell.'!L18+'5.10 sz. mell '!L18)</f>
        <v>616986</v>
      </c>
      <c r="M18" s="610">
        <f>SUM('5.1. sz. mell. '!M18+'5.2. sz. mell.  '!M18+'5.3 sz. mell'!M18+'5.4. sz mell'!M18+'5.5. sz. mell.  '!M18+'5.6. sz. mell'!M18+'5.7. sz. mell.'!M18+'5.8. sz. mell.'!M18+'5.9. sz. mell.'!M18+'5.10 sz. mell '!M18)</f>
        <v>616986</v>
      </c>
      <c r="N18" s="1295">
        <f t="shared" si="6"/>
        <v>43.721004061114421</v>
      </c>
      <c r="Q18" s="1876">
        <f t="shared" ref="Q18:Q33" si="7">SUM(F18-Y18)</f>
        <v>0</v>
      </c>
      <c r="R18" s="1876"/>
      <c r="S18" s="1885">
        <f t="shared" ref="S18:S59" si="8">SUM(H18-AA18)</f>
        <v>0</v>
      </c>
      <c r="T18" s="1885"/>
      <c r="U18" s="248">
        <f t="shared" si="2"/>
        <v>0</v>
      </c>
      <c r="V18" s="248"/>
      <c r="W18" s="1871">
        <f t="shared" si="3"/>
        <v>0</v>
      </c>
      <c r="X18" s="1962">
        <f>SUM(M18-AF18)</f>
        <v>0</v>
      </c>
      <c r="Y18" s="1876">
        <f>SUM('5.a sz. mell. '!F18+'5.b. sz. mell.'!F18)</f>
        <v>1316000</v>
      </c>
      <c r="Z18" s="1876"/>
      <c r="AA18" s="1885">
        <f>SUM('5.a sz. mell. '!H18+'5.b. sz. mell.'!H18)</f>
        <v>1411189</v>
      </c>
      <c r="AB18" s="1885"/>
      <c r="AC18" s="248">
        <f>SUM('5.a sz. mell. '!J18+'5.b. sz. mell.'!J18)</f>
        <v>616986</v>
      </c>
      <c r="AD18" s="248"/>
      <c r="AE18" s="1871">
        <f>SUM('5.a sz. mell. '!L18+'5.b. sz. mell.'!L18)</f>
        <v>616986</v>
      </c>
      <c r="AF18" s="1903">
        <f>SUM('5.a sz. mell. '!M18+'5.b. sz. mell.'!M18)</f>
        <v>616986</v>
      </c>
    </row>
    <row r="19" spans="1:32" s="145" customFormat="1" ht="15" customHeight="1" thickBot="1" x14ac:dyDescent="0.25">
      <c r="A19" s="178"/>
      <c r="B19" s="679" t="s">
        <v>559</v>
      </c>
      <c r="C19" s="180" t="s">
        <v>1020</v>
      </c>
      <c r="D19" s="320"/>
      <c r="E19" s="320"/>
      <c r="F19" s="144">
        <f>SUM('5.1. sz. mell. '!F19+'5.2. sz. mell.  '!F19+'5.3 sz. mell'!F19+'5.4. sz mell'!F19+'5.5. sz. mell.  '!F19+'5.6. sz. mell'!F19+'5.7. sz. mell.'!F19+'5.8. sz. mell.'!F19+'5.9. sz. mell.'!F19+'5.10 sz. mell '!F19)</f>
        <v>0</v>
      </c>
      <c r="G19" s="2667">
        <f t="shared" si="5"/>
        <v>0</v>
      </c>
      <c r="H19" s="144">
        <f>SUM('5.1. sz. mell. '!H19+'5.2. sz. mell.  '!H19+'5.3 sz. mell'!H19+'5.4. sz mell'!H19+'5.5. sz. mell.  '!H19+'5.6. sz. mell'!H19+'5.7. sz. mell.'!H19+'5.8. sz. mell.'!H19+'5.9. sz. mell.'!H19+'5.10 sz. mell '!H19)</f>
        <v>0</v>
      </c>
      <c r="I19" s="1435">
        <f t="shared" si="5"/>
        <v>0</v>
      </c>
      <c r="J19" s="144"/>
      <c r="K19" s="1435">
        <f t="shared" si="5"/>
        <v>0</v>
      </c>
      <c r="L19" s="144"/>
      <c r="M19" s="610"/>
      <c r="N19" s="284"/>
      <c r="Q19" s="1876"/>
      <c r="R19" s="1876"/>
      <c r="S19" s="1885">
        <f t="shared" si="8"/>
        <v>0</v>
      </c>
      <c r="T19" s="1885"/>
      <c r="U19" s="248">
        <f t="shared" si="2"/>
        <v>0</v>
      </c>
      <c r="V19" s="248"/>
      <c r="W19" s="1871">
        <f t="shared" si="3"/>
        <v>0</v>
      </c>
      <c r="X19" s="1962"/>
      <c r="Y19" s="1876"/>
      <c r="Z19" s="1876"/>
      <c r="AA19" s="1885"/>
      <c r="AB19" s="1885"/>
      <c r="AC19" s="248"/>
      <c r="AD19" s="248"/>
      <c r="AE19" s="1871"/>
      <c r="AF19" s="1903"/>
    </row>
    <row r="20" spans="1:32" s="141" customFormat="1" ht="31.5" customHeight="1" thickBot="1" x14ac:dyDescent="0.25">
      <c r="A20" s="134" t="s">
        <v>17</v>
      </c>
      <c r="B20" s="148"/>
      <c r="C20" s="247" t="s">
        <v>419</v>
      </c>
      <c r="D20" s="137" t="e">
        <f>SUM(D21:D26)-D24</f>
        <v>#REF!</v>
      </c>
      <c r="E20" s="137" t="e">
        <v>#VALUE!</v>
      </c>
      <c r="F20" s="137">
        <f>SUM(F21+F25+F26)</f>
        <v>526538000</v>
      </c>
      <c r="G20" s="1382">
        <f>SUM(H20-F20)</f>
        <v>0</v>
      </c>
      <c r="H20" s="137">
        <f>SUM(H21+H25+H26)</f>
        <v>526538000</v>
      </c>
      <c r="I20" s="1374">
        <f>SUM(J20-H20)</f>
        <v>6105423</v>
      </c>
      <c r="J20" s="137">
        <f>SUM(J21+J25+J26)</f>
        <v>532643423</v>
      </c>
      <c r="K20" s="1374">
        <f>SUM(L20-J20)</f>
        <v>0</v>
      </c>
      <c r="L20" s="137">
        <f>SUM(L21+L25+L26)</f>
        <v>532643423</v>
      </c>
      <c r="M20" s="137">
        <f>SUM(M21+M25+M26)</f>
        <v>532643423</v>
      </c>
      <c r="N20" s="285">
        <f t="shared" si="6"/>
        <v>101.15954081186922</v>
      </c>
      <c r="Q20" s="1876">
        <f t="shared" si="7"/>
        <v>0</v>
      </c>
      <c r="R20" s="1876"/>
      <c r="S20" s="1885">
        <f t="shared" si="8"/>
        <v>0</v>
      </c>
      <c r="T20" s="1885"/>
      <c r="U20" s="248">
        <f t="shared" si="2"/>
        <v>0</v>
      </c>
      <c r="V20" s="248"/>
      <c r="W20" s="1871">
        <f t="shared" si="3"/>
        <v>0</v>
      </c>
      <c r="X20" s="1962">
        <f t="shared" ref="X20:X59" si="9">SUM(M20-AF20)</f>
        <v>0</v>
      </c>
      <c r="Y20" s="1876">
        <f>SUM('5.a sz. mell. '!F19+'5.b. sz. mell.'!F20)</f>
        <v>526538000</v>
      </c>
      <c r="Z20" s="1876"/>
      <c r="AA20" s="1885">
        <f>SUM('5.a sz. mell. '!H19+'5.b. sz. mell.'!H20)</f>
        <v>526538000</v>
      </c>
      <c r="AB20" s="1885"/>
      <c r="AC20" s="248">
        <f>SUM('5.a sz. mell. '!J19+'5.b. sz. mell.'!J20)</f>
        <v>532643423</v>
      </c>
      <c r="AD20" s="248"/>
      <c r="AE20" s="1871">
        <f>SUM('5.a sz. mell. '!L19+'5.b. sz. mell.'!L20)</f>
        <v>532643423</v>
      </c>
      <c r="AF20" s="1903">
        <f>SUM('5.a sz. mell. '!M19+'5.b. sz. mell.'!M20)</f>
        <v>532643423</v>
      </c>
    </row>
    <row r="21" spans="1:32" s="145" customFormat="1" ht="28.5" customHeight="1" thickBot="1" x14ac:dyDescent="0.25">
      <c r="A21" s="142"/>
      <c r="B21" s="143" t="s">
        <v>5</v>
      </c>
      <c r="C21" s="251" t="s">
        <v>420</v>
      </c>
      <c r="D21" s="150"/>
      <c r="E21" s="150"/>
      <c r="F21" s="150">
        <f>SUM(F22:F23)</f>
        <v>526538000</v>
      </c>
      <c r="G21" s="1533">
        <f>SUM(H21-F21)</f>
        <v>0</v>
      </c>
      <c r="H21" s="150">
        <f>SUM(H22:H24)</f>
        <v>526538000</v>
      </c>
      <c r="I21" s="1375">
        <f>SUM(J21-H21)</f>
        <v>6105423</v>
      </c>
      <c r="J21" s="150">
        <f>SUM(J22:J24)+'5.9. sz. mell.'!J20</f>
        <v>532643423</v>
      </c>
      <c r="K21" s="1375">
        <f>SUM(L21-J21)</f>
        <v>0</v>
      </c>
      <c r="L21" s="150">
        <f>SUM(L22:L24)+'5.9. sz. mell.'!L20</f>
        <v>532643423</v>
      </c>
      <c r="M21" s="150">
        <f>SUM(M22:M24)+'5.9. sz. mell.'!M20</f>
        <v>532643423</v>
      </c>
      <c r="N21" s="285">
        <f t="shared" si="6"/>
        <v>101.15954081186922</v>
      </c>
      <c r="Q21" s="1876">
        <f t="shared" si="7"/>
        <v>0</v>
      </c>
      <c r="R21" s="1876"/>
      <c r="S21" s="1885">
        <f t="shared" si="8"/>
        <v>0</v>
      </c>
      <c r="T21" s="1885"/>
      <c r="U21" s="248">
        <f t="shared" si="2"/>
        <v>0</v>
      </c>
      <c r="V21" s="248"/>
      <c r="W21" s="1871">
        <f t="shared" si="3"/>
        <v>0</v>
      </c>
      <c r="X21" s="1962">
        <f t="shared" si="9"/>
        <v>0</v>
      </c>
      <c r="Y21" s="1876">
        <f>SUM('5.a sz. mell. '!F20+'5.b. sz. mell.'!F21)</f>
        <v>526538000</v>
      </c>
      <c r="Z21" s="1876"/>
      <c r="AA21" s="1885">
        <f>SUM('5.a sz. mell. '!H20+'5.b. sz. mell.'!H21)</f>
        <v>526538000</v>
      </c>
      <c r="AB21" s="1885"/>
      <c r="AC21" s="248">
        <f>SUM('5.a sz. mell. '!J20+'5.b. sz. mell.'!J21)</f>
        <v>532643423</v>
      </c>
      <c r="AD21" s="248"/>
      <c r="AE21" s="1871">
        <f>SUM('5.a sz. mell. '!L20+'5.b. sz. mell.'!L21)</f>
        <v>532643423</v>
      </c>
      <c r="AF21" s="1903">
        <f>SUM('5.a sz. mell. '!M20+'5.b. sz. mell.'!M21)</f>
        <v>532643423</v>
      </c>
    </row>
    <row r="22" spans="1:32" s="145" customFormat="1" ht="15" customHeight="1" thickBot="1" x14ac:dyDescent="0.25">
      <c r="A22" s="142"/>
      <c r="B22" s="143" t="s">
        <v>421</v>
      </c>
      <c r="C22" s="55" t="s">
        <v>422</v>
      </c>
      <c r="D22" s="175">
        <f>SUM('5.10 sz. mell '!D22)</f>
        <v>442256</v>
      </c>
      <c r="E22" s="175">
        <f>SUM('5.10 sz. mell '!E22)</f>
        <v>442256</v>
      </c>
      <c r="F22" s="175">
        <f>SUM('5.10 sz. mell '!F22)</f>
        <v>526538000</v>
      </c>
      <c r="G22" s="1533">
        <f>SUM(H22-F22)</f>
        <v>0</v>
      </c>
      <c r="H22" s="175">
        <f>SUM('5.10 sz. mell '!H22)</f>
        <v>526538000</v>
      </c>
      <c r="I22" s="1375">
        <f>SUM(J22-H22)</f>
        <v>6075000</v>
      </c>
      <c r="J22" s="175">
        <f>SUM('5.10 sz. mell '!J22)</f>
        <v>532613000</v>
      </c>
      <c r="K22" s="1375">
        <f>SUM(L22-J22)</f>
        <v>0</v>
      </c>
      <c r="L22" s="175">
        <f>SUM('5.10 sz. mell '!L22+'5.9. sz. mell.'!L27)</f>
        <v>532613000</v>
      </c>
      <c r="M22" s="175">
        <f>SUM('5.10 sz. mell '!M22)</f>
        <v>532613000</v>
      </c>
      <c r="N22" s="285">
        <f t="shared" si="6"/>
        <v>101.15376288131151</v>
      </c>
      <c r="Q22" s="1876">
        <f t="shared" si="7"/>
        <v>0</v>
      </c>
      <c r="R22" s="1876"/>
      <c r="S22" s="1885">
        <f t="shared" si="8"/>
        <v>0</v>
      </c>
      <c r="T22" s="1885"/>
      <c r="U22" s="248">
        <f t="shared" si="2"/>
        <v>0</v>
      </c>
      <c r="V22" s="248"/>
      <c r="W22" s="1871">
        <f t="shared" si="3"/>
        <v>0</v>
      </c>
      <c r="X22" s="1962">
        <f t="shared" si="9"/>
        <v>0</v>
      </c>
      <c r="Y22" s="1876">
        <f>SUM('5.a sz. mell. '!F21+'5.b. sz. mell.'!F22)</f>
        <v>526538000</v>
      </c>
      <c r="Z22" s="1876"/>
      <c r="AA22" s="1885">
        <f>SUM('5.a sz. mell. '!H21+'5.b. sz. mell.'!H22)</f>
        <v>526538000</v>
      </c>
      <c r="AB22" s="1885"/>
      <c r="AC22" s="248">
        <f>SUM('5.a sz. mell. '!J21+'5.b. sz. mell.'!J22)</f>
        <v>532613000</v>
      </c>
      <c r="AD22" s="248"/>
      <c r="AE22" s="1871">
        <f>SUM('5.a sz. mell. '!L21+'5.b. sz. mell.'!L22)</f>
        <v>532613000</v>
      </c>
      <c r="AF22" s="1903">
        <f>SUM('5.a sz. mell. '!M21+'5.b. sz. mell.'!M22)</f>
        <v>532613000</v>
      </c>
    </row>
    <row r="23" spans="1:32" s="145" customFormat="1" ht="16.5" customHeight="1" thickBot="1" x14ac:dyDescent="0.25">
      <c r="A23" s="142"/>
      <c r="B23" s="143" t="s">
        <v>360</v>
      </c>
      <c r="C23" s="55" t="s">
        <v>1430</v>
      </c>
      <c r="D23" s="144" t="e">
        <f>SUM(#REF!+#REF!+#REF!+#REF!+#REF!+#REF!+'5.1. sz. mell. '!D18+'5.2. sz. mell.  '!D20+'5.3 sz. mell'!D20+'5.4. sz mell'!D20+'5.5. sz. mell.  '!D20+'5.6. sz. mell'!D20+'5.7. sz. mell.'!D20+'5.8. sz. mell.'!D20+#REF!+'5.9. sz. mell.'!D20)</f>
        <v>#REF!</v>
      </c>
      <c r="E23" s="144" t="e">
        <f>SUM(#REF!+#REF!+#REF!+#REF!+#REF!+#REF!+'5.1. sz. mell. '!E18+'5.2. sz. mell.  '!E20+'5.3 sz. mell'!E20+'5.4. sz mell'!E20+'5.5. sz. mell.  '!E20+'5.6. sz. mell'!E20+'5.7. sz. mell.'!E20+'5.8. sz. mell.'!E20+#REF!+'5.9. sz. mell.'!E20)</f>
        <v>#REF!</v>
      </c>
      <c r="F23" s="144">
        <f>SUM('5.1. sz. mell. '!F23+'5.2. sz. mell.  '!F23+'5.3 sz. mell'!F22+'5.4. sz mell'!F22+'5.5. sz. mell.  '!F22+'5.6. sz. mell'!F22+'5.7. sz. mell.'!F22+'5.8. sz. mell.'!F20+'5.9. sz. mell.'!F22+'5.10 sz. mell '!F23)</f>
        <v>0</v>
      </c>
      <c r="G23" s="1415"/>
      <c r="H23" s="144">
        <f>SUM('5.1. sz. mell. '!H23+'5.2. sz. mell.  '!H23+'5.3 sz. mell'!H22+'5.4. sz mell'!H22+'5.5. sz. mell.  '!H22+'5.6. sz. mell'!H22+'5.7. sz. mell.'!H22+'5.8. sz. mell.'!H20+'5.9. sz. mell.'!H22+'5.10 sz. mell '!H23)</f>
        <v>0</v>
      </c>
      <c r="I23" s="1376"/>
      <c r="J23" s="144">
        <f>SUM('5.1. sz. mell. '!J23+'5.2. sz. mell.  '!J23+'5.3 sz. mell'!J22+'5.4. sz mell'!J22+'5.5. sz. mell.  '!J22+'5.6. sz. mell'!J22+'5.7. sz. mell.'!J22+'5.8. sz. mell.'!J20+'5.9. sz. mell.'!J22+'5.10 sz. mell '!J23)</f>
        <v>0</v>
      </c>
      <c r="K23" s="1376"/>
      <c r="L23" s="144">
        <f>SUM('5.1. sz. mell. '!L23+'5.2. sz. mell.  '!L23+'5.3 sz. mell'!L22+'5.4. sz mell'!L22+'5.5. sz. mell.  '!L22+'5.6. sz. mell'!L22+'5.7. sz. mell.'!L22+'5.8. sz. mell.'!L20+'5.9. sz. mell.'!L22+'5.10 sz. mell '!L23)</f>
        <v>0</v>
      </c>
      <c r="M23" s="144">
        <f>SUM('5.1. sz. mell. '!M23+'5.2. sz. mell.  '!M23+'5.3 sz. mell'!M22+'5.4. sz mell'!M22+'5.5. sz. mell.  '!M22+'5.6. sz. mell'!M22+'5.7. sz. mell.'!M22+'5.8. sz. mell.'!M20+'5.9. sz. mell.'!M22+'5.10 sz. mell '!M23)</f>
        <v>0</v>
      </c>
      <c r="N23" s="285" t="e">
        <f t="shared" si="6"/>
        <v>#DIV/0!</v>
      </c>
      <c r="Q23" s="1876">
        <f t="shared" si="7"/>
        <v>0</v>
      </c>
      <c r="R23" s="1876"/>
      <c r="S23" s="1885">
        <f t="shared" si="8"/>
        <v>0</v>
      </c>
      <c r="T23" s="1885"/>
      <c r="U23" s="248">
        <f t="shared" si="2"/>
        <v>0</v>
      </c>
      <c r="V23" s="248"/>
      <c r="W23" s="1871">
        <f t="shared" si="3"/>
        <v>0</v>
      </c>
      <c r="X23" s="1962">
        <f t="shared" si="9"/>
        <v>0</v>
      </c>
      <c r="Y23" s="1876">
        <f>SUM('5.a sz. mell. '!F22+'5.b. sz. mell.'!F23)</f>
        <v>0</v>
      </c>
      <c r="Z23" s="1876"/>
      <c r="AA23" s="1885">
        <f>SUM('5.a sz. mell. '!H22+'5.b. sz. mell.'!H23)</f>
        <v>0</v>
      </c>
      <c r="AB23" s="1885"/>
      <c r="AC23" s="248">
        <f>SUM('5.a sz. mell. '!J22+'5.b. sz. mell.'!J23)</f>
        <v>0</v>
      </c>
      <c r="AD23" s="248"/>
      <c r="AE23" s="1871">
        <f>SUM('5.a sz. mell. '!L22+'5.b. sz. mell.'!L23)</f>
        <v>0</v>
      </c>
      <c r="AF23" s="1903">
        <f>SUM('5.a sz. mell. '!M22+'5.b. sz. mell.'!M23)</f>
        <v>0</v>
      </c>
    </row>
    <row r="24" spans="1:32" s="145" customFormat="1" ht="15" customHeight="1" thickBot="1" x14ac:dyDescent="0.25">
      <c r="A24" s="142"/>
      <c r="B24" s="143" t="s">
        <v>357</v>
      </c>
      <c r="C24" s="55" t="s">
        <v>424</v>
      </c>
      <c r="D24" s="144" t="e">
        <f>SUM(#REF!+#REF!+'5.1. sz. mell. '!D19+'5.2. sz. mell.  '!D21)</f>
        <v>#REF!</v>
      </c>
      <c r="E24" s="144" t="e">
        <f>SUM(#REF!+#REF!+'5.1. sz. mell. '!E19+'5.2. sz. mell.  '!E21)</f>
        <v>#REF!</v>
      </c>
      <c r="F24" s="144"/>
      <c r="G24" s="1415"/>
      <c r="H24" s="144">
        <f>SUM('5.1. sz. mell. '!H24+'5.2. sz. mell.  '!H24+'5.3 sz. mell'!H23+'5.4. sz mell'!H23+'5.5. sz. mell.  '!H23+'5.6. sz. mell'!H23+'5.7. sz. mell.'!H23+'5.8. sz. mell.'!H23+'5.9. sz. mell.'!H23+'5.10 sz. mell '!H24)</f>
        <v>0</v>
      </c>
      <c r="I24" s="1376"/>
      <c r="J24" s="144">
        <f>SUM('5.1. sz. mell. '!J24+'5.2. sz. mell.  '!J24+'5.3 sz. mell'!J23+'5.4. sz mell'!J23+'5.5. sz. mell.  '!J23+'5.6. sz. mell'!J23+'5.7. sz. mell.'!J23+'5.8. sz. mell.'!J23+'5.9. sz. mell.'!J23+'5.10 sz. mell '!J24)</f>
        <v>0</v>
      </c>
      <c r="K24" s="1376"/>
      <c r="L24" s="144">
        <f>SUM('5.1. sz. mell. '!L24+'5.2. sz. mell.  '!L24+'5.3 sz. mell'!L23+'5.4. sz mell'!L23+'5.5. sz. mell.  '!L23+'5.6. sz. mell'!L23+'5.7. sz. mell.'!L23+'5.8. sz. mell.'!L23+'5.9. sz. mell.'!L23+'5.10 sz. mell '!L24)</f>
        <v>0</v>
      </c>
      <c r="M24" s="144">
        <f>SUM('5.1. sz. mell. '!M24+'5.2. sz. mell.  '!M24+'5.3 sz. mell'!M23+'5.4. sz mell'!M23+'5.5. sz. mell.  '!M23+'5.6. sz. mell'!M23+'5.7. sz. mell.'!M23+'5.8. sz. mell.'!M23+'5.9. sz. mell.'!M23+'5.10 sz. mell '!M24)</f>
        <v>0</v>
      </c>
      <c r="N24" s="285" t="e">
        <f t="shared" si="6"/>
        <v>#DIV/0!</v>
      </c>
      <c r="Q24" s="1876">
        <f t="shared" si="7"/>
        <v>0</v>
      </c>
      <c r="R24" s="1876"/>
      <c r="S24" s="1885">
        <f t="shared" si="8"/>
        <v>0</v>
      </c>
      <c r="T24" s="1885"/>
      <c r="U24" s="248">
        <f t="shared" si="2"/>
        <v>0</v>
      </c>
      <c r="V24" s="248"/>
      <c r="W24" s="1871">
        <f t="shared" si="3"/>
        <v>0</v>
      </c>
      <c r="X24" s="1962">
        <f t="shared" si="9"/>
        <v>0</v>
      </c>
      <c r="Y24" s="1876">
        <f>SUM('5.a sz. mell. '!F23+'5.b. sz. mell.'!F24)</f>
        <v>0</v>
      </c>
      <c r="Z24" s="1876"/>
      <c r="AA24" s="1885">
        <f>SUM('5.a sz. mell. '!H23+'5.b. sz. mell.'!H24)</f>
        <v>0</v>
      </c>
      <c r="AB24" s="1885"/>
      <c r="AC24" s="248">
        <f>SUM('5.a sz. mell. '!J23+'5.b. sz. mell.'!J24)</f>
        <v>0</v>
      </c>
      <c r="AD24" s="248"/>
      <c r="AE24" s="1871">
        <f>SUM('5.a sz. mell. '!L23+'5.b. sz. mell.'!L24)</f>
        <v>0</v>
      </c>
      <c r="AF24" s="1903">
        <f>SUM('5.a sz. mell. '!M23+'5.b. sz. mell.'!M24)</f>
        <v>0</v>
      </c>
    </row>
    <row r="25" spans="1:32" s="145" customFormat="1" ht="15" customHeight="1" thickBot="1" x14ac:dyDescent="0.25">
      <c r="A25" s="142"/>
      <c r="B25" s="143" t="s">
        <v>7</v>
      </c>
      <c r="C25" s="55" t="s">
        <v>6</v>
      </c>
      <c r="D25" s="144"/>
      <c r="E25" s="144">
        <f>'5.7. sz. mell.'!E23</f>
        <v>2090</v>
      </c>
      <c r="F25" s="144">
        <f>'5.7. sz. mell.'!F23</f>
        <v>0</v>
      </c>
      <c r="G25" s="1415"/>
      <c r="H25" s="144">
        <f>'5.7. sz. mell.'!H24</f>
        <v>0</v>
      </c>
      <c r="I25" s="1376"/>
      <c r="J25" s="144">
        <f>'5.7. sz. mell.'!J24</f>
        <v>0</v>
      </c>
      <c r="K25" s="1376"/>
      <c r="L25" s="144">
        <f>'5.7. sz. mell.'!L24</f>
        <v>0</v>
      </c>
      <c r="M25" s="144">
        <f>'5.7. sz. mell.'!M24</f>
        <v>0</v>
      </c>
      <c r="N25" s="285" t="e">
        <f t="shared" si="6"/>
        <v>#DIV/0!</v>
      </c>
      <c r="Q25" s="1876">
        <f t="shared" si="7"/>
        <v>0</v>
      </c>
      <c r="R25" s="1876"/>
      <c r="S25" s="1885">
        <f t="shared" si="8"/>
        <v>0</v>
      </c>
      <c r="T25" s="1885"/>
      <c r="U25" s="248">
        <f t="shared" si="2"/>
        <v>0</v>
      </c>
      <c r="V25" s="248"/>
      <c r="W25" s="1871">
        <f t="shared" si="3"/>
        <v>0</v>
      </c>
      <c r="X25" s="1962">
        <f t="shared" si="9"/>
        <v>0</v>
      </c>
      <c r="Y25" s="1876">
        <f>SUM('5.a sz. mell. '!F24+'5.b. sz. mell.'!F25)</f>
        <v>0</v>
      </c>
      <c r="Z25" s="1876"/>
      <c r="AA25" s="1885">
        <f>SUM('5.a sz. mell. '!H24+'5.b. sz. mell.'!H25)</f>
        <v>0</v>
      </c>
      <c r="AB25" s="1885"/>
      <c r="AC25" s="248">
        <f>SUM('5.a sz. mell. '!J24+'5.b. sz. mell.'!J25)</f>
        <v>0</v>
      </c>
      <c r="AD25" s="248"/>
      <c r="AE25" s="1871">
        <f>SUM('5.a sz. mell. '!L24+'5.b. sz. mell.'!L25)</f>
        <v>0</v>
      </c>
      <c r="AF25" s="1903">
        <f>SUM('5.a sz. mell. '!M24+'5.b. sz. mell.'!M25)</f>
        <v>0</v>
      </c>
    </row>
    <row r="26" spans="1:32" s="145" customFormat="1" ht="15" customHeight="1" thickBot="1" x14ac:dyDescent="0.25">
      <c r="A26" s="142"/>
      <c r="B26" s="143" t="s">
        <v>9</v>
      </c>
      <c r="C26" s="55" t="s">
        <v>425</v>
      </c>
      <c r="D26" s="294" t="e">
        <f>SUM(#REF!+'5.9. sz. mell.'!D24)</f>
        <v>#REF!</v>
      </c>
      <c r="E26" s="294" t="e">
        <f>SUM(#REF!+'5.9. sz. mell.'!E24+'5.2. sz. mell.  '!E26)+#REF!+'5.10 sz. mell '!E26</f>
        <v>#REF!</v>
      </c>
      <c r="F26" s="294">
        <f>SUM('5.9. sz. mell.'!F24+'5.2. sz. mell.  '!F26)</f>
        <v>0</v>
      </c>
      <c r="G26" s="2667"/>
      <c r="H26" s="294">
        <f>SUM('5.9. sz. mell.'!H24+'5.2. sz. mell.  '!H26)</f>
        <v>0</v>
      </c>
      <c r="I26" s="1384"/>
      <c r="J26" s="294">
        <f>SUM('5.9. sz. mell.'!J24+'5.2. sz. mell.  '!J26)</f>
        <v>0</v>
      </c>
      <c r="K26" s="1384"/>
      <c r="L26" s="294">
        <f>SUM('5.9. sz. mell.'!L24+'5.2. sz. mell.  '!L26)</f>
        <v>0</v>
      </c>
      <c r="M26" s="294">
        <f>SUM('5.9. sz. mell.'!M24+'5.2. sz. mell.  '!M26)</f>
        <v>0</v>
      </c>
      <c r="N26" s="285" t="e">
        <f t="shared" si="6"/>
        <v>#DIV/0!</v>
      </c>
      <c r="Q26" s="1876">
        <f t="shared" si="7"/>
        <v>0</v>
      </c>
      <c r="R26" s="1876"/>
      <c r="S26" s="1885">
        <f t="shared" si="8"/>
        <v>0</v>
      </c>
      <c r="T26" s="1885"/>
      <c r="U26" s="248">
        <f t="shared" si="2"/>
        <v>0</v>
      </c>
      <c r="V26" s="248"/>
      <c r="W26" s="1871">
        <f t="shared" si="3"/>
        <v>0</v>
      </c>
      <c r="X26" s="1962">
        <f t="shared" si="9"/>
        <v>0</v>
      </c>
      <c r="Y26" s="1876">
        <f>SUM('5.a sz. mell. '!F25+'5.b. sz. mell.'!F26)</f>
        <v>0</v>
      </c>
      <c r="Z26" s="1876"/>
      <c r="AA26" s="1885">
        <f>SUM('5.a sz. mell. '!H25+'5.b. sz. mell.'!H26)</f>
        <v>0</v>
      </c>
      <c r="AB26" s="1885"/>
      <c r="AC26" s="248">
        <f>SUM('5.a sz. mell. '!J25+'5.b. sz. mell.'!J26)</f>
        <v>0</v>
      </c>
      <c r="AD26" s="248"/>
      <c r="AE26" s="1871">
        <f>SUM('5.a sz. mell. '!L25+'5.b. sz. mell.'!L26)</f>
        <v>0</v>
      </c>
      <c r="AF26" s="1903">
        <f>SUM('5.a sz. mell. '!M25+'5.b. sz. mell.'!M26)</f>
        <v>0</v>
      </c>
    </row>
    <row r="27" spans="1:32" s="141" customFormat="1" ht="15" customHeight="1" thickBot="1" x14ac:dyDescent="0.25">
      <c r="A27" s="134" t="s">
        <v>31</v>
      </c>
      <c r="B27" s="170"/>
      <c r="C27" s="247" t="s">
        <v>426</v>
      </c>
      <c r="D27" s="137" t="e">
        <f>SUM(D28)</f>
        <v>#REF!</v>
      </c>
      <c r="E27" s="137" t="e">
        <f>SUM(E28)</f>
        <v>#REF!</v>
      </c>
      <c r="F27" s="137">
        <f>SUM(F28)</f>
        <v>0</v>
      </c>
      <c r="G27" s="1382">
        <f>SUM(H27-F27)</f>
        <v>502500</v>
      </c>
      <c r="H27" s="137">
        <f>SUM(H28)</f>
        <v>502500</v>
      </c>
      <c r="I27" s="1374"/>
      <c r="J27" s="137">
        <f>SUM(J28)</f>
        <v>502500</v>
      </c>
      <c r="K27" s="1374"/>
      <c r="L27" s="137">
        <f>SUM(L28)</f>
        <v>502500</v>
      </c>
      <c r="M27" s="137">
        <f>SUM(M28)</f>
        <v>502500</v>
      </c>
      <c r="N27" s="285">
        <f t="shared" si="6"/>
        <v>100</v>
      </c>
      <c r="Q27" s="1876">
        <f t="shared" si="7"/>
        <v>0</v>
      </c>
      <c r="R27" s="1876"/>
      <c r="S27" s="1885">
        <f t="shared" si="8"/>
        <v>0</v>
      </c>
      <c r="T27" s="1885"/>
      <c r="U27" s="248">
        <f t="shared" si="2"/>
        <v>0</v>
      </c>
      <c r="V27" s="248"/>
      <c r="W27" s="1871">
        <f t="shared" si="3"/>
        <v>0</v>
      </c>
      <c r="X27" s="1962">
        <f t="shared" si="9"/>
        <v>0</v>
      </c>
      <c r="Y27" s="1876">
        <f>SUM('5.a sz. mell. '!F26+'5.b. sz. mell.'!F27)</f>
        <v>0</v>
      </c>
      <c r="Z27" s="1876"/>
      <c r="AA27" s="1885">
        <f>SUM('5.a sz. mell. '!H26+'5.b. sz. mell.'!H27)</f>
        <v>502500</v>
      </c>
      <c r="AB27" s="1885"/>
      <c r="AC27" s="248">
        <f>SUM('5.a sz. mell. '!J26+'5.b. sz. mell.'!J27)</f>
        <v>502500</v>
      </c>
      <c r="AD27" s="248"/>
      <c r="AE27" s="1871">
        <f>SUM('5.a sz. mell. '!L26+'5.b. sz. mell.'!L27)</f>
        <v>502500</v>
      </c>
      <c r="AF27" s="1903">
        <f>SUM('5.a sz. mell. '!M26+'5.b. sz. mell.'!M27)</f>
        <v>502500</v>
      </c>
    </row>
    <row r="28" spans="1:32" s="145" customFormat="1" ht="30.75" customHeight="1" thickBot="1" x14ac:dyDescent="0.25">
      <c r="A28" s="142"/>
      <c r="B28" s="143" t="s">
        <v>19</v>
      </c>
      <c r="C28" s="55" t="s">
        <v>427</v>
      </c>
      <c r="D28" s="294" t="e">
        <f>SUM(#REF!+#REF!+#REF!+#REF!+#REF!+#REF!+'5.1. sz. mell. '!D24+'5.2. sz. mell.  '!D29+'5.3 sz. mell'!D28+'5.4. sz mell'!D28+'5.5. sz. mell.  '!D32+'5.6. sz. mell'!D32+'5.7. sz. mell.'!D32+'5.8. sz. mell.'!D32+#REF!+'5.9. sz. mell.'!D32+'5.10 sz. mell '!D33)</f>
        <v>#REF!</v>
      </c>
      <c r="E28" s="294" t="e">
        <f>SUM(#REF!+#REF!+#REF!+#REF!+#REF!+#REF!+'5.1. sz. mell. '!E24+'5.2. sz. mell.  '!E29+'5.3 sz. mell'!E28+'5.4. sz mell'!E28+'5.5. sz. mell.  '!E32+'5.6. sz. mell'!E32+'5.7. sz. mell.'!E32+'5.8. sz. mell.'!E32+#REF!+'5.9. sz. mell.'!E32+'5.10 sz. mell '!E33)</f>
        <v>#REF!</v>
      </c>
      <c r="F28" s="294"/>
      <c r="G28" s="1415">
        <f>SUM(H28-F28)</f>
        <v>502500</v>
      </c>
      <c r="H28" s="294">
        <f>SUM('5.10 sz. mell '!H28)+'5.7. sz. mell.'!H27</f>
        <v>502500</v>
      </c>
      <c r="I28" s="1384"/>
      <c r="J28" s="294">
        <f>SUM('5.10 sz. mell '!J28)+'5.7. sz. mell.'!J27</f>
        <v>502500</v>
      </c>
      <c r="K28" s="1384"/>
      <c r="L28" s="294">
        <f>SUM('5.10 sz. mell '!L28)+'5.7. sz. mell.'!L27</f>
        <v>502500</v>
      </c>
      <c r="M28" s="294">
        <f>SUM('5.10 sz. mell '!M28)+'5.7. sz. mell.'!M27</f>
        <v>502500</v>
      </c>
      <c r="N28" s="285">
        <f t="shared" si="6"/>
        <v>100</v>
      </c>
      <c r="Q28" s="1876">
        <f t="shared" si="7"/>
        <v>0</v>
      </c>
      <c r="R28" s="1876"/>
      <c r="S28" s="1885">
        <f t="shared" si="8"/>
        <v>0</v>
      </c>
      <c r="T28" s="1885"/>
      <c r="U28" s="248">
        <f t="shared" si="2"/>
        <v>0</v>
      </c>
      <c r="V28" s="248"/>
      <c r="W28" s="1871">
        <f t="shared" si="3"/>
        <v>0</v>
      </c>
      <c r="X28" s="1962">
        <f t="shared" si="9"/>
        <v>0</v>
      </c>
      <c r="Y28" s="1876">
        <f>SUM('5.a sz. mell. '!F27+'5.b. sz. mell.'!F28)</f>
        <v>0</v>
      </c>
      <c r="Z28" s="1876"/>
      <c r="AA28" s="1885">
        <f>SUM('5.a sz. mell. '!H27+'5.b. sz. mell.'!H28)</f>
        <v>502500</v>
      </c>
      <c r="AB28" s="1885"/>
      <c r="AC28" s="248">
        <f>SUM('5.a sz. mell. '!J27+'5.b. sz. mell.'!J28)</f>
        <v>502500</v>
      </c>
      <c r="AD28" s="248"/>
      <c r="AE28" s="1871">
        <f>SUM('5.a sz. mell. '!L27+'5.b. sz. mell.'!L28)</f>
        <v>502500</v>
      </c>
      <c r="AF28" s="1903">
        <f>SUM('5.a sz. mell. '!M27+'5.b. sz. mell.'!M28)</f>
        <v>502500</v>
      </c>
    </row>
    <row r="29" spans="1:32" s="145" customFormat="1" ht="15" customHeight="1" thickBot="1" x14ac:dyDescent="0.25">
      <c r="A29" s="134" t="s">
        <v>45</v>
      </c>
      <c r="B29" s="148"/>
      <c r="C29" s="170" t="s">
        <v>428</v>
      </c>
      <c r="D29" s="155"/>
      <c r="E29" s="155"/>
      <c r="F29" s="155"/>
      <c r="G29" s="1381"/>
      <c r="H29" s="155"/>
      <c r="I29" s="1380"/>
      <c r="J29" s="155">
        <f>SUM(J30:J32)</f>
        <v>20000</v>
      </c>
      <c r="K29" s="1380"/>
      <c r="L29" s="155">
        <f>SUM(L30:L32)</f>
        <v>20000</v>
      </c>
      <c r="M29" s="155">
        <f>SUM(M30:M32)</f>
        <v>20000</v>
      </c>
      <c r="N29" s="285" t="e">
        <f t="shared" si="6"/>
        <v>#DIV/0!</v>
      </c>
      <c r="Q29" s="1876">
        <f t="shared" si="7"/>
        <v>0</v>
      </c>
      <c r="R29" s="1876"/>
      <c r="S29" s="1885">
        <f t="shared" si="8"/>
        <v>0</v>
      </c>
      <c r="T29" s="1885"/>
      <c r="U29" s="248">
        <f t="shared" si="2"/>
        <v>0</v>
      </c>
      <c r="V29" s="248"/>
      <c r="W29" s="1871">
        <f t="shared" si="3"/>
        <v>0</v>
      </c>
      <c r="X29" s="1962">
        <f t="shared" si="9"/>
        <v>0</v>
      </c>
      <c r="Y29" s="1876">
        <f>SUM('5.a sz. mell. '!F28+'5.b. sz. mell.'!F29)</f>
        <v>0</v>
      </c>
      <c r="Z29" s="1876"/>
      <c r="AA29" s="1885">
        <f>SUM('5.a sz. mell. '!H28+'5.b. sz. mell.'!H29)</f>
        <v>0</v>
      </c>
      <c r="AB29" s="1885"/>
      <c r="AC29" s="248">
        <f>SUM('5.a sz. mell. '!J28+'5.b. sz. mell.'!J29)</f>
        <v>20000</v>
      </c>
      <c r="AD29" s="248"/>
      <c r="AE29" s="1871">
        <f>SUM('5.a sz. mell. '!L28+'5.b. sz. mell.'!L29)</f>
        <v>20000</v>
      </c>
      <c r="AF29" s="1903">
        <f>SUM('5.a sz. mell. '!M28+'5.b. sz. mell.'!M29)</f>
        <v>20000</v>
      </c>
    </row>
    <row r="30" spans="1:32" s="145" customFormat="1" ht="15" customHeight="1" thickBot="1" x14ac:dyDescent="0.25">
      <c r="A30" s="142"/>
      <c r="B30" s="253" t="s">
        <v>33</v>
      </c>
      <c r="C30" s="55" t="s">
        <v>359</v>
      </c>
      <c r="D30" s="144"/>
      <c r="E30" s="144"/>
      <c r="F30" s="144"/>
      <c r="G30" s="1415"/>
      <c r="H30" s="144"/>
      <c r="I30" s="1376"/>
      <c r="J30" s="144"/>
      <c r="K30" s="1376"/>
      <c r="L30" s="144"/>
      <c r="M30" s="144"/>
      <c r="N30" s="285" t="e">
        <f t="shared" si="6"/>
        <v>#DIV/0!</v>
      </c>
      <c r="Q30" s="1876">
        <f t="shared" si="7"/>
        <v>0</v>
      </c>
      <c r="R30" s="1876"/>
      <c r="S30" s="1885">
        <f t="shared" si="8"/>
        <v>0</v>
      </c>
      <c r="T30" s="1885"/>
      <c r="U30" s="248">
        <f t="shared" si="2"/>
        <v>0</v>
      </c>
      <c r="V30" s="248"/>
      <c r="W30" s="1871">
        <f t="shared" si="3"/>
        <v>0</v>
      </c>
      <c r="X30" s="1962">
        <f t="shared" si="9"/>
        <v>0</v>
      </c>
      <c r="Y30" s="1876">
        <f>SUM('5.a sz. mell. '!F29+'5.b. sz. mell.'!F30)</f>
        <v>0</v>
      </c>
      <c r="Z30" s="1876"/>
      <c r="AA30" s="1885">
        <f>SUM('5.a sz. mell. '!H29+'5.b. sz. mell.'!H30)</f>
        <v>0</v>
      </c>
      <c r="AB30" s="1885"/>
      <c r="AC30" s="248">
        <f>SUM('5.a sz. mell. '!J29+'5.b. sz. mell.'!J30)</f>
        <v>0</v>
      </c>
      <c r="AD30" s="248"/>
      <c r="AE30" s="1871">
        <f>SUM('5.a sz. mell. '!L29+'5.b. sz. mell.'!L30)</f>
        <v>0</v>
      </c>
      <c r="AF30" s="1903">
        <f>SUM('5.a sz. mell. '!M29+'5.b. sz. mell.'!M30)</f>
        <v>0</v>
      </c>
    </row>
    <row r="31" spans="1:32" s="145" customFormat="1" ht="15" customHeight="1" thickBot="1" x14ac:dyDescent="0.25">
      <c r="A31" s="142"/>
      <c r="B31" s="253" t="s">
        <v>39</v>
      </c>
      <c r="C31" s="55" t="s">
        <v>72</v>
      </c>
      <c r="D31" s="144"/>
      <c r="E31" s="144"/>
      <c r="F31" s="144"/>
      <c r="G31" s="1415"/>
      <c r="H31" s="144"/>
      <c r="I31" s="1376"/>
      <c r="J31" s="144"/>
      <c r="K31" s="1376"/>
      <c r="L31" s="144"/>
      <c r="M31" s="144"/>
      <c r="N31" s="285" t="e">
        <f t="shared" si="6"/>
        <v>#DIV/0!</v>
      </c>
      <c r="Q31" s="1876">
        <f t="shared" si="7"/>
        <v>0</v>
      </c>
      <c r="R31" s="1876"/>
      <c r="S31" s="1885">
        <f t="shared" si="8"/>
        <v>0</v>
      </c>
      <c r="T31" s="1885"/>
      <c r="U31" s="248">
        <f t="shared" si="2"/>
        <v>0</v>
      </c>
      <c r="V31" s="248"/>
      <c r="W31" s="1871">
        <f t="shared" si="3"/>
        <v>0</v>
      </c>
      <c r="X31" s="1962">
        <f t="shared" si="9"/>
        <v>0</v>
      </c>
      <c r="Y31" s="1876">
        <f>SUM('5.a sz. mell. '!F30+'5.b. sz. mell.'!F31)</f>
        <v>0</v>
      </c>
      <c r="Z31" s="1876"/>
      <c r="AA31" s="1885">
        <f>SUM('5.a sz. mell. '!H30+'5.b. sz. mell.'!H31)</f>
        <v>0</v>
      </c>
      <c r="AB31" s="1885"/>
      <c r="AC31" s="248">
        <f>SUM('5.a sz. mell. '!J30+'5.b. sz. mell.'!J31)</f>
        <v>0</v>
      </c>
      <c r="AD31" s="248"/>
      <c r="AE31" s="1871">
        <f>SUM('5.a sz. mell. '!L30+'5.b. sz. mell.'!L31)</f>
        <v>0</v>
      </c>
      <c r="AF31" s="1903">
        <f>SUM('5.a sz. mell. '!M30+'5.b. sz. mell.'!M31)</f>
        <v>0</v>
      </c>
    </row>
    <row r="32" spans="1:32" s="145" customFormat="1" ht="15" customHeight="1" thickBot="1" x14ac:dyDescent="0.25">
      <c r="A32" s="142"/>
      <c r="B32" s="253" t="s">
        <v>41</v>
      </c>
      <c r="C32" s="55" t="s">
        <v>74</v>
      </c>
      <c r="D32" s="144"/>
      <c r="E32" s="144"/>
      <c r="F32" s="144"/>
      <c r="G32" s="1415"/>
      <c r="H32" s="144"/>
      <c r="I32" s="1376"/>
      <c r="J32" s="144">
        <f>SUM('5.9. sz. mell.'!J31)</f>
        <v>20000</v>
      </c>
      <c r="K32" s="1376"/>
      <c r="L32" s="144">
        <f>SUM('5.9. sz. mell.'!L31)</f>
        <v>20000</v>
      </c>
      <c r="M32" s="144">
        <f>SUM('5.9. sz. mell.'!M31)</f>
        <v>20000</v>
      </c>
      <c r="N32" s="285" t="e">
        <f t="shared" si="6"/>
        <v>#DIV/0!</v>
      </c>
      <c r="Q32" s="1876">
        <f t="shared" si="7"/>
        <v>0</v>
      </c>
      <c r="R32" s="1876"/>
      <c r="S32" s="1885">
        <f t="shared" si="8"/>
        <v>0</v>
      </c>
      <c r="T32" s="1885"/>
      <c r="U32" s="248">
        <f t="shared" si="2"/>
        <v>0</v>
      </c>
      <c r="V32" s="248"/>
      <c r="W32" s="1871">
        <f t="shared" si="3"/>
        <v>0</v>
      </c>
      <c r="X32" s="1962">
        <f t="shared" si="9"/>
        <v>0</v>
      </c>
      <c r="Y32" s="1876">
        <f>SUM('5.a sz. mell. '!F31+'5.b. sz. mell.'!F32)</f>
        <v>0</v>
      </c>
      <c r="Z32" s="1876"/>
      <c r="AA32" s="1885">
        <f>SUM('5.a sz. mell. '!H31+'5.b. sz. mell.'!H32)</f>
        <v>0</v>
      </c>
      <c r="AB32" s="1885"/>
      <c r="AC32" s="248">
        <f>SUM('5.a sz. mell. '!J31+'5.b. sz. mell.'!J32)</f>
        <v>20000</v>
      </c>
      <c r="AD32" s="248"/>
      <c r="AE32" s="1871">
        <f>SUM('5.a sz. mell. '!L31+'5.b. sz. mell.'!L32)</f>
        <v>20000</v>
      </c>
      <c r="AF32" s="1903">
        <f>SUM('5.a sz. mell. '!M31+'5.b. sz. mell.'!M32)</f>
        <v>20000</v>
      </c>
    </row>
    <row r="33" spans="1:37" s="141" customFormat="1" ht="30" customHeight="1" thickBot="1" x14ac:dyDescent="0.25">
      <c r="A33" s="134">
        <v>5</v>
      </c>
      <c r="B33" s="254"/>
      <c r="C33" s="170" t="s">
        <v>429</v>
      </c>
      <c r="D33" s="155"/>
      <c r="E33" s="155"/>
      <c r="F33" s="155">
        <f>SUM(F34)</f>
        <v>0</v>
      </c>
      <c r="G33" s="1382">
        <f>SUM(H33-F33)</f>
        <v>0</v>
      </c>
      <c r="H33" s="155">
        <f>SUM(H34)</f>
        <v>0</v>
      </c>
      <c r="I33" s="1374">
        <f>SUM(J33-H33)</f>
        <v>0</v>
      </c>
      <c r="J33" s="155">
        <f>SUM(J34)</f>
        <v>0</v>
      </c>
      <c r="K33" s="1374">
        <f>SUM(L33-J33)</f>
        <v>0</v>
      </c>
      <c r="L33" s="155">
        <f>SUM(L34)</f>
        <v>0</v>
      </c>
      <c r="M33" s="155">
        <f>SUM(M34)</f>
        <v>0</v>
      </c>
      <c r="N33" s="285" t="e">
        <f t="shared" si="6"/>
        <v>#DIV/0!</v>
      </c>
      <c r="Q33" s="1876">
        <f t="shared" si="7"/>
        <v>0</v>
      </c>
      <c r="R33" s="1876"/>
      <c r="S33" s="1885">
        <f t="shared" si="8"/>
        <v>0</v>
      </c>
      <c r="T33" s="1885"/>
      <c r="U33" s="248">
        <f t="shared" si="2"/>
        <v>0</v>
      </c>
      <c r="V33" s="248"/>
      <c r="W33" s="1871">
        <f t="shared" si="3"/>
        <v>0</v>
      </c>
      <c r="X33" s="1962">
        <f t="shared" si="9"/>
        <v>0</v>
      </c>
      <c r="Y33" s="1876">
        <f>SUM('5.a sz. mell. '!F32+'5.b. sz. mell.'!F33)</f>
        <v>0</v>
      </c>
      <c r="Z33" s="1876"/>
      <c r="AA33" s="1885">
        <f>SUM('5.a sz. mell. '!H32+'5.b. sz. mell.'!H33)</f>
        <v>0</v>
      </c>
      <c r="AB33" s="1885"/>
      <c r="AC33" s="248">
        <f>SUM('5.a sz. mell. '!J32+'5.b. sz. mell.'!J33)</f>
        <v>0</v>
      </c>
      <c r="AD33" s="248"/>
      <c r="AE33" s="1871">
        <f>SUM('5.a sz. mell. '!L32+'5.b. sz. mell.'!L33)</f>
        <v>0</v>
      </c>
      <c r="AF33" s="1903">
        <f>SUM('5.a sz. mell. '!M32+'5.b. sz. mell.'!M33)</f>
        <v>0</v>
      </c>
    </row>
    <row r="34" spans="1:37" s="141" customFormat="1" ht="29.25" customHeight="1" thickBot="1" x14ac:dyDescent="0.25">
      <c r="A34" s="134"/>
      <c r="B34" s="255" t="s">
        <v>47</v>
      </c>
      <c r="C34" s="251" t="s">
        <v>430</v>
      </c>
      <c r="D34" s="295"/>
      <c r="E34" s="295"/>
      <c r="F34" s="295">
        <f>SUM('5.10 sz. mell '!F34)</f>
        <v>0</v>
      </c>
      <c r="G34" s="1381"/>
      <c r="H34" s="295">
        <f>SUM('5.10 sz. mell '!H34)</f>
        <v>0</v>
      </c>
      <c r="I34" s="1381"/>
      <c r="J34" s="295">
        <f>SUM('5.10 sz. mell '!J34)</f>
        <v>0</v>
      </c>
      <c r="K34" s="1381"/>
      <c r="L34" s="295">
        <f>SUM('5.10 sz. mell '!L34)</f>
        <v>0</v>
      </c>
      <c r="M34" s="295">
        <f>SUM('5.10 sz. mell '!M34)</f>
        <v>0</v>
      </c>
      <c r="N34" s="285" t="e">
        <f t="shared" si="6"/>
        <v>#DIV/0!</v>
      </c>
      <c r="Q34" s="1876">
        <f>SUM(F34-Y34)</f>
        <v>0</v>
      </c>
      <c r="R34" s="1876"/>
      <c r="S34" s="1885">
        <f t="shared" si="8"/>
        <v>0</v>
      </c>
      <c r="T34" s="1885"/>
      <c r="U34" s="248">
        <f t="shared" si="2"/>
        <v>0</v>
      </c>
      <c r="V34" s="248"/>
      <c r="W34" s="1871">
        <f t="shared" si="3"/>
        <v>0</v>
      </c>
      <c r="X34" s="1962">
        <f t="shared" si="9"/>
        <v>0</v>
      </c>
      <c r="Y34" s="1876">
        <f>SUM('5.a sz. mell. '!F33+'5.b. sz. mell.'!F34)</f>
        <v>0</v>
      </c>
      <c r="Z34" s="1876"/>
      <c r="AA34" s="1885">
        <f>SUM('5.a sz. mell. '!H33+'5.b. sz. mell.'!H34)</f>
        <v>0</v>
      </c>
      <c r="AB34" s="1885"/>
      <c r="AC34" s="248">
        <f>SUM('5.a sz. mell. '!J33+'5.b. sz. mell.'!J34)</f>
        <v>0</v>
      </c>
      <c r="AD34" s="248"/>
      <c r="AE34" s="1871">
        <f>SUM('5.a sz. mell. '!L33+'5.b. sz. mell.'!L34)</f>
        <v>0</v>
      </c>
      <c r="AF34" s="1903">
        <f>SUM('5.a sz. mell. '!M33+'5.b. sz. mell.'!M34)</f>
        <v>0</v>
      </c>
    </row>
    <row r="35" spans="1:37" s="141" customFormat="1" ht="15" customHeight="1" thickBot="1" x14ac:dyDescent="0.3">
      <c r="A35" s="134" t="s">
        <v>79</v>
      </c>
      <c r="B35" s="256"/>
      <c r="C35" s="247" t="s">
        <v>431</v>
      </c>
      <c r="D35" s="295"/>
      <c r="E35" s="295"/>
      <c r="F35" s="295">
        <f>SUM(F36)</f>
        <v>0</v>
      </c>
      <c r="G35" s="1381"/>
      <c r="H35" s="295">
        <f>SUM(H36)</f>
        <v>0</v>
      </c>
      <c r="I35" s="1381"/>
      <c r="J35" s="295">
        <f>SUM(J36)</f>
        <v>0</v>
      </c>
      <c r="K35" s="1381"/>
      <c r="L35" s="295">
        <f>SUM(L36)</f>
        <v>0</v>
      </c>
      <c r="M35" s="295"/>
      <c r="N35" s="285" t="e">
        <f t="shared" si="6"/>
        <v>#DIV/0!</v>
      </c>
      <c r="Q35" s="1876">
        <f>SUM(F35-Y35)</f>
        <v>0</v>
      </c>
      <c r="R35" s="1876"/>
      <c r="S35" s="1885">
        <f t="shared" si="8"/>
        <v>0</v>
      </c>
      <c r="T35" s="1885"/>
      <c r="U35" s="248">
        <f t="shared" si="2"/>
        <v>0</v>
      </c>
      <c r="V35" s="248"/>
      <c r="W35" s="1871">
        <f t="shared" si="3"/>
        <v>0</v>
      </c>
      <c r="X35" s="1962">
        <f t="shared" si="9"/>
        <v>0</v>
      </c>
      <c r="Y35" s="1876">
        <f>SUM('5.a sz. mell. '!F34+'5.b. sz. mell.'!F35)</f>
        <v>0</v>
      </c>
      <c r="Z35" s="1876"/>
      <c r="AA35" s="1885">
        <f>SUM('5.a sz. mell. '!H34+'5.b. sz. mell.'!H35)</f>
        <v>0</v>
      </c>
      <c r="AB35" s="1885"/>
      <c r="AC35" s="248">
        <f>SUM('5.a sz. mell. '!J34+'5.b. sz. mell.'!J35)</f>
        <v>0</v>
      </c>
      <c r="AD35" s="248"/>
      <c r="AE35" s="1871">
        <f>SUM('5.a sz. mell. '!L34+'5.b. sz. mell.'!L35)</f>
        <v>0</v>
      </c>
      <c r="AF35" s="1903"/>
    </row>
    <row r="36" spans="1:37" s="141" customFormat="1" ht="30" customHeight="1" thickBot="1" x14ac:dyDescent="0.25">
      <c r="A36" s="134"/>
      <c r="B36" s="257" t="s">
        <v>69</v>
      </c>
      <c r="C36" s="55" t="s">
        <v>432</v>
      </c>
      <c r="D36" s="295"/>
      <c r="E36" s="295"/>
      <c r="F36" s="295">
        <f>SUM('5.10 sz. mell '!F35)</f>
        <v>0</v>
      </c>
      <c r="G36" s="1381"/>
      <c r="H36" s="295">
        <f>SUM('5.10 sz. mell '!H35)</f>
        <v>0</v>
      </c>
      <c r="I36" s="1381"/>
      <c r="J36" s="295">
        <f>SUM('5.10 sz. mell '!J35)</f>
        <v>0</v>
      </c>
      <c r="K36" s="1381"/>
      <c r="L36" s="295">
        <f>SUM('5.10 sz. mell '!L35)</f>
        <v>0</v>
      </c>
      <c r="M36" s="295"/>
      <c r="N36" s="285" t="e">
        <f t="shared" si="6"/>
        <v>#DIV/0!</v>
      </c>
      <c r="Q36" s="1876">
        <f>SUM(F36-Y36)</f>
        <v>0</v>
      </c>
      <c r="R36" s="1876"/>
      <c r="S36" s="1885">
        <f t="shared" si="8"/>
        <v>0</v>
      </c>
      <c r="T36" s="1885"/>
      <c r="U36" s="248">
        <f t="shared" si="2"/>
        <v>0</v>
      </c>
      <c r="V36" s="248"/>
      <c r="W36" s="1871">
        <f t="shared" si="3"/>
        <v>0</v>
      </c>
      <c r="X36" s="1962">
        <f t="shared" si="9"/>
        <v>0</v>
      </c>
      <c r="Y36" s="1876">
        <f>SUM('5.a sz. mell. '!F35+'5.b. sz. mell.'!F36)</f>
        <v>0</v>
      </c>
      <c r="Z36" s="1876"/>
      <c r="AA36" s="1885">
        <f>SUM('5.a sz. mell. '!H35+'5.b. sz. mell.'!H36)</f>
        <v>0</v>
      </c>
      <c r="AB36" s="1885"/>
      <c r="AC36" s="248">
        <f>SUM('5.a sz. mell. '!J35+'5.b. sz. mell.'!J36)</f>
        <v>0</v>
      </c>
      <c r="AD36" s="248"/>
      <c r="AE36" s="1871">
        <f>SUM('5.a sz. mell. '!L35+'5.b. sz. mell.'!L36)</f>
        <v>0</v>
      </c>
      <c r="AF36" s="1903"/>
    </row>
    <row r="37" spans="1:37" s="141" customFormat="1" ht="15" customHeight="1" thickBot="1" x14ac:dyDescent="0.3">
      <c r="A37" s="134" t="s">
        <v>89</v>
      </c>
      <c r="B37" s="256"/>
      <c r="C37" s="170" t="s">
        <v>433</v>
      </c>
      <c r="D37" s="285">
        <f>+D38+D39</f>
        <v>0</v>
      </c>
      <c r="E37" s="285" t="e">
        <f>+E38+E39</f>
        <v>#REF!</v>
      </c>
      <c r="F37" s="285">
        <f>+F38+F39+F40</f>
        <v>926416660</v>
      </c>
      <c r="G37" s="1382">
        <f t="shared" ref="G37:G42" si="10">SUM(H37-F37)</f>
        <v>97053301</v>
      </c>
      <c r="H37" s="285">
        <f>+H38+H39+H40</f>
        <v>1023469961</v>
      </c>
      <c r="I37" s="1374">
        <f>SUM(J37-H37)</f>
        <v>96463526</v>
      </c>
      <c r="J37" s="285">
        <f>+J38+J39+J40</f>
        <v>1119933487</v>
      </c>
      <c r="K37" s="1374">
        <f>SUM(L37-J37)</f>
        <v>0</v>
      </c>
      <c r="L37" s="285">
        <f>+L38+L39+L40</f>
        <v>1119933487</v>
      </c>
      <c r="M37" s="285">
        <f>+M38+M39+M40</f>
        <v>1119933487</v>
      </c>
      <c r="N37" s="285">
        <f t="shared" si="6"/>
        <v>109.42514481868608</v>
      </c>
      <c r="Q37" s="1876">
        <f>SUM(F37-Y37)</f>
        <v>0</v>
      </c>
      <c r="R37" s="1876"/>
      <c r="S37" s="1885">
        <f t="shared" si="8"/>
        <v>0</v>
      </c>
      <c r="T37" s="1885"/>
      <c r="U37" s="248">
        <f t="shared" si="2"/>
        <v>0</v>
      </c>
      <c r="V37" s="248"/>
      <c r="W37" s="1871">
        <f t="shared" si="3"/>
        <v>0</v>
      </c>
      <c r="X37" s="1962">
        <f t="shared" si="9"/>
        <v>0</v>
      </c>
      <c r="Y37" s="1876">
        <f>SUM('5.a sz. mell. '!F36+'5.b. sz. mell.'!F37)</f>
        <v>926416660</v>
      </c>
      <c r="Z37" s="1876"/>
      <c r="AA37" s="1885">
        <f>SUM('5.a sz. mell. '!H36+'5.b. sz. mell.'!H37)</f>
        <v>1023469961</v>
      </c>
      <c r="AB37" s="1885"/>
      <c r="AC37" s="248">
        <f>SUM('5.a sz. mell. '!J36+'5.b. sz. mell.'!J37)</f>
        <v>1119933487</v>
      </c>
      <c r="AD37" s="248"/>
      <c r="AE37" s="1871">
        <f>SUM('5.a sz. mell. '!L36+'5.b. sz. mell.'!L37)</f>
        <v>1119933487</v>
      </c>
      <c r="AF37" s="1903">
        <f>SUM('5.a sz. mell. '!M36+'5.b. sz. mell.'!M37)</f>
        <v>1119933487</v>
      </c>
    </row>
    <row r="38" spans="1:37" s="141" customFormat="1" ht="15" customHeight="1" thickBot="1" x14ac:dyDescent="0.25">
      <c r="A38" s="149"/>
      <c r="B38" s="253" t="s">
        <v>81</v>
      </c>
      <c r="C38" s="55" t="s">
        <v>434</v>
      </c>
      <c r="D38" s="296"/>
      <c r="E38" s="296" t="e">
        <f>'5.1. sz. mell. '!E26+'5.2. sz. mell.  '!E34+'5.3 sz. mell'!E37+'5.4. sz mell'!E37+'5.5. sz. mell.  '!E34+'5.6. sz. mell'!E34+'5.7. sz. mell.'!E34+'5.8. sz. mell.'!E37+#REF!+'5.9. sz. mell.'!E37+'5.10 sz. mell '!E38</f>
        <v>#REF!</v>
      </c>
      <c r="F38" s="2863">
        <f>SUM('5.1. sz. mell. '!F39+'5.2. sz. mell.  '!F39+'5.3 sz. mell'!F37+'5.4. sz mell'!F37+'5.5. sz. mell.  '!F41+'5.6. sz. mell'!F41+'5.7. sz. mell.'!F41+'5.8. sz. mell.'!F37+'5.9. sz. mell.'!F37+'5.10 sz. mell '!F38)</f>
        <v>0</v>
      </c>
      <c r="G38" s="2664">
        <f t="shared" si="10"/>
        <v>8603237</v>
      </c>
      <c r="H38" s="2864">
        <f>SUM('5.1. sz. mell. '!H39+'5.2. sz. mell.  '!H39+'5.3 sz. mell'!H37+'5.4. sz mell'!H37+'5.5. sz. mell.  '!H41+'5.6. sz. mell'!H41+'5.7. sz. mell.'!H41+'5.8. sz. mell.'!H37+'5.9. sz. mell.'!H37+'5.10 sz. mell '!H38)</f>
        <v>8603237</v>
      </c>
      <c r="I38" s="2714"/>
      <c r="J38" s="2864">
        <f>SUM('5.1. sz. mell. '!J39+'5.2. sz. mell.  '!J39+'5.3 sz. mell'!J37+'5.4. sz mell'!J37+'5.5. sz. mell.  '!J41+'5.6. sz. mell'!J41+'5.7. sz. mell.'!J41+'5.8. sz. mell.'!J37+'5.9. sz. mell.'!J37+'5.10 sz. mell '!J38)</f>
        <v>8603237</v>
      </c>
      <c r="K38" s="2714"/>
      <c r="L38" s="2864">
        <f>SUM('5.1. sz. mell. '!L39+'5.2. sz. mell.  '!L39+'5.3 sz. mell'!L37+'5.4. sz mell'!L37+'5.5. sz. mell.  '!L41+'5.6. sz. mell'!L41+'5.7. sz. mell.'!L41+'5.8. sz. mell.'!L37+'5.9. sz. mell.'!L37+'5.10 sz. mell '!L38)</f>
        <v>8603237</v>
      </c>
      <c r="M38" s="2864">
        <f>SUM('5.1. sz. mell. '!M39+'5.2. sz. mell.  '!M39+'5.3 sz. mell'!M37+'5.4. sz mell'!M37+'5.5. sz. mell.  '!M41+'5.6. sz. mell'!M41+'5.7. sz. mell.'!M41+'5.8. sz. mell.'!M37+'5.9. sz. mell.'!M37+'5.10 sz. mell '!M38)</f>
        <v>8603237</v>
      </c>
      <c r="N38" s="285">
        <f t="shared" si="6"/>
        <v>100</v>
      </c>
      <c r="Q38" s="1876">
        <f t="shared" ref="Q38:Q60" si="11">SUM(F38-Y38)</f>
        <v>0</v>
      </c>
      <c r="R38" s="1876"/>
      <c r="S38" s="1885">
        <f t="shared" si="8"/>
        <v>0</v>
      </c>
      <c r="T38" s="1885"/>
      <c r="U38" s="248">
        <f t="shared" si="2"/>
        <v>0</v>
      </c>
      <c r="V38" s="248"/>
      <c r="W38" s="1871">
        <f t="shared" si="3"/>
        <v>0</v>
      </c>
      <c r="X38" s="1962">
        <f t="shared" si="9"/>
        <v>0</v>
      </c>
      <c r="Y38" s="1876">
        <f>SUM('5.a sz. mell. '!F37+'5.b. sz. mell.'!F38)</f>
        <v>0</v>
      </c>
      <c r="Z38" s="1876"/>
      <c r="AA38" s="1885">
        <f>SUM('5.a sz. mell. '!H37+'5.b. sz. mell.'!H38)</f>
        <v>8603237</v>
      </c>
      <c r="AB38" s="1885"/>
      <c r="AC38" s="248">
        <f>SUM('5.a sz. mell. '!J37+'5.b. sz. mell.'!J38)</f>
        <v>8603237</v>
      </c>
      <c r="AD38" s="248"/>
      <c r="AE38" s="1871">
        <f>SUM('5.a sz. mell. '!L37+'5.b. sz. mell.'!L38)</f>
        <v>8603237</v>
      </c>
      <c r="AF38" s="1903">
        <f>SUM('5.a sz. mell. '!M37+'5.b. sz. mell.'!M38)</f>
        <v>8603237</v>
      </c>
    </row>
    <row r="39" spans="1:37" s="141" customFormat="1" ht="15" customHeight="1" thickBot="1" x14ac:dyDescent="0.25">
      <c r="A39" s="142"/>
      <c r="B39" s="253" t="s">
        <v>83</v>
      </c>
      <c r="C39" s="55" t="s">
        <v>435</v>
      </c>
      <c r="D39" s="297"/>
      <c r="E39" s="296" t="e">
        <f>'5.1. sz. mell. '!E27+'5.2. sz. mell.  '!E35+'5.3 sz. mell'!E38+'5.4. sz mell'!E38+'5.5. sz. mell.  '!E35+'5.6. sz. mell'!E35+'5.7. sz. mell.'!E35+'5.8. sz. mell.'!E38+#REF!+'5.9. sz. mell.'!E38+'5.10 sz. mell '!E39</f>
        <v>#REF!</v>
      </c>
      <c r="F39" s="832">
        <f>'5.1. sz. mell. '!F27+'5.2. sz. mell.  '!F35+'5.3 sz. mell'!F38+'5.4. sz mell'!F38+'5.5. sz. mell.  '!F35+'5.6. sz. mell'!F35+'5.7. sz. mell.'!F35+'5.8. sz. mell.'!F38+'5.9. sz. mell.'!F38+'5.10 sz. mell '!F39</f>
        <v>0</v>
      </c>
      <c r="G39" s="2664">
        <f t="shared" si="10"/>
        <v>0</v>
      </c>
      <c r="H39" s="2865">
        <f>'5.1. sz. mell. '!H27+'5.2. sz. mell.  '!H35+'5.3 sz. mell'!H38+'5.4. sz mell'!H38+'5.5. sz. mell.  '!H35+'5.6. sz. mell'!H35+'5.7. sz. mell.'!H35+'5.8. sz. mell.'!H38+'5.9. sz. mell.'!H38+'5.10 sz. mell '!H39</f>
        <v>0</v>
      </c>
      <c r="I39" s="2714"/>
      <c r="J39" s="2865">
        <f>'5.1. sz. mell. '!J27+'5.2. sz. mell.  '!J35+'5.3 sz. mell'!J38+'5.4. sz mell'!J38+'5.5. sz. mell.  '!J35+'5.6. sz. mell'!J35+'5.7. sz. mell.'!J35+'5.8. sz. mell.'!J38+'5.9. sz. mell.'!J38+'5.10 sz. mell '!J39</f>
        <v>0</v>
      </c>
      <c r="K39" s="2714"/>
      <c r="L39" s="2865">
        <f>'5.1. sz. mell. '!L27+'5.2. sz. mell.  '!L35+'5.3 sz. mell'!L38+'5.4. sz mell'!L38+'5.5. sz. mell.  '!L35+'5.6. sz. mell'!L35+'5.7. sz. mell.'!L35+'5.8. sz. mell.'!L38+'5.9. sz. mell.'!L38+'5.10 sz. mell '!L39</f>
        <v>0</v>
      </c>
      <c r="M39" s="2865">
        <f>'5.1. sz. mell. '!M27+'5.2. sz. mell.  '!M35+'5.3 sz. mell'!M38+'5.4. sz mell'!M38+'5.5. sz. mell.  '!M35+'5.6. sz. mell'!M35+'5.7. sz. mell.'!M35+'5.8. sz. mell.'!M38+'5.9. sz. mell.'!M38+'5.10 sz. mell '!M39</f>
        <v>0</v>
      </c>
      <c r="N39" s="285" t="e">
        <f t="shared" si="6"/>
        <v>#DIV/0!</v>
      </c>
      <c r="Q39" s="1876">
        <f t="shared" si="11"/>
        <v>0</v>
      </c>
      <c r="R39" s="1876"/>
      <c r="S39" s="1885">
        <f t="shared" si="8"/>
        <v>0</v>
      </c>
      <c r="T39" s="1885"/>
      <c r="U39" s="248">
        <f t="shared" si="2"/>
        <v>0</v>
      </c>
      <c r="V39" s="248"/>
      <c r="W39" s="1871">
        <f t="shared" si="3"/>
        <v>0</v>
      </c>
      <c r="X39" s="1962">
        <f t="shared" si="9"/>
        <v>0</v>
      </c>
      <c r="Y39" s="1876">
        <f>SUM('5.a sz. mell. '!F38+'5.b. sz. mell.'!F39)</f>
        <v>0</v>
      </c>
      <c r="Z39" s="1876"/>
      <c r="AA39" s="1885">
        <f>SUM('5.a sz. mell. '!H38+'5.b. sz. mell.'!H39)</f>
        <v>0</v>
      </c>
      <c r="AB39" s="1885"/>
      <c r="AC39" s="248">
        <f>SUM('5.a sz. mell. '!J38+'5.b. sz. mell.'!J39)</f>
        <v>0</v>
      </c>
      <c r="AD39" s="248"/>
      <c r="AE39" s="1871">
        <f>SUM('5.a sz. mell. '!L38+'5.b. sz. mell.'!L39)</f>
        <v>0</v>
      </c>
      <c r="AF39" s="1903">
        <f>SUM('5.a sz. mell. '!M38+'5.b. sz. mell.'!M39)</f>
        <v>0</v>
      </c>
    </row>
    <row r="40" spans="1:37" s="145" customFormat="1" ht="15" customHeight="1" thickBot="1" x14ac:dyDescent="0.25">
      <c r="A40" s="671"/>
      <c r="B40" s="253" t="s">
        <v>85</v>
      </c>
      <c r="C40" s="55" t="s">
        <v>818</v>
      </c>
      <c r="D40" s="273" t="e">
        <f>SUM(#REF!+#REF!+#REF!+#REF!+#REF!+#REF!+'5.1. sz. mell. '!D28+'5.2. sz. mell.  '!D36+'5.3 sz. mell'!D39+'5.4. sz mell'!D39+'5.5. sz. mell.  '!D43+'5.6. sz. mell'!D43+'5.7. sz. mell.'!D43+'5.8. sz. mell.'!D39+#REF!+'5.9. sz. mell.'!D39+'5.10 sz. mell '!D40)</f>
        <v>#REF!</v>
      </c>
      <c r="E40" s="273" t="e">
        <f>SUM(#REF!+#REF!+#REF!+#REF!+#REF!+#REF!+'5.1. sz. mell. '!E28+'5.2. sz. mell.  '!E36+'5.3 sz. mell'!E39+'5.4. sz mell'!E39+'5.5. sz. mell.  '!E43+'5.6. sz. mell'!E43+'5.7. sz. mell.'!E43+'5.8. sz. mell.'!E39+#REF!+'5.9. sz. mell.'!E39+'5.10 sz. mell '!E40)</f>
        <v>#REF!</v>
      </c>
      <c r="F40" s="483">
        <f>SUM('5.1. sz. mell. '!F41+'5.2. sz. mell.  '!F41+'5.3 sz. mell'!F39+'5.4. sz mell'!F39+'5.5. sz. mell.  '!F43+'5.6. sz. mell'!F43+'5.7. sz. mell.'!F43+'5.8. sz. mell.'!F39+'5.9. sz. mell.'!F39+'5.10 sz. mell '!F40)</f>
        <v>926416660</v>
      </c>
      <c r="G40" s="1415">
        <f t="shared" si="10"/>
        <v>88450064</v>
      </c>
      <c r="H40" s="150">
        <f>SUM('5.1. sz. mell. '!H41+'5.2. sz. mell.  '!H41+'5.3 sz. mell'!H39+'5.4. sz mell'!H39+'5.5. sz. mell.  '!H43+'5.6. sz. mell'!H43+'5.7. sz. mell.'!H43+'5.8. sz. mell.'!H39+'5.9. sz. mell.'!H39+'5.10 sz. mell '!H40)</f>
        <v>1014866724</v>
      </c>
      <c r="I40" s="1404">
        <f>SUM(J40-H40)</f>
        <v>96463526</v>
      </c>
      <c r="J40" s="150">
        <f>SUM('5.1. sz. mell. '!J41+'5.2. sz. mell.  '!J41+'5.3 sz. mell'!J39+'5.4. sz mell'!J39+'5.5. sz. mell.  '!J43+'5.6. sz. mell'!J43+'5.7. sz. mell.'!J43+'5.8. sz. mell.'!J39+'5.9. sz. mell.'!J39+'5.10 sz. mell '!J40)</f>
        <v>1111330250</v>
      </c>
      <c r="K40" s="1404">
        <f>SUM(L40-J40)</f>
        <v>0</v>
      </c>
      <c r="L40" s="150">
        <f>SUM('5.1. sz. mell. '!L41+'5.2. sz. mell.  '!L41+'5.3 sz. mell'!L39+'5.4. sz mell'!L39+'5.5. sz. mell.  '!L43+'5.6. sz. mell'!L43+'5.7. sz. mell.'!L43+'5.8. sz. mell.'!L39+'5.9. sz. mell.'!L39+'5.10 sz. mell '!L40)</f>
        <v>1111330250</v>
      </c>
      <c r="M40" s="150">
        <f>SUM('5.1. sz. mell. '!M41+'5.2. sz. mell.  '!M41+'5.3 sz. mell'!M39+'5.4. sz mell'!M39+'5.5. sz. mell.  '!M43+'5.6. sz. mell'!M43+'5.7. sz. mell.'!M43+'5.8. sz. mell.'!M39+'5.9. sz. mell.'!M39+'5.10 sz. mell '!M40)</f>
        <v>1111330250</v>
      </c>
      <c r="N40" s="285">
        <f t="shared" si="6"/>
        <v>109.50504373813719</v>
      </c>
      <c r="Q40" s="1876">
        <f t="shared" si="11"/>
        <v>0</v>
      </c>
      <c r="R40" s="1876"/>
      <c r="S40" s="1885">
        <f t="shared" si="8"/>
        <v>0</v>
      </c>
      <c r="T40" s="1885"/>
      <c r="U40" s="248">
        <f t="shared" si="2"/>
        <v>0</v>
      </c>
      <c r="V40" s="248"/>
      <c r="W40" s="1871">
        <f t="shared" si="3"/>
        <v>0</v>
      </c>
      <c r="X40" s="1962">
        <f t="shared" si="9"/>
        <v>0</v>
      </c>
      <c r="Y40" s="1876">
        <f>SUM('5.a sz. mell. '!F39+'5.b. sz. mell.'!F40)</f>
        <v>926416660</v>
      </c>
      <c r="Z40" s="1876"/>
      <c r="AA40" s="1885">
        <f>SUM('5.a sz. mell. '!H39+'5.b. sz. mell.'!H40)</f>
        <v>1014866724</v>
      </c>
      <c r="AB40" s="1885"/>
      <c r="AC40" s="248">
        <f>SUM('5.a sz. mell. '!J39+'5.b. sz. mell.'!J40)</f>
        <v>1111330250</v>
      </c>
      <c r="AD40" s="248"/>
      <c r="AE40" s="1871">
        <f>SUM('5.a sz. mell. '!L39+'5.b. sz. mell.'!L40)</f>
        <v>1111330250</v>
      </c>
      <c r="AF40" s="1903">
        <f>SUM('5.a sz. mell. '!M39+'5.b. sz. mell.'!M40)</f>
        <v>1111330250</v>
      </c>
      <c r="AI40" s="205">
        <f>SUM(F41:F42)</f>
        <v>926416660</v>
      </c>
      <c r="AJ40" s="205">
        <f>SUM(H41:H42)</f>
        <v>1014866724</v>
      </c>
      <c r="AK40" s="205">
        <f>SUM(M41:M42)</f>
        <v>1111330250</v>
      </c>
    </row>
    <row r="41" spans="1:37" s="145" customFormat="1" ht="15" customHeight="1" thickBot="1" x14ac:dyDescent="0.25">
      <c r="A41" s="671"/>
      <c r="B41" s="260" t="s">
        <v>437</v>
      </c>
      <c r="C41" s="261" t="s">
        <v>891</v>
      </c>
      <c r="D41" s="155"/>
      <c r="E41" s="155"/>
      <c r="F41" s="848">
        <f>SUM('5.1. sz. mell. '!F42+'5.2. sz. mell.  '!F42+'5.3 sz. mell'!F40+'5.4. sz mell'!F40+'5.5. sz. mell.  '!F44+'5.6. sz. mell'!F44+'5.7. sz. mell.'!F44+'5.8. sz. mell.'!F40+'5.9. sz. mell.'!F40)</f>
        <v>556998130</v>
      </c>
      <c r="G41" s="2751">
        <f t="shared" si="10"/>
        <v>9318301</v>
      </c>
      <c r="H41" s="262">
        <f>SUM('5.1. sz. mell. '!H42+'5.2. sz. mell.  '!H42+'5.3 sz. mell'!H40+'5.4. sz mell'!H40+'5.5. sz. mell.  '!H44+'5.6. sz. mell'!H44+'5.7. sz. mell.'!H44+'5.8. sz. mell.'!H40+'5.9. sz. mell.'!H40)</f>
        <v>566316431</v>
      </c>
      <c r="I41" s="1522">
        <f>SUM(J41-H41)</f>
        <v>14193861</v>
      </c>
      <c r="J41" s="262">
        <f>SUM('5.1. sz. mell. '!J42+'5.2. sz. mell.  '!J42+'5.3 sz. mell'!J40+'5.4. sz mell'!J40+'5.5. sz. mell.  '!J44+'5.6. sz. mell'!J44+'5.7. sz. mell.'!J44+'5.8. sz. mell.'!J40+'5.9. sz. mell.'!J40)</f>
        <v>580510292</v>
      </c>
      <c r="K41" s="1522">
        <f>SUM(L41-J41)</f>
        <v>0</v>
      </c>
      <c r="L41" s="262">
        <f>SUM('5.1. sz. mell. '!L42+'5.2. sz. mell.  '!L42+'5.3 sz. mell'!L40+'5.4. sz mell'!L40+'5.5. sz. mell.  '!L44+'5.6. sz. mell'!L44+'5.7. sz. mell.'!L44+'5.8. sz. mell.'!L40+'5.9. sz. mell.'!L40)</f>
        <v>580510292</v>
      </c>
      <c r="M41" s="262">
        <f>SUM('5.1. sz. mell. '!M42+'5.2. sz. mell.  '!M42+'5.3 sz. mell'!M40+'5.4. sz mell'!M40+'5.5. sz. mell.  '!M44+'5.6. sz. mell'!M44+'5.7. sz. mell.'!M44+'5.8. sz. mell.'!M40+'5.9. sz. mell.'!M40)</f>
        <v>580510292</v>
      </c>
      <c r="N41" s="285">
        <f t="shared" si="6"/>
        <v>102.50634808086647</v>
      </c>
      <c r="Q41" s="1876">
        <f t="shared" si="11"/>
        <v>0</v>
      </c>
      <c r="R41" s="1876"/>
      <c r="S41" s="1885">
        <f t="shared" si="8"/>
        <v>0</v>
      </c>
      <c r="T41" s="1885"/>
      <c r="U41" s="248">
        <f t="shared" si="2"/>
        <v>0</v>
      </c>
      <c r="V41" s="248"/>
      <c r="W41" s="1871">
        <f t="shared" si="3"/>
        <v>0</v>
      </c>
      <c r="X41" s="1962">
        <f t="shared" si="9"/>
        <v>0</v>
      </c>
      <c r="Y41" s="1876">
        <f>SUM('5.a sz. mell. '!F40+'5.b. sz. mell.'!F41)</f>
        <v>556998130</v>
      </c>
      <c r="Z41" s="1876"/>
      <c r="AA41" s="1885">
        <f>SUM('5.a sz. mell. '!H40+'5.b. sz. mell.'!H41)</f>
        <v>566316431</v>
      </c>
      <c r="AB41" s="1885"/>
      <c r="AC41" s="248">
        <f>SUM('5.a sz. mell. '!J40+'5.b. sz. mell.'!J41)</f>
        <v>580510292</v>
      </c>
      <c r="AD41" s="248"/>
      <c r="AE41" s="1871">
        <f>SUM('5.a sz. mell. '!L40+'5.b. sz. mell.'!L41)</f>
        <v>580510292</v>
      </c>
      <c r="AF41" s="1903">
        <f>SUM('5.a sz. mell. '!M40+'5.b. sz. mell.'!M41)</f>
        <v>580510292</v>
      </c>
    </row>
    <row r="42" spans="1:37" s="145" customFormat="1" ht="15" customHeight="1" thickBot="1" x14ac:dyDescent="0.25">
      <c r="A42" s="672"/>
      <c r="B42" s="263" t="s">
        <v>439</v>
      </c>
      <c r="C42" s="264" t="s">
        <v>532</v>
      </c>
      <c r="D42" s="155"/>
      <c r="E42" s="155"/>
      <c r="F42" s="855">
        <f>SUM('5.1. sz. mell. '!F43+'5.2. sz. mell.  '!F43+'5.3 sz. mell'!F41+'5.4. sz mell'!F41+'5.5. sz. mell.  '!F45+'5.6. sz. mell'!F45+'5.7. sz. mell.'!F45+'5.8. sz. mell.'!F41+'5.9. sz. mell.'!F41+'5.10 sz. mell '!F40)</f>
        <v>369418530</v>
      </c>
      <c r="G42" s="2751">
        <f t="shared" si="10"/>
        <v>79131763</v>
      </c>
      <c r="H42" s="262">
        <f>SUM('5.1. sz. mell. '!H43+'5.2. sz. mell.  '!H43+'5.3 sz. mell'!H41+'5.4. sz mell'!H41+'5.5. sz. mell.  '!H45+'5.6. sz. mell'!H45+'5.7. sz. mell.'!H45+'5.8. sz. mell.'!H41+'5.9. sz. mell.'!H41+'5.10 sz. mell '!H40)</f>
        <v>448550293</v>
      </c>
      <c r="I42" s="1522">
        <f>SUM(J42-H42)</f>
        <v>82269665</v>
      </c>
      <c r="J42" s="262">
        <f>SUM('5.1. sz. mell. '!J43+'5.2. sz. mell.  '!J43+'5.3 sz. mell'!J41+'5.4. sz mell'!J41+'5.5. sz. mell.  '!J45+'5.6. sz. mell'!J45+'5.7. sz. mell.'!J45+'5.8. sz. mell.'!J41+'5.9. sz. mell.'!J41+'5.10 sz. mell '!J40)</f>
        <v>530819958</v>
      </c>
      <c r="K42" s="1522">
        <f>SUM(L42-J42)</f>
        <v>0</v>
      </c>
      <c r="L42" s="262">
        <f>SUM('5.1. sz. mell. '!L43+'5.2. sz. mell.  '!L43+'5.3 sz. mell'!L41+'5.4. sz mell'!L41+'5.5. sz. mell.  '!L45+'5.6. sz. mell'!L45+'5.7. sz. mell.'!L45+'5.8. sz. mell.'!L41+'5.9. sz. mell.'!L41+'5.10 sz. mell '!L40)</f>
        <v>530819958</v>
      </c>
      <c r="M42" s="262">
        <f>SUM('5.1. sz. mell. '!M43+'5.2. sz. mell.  '!M43+'5.3 sz. mell'!M41+'5.4. sz mell'!M41+'5.5. sz. mell.  '!M45+'5.6. sz. mell'!M45+'5.7. sz. mell.'!M45+'5.8. sz. mell.'!M41+'5.9. sz. mell.'!M41+'5.10 sz. mell '!M40)</f>
        <v>530819958</v>
      </c>
      <c r="N42" s="285">
        <f t="shared" si="6"/>
        <v>118.34123537179364</v>
      </c>
      <c r="Q42" s="1876">
        <f t="shared" si="11"/>
        <v>0</v>
      </c>
      <c r="R42" s="1876"/>
      <c r="S42" s="1885">
        <f t="shared" si="8"/>
        <v>0</v>
      </c>
      <c r="T42" s="1885"/>
      <c r="U42" s="248">
        <f t="shared" si="2"/>
        <v>0</v>
      </c>
      <c r="V42" s="248"/>
      <c r="W42" s="1871">
        <f t="shared" si="3"/>
        <v>0</v>
      </c>
      <c r="X42" s="1962">
        <f t="shared" si="9"/>
        <v>0</v>
      </c>
      <c r="Y42" s="1876">
        <f>SUM('5.a sz. mell. '!F41+'5.b. sz. mell.'!F42)</f>
        <v>369418530</v>
      </c>
      <c r="Z42" s="1876"/>
      <c r="AA42" s="1885">
        <f>SUM('5.a sz. mell. '!H41+'5.b. sz. mell.'!H42)</f>
        <v>448550293</v>
      </c>
      <c r="AB42" s="1885"/>
      <c r="AC42" s="248">
        <f>SUM('5.a sz. mell. '!J41+'5.b. sz. mell.'!J42)</f>
        <v>530819958</v>
      </c>
      <c r="AD42" s="248"/>
      <c r="AE42" s="1871">
        <f>SUM('5.a sz. mell. '!L41+'5.b. sz. mell.'!L42)</f>
        <v>530819958</v>
      </c>
      <c r="AF42" s="1903">
        <f>SUM('5.a sz. mell. '!M41+'5.b. sz. mell.'!M42)</f>
        <v>530819958</v>
      </c>
    </row>
    <row r="43" spans="1:37" s="145" customFormat="1" ht="12.75" hidden="1" customHeight="1" x14ac:dyDescent="0.25">
      <c r="A43" s="258" t="s">
        <v>99</v>
      </c>
      <c r="B43" s="256"/>
      <c r="C43" s="298" t="s">
        <v>458</v>
      </c>
      <c r="D43" s="155"/>
      <c r="E43" s="155"/>
      <c r="F43" s="155"/>
      <c r="G43" s="1381"/>
      <c r="H43" s="155"/>
      <c r="I43" s="1380"/>
      <c r="J43" s="155"/>
      <c r="K43" s="1380"/>
      <c r="L43" s="155"/>
      <c r="M43" s="155"/>
      <c r="N43" s="285" t="e">
        <f t="shared" si="6"/>
        <v>#DIV/0!</v>
      </c>
      <c r="Q43" s="1876">
        <f t="shared" si="11"/>
        <v>0</v>
      </c>
      <c r="R43" s="1876"/>
      <c r="S43" s="1885">
        <f t="shared" si="8"/>
        <v>0</v>
      </c>
      <c r="T43" s="1885"/>
      <c r="U43" s="248">
        <f t="shared" si="2"/>
        <v>0</v>
      </c>
      <c r="V43" s="248"/>
      <c r="W43" s="1871">
        <f t="shared" si="3"/>
        <v>0</v>
      </c>
      <c r="X43" s="1962">
        <f t="shared" si="9"/>
        <v>0</v>
      </c>
      <c r="Y43" s="1876">
        <f>SUM('5.a sz. mell. '!F42+'5.b. sz. mell.'!F43)</f>
        <v>0</v>
      </c>
      <c r="Z43" s="1876"/>
      <c r="AA43" s="1885">
        <f>SUM('5.a sz. mell. '!H42+'5.b. sz. mell.'!H43)</f>
        <v>0</v>
      </c>
      <c r="AB43" s="1885"/>
      <c r="AC43" s="248">
        <f>SUM('5.a sz. mell. '!J42+'5.b. sz. mell.'!J43)</f>
        <v>0</v>
      </c>
      <c r="AD43" s="248"/>
      <c r="AE43" s="1871">
        <f>SUM('5.a sz. mell. '!L42+'5.b. sz. mell.'!L43)</f>
        <v>0</v>
      </c>
      <c r="AF43" s="1903">
        <f>SUM('5.a sz. mell. '!M42+'5.b. sz. mell.'!M43)</f>
        <v>0</v>
      </c>
    </row>
    <row r="44" spans="1:37" s="145" customFormat="1" ht="15" customHeight="1" thickBot="1" x14ac:dyDescent="0.25">
      <c r="A44" s="192" t="s">
        <v>101</v>
      </c>
      <c r="B44" s="160"/>
      <c r="C44" s="274" t="s">
        <v>441</v>
      </c>
      <c r="D44" s="162" t="e">
        <f>SUM(D8,D20,D29,D33,D37,D40)</f>
        <v>#REF!</v>
      </c>
      <c r="E44" s="162" t="e">
        <f>SUM(E8,E20,E29,E33,E37,E40)</f>
        <v>#REF!</v>
      </c>
      <c r="F44" s="162">
        <f>SUM(F8,F20,F29,F33,F37,F43)</f>
        <v>1675922680</v>
      </c>
      <c r="G44" s="1437">
        <f>SUM(H44-F44)</f>
        <v>97651758</v>
      </c>
      <c r="H44" s="162">
        <f>SUM(H8,H20,H29,H33,H37,H43)+H27</f>
        <v>1773574438</v>
      </c>
      <c r="I44" s="1373">
        <f>SUM(J44-H44)</f>
        <v>98857023</v>
      </c>
      <c r="J44" s="162">
        <f>SUM(J8,J20,J29,J33,J37,J43)+J27</f>
        <v>1872431461</v>
      </c>
      <c r="K44" s="1373">
        <f>SUM(L44-J44)</f>
        <v>0</v>
      </c>
      <c r="L44" s="162">
        <f>SUM(L8,L20,L29,L33,L37,L43)+L27</f>
        <v>1872431461</v>
      </c>
      <c r="M44" s="1451">
        <f>SUM(M8,M20,M29,M33,M37,M43)+M27</f>
        <v>1872099318</v>
      </c>
      <c r="N44" s="285">
        <f t="shared" si="6"/>
        <v>105.55515899919618</v>
      </c>
      <c r="O44" s="205">
        <f>SUM(H44-H59)</f>
        <v>0</v>
      </c>
      <c r="P44" s="205"/>
      <c r="Q44" s="1876">
        <f t="shared" si="11"/>
        <v>0</v>
      </c>
      <c r="R44" s="1876"/>
      <c r="S44" s="1885">
        <f t="shared" si="8"/>
        <v>0</v>
      </c>
      <c r="T44" s="1885"/>
      <c r="U44" s="248">
        <f t="shared" si="2"/>
        <v>0</v>
      </c>
      <c r="V44" s="248"/>
      <c r="W44" s="1871">
        <f t="shared" si="3"/>
        <v>0</v>
      </c>
      <c r="X44" s="1962">
        <f t="shared" si="9"/>
        <v>0</v>
      </c>
      <c r="Y44" s="1876">
        <f>SUM('5.a sz. mell. '!F43+'5.b. sz. mell.'!F44)</f>
        <v>1675922680</v>
      </c>
      <c r="Z44" s="1876"/>
      <c r="AA44" s="1885">
        <f>SUM('5.a sz. mell. '!H43+'5.b. sz. mell.'!H44)</f>
        <v>1773574438</v>
      </c>
      <c r="AB44" s="1885"/>
      <c r="AC44" s="248">
        <f>SUM('5.a sz. mell. '!J43+'5.b. sz. mell.'!J44)</f>
        <v>1872431461</v>
      </c>
      <c r="AD44" s="248"/>
      <c r="AE44" s="1871">
        <f>SUM('5.a sz. mell. '!L43+'5.b. sz. mell.'!L44)</f>
        <v>1872431461</v>
      </c>
      <c r="AF44" s="1903">
        <f>SUM('5.a sz. mell. '!M43+'5.b. sz. mell.'!M44)</f>
        <v>1872099318</v>
      </c>
    </row>
    <row r="45" spans="1:37" s="145" customFormat="1" ht="20.25" customHeight="1" thickBot="1" x14ac:dyDescent="0.25">
      <c r="A45" s="2098"/>
      <c r="B45" s="266"/>
      <c r="C45" s="275"/>
      <c r="D45" s="165"/>
      <c r="E45" s="165"/>
      <c r="F45" s="2452"/>
      <c r="G45" s="1532"/>
      <c r="H45" s="1532"/>
      <c r="I45" s="1532"/>
      <c r="J45" s="1532"/>
      <c r="K45" s="1532"/>
      <c r="L45" s="1532"/>
      <c r="M45" s="881"/>
      <c r="N45" s="285" t="e">
        <f t="shared" si="6"/>
        <v>#DIV/0!</v>
      </c>
      <c r="Q45" s="1876">
        <f t="shared" si="11"/>
        <v>0</v>
      </c>
      <c r="R45" s="1876"/>
      <c r="S45" s="1885">
        <f t="shared" si="8"/>
        <v>0</v>
      </c>
      <c r="T45" s="1885"/>
      <c r="U45" s="248">
        <f t="shared" si="2"/>
        <v>0</v>
      </c>
      <c r="V45" s="248"/>
      <c r="W45" s="1871">
        <f t="shared" si="3"/>
        <v>0</v>
      </c>
      <c r="X45" s="1962">
        <f t="shared" si="9"/>
        <v>0</v>
      </c>
      <c r="Y45" s="1876">
        <f>SUM('5.a sz. mell. '!F44+'5.b. sz. mell.'!F45)</f>
        <v>0</v>
      </c>
      <c r="Z45" s="1876"/>
      <c r="AA45" s="1885">
        <f>SUM('5.a sz. mell. '!H44+'5.b. sz. mell.'!H45)</f>
        <v>0</v>
      </c>
      <c r="AB45" s="1885"/>
      <c r="AC45" s="248">
        <f>SUM('5.a sz. mell. '!J44+'5.b. sz. mell.'!J45)</f>
        <v>0</v>
      </c>
      <c r="AD45" s="248"/>
      <c r="AE45" s="1871">
        <f>SUM('5.a sz. mell. '!L44+'5.b. sz. mell.'!L45)</f>
        <v>0</v>
      </c>
      <c r="AF45" s="1903">
        <f>SUM('5.a sz. mell. '!M44+'5.b. sz. mell.'!M45)</f>
        <v>0</v>
      </c>
    </row>
    <row r="46" spans="1:37" s="129" customFormat="1" ht="15" customHeight="1" thickBot="1" x14ac:dyDescent="0.25">
      <c r="A46" s="192"/>
      <c r="B46" s="160"/>
      <c r="C46" s="282" t="s">
        <v>231</v>
      </c>
      <c r="D46" s="162"/>
      <c r="E46" s="162"/>
      <c r="F46" s="162"/>
      <c r="G46" s="1437"/>
      <c r="H46" s="162"/>
      <c r="I46" s="1373"/>
      <c r="J46" s="162"/>
      <c r="K46" s="1373"/>
      <c r="L46" s="162"/>
      <c r="M46" s="162"/>
      <c r="N46" s="285" t="e">
        <f t="shared" si="6"/>
        <v>#DIV/0!</v>
      </c>
      <c r="Q46" s="1876">
        <f t="shared" si="11"/>
        <v>0</v>
      </c>
      <c r="R46" s="1876"/>
      <c r="S46" s="1885">
        <f t="shared" si="8"/>
        <v>0</v>
      </c>
      <c r="T46" s="1885"/>
      <c r="U46" s="248">
        <f t="shared" si="2"/>
        <v>0</v>
      </c>
      <c r="V46" s="248"/>
      <c r="W46" s="1871">
        <f t="shared" si="3"/>
        <v>0</v>
      </c>
      <c r="X46" s="1962">
        <f t="shared" si="9"/>
        <v>0</v>
      </c>
      <c r="Y46" s="1876">
        <f>SUM('5.a sz. mell. '!F45+'5.b. sz. mell.'!F46)</f>
        <v>0</v>
      </c>
      <c r="Z46" s="1876"/>
      <c r="AA46" s="1885">
        <f>SUM('5.a sz. mell. '!H45+'5.b. sz. mell.'!H46)</f>
        <v>0</v>
      </c>
      <c r="AB46" s="1885"/>
      <c r="AC46" s="248">
        <f>SUM('5.a sz. mell. '!J45+'5.b. sz. mell.'!J46)</f>
        <v>0</v>
      </c>
      <c r="AD46" s="248"/>
      <c r="AE46" s="1871">
        <f>SUM('5.a sz. mell. '!L45+'5.b. sz. mell.'!L46)</f>
        <v>0</v>
      </c>
      <c r="AF46" s="1903">
        <f>SUM('5.a sz. mell. '!M45+'5.b. sz. mell.'!M46)</f>
        <v>0</v>
      </c>
    </row>
    <row r="47" spans="1:37" s="172" customFormat="1" ht="15" customHeight="1" thickBot="1" x14ac:dyDescent="0.25">
      <c r="A47" s="134" t="s">
        <v>3</v>
      </c>
      <c r="B47" s="170"/>
      <c r="C47" s="171" t="s">
        <v>442</v>
      </c>
      <c r="D47" s="64" t="e">
        <f>SUM(D48+D49+D50+D52)</f>
        <v>#REF!</v>
      </c>
      <c r="E47" s="64" t="e">
        <v>#NAME?</v>
      </c>
      <c r="F47" s="64">
        <f>SUM(F48+F49+F50+F52)</f>
        <v>1663263580</v>
      </c>
      <c r="G47" s="1382">
        <f>SUM(H47-F47)</f>
        <v>66609302</v>
      </c>
      <c r="H47" s="64">
        <f>SUM(H48+H49+H50+H52)</f>
        <v>1729872882</v>
      </c>
      <c r="I47" s="1374">
        <f>SUM(J47-H47)</f>
        <v>69359952</v>
      </c>
      <c r="J47" s="137">
        <f>SUM(J48+J49+J50+J52)</f>
        <v>1799232834</v>
      </c>
      <c r="K47" s="1374">
        <f>SUM(L47-J47)</f>
        <v>0</v>
      </c>
      <c r="L47" s="137">
        <f>SUM(L48+L49+L50+L52)</f>
        <v>1799232834</v>
      </c>
      <c r="M47" s="64">
        <f>SUM(M48+M49+M50+M52)</f>
        <v>1785811598</v>
      </c>
      <c r="N47" s="285">
        <f t="shared" si="6"/>
        <v>103.2336893989185</v>
      </c>
      <c r="Q47" s="1876">
        <f t="shared" si="11"/>
        <v>0</v>
      </c>
      <c r="R47" s="1876"/>
      <c r="S47" s="1885">
        <f t="shared" si="8"/>
        <v>0</v>
      </c>
      <c r="T47" s="1885"/>
      <c r="U47" s="248">
        <f t="shared" si="2"/>
        <v>0</v>
      </c>
      <c r="V47" s="248"/>
      <c r="W47" s="1871">
        <f t="shared" si="3"/>
        <v>0</v>
      </c>
      <c r="X47" s="1962">
        <f t="shared" si="9"/>
        <v>0</v>
      </c>
      <c r="Y47" s="1876">
        <f>SUM('5.a sz. mell. '!F46+'5.b. sz. mell.'!F47)</f>
        <v>1663263580</v>
      </c>
      <c r="Z47" s="1876"/>
      <c r="AA47" s="1885">
        <f>SUM('5.a sz. mell. '!H46+'5.b. sz. mell.'!H47)</f>
        <v>1729872882</v>
      </c>
      <c r="AB47" s="1885"/>
      <c r="AC47" s="248">
        <f>SUM('5.a sz. mell. '!J46+'5.b. sz. mell.'!J47)</f>
        <v>1799232834</v>
      </c>
      <c r="AD47" s="248"/>
      <c r="AE47" s="1871">
        <f>SUM('5.a sz. mell. '!L46+'5.b. sz. mell.'!L47)</f>
        <v>1799232834</v>
      </c>
      <c r="AF47" s="1903">
        <f>SUM('5.a sz. mell. '!M46+'5.b. sz. mell.'!M47)</f>
        <v>1785811598</v>
      </c>
    </row>
    <row r="48" spans="1:37" ht="15" customHeight="1" thickBot="1" x14ac:dyDescent="0.25">
      <c r="A48" s="173"/>
      <c r="B48" s="174" t="s">
        <v>152</v>
      </c>
      <c r="C48" s="251" t="s">
        <v>153</v>
      </c>
      <c r="D48" s="299" t="e">
        <f>SUM(#REF!+#REF!+#REF!+#REF!+#REF!+#REF!+'5.1. sz. mell. '!D34+'5.2. sz. mell.  '!D48+'5.3 sz. mell'!D47+'5.4. sz mell'!D47+'5.5. sz. mell.  '!D51+'5.6. sz. mell'!D51+'5.7. sz. mell.'!D51+'5.8. sz. mell.'!D46+#REF!+'5.9. sz. mell.'!D46+'5.10 sz. mell '!D45)</f>
        <v>#REF!</v>
      </c>
      <c r="E48" s="299" t="e">
        <f>SUM(#REF!+#REF!+#REF!+#REF!+#REF!+#REF!+'5.1. sz. mell. '!E34+'5.2. sz. mell.  '!E48+'5.3 sz. mell'!E47+'5.4. sz mell'!E47+'5.5. sz. mell.  '!E51+'5.6. sz. mell'!E51+'5.7. sz. mell.'!E51+'5.8. sz. mell.'!E46+#REF!+'5.9. sz. mell.'!E46+'5.10 sz. mell '!E45)</f>
        <v>#REF!</v>
      </c>
      <c r="F48" s="299">
        <f>SUM('5.1. sz. mell. '!F48+'5.2. sz. mell.  '!F48+'5.3 sz. mell'!F47+'5.4. sz mell'!F47+'5.5. sz. mell.  '!F51+'5.6. sz. mell'!F51+'5.7. sz. mell.'!F51+'5.8. sz. mell.'!F46+'5.9. sz. mell.'!F46+'5.10 sz. mell '!F45)</f>
        <v>784909876</v>
      </c>
      <c r="G48" s="1415">
        <f>SUM(H48-F48)</f>
        <v>20950848</v>
      </c>
      <c r="H48" s="299">
        <f>SUM('5.1. sz. mell. '!H48+'5.2. sz. mell.  '!H48+'5.3 sz. mell'!H47+'5.4. sz mell'!H47+'5.5. sz. mell.  '!H51+'5.6. sz. mell'!H51+'5.7. sz. mell.'!H51+'5.8. sz. mell.'!H46+'5.9. sz. mell.'!H46+'5.10 sz. mell '!H45)</f>
        <v>805860724</v>
      </c>
      <c r="I48" s="1404">
        <f>SUM(J48-H48)</f>
        <v>21161776</v>
      </c>
      <c r="J48" s="150">
        <f>SUM('5.1. sz. mell. '!J48+'5.2. sz. mell.  '!J48+'5.3 sz. mell'!J47+'5.4. sz mell'!J47+'5.5. sz. mell.  '!J51+'5.6. sz. mell'!J51+'5.7. sz. mell.'!J51+'5.8. sz. mell.'!J46+'5.9. sz. mell.'!J46+'5.10 sz. mell '!J45)</f>
        <v>827022500</v>
      </c>
      <c r="K48" s="1404">
        <f>SUM(L48-J48)</f>
        <v>0</v>
      </c>
      <c r="L48" s="150">
        <f>SUM('5.1. sz. mell. '!L48+'5.2. sz. mell.  '!L48+'5.3 sz. mell'!L47+'5.4. sz mell'!L47+'5.5. sz. mell.  '!L51+'5.6. sz. mell'!L51+'5.7. sz. mell.'!L51+'5.8. sz. mell.'!L46+'5.9. sz. mell.'!L46+'5.10 sz. mell '!L45)</f>
        <v>827022500</v>
      </c>
      <c r="M48" s="1728">
        <f>SUM('5.1. sz. mell. '!M48+'5.2. sz. mell.  '!M48+'5.3 sz. mell'!M47+'5.4. sz mell'!M47+'5.5. sz. mell.  '!M51+'5.6. sz. mell'!M51+'5.7. sz. mell.'!M51+'5.8. sz. mell.'!M46+'5.9. sz. mell.'!M46+'5.10 sz. mell '!M45)</f>
        <v>826541011</v>
      </c>
      <c r="N48" s="285">
        <f t="shared" si="6"/>
        <v>102.56623587477382</v>
      </c>
      <c r="Q48" s="1876">
        <f t="shared" si="11"/>
        <v>0</v>
      </c>
      <c r="R48" s="1876"/>
      <c r="S48" s="1885">
        <f t="shared" si="8"/>
        <v>0</v>
      </c>
      <c r="T48" s="1885"/>
      <c r="U48" s="248">
        <f t="shared" si="2"/>
        <v>0</v>
      </c>
      <c r="V48" s="248"/>
      <c r="W48" s="1871">
        <f t="shared" si="3"/>
        <v>0</v>
      </c>
      <c r="X48" s="1962">
        <f t="shared" si="9"/>
        <v>0</v>
      </c>
      <c r="Y48" s="1876">
        <f>SUM('5.a sz. mell. '!F47+'5.b. sz. mell.'!F48)</f>
        <v>784909876</v>
      </c>
      <c r="Z48" s="1876"/>
      <c r="AA48" s="1885">
        <f>SUM('5.a sz. mell. '!H47+'5.b. sz. mell.'!H48)</f>
        <v>805860724</v>
      </c>
      <c r="AB48" s="1885"/>
      <c r="AC48" s="248">
        <f>SUM('5.a sz. mell. '!J47+'5.b. sz. mell.'!J48)</f>
        <v>827022500</v>
      </c>
      <c r="AD48" s="248"/>
      <c r="AE48" s="1871">
        <f>SUM('5.a sz. mell. '!L47+'5.b. sz. mell.'!L48)</f>
        <v>827022500</v>
      </c>
      <c r="AF48" s="1903">
        <f>SUM('5.a sz. mell. '!M47+'5.b. sz. mell.'!M48)</f>
        <v>826541011</v>
      </c>
    </row>
    <row r="49" spans="1:32" ht="15" customHeight="1" thickBot="1" x14ac:dyDescent="0.25">
      <c r="A49" s="142"/>
      <c r="B49" s="176" t="s">
        <v>154</v>
      </c>
      <c r="C49" s="55" t="s">
        <v>155</v>
      </c>
      <c r="D49" s="56" t="e">
        <f>SUM(#REF!+#REF!+#REF!+#REF!+#REF!+#REF!+'5.1. sz. mell. '!D36+'5.2. sz. mell.  '!D50+'5.3 sz. mell'!D48+'5.4. sz mell'!D48+'5.5. sz. mell.  '!D52+'5.6. sz. mell'!D52+'5.7. sz. mell.'!D52+'5.8. sz. mell.'!D47+#REF!+'5.9. sz. mell.'!D47+'5.10 sz. mell '!D46)</f>
        <v>#REF!</v>
      </c>
      <c r="E49" s="56" t="e">
        <f>SUM(#REF!+#REF!+#REF!+#REF!+#REF!+#REF!+'5.1. sz. mell. '!E36+'5.2. sz. mell.  '!E50+'5.3 sz. mell'!E48+'5.4. sz mell'!E48+'5.5. sz. mell.  '!E52+'5.6. sz. mell'!E52+'5.7. sz. mell.'!E52+'5.8. sz. mell.'!E47+#REF!+'5.9. sz. mell.'!E47+'5.10 sz. mell '!E46)</f>
        <v>#REF!</v>
      </c>
      <c r="F49" s="299">
        <f>SUM('5.1. sz. mell. '!F50+'5.2. sz. mell.  '!F50+'5.3 sz. mell'!F48+'5.4. sz mell'!F48+'5.5. sz. mell.  '!F52+'5.6. sz. mell'!F52+'5.7. sz. mell.'!F52+'5.8. sz. mell.'!F47+'5.9. sz. mell.'!F47+'5.10 sz. mell '!F46)</f>
        <v>159308254</v>
      </c>
      <c r="G49" s="1415">
        <f>SUM(H49-F49)</f>
        <v>2244459</v>
      </c>
      <c r="H49" s="299">
        <f>SUM('5.1. sz. mell. '!H50+'5.2. sz. mell.  '!H50+'5.3 sz. mell'!H48+'5.4. sz mell'!H48+'5.5. sz. mell.  '!H52+'5.6. sz. mell'!H52+'5.7. sz. mell.'!H52+'5.8. sz. mell.'!H47+'5.9. sz. mell.'!H47+'5.10 sz. mell '!H46)</f>
        <v>161552713</v>
      </c>
      <c r="I49" s="1404">
        <f>SUM(J49-H49)</f>
        <v>8832341</v>
      </c>
      <c r="J49" s="150">
        <f>SUM('5.1. sz. mell. '!J50+'5.2. sz. mell.  '!J50+'5.3 sz. mell'!J48+'5.4. sz mell'!J48+'5.5. sz. mell.  '!J52+'5.6. sz. mell'!J52+'5.7. sz. mell.'!J52+'5.8. sz. mell.'!J47+'5.9. sz. mell.'!J47+'5.10 sz. mell '!J46)</f>
        <v>170385054</v>
      </c>
      <c r="K49" s="1404">
        <f>SUM(L49-J49)</f>
        <v>0</v>
      </c>
      <c r="L49" s="150">
        <f>SUM('5.1. sz. mell. '!L50+'5.2. sz. mell.  '!L50+'5.3 sz. mell'!L48+'5.4. sz mell'!L48+'5.5. sz. mell.  '!L52+'5.6. sz. mell'!L52+'5.7. sz. mell.'!L52+'5.8. sz. mell.'!L47+'5.9. sz. mell.'!L47+'5.10 sz. mell '!L46)</f>
        <v>170385054</v>
      </c>
      <c r="M49" s="1728">
        <f>SUM('5.1. sz. mell. '!M50+'5.2. sz. mell.  '!M50+'5.3 sz. mell'!M48+'5.4. sz mell'!M48+'5.5. sz. mell.  '!M52+'5.6. sz. mell'!M52+'5.7. sz. mell.'!M52+'5.8. sz. mell.'!M47+'5.9. sz. mell.'!M47+'5.10 sz. mell '!M46)</f>
        <v>170242255</v>
      </c>
      <c r="N49" s="285">
        <f t="shared" si="6"/>
        <v>105.37876575307033</v>
      </c>
      <c r="Q49" s="1876">
        <f t="shared" si="11"/>
        <v>0</v>
      </c>
      <c r="R49" s="1876"/>
      <c r="S49" s="1885">
        <f t="shared" si="8"/>
        <v>0</v>
      </c>
      <c r="T49" s="1885"/>
      <c r="U49" s="248">
        <f t="shared" si="2"/>
        <v>0</v>
      </c>
      <c r="V49" s="248"/>
      <c r="W49" s="1871">
        <f t="shared" si="3"/>
        <v>0</v>
      </c>
      <c r="X49" s="1962">
        <f t="shared" si="9"/>
        <v>0</v>
      </c>
      <c r="Y49" s="1876">
        <f>SUM('5.a sz. mell. '!F48+'5.b. sz. mell.'!F49)</f>
        <v>159308254</v>
      </c>
      <c r="Z49" s="1876"/>
      <c r="AA49" s="1885">
        <f>SUM('5.a sz. mell. '!H48+'5.b. sz. mell.'!H49)</f>
        <v>161552713</v>
      </c>
      <c r="AB49" s="1885"/>
      <c r="AC49" s="248">
        <f>SUM('5.a sz. mell. '!J48+'5.b. sz. mell.'!J49)</f>
        <v>170385054</v>
      </c>
      <c r="AD49" s="248"/>
      <c r="AE49" s="1871">
        <f>SUM('5.a sz. mell. '!L48+'5.b. sz. mell.'!L49)</f>
        <v>170385054</v>
      </c>
      <c r="AF49" s="1903">
        <f>SUM('5.a sz. mell. '!M48+'5.b. sz. mell.'!M49)</f>
        <v>170242255</v>
      </c>
    </row>
    <row r="50" spans="1:32" ht="15" customHeight="1" thickBot="1" x14ac:dyDescent="0.25">
      <c r="A50" s="142"/>
      <c r="B50" s="176" t="s">
        <v>156</v>
      </c>
      <c r="C50" s="55" t="s">
        <v>157</v>
      </c>
      <c r="D50" s="56" t="e">
        <f>SUM(#REF!+#REF!+#REF!+#REF!+#REF!+#REF!+'5.1. sz. mell. '!D38+'5.2. sz. mell.  '!D52+'5.3 sz. mell'!D49+'5.4. sz mell'!D49+'5.5. sz. mell.  '!D53+'5.6. sz. mell'!D53+'5.7. sz. mell.'!D53+'5.8. sz. mell.'!D48+#REF!+'5.9. sz. mell.'!D48+'5.10 sz. mell '!D47)</f>
        <v>#REF!</v>
      </c>
      <c r="E50" s="56" t="e">
        <f>SUM(#REF!+#REF!+#REF!+#REF!+#REF!+#REF!+'5.1. sz. mell. '!E38+'5.2. sz. mell.  '!E52+'5.3 sz. mell'!E49+'5.4. sz mell'!E49+'5.5. sz. mell.  '!E53+'5.6. sz. mell'!E53+'5.7. sz. mell.'!E53+'5.8. sz. mell.'!E48+#REF!+'5.9. sz. mell.'!E48+'5.10 sz. mell '!E47)</f>
        <v>#REF!</v>
      </c>
      <c r="F50" s="299">
        <f>SUM('5.1. sz. mell. '!F52+'5.2. sz. mell.  '!F52+'5.3 sz. mell'!F49+'5.4. sz mell'!F49+'5.5. sz. mell.  '!F53+'5.6. sz. mell'!F53+'5.7. sz. mell.'!F53+'5.8. sz. mell.'!F48+'5.9. sz. mell.'!F48+'5.10 sz. mell '!F47)</f>
        <v>719045450</v>
      </c>
      <c r="G50" s="1415">
        <f>SUM(H50-F50)</f>
        <v>43413995</v>
      </c>
      <c r="H50" s="299">
        <f>SUM('5.1. sz. mell. '!H52+'5.2. sz. mell.  '!H52+'5.3 sz. mell'!H49+'5.4. sz mell'!H49+'5.5. sz. mell.  '!H53+'5.6. sz. mell'!H53+'5.7. sz. mell.'!H53+'5.8. sz. mell.'!H48+'5.9. sz. mell.'!H48+'5.10 sz. mell '!H47)</f>
        <v>762459445</v>
      </c>
      <c r="I50" s="1404">
        <f>SUM(J50-H50)</f>
        <v>39365835</v>
      </c>
      <c r="J50" s="150">
        <f>SUM('5.1. sz. mell. '!J52+'5.2. sz. mell.  '!J52+'5.3 sz. mell'!J49+'5.4. sz mell'!J49+'5.5. sz. mell.  '!J53+'5.6. sz. mell'!J53+'5.7. sz. mell.'!J53+'5.8. sz. mell.'!J48+'5.9. sz. mell.'!J48+'5.10 sz. mell '!J47)</f>
        <v>801825280</v>
      </c>
      <c r="K50" s="1404">
        <f>SUM(L50-J50)</f>
        <v>0</v>
      </c>
      <c r="L50" s="150">
        <f>SUM('5.1. sz. mell. '!L52+'5.2. sz. mell.  '!L52+'5.3 sz. mell'!L49+'5.4. sz mell'!L49+'5.5. sz. mell.  '!L53+'5.6. sz. mell'!L53+'5.7. sz. mell.'!L53+'5.8. sz. mell.'!L48+'5.9. sz. mell.'!L48+'5.10 sz. mell '!L47)</f>
        <v>801825280</v>
      </c>
      <c r="M50" s="1728">
        <f>SUM('5.1. sz. mell. '!M52+'5.2. sz. mell.  '!M52+'5.3 sz. mell'!M49+'5.4. sz mell'!M49+'5.5. sz. mell.  '!M53+'5.6. sz. mell'!M53+'5.7. sz. mell.'!M53+'5.8. sz. mell.'!M48+'5.9. sz. mell.'!M48+'5.10 sz. mell '!M47)</f>
        <v>789028332</v>
      </c>
      <c r="N50" s="285">
        <f t="shared" si="6"/>
        <v>103.48462953331243</v>
      </c>
      <c r="Q50" s="1876">
        <f t="shared" si="11"/>
        <v>0</v>
      </c>
      <c r="R50" s="1876"/>
      <c r="S50" s="1885">
        <f t="shared" si="8"/>
        <v>0</v>
      </c>
      <c r="T50" s="1885"/>
      <c r="U50" s="248">
        <f t="shared" si="2"/>
        <v>0</v>
      </c>
      <c r="V50" s="248"/>
      <c r="W50" s="1871">
        <f t="shared" si="3"/>
        <v>0</v>
      </c>
      <c r="X50" s="1962">
        <f t="shared" si="9"/>
        <v>0</v>
      </c>
      <c r="Y50" s="1876">
        <f>SUM('5.a sz. mell. '!F49+'5.b. sz. mell.'!F50)</f>
        <v>719045450</v>
      </c>
      <c r="Z50" s="1876"/>
      <c r="AA50" s="1885">
        <f>SUM('5.a sz. mell. '!H49+'5.b. sz. mell.'!H50)</f>
        <v>762459445</v>
      </c>
      <c r="AB50" s="1885"/>
      <c r="AC50" s="248">
        <f>SUM('5.a sz. mell. '!J49+'5.b. sz. mell.'!J50)</f>
        <v>801825280</v>
      </c>
      <c r="AD50" s="248"/>
      <c r="AE50" s="1871">
        <f>SUM('5.a sz. mell. '!L49+'5.b. sz. mell.'!L50)</f>
        <v>801825280</v>
      </c>
      <c r="AF50" s="1903">
        <f>SUM('5.a sz. mell. '!M49+'5.b. sz. mell.'!M50)</f>
        <v>789028332</v>
      </c>
    </row>
    <row r="51" spans="1:32" ht="15" customHeight="1" thickBot="1" x14ac:dyDescent="0.25">
      <c r="A51" s="142"/>
      <c r="B51" s="176" t="s">
        <v>158</v>
      </c>
      <c r="C51" s="55" t="s">
        <v>159</v>
      </c>
      <c r="D51" s="56"/>
      <c r="E51" s="56"/>
      <c r="F51" s="299">
        <f>SUM('5.1. sz. mell. '!F53+'5.2. sz. mell.  '!F53+'5.3 sz. mell'!F50+'5.4. sz mell'!F50+'5.5. sz. mell.  '!F54+'5.6. sz. mell'!F54+'5.7. sz. mell.'!F54+'5.8. sz. mell.'!F49+'5.9. sz. mell.'!F49+'5.10 sz. mell '!F48)</f>
        <v>0</v>
      </c>
      <c r="G51" s="2752"/>
      <c r="H51" s="299">
        <f>SUM('5.1. sz. mell. '!H53+'5.2. sz. mell.  '!H53+'5.3 sz. mell'!H50+'5.4. sz mell'!H50+'5.5. sz. mell.  '!H54+'5.6. sz. mell'!H54+'5.7. sz. mell.'!H54+'5.8. sz. mell.'!H49+'5.9. sz. mell.'!H49+'5.10 sz. mell '!H48)</f>
        <v>0</v>
      </c>
      <c r="I51" s="1523"/>
      <c r="J51" s="150">
        <f>SUM('5.1. sz. mell. '!J53+'5.2. sz. mell.  '!J53+'5.3 sz. mell'!J50+'5.4. sz mell'!J50+'5.5. sz. mell.  '!J54+'5.6. sz. mell'!J54+'5.7. sz. mell.'!J54+'5.8. sz. mell.'!J49+'5.9. sz. mell.'!J49+'5.10 sz. mell '!J48)</f>
        <v>0</v>
      </c>
      <c r="K51" s="1523"/>
      <c r="L51" s="150">
        <f>SUM('5.1. sz. mell. '!L53+'5.2. sz. mell.  '!L53+'5.3 sz. mell'!L50+'5.4. sz mell'!L50+'5.5. sz. mell.  '!L54+'5.6. sz. mell'!L54+'5.7. sz. mell.'!L54+'5.8. sz. mell.'!L49+'5.9. sz. mell.'!L49+'5.10 sz. mell '!L48)</f>
        <v>0</v>
      </c>
      <c r="M51" s="299">
        <f>SUM('5.1. sz. mell. '!M53+'5.2. sz. mell.  '!M53+'5.3 sz. mell'!M50+'5.4. sz mell'!M50+'5.5. sz. mell.  '!M54+'5.6. sz. mell'!M54+'5.7. sz. mell.'!M54+'5.8. sz. mell.'!M49+'5.9. sz. mell.'!M49+'5.10 sz. mell '!M48)</f>
        <v>0</v>
      </c>
      <c r="N51" s="285" t="e">
        <f t="shared" si="6"/>
        <v>#DIV/0!</v>
      </c>
      <c r="Q51" s="1876">
        <f t="shared" si="11"/>
        <v>0</v>
      </c>
      <c r="R51" s="1876"/>
      <c r="S51" s="1885">
        <f t="shared" si="8"/>
        <v>0</v>
      </c>
      <c r="T51" s="1885"/>
      <c r="U51" s="248">
        <f t="shared" si="2"/>
        <v>0</v>
      </c>
      <c r="V51" s="248"/>
      <c r="W51" s="1871">
        <f t="shared" si="3"/>
        <v>0</v>
      </c>
      <c r="X51" s="1962">
        <f t="shared" si="9"/>
        <v>0</v>
      </c>
      <c r="Y51" s="1876">
        <f>SUM('5.a sz. mell. '!F50+'5.b. sz. mell.'!F51)</f>
        <v>0</v>
      </c>
      <c r="Z51" s="1876"/>
      <c r="AA51" s="1885">
        <f>SUM('5.a sz. mell. '!H50+'5.b. sz. mell.'!H51)</f>
        <v>0</v>
      </c>
      <c r="AB51" s="1885"/>
      <c r="AC51" s="248">
        <f>SUM('5.a sz. mell. '!J50+'5.b. sz. mell.'!J51)</f>
        <v>0</v>
      </c>
      <c r="AD51" s="248"/>
      <c r="AE51" s="1871">
        <f>SUM('5.a sz. mell. '!L50+'5.b. sz. mell.'!L51)</f>
        <v>0</v>
      </c>
      <c r="AF51" s="1903">
        <f>SUM('5.a sz. mell. '!M50+'5.b. sz. mell.'!M51)</f>
        <v>0</v>
      </c>
    </row>
    <row r="52" spans="1:32" ht="15" customHeight="1" thickBot="1" x14ac:dyDescent="0.25">
      <c r="A52" s="142"/>
      <c r="B52" s="176" t="s">
        <v>160</v>
      </c>
      <c r="C52" s="55" t="s">
        <v>161</v>
      </c>
      <c r="D52" s="56" t="e">
        <f>SUM(#REF!+'5.9. sz. mell.'!D50)</f>
        <v>#REF!</v>
      </c>
      <c r="E52" s="56" t="e">
        <f>SUM(#REF!+'5.9. sz. mell.'!E50)</f>
        <v>#REF!</v>
      </c>
      <c r="F52" s="299">
        <f>SUM('5.1. sz. mell. '!F54+'5.2. sz. mell.  '!F54+'5.3 sz. mell'!F51+'5.4. sz mell'!F51+'5.5. sz. mell.  '!F55+'5.6. sz. mell'!F55+'5.7. sz. mell.'!F55+'5.8. sz. mell.'!F50+'5.9. sz. mell.'!F50+'5.10 sz. mell '!F49)</f>
        <v>0</v>
      </c>
      <c r="G52" s="2752"/>
      <c r="H52" s="299">
        <f>SUM('5.1. sz. mell. '!H55+'5.2. sz. mell.  '!H55+'5.3 sz. mell'!H51+'5.4. sz mell'!H55+'5.5. sz. mell.  '!H55+'5.6. sz. mell'!H55+'5.7. sz. mell.'!H55+'5.8. sz. mell.'!H50+'5.9. sz. mell.'!H50+'5.10 sz. mell '!H49)</f>
        <v>0</v>
      </c>
      <c r="I52" s="1523"/>
      <c r="J52" s="150">
        <f>SUM('5.1. sz. mell. '!J55+'5.2. sz. mell.  '!J55+'5.3 sz. mell'!J51+'5.4. sz mell'!J55+'5.5. sz. mell.  '!J55+'5.6. sz. mell'!J55+'5.7. sz. mell.'!J55+'5.8. sz. mell.'!J50+'5.9. sz. mell.'!J50+'5.10 sz. mell '!J49)</f>
        <v>0</v>
      </c>
      <c r="K52" s="1523"/>
      <c r="L52" s="150">
        <f>SUM('5.1. sz. mell. '!L55+'5.2. sz. mell.  '!L55+'5.3 sz. mell'!L51+'5.4. sz mell'!L55+'5.5. sz. mell.  '!L55+'5.6. sz. mell'!L55+'5.7. sz. mell.'!L55+'5.8. sz. mell.'!L50+'5.9. sz. mell.'!L50+'5.10 sz. mell '!L49)</f>
        <v>0</v>
      </c>
      <c r="M52" s="299">
        <f>SUM('5.1. sz. mell. '!M55+'5.2. sz. mell.  '!M55+'5.3 sz. mell'!M51+'5.4. sz mell'!M55+'5.5. sz. mell.  '!M55+'5.6. sz. mell'!M55+'5.7. sz. mell.'!M55+'5.8. sz. mell.'!M50+'5.9. sz. mell.'!M50+'5.10 sz. mell '!M49)</f>
        <v>0</v>
      </c>
      <c r="N52" s="285" t="e">
        <f t="shared" si="6"/>
        <v>#DIV/0!</v>
      </c>
      <c r="Q52" s="1876">
        <f t="shared" si="11"/>
        <v>0</v>
      </c>
      <c r="R52" s="1876"/>
      <c r="S52" s="1885">
        <f t="shared" si="8"/>
        <v>0</v>
      </c>
      <c r="T52" s="1885"/>
      <c r="U52" s="248">
        <f t="shared" si="2"/>
        <v>0</v>
      </c>
      <c r="V52" s="248"/>
      <c r="W52" s="1871">
        <f t="shared" si="3"/>
        <v>0</v>
      </c>
      <c r="X52" s="1962">
        <f t="shared" si="9"/>
        <v>0</v>
      </c>
      <c r="Y52" s="1876">
        <f>SUM('5.a sz. mell. '!F51+'5.b. sz. mell.'!F52)</f>
        <v>0</v>
      </c>
      <c r="Z52" s="1876"/>
      <c r="AA52" s="1885">
        <f>SUM('5.a sz. mell. '!H51+'5.b. sz. mell.'!H52)</f>
        <v>0</v>
      </c>
      <c r="AB52" s="1885"/>
      <c r="AC52" s="248">
        <f>SUM('5.a sz. mell. '!J51+'5.b. sz. mell.'!J52)</f>
        <v>0</v>
      </c>
      <c r="AD52" s="248"/>
      <c r="AE52" s="1871">
        <f>SUM('5.a sz. mell. '!L51+'5.b. sz. mell.'!L52)</f>
        <v>0</v>
      </c>
      <c r="AF52" s="1903">
        <f>SUM('5.a sz. mell. '!M51+'5.b. sz. mell.'!M52)</f>
        <v>0</v>
      </c>
    </row>
    <row r="53" spans="1:32" ht="15" customHeight="1" thickBot="1" x14ac:dyDescent="0.25">
      <c r="A53" s="134" t="s">
        <v>17</v>
      </c>
      <c r="B53" s="170"/>
      <c r="C53" s="171" t="s">
        <v>443</v>
      </c>
      <c r="D53" s="64">
        <f>SUM(D54:D56)</f>
        <v>0</v>
      </c>
      <c r="E53" s="64" t="e">
        <f>SUM(E54:E56)</f>
        <v>#REF!</v>
      </c>
      <c r="F53" s="64">
        <f>SUM(F54:F56)</f>
        <v>12659100</v>
      </c>
      <c r="G53" s="1382">
        <f>SUM(H53-F53)</f>
        <v>31042456</v>
      </c>
      <c r="H53" s="64">
        <f>SUM(H54:H56)</f>
        <v>43701556</v>
      </c>
      <c r="I53" s="1374">
        <f>SUM(J53-H53)</f>
        <v>29497071</v>
      </c>
      <c r="J53" s="137">
        <f>SUM(J54:J56)</f>
        <v>73198627</v>
      </c>
      <c r="K53" s="1374">
        <f>SUM(L53-J53)</f>
        <v>0</v>
      </c>
      <c r="L53" s="137">
        <f>SUM(L54:L56)</f>
        <v>73198627</v>
      </c>
      <c r="M53" s="64">
        <f>SUM(M54:M56)</f>
        <v>38947774</v>
      </c>
      <c r="N53" s="285">
        <f t="shared" si="6"/>
        <v>89.122167640895896</v>
      </c>
      <c r="Q53" s="1876">
        <f t="shared" si="11"/>
        <v>0</v>
      </c>
      <c r="R53" s="1876"/>
      <c r="S53" s="1885">
        <f t="shared" si="8"/>
        <v>0</v>
      </c>
      <c r="T53" s="1885"/>
      <c r="U53" s="248">
        <f t="shared" si="2"/>
        <v>0</v>
      </c>
      <c r="V53" s="248"/>
      <c r="W53" s="1871">
        <f t="shared" si="3"/>
        <v>0</v>
      </c>
      <c r="X53" s="1962">
        <f t="shared" si="9"/>
        <v>0</v>
      </c>
      <c r="Y53" s="1876">
        <f>SUM('5.a sz. mell. '!F52+'5.b. sz. mell.'!F53)</f>
        <v>12659100</v>
      </c>
      <c r="Z53" s="1876"/>
      <c r="AA53" s="1885">
        <f>SUM('5.a sz. mell. '!H52+'5.b. sz. mell.'!H53)</f>
        <v>43701556</v>
      </c>
      <c r="AB53" s="1885"/>
      <c r="AC53" s="248">
        <f>SUM('5.a sz. mell. '!J52+'5.b. sz. mell.'!J53)</f>
        <v>73198627</v>
      </c>
      <c r="AD53" s="248"/>
      <c r="AE53" s="1871">
        <f>SUM('5.a sz. mell. '!L52+'5.b. sz. mell.'!L53)</f>
        <v>73198627</v>
      </c>
      <c r="AF53" s="1903">
        <f>SUM('5.a sz. mell. '!M52+'5.b. sz. mell.'!M53)</f>
        <v>38947774</v>
      </c>
    </row>
    <row r="54" spans="1:32" s="172" customFormat="1" ht="15" customHeight="1" thickBot="1" x14ac:dyDescent="0.25">
      <c r="A54" s="173"/>
      <c r="B54" s="267" t="s">
        <v>5</v>
      </c>
      <c r="C54" s="251" t="s">
        <v>183</v>
      </c>
      <c r="D54" s="50"/>
      <c r="E54" s="50" t="e">
        <f>'5.1. sz. mell. '!E45+'5.2. sz. mell.  '!E57+'5.3 sz. mell'!E53+'5.4. sz mell'!E53+'5.5. sz. mell.  '!E57+'5.6. sz. mell'!E57+'5.7. sz. mell.'!E58+'5.8. sz. mell.'!E52+#REF!+'5.9. sz. mell.'!E52+'5.10 sz. mell '!E51</f>
        <v>#REF!</v>
      </c>
      <c r="F54" s="50">
        <f>SUM('5.1. sz. mell. '!F57+'5.2. sz. mell.  '!F57+'5.3 sz. mell'!F53+'5.4. sz mell'!F53+'5.5. sz. mell.  '!F57+'5.6. sz. mell'!F57+'5.7. sz. mell.'!F58+'5.8. sz. mell.'!F52+'5.9. sz. mell.'!F52+'5.10 sz. mell '!F51)</f>
        <v>12659100</v>
      </c>
      <c r="G54" s="1415">
        <f>SUM(H54-F54)</f>
        <v>19364956</v>
      </c>
      <c r="H54" s="50">
        <f>SUM('5.1. sz. mell. '!H57+'5.2. sz. mell.  '!H57+'5.3 sz. mell'!H53+'5.4. sz mell'!H53+'5.5. sz. mell.  '!H57+'5.6. sz. mell'!H57+'5.7. sz. mell.'!H58+'5.8. sz. mell.'!H52+'5.9. sz. mell.'!H52+'5.10 sz. mell '!H51)</f>
        <v>32024056</v>
      </c>
      <c r="I54" s="1404">
        <f>SUM(J54-H54)</f>
        <v>32023587</v>
      </c>
      <c r="J54" s="175">
        <f>SUM('5.1. sz. mell. '!J57+'5.2. sz. mell.  '!J57+'5.3 sz. mell'!J53+'5.4. sz mell'!J53+'5.5. sz. mell.  '!J57+'5.6. sz. mell'!J57+'5.7. sz. mell.'!J58+'5.8. sz. mell.'!J52+'5.9. sz. mell.'!J52+'5.10 sz. mell '!J51)</f>
        <v>64047643</v>
      </c>
      <c r="K54" s="1404">
        <f>SUM(L54-J54)</f>
        <v>0</v>
      </c>
      <c r="L54" s="175">
        <f>SUM('5.1. sz. mell. '!L57+'5.2. sz. mell.  '!L57+'5.3 sz. mell'!L53+'5.4. sz mell'!L53+'5.5. sz. mell.  '!L57+'5.6. sz. mell'!L57+'5.7. sz. mell.'!L58+'5.8. sz. mell.'!L52+'5.9. sz. mell.'!L52+'5.10 sz. mell '!L51)</f>
        <v>64047643</v>
      </c>
      <c r="M54" s="1729">
        <f>SUM('5.1. sz. mell. '!M57+'5.2. sz. mell.  '!M57+'5.3 sz. mell'!M53+'5.4. sz mell'!M53+'5.5. sz. mell.  '!M57+'5.6. sz. mell'!M57+'5.7. sz. mell.'!M58+'5.8. sz. mell.'!M52+'5.9. sz. mell.'!M52+'5.10 sz. mell '!M51)</f>
        <v>29796790</v>
      </c>
      <c r="N54" s="285">
        <f t="shared" si="6"/>
        <v>93.045022154595287</v>
      </c>
      <c r="Q54" s="1876">
        <f t="shared" si="11"/>
        <v>0</v>
      </c>
      <c r="R54" s="1876"/>
      <c r="S54" s="1885">
        <f t="shared" si="8"/>
        <v>0</v>
      </c>
      <c r="T54" s="1885"/>
      <c r="U54" s="248">
        <f t="shared" si="2"/>
        <v>0</v>
      </c>
      <c r="V54" s="248"/>
      <c r="W54" s="1871">
        <f t="shared" si="3"/>
        <v>0</v>
      </c>
      <c r="X54" s="1962">
        <f t="shared" si="9"/>
        <v>0</v>
      </c>
      <c r="Y54" s="1876">
        <f>SUM('5.a sz. mell. '!F53+'5.b. sz. mell.'!F54)</f>
        <v>12659100</v>
      </c>
      <c r="Z54" s="1876"/>
      <c r="AA54" s="1885">
        <f>SUM('5.a sz. mell. '!H53+'5.b. sz. mell.'!H54)</f>
        <v>32024056</v>
      </c>
      <c r="AB54" s="1885"/>
      <c r="AC54" s="248">
        <f>SUM('5.a sz. mell. '!J53+'5.b. sz. mell.'!J54)</f>
        <v>64047643</v>
      </c>
      <c r="AD54" s="248"/>
      <c r="AE54" s="1871">
        <f>SUM('5.a sz. mell. '!L53+'5.b. sz. mell.'!L54)</f>
        <v>64047643</v>
      </c>
      <c r="AF54" s="1903">
        <f>SUM('5.a sz. mell. '!M53+'5.b. sz. mell.'!M54)</f>
        <v>29796790</v>
      </c>
    </row>
    <row r="55" spans="1:32" ht="15" customHeight="1" thickBot="1" x14ac:dyDescent="0.25">
      <c r="A55" s="142"/>
      <c r="B55" s="253" t="s">
        <v>7</v>
      </c>
      <c r="C55" s="55" t="s">
        <v>185</v>
      </c>
      <c r="D55" s="56"/>
      <c r="E55" s="50" t="e">
        <f>'5.1. sz. mell. '!E46+'5.2. sz. mell.  '!E58+'5.3 sz. mell'!E54+'5.4. sz mell'!E54+'5.5. sz. mell.  '!E58+'5.6. sz. mell'!E58+'5.7. sz. mell.'!E59+'5.8. sz. mell.'!E53+#REF!+'5.9. sz. mell.'!E53+'5.10 sz. mell '!E52</f>
        <v>#REF!</v>
      </c>
      <c r="F55" s="50">
        <f>'5.1. sz. mell. '!F58+'5.2. sz. mell.  '!F58+'5.3 sz. mell'!F54+'5.4. sz mell'!F54+'5.5. sz. mell.  '!F58+'5.6. sz. mell'!F58+'5.7. sz. mell.'!F59+'5.8. sz. mell.'!F53+'5.9. sz. mell.'!F53+'5.10 sz. mell '!F52</f>
        <v>0</v>
      </c>
      <c r="G55" s="1652"/>
      <c r="H55" s="50">
        <f>'5.1. sz. mell. '!H58+'5.2. sz. mell.  '!H58+'5.3 sz. mell'!H54+'5.4. sz mell'!H54+'5.5. sz. mell.  '!H58+'5.6. sz. mell'!H58+'5.7. sz. mell.'!H59+'5.8. sz. mell.'!H53+'5.9. sz. mell.'!H53+'5.10 sz. mell '!H52</f>
        <v>11677500</v>
      </c>
      <c r="I55" s="1524"/>
      <c r="J55" s="175">
        <f>'5.1. sz. mell. '!J58+'5.2. sz. mell.  '!J58+'5.3 sz. mell'!J54+'5.4. sz mell'!J54+'5.5. sz. mell.  '!J58+'5.6. sz. mell'!J58+'5.7. sz. mell.'!J59+'5.8. sz. mell.'!J53+'5.9. sz. mell.'!J53+'5.10 sz. mell '!J52</f>
        <v>9150984</v>
      </c>
      <c r="K55" s="1524"/>
      <c r="L55" s="175">
        <f>'5.1. sz. mell. '!L58+'5.2. sz. mell.  '!L58+'5.3 sz. mell'!L54+'5.4. sz mell'!L54+'5.5. sz. mell.  '!L58+'5.6. sz. mell'!L58+'5.7. sz. mell.'!L59+'5.8. sz. mell.'!L53+'5.9. sz. mell.'!L53+'5.10 sz. mell '!L52</f>
        <v>9150984</v>
      </c>
      <c r="M55" s="175">
        <f>'5.1. sz. mell. '!M58+'5.2. sz. mell.  '!M58+'5.3 sz. mell'!M54+'5.4. sz mell'!M54+'5.5. sz. mell.  '!M58+'5.6. sz. mell'!M58+'5.7. sz. mell.'!M59+'5.8. sz. mell.'!M53+'5.9. sz. mell.'!M53+'5.10 sz. mell '!M52</f>
        <v>9150984</v>
      </c>
      <c r="N55" s="285">
        <f t="shared" si="6"/>
        <v>78.364238921001927</v>
      </c>
      <c r="Q55" s="1876">
        <f t="shared" si="11"/>
        <v>0</v>
      </c>
      <c r="R55" s="1876"/>
      <c r="S55" s="1885">
        <f t="shared" si="8"/>
        <v>0</v>
      </c>
      <c r="T55" s="1885"/>
      <c r="U55" s="248">
        <f t="shared" si="2"/>
        <v>0</v>
      </c>
      <c r="V55" s="248"/>
      <c r="W55" s="1871">
        <f t="shared" si="3"/>
        <v>0</v>
      </c>
      <c r="X55" s="1962">
        <f t="shared" si="9"/>
        <v>0</v>
      </c>
      <c r="Y55" s="1876">
        <f>SUM('5.a sz. mell. '!F54+'5.b. sz. mell.'!F55)</f>
        <v>0</v>
      </c>
      <c r="Z55" s="1876"/>
      <c r="AA55" s="1885">
        <f>SUM('5.a sz. mell. '!H54+'5.b. sz. mell.'!H55)</f>
        <v>11677500</v>
      </c>
      <c r="AB55" s="1885"/>
      <c r="AC55" s="248">
        <f>SUM('5.a sz. mell. '!J54+'5.b. sz. mell.'!J55)</f>
        <v>9150984</v>
      </c>
      <c r="AD55" s="248"/>
      <c r="AE55" s="1871">
        <f>SUM('5.a sz. mell. '!L54+'5.b. sz. mell.'!L55)</f>
        <v>9150984</v>
      </c>
      <c r="AF55" s="1903">
        <f>SUM('5.a sz. mell. '!M54+'5.b. sz. mell.'!M55)</f>
        <v>9150984</v>
      </c>
    </row>
    <row r="56" spans="1:32" ht="18.75" customHeight="1" thickBot="1" x14ac:dyDescent="0.25">
      <c r="A56" s="151"/>
      <c r="B56" s="2676" t="s">
        <v>9</v>
      </c>
      <c r="C56" s="2376" t="s">
        <v>444</v>
      </c>
      <c r="D56" s="60"/>
      <c r="E56" s="60"/>
      <c r="F56" s="60"/>
      <c r="G56" s="2746"/>
      <c r="H56" s="56"/>
      <c r="I56" s="1525"/>
      <c r="J56" s="144"/>
      <c r="K56" s="1525"/>
      <c r="L56" s="144"/>
      <c r="M56" s="56"/>
      <c r="N56" s="285" t="e">
        <f t="shared" si="6"/>
        <v>#DIV/0!</v>
      </c>
      <c r="Q56" s="1876">
        <f t="shared" si="11"/>
        <v>0</v>
      </c>
      <c r="R56" s="1876"/>
      <c r="S56" s="1885">
        <f t="shared" si="8"/>
        <v>0</v>
      </c>
      <c r="T56" s="1885"/>
      <c r="U56" s="248">
        <f t="shared" si="2"/>
        <v>0</v>
      </c>
      <c r="V56" s="248"/>
      <c r="W56" s="1871">
        <f t="shared" si="3"/>
        <v>0</v>
      </c>
      <c r="X56" s="1962">
        <f t="shared" si="9"/>
        <v>0</v>
      </c>
      <c r="Y56" s="1876">
        <f>SUM('5.a sz. mell. '!F55+'5.b. sz. mell.'!F56)</f>
        <v>0</v>
      </c>
      <c r="Z56" s="1876"/>
      <c r="AA56" s="1885">
        <f>SUM('5.a sz. mell. '!H55+'5.b. sz. mell.'!H56)</f>
        <v>0</v>
      </c>
      <c r="AB56" s="1885"/>
      <c r="AC56" s="248">
        <f>SUM('5.a sz. mell. '!J55+'5.b. sz. mell.'!J56)</f>
        <v>0</v>
      </c>
      <c r="AD56" s="248"/>
      <c r="AE56" s="1871">
        <f>SUM('5.a sz. mell. '!L55+'5.b. sz. mell.'!L56)</f>
        <v>0</v>
      </c>
      <c r="AF56" s="1903">
        <f>SUM('5.a sz. mell. '!M55+'5.b. sz. mell.'!M56)</f>
        <v>0</v>
      </c>
    </row>
    <row r="57" spans="1:32" ht="15" hidden="1" customHeight="1" thickBot="1" x14ac:dyDescent="0.25">
      <c r="A57" s="178" t="s">
        <v>31</v>
      </c>
      <c r="B57" s="2748"/>
      <c r="C57" s="2749" t="s">
        <v>445</v>
      </c>
      <c r="D57" s="2750"/>
      <c r="E57" s="2750"/>
      <c r="F57" s="2750"/>
      <c r="G57" s="2747"/>
      <c r="H57" s="300"/>
      <c r="I57" s="1526"/>
      <c r="J57" s="155"/>
      <c r="K57" s="1526"/>
      <c r="L57" s="155"/>
      <c r="M57" s="300"/>
      <c r="N57" s="285" t="e">
        <f t="shared" si="6"/>
        <v>#DIV/0!</v>
      </c>
      <c r="Q57" s="1876">
        <f t="shared" si="11"/>
        <v>0</v>
      </c>
      <c r="R57" s="1876"/>
      <c r="S57" s="1885">
        <f t="shared" si="8"/>
        <v>0</v>
      </c>
      <c r="T57" s="1885"/>
      <c r="U57" s="248">
        <f t="shared" si="2"/>
        <v>0</v>
      </c>
      <c r="V57" s="248"/>
      <c r="W57" s="1871">
        <f t="shared" si="3"/>
        <v>0</v>
      </c>
      <c r="X57" s="1962">
        <f t="shared" si="9"/>
        <v>0</v>
      </c>
      <c r="Y57" s="1876">
        <f>SUM('5.a sz. mell. '!F56+'5.b. sz. mell.'!F57)</f>
        <v>0</v>
      </c>
      <c r="Z57" s="1876"/>
      <c r="AA57" s="1885">
        <f>SUM('5.a sz. mell. '!H56+'5.b. sz. mell.'!H57)</f>
        <v>0</v>
      </c>
      <c r="AB57" s="1885"/>
      <c r="AC57" s="248">
        <f>SUM('5.a sz. mell. '!J56+'5.b. sz. mell.'!J57)</f>
        <v>0</v>
      </c>
      <c r="AD57" s="248"/>
      <c r="AE57" s="1871">
        <f>SUM('5.a sz. mell. '!L56+'5.b. sz. mell.'!L57)</f>
        <v>0</v>
      </c>
      <c r="AF57" s="1903">
        <f>SUM('5.a sz. mell. '!M56+'5.b. sz. mell.'!M57)</f>
        <v>0</v>
      </c>
    </row>
    <row r="58" spans="1:32" s="145" customFormat="1" ht="12.75" hidden="1" customHeight="1" x14ac:dyDescent="0.2">
      <c r="A58" s="134"/>
      <c r="B58" s="170"/>
      <c r="C58" s="301" t="s">
        <v>459</v>
      </c>
      <c r="D58" s="155"/>
      <c r="E58" s="155"/>
      <c r="F58" s="155"/>
      <c r="G58" s="1381"/>
      <c r="H58" s="155"/>
      <c r="I58" s="1380"/>
      <c r="J58" s="155"/>
      <c r="K58" s="1380"/>
      <c r="L58" s="155"/>
      <c r="M58" s="155"/>
      <c r="N58" s="285" t="e">
        <f t="shared" si="6"/>
        <v>#DIV/0!</v>
      </c>
      <c r="Q58" s="1876">
        <f t="shared" si="11"/>
        <v>0</v>
      </c>
      <c r="R58" s="1876"/>
      <c r="S58" s="1885">
        <f t="shared" si="8"/>
        <v>0</v>
      </c>
      <c r="T58" s="1885"/>
      <c r="U58" s="248">
        <f t="shared" si="2"/>
        <v>0</v>
      </c>
      <c r="V58" s="248"/>
      <c r="W58" s="1871">
        <f t="shared" si="3"/>
        <v>0</v>
      </c>
      <c r="X58" s="1962">
        <f t="shared" si="9"/>
        <v>0</v>
      </c>
      <c r="Y58" s="1876">
        <f>SUM('5.a sz. mell. '!F57+'5.b. sz. mell.'!F58)</f>
        <v>0</v>
      </c>
      <c r="Z58" s="1876"/>
      <c r="AA58" s="1885">
        <f>SUM('5.a sz. mell. '!H57+'5.b. sz. mell.'!H58)</f>
        <v>0</v>
      </c>
      <c r="AB58" s="1885"/>
      <c r="AC58" s="248">
        <f>SUM('5.a sz. mell. '!J57+'5.b. sz. mell.'!J58)</f>
        <v>0</v>
      </c>
      <c r="AD58" s="248"/>
      <c r="AE58" s="1871">
        <f>SUM('5.a sz. mell. '!L57+'5.b. sz. mell.'!L58)</f>
        <v>0</v>
      </c>
      <c r="AF58" s="1903">
        <f>SUM('5.a sz. mell. '!M57+'5.b. sz. mell.'!M58)</f>
        <v>0</v>
      </c>
    </row>
    <row r="59" spans="1:32" ht="15" customHeight="1" thickBot="1" x14ac:dyDescent="0.25">
      <c r="A59" s="192" t="s">
        <v>31</v>
      </c>
      <c r="B59" s="160"/>
      <c r="C59" s="274" t="s">
        <v>446</v>
      </c>
      <c r="D59" s="162" t="e">
        <f>+D47+D53+D57</f>
        <v>#REF!</v>
      </c>
      <c r="E59" s="162" t="e">
        <f>+E47+E53+E57</f>
        <v>#NAME?</v>
      </c>
      <c r="F59" s="162">
        <f>+F47+F53+F57+F58</f>
        <v>1675922680</v>
      </c>
      <c r="G59" s="1437">
        <f>SUM(H59-F59)</f>
        <v>97651758</v>
      </c>
      <c r="H59" s="162">
        <f>+H47+H53+H57+H58</f>
        <v>1773574438</v>
      </c>
      <c r="I59" s="1373">
        <f>SUM(J59-H59)</f>
        <v>98857023</v>
      </c>
      <c r="J59" s="162">
        <f>+J47+J53+J57+J58</f>
        <v>1872431461</v>
      </c>
      <c r="K59" s="1373">
        <f>SUM(L59-J59)</f>
        <v>0</v>
      </c>
      <c r="L59" s="162">
        <f>+L47+L53+L57+L58</f>
        <v>1872431461</v>
      </c>
      <c r="M59" s="162">
        <f>+M47+M53+M57+M58</f>
        <v>1824759372</v>
      </c>
      <c r="N59" s="285">
        <f t="shared" si="6"/>
        <v>102.88597607765027</v>
      </c>
      <c r="Q59" s="1876">
        <f t="shared" si="11"/>
        <v>0</v>
      </c>
      <c r="R59" s="1876"/>
      <c r="S59" s="1885">
        <f t="shared" si="8"/>
        <v>0</v>
      </c>
      <c r="T59" s="1885"/>
      <c r="U59" s="248">
        <f t="shared" si="2"/>
        <v>0</v>
      </c>
      <c r="V59" s="248"/>
      <c r="W59" s="1871">
        <f t="shared" si="3"/>
        <v>0</v>
      </c>
      <c r="X59" s="1962">
        <f t="shared" si="9"/>
        <v>0</v>
      </c>
      <c r="Y59" s="1876">
        <f>SUM('5.a sz. mell. '!F58+'5.b. sz. mell.'!F59)</f>
        <v>1675922680</v>
      </c>
      <c r="Z59" s="1876"/>
      <c r="AA59" s="1885">
        <f>SUM('5.a sz. mell. '!H58+'5.b. sz. mell.'!H59)</f>
        <v>1773574438</v>
      </c>
      <c r="AB59" s="1885"/>
      <c r="AC59" s="248">
        <f>SUM('5.a sz. mell. '!J58+'5.b. sz. mell.'!J59)</f>
        <v>1872431461</v>
      </c>
      <c r="AD59" s="248"/>
      <c r="AE59" s="1871">
        <f>SUM('5.a sz. mell. '!L58+'5.b. sz. mell.'!L59)</f>
        <v>1872431461</v>
      </c>
      <c r="AF59" s="1903">
        <f>SUM('5.a sz. mell. '!M58+'5.b. sz. mell.'!M59)</f>
        <v>1824759372</v>
      </c>
    </row>
    <row r="60" spans="1:32" ht="15" customHeight="1" thickBot="1" x14ac:dyDescent="0.25">
      <c r="A60" s="276" t="s">
        <v>324</v>
      </c>
      <c r="B60" s="277"/>
      <c r="C60" s="278"/>
      <c r="D60" s="200" t="e">
        <f>SUM(#REF!+#REF!+#REF!+#REF!+#REF!+#REF!+'5.1. sz. mell. '!D53+'5.2. sz. mell.  '!D65+'5.3 sz. mell'!D61+'5.4. sz mell'!D61+'5.5. sz. mell.  '!D65+'5.6. sz. mell'!D65+'5.7. sz. mell.'!D68+'5.8. sz. mell.'!D57+#REF!+'5.9. sz. mell.'!D57+'5.10 sz. mell '!D56)</f>
        <v>#REF!</v>
      </c>
      <c r="E60" s="200" t="e">
        <f>SUM(#REF!+#REF!+#REF!+#REF!+#REF!+#REF!+'5.1. sz. mell. '!E53+'5.2. sz. mell.  '!E65+'5.3 sz. mell'!E61+'5.4. sz mell'!E61+'5.5. sz. mell.  '!E65+'5.6. sz. mell'!E65+'5.7. sz. mell.'!E68+'5.8. sz. mell.'!E57+#REF!+'5.9. sz. mell.'!E57+'5.10 sz. mell '!E56)</f>
        <v>#REF!</v>
      </c>
      <c r="F60" s="200">
        <f>SUM('5.1. sz. mell. '!F64+'5.2. sz. mell.  '!F65+'5.3 sz. mell'!F61+'5.4. sz mell'!F61+'5.5. sz. mell.  '!F65+'5.6. sz. mell'!F65+'5.7. sz. mell.'!F68+'5.8. sz. mell.'!F57+'5.9. sz. mell.'!F57+'5.10 sz. mell '!F56)</f>
        <v>286.75</v>
      </c>
      <c r="G60" s="1559"/>
      <c r="H60" s="200">
        <f>SUM('5.1. sz. mell. '!H64+'5.2. sz. mell.  '!H65+'5.3 sz. mell'!H61+'5.4. sz mell'!H61+'5.5. sz. mell.  '!H65+'5.6. sz. mell'!H65+'5.7. sz. mell.'!H68+'5.8. sz. mell.'!H57+'5.9. sz. mell.'!H57+'5.10 sz. mell '!H56)</f>
        <v>286.75</v>
      </c>
      <c r="I60" s="1373">
        <f>SUM(J60-H60)</f>
        <v>8</v>
      </c>
      <c r="J60" s="200">
        <f>SUM('5.1. sz. mell. '!J64+'5.2. sz. mell.  '!J65+'5.3 sz. mell'!J61+'5.4. sz mell'!J61+'5.5. sz. mell.  '!J65+'5.6. sz. mell'!J65+'5.7. sz. mell.'!J68+'5.8. sz. mell.'!J57+'5.9. sz. mell.'!J57+'5.10 sz. mell '!J56)</f>
        <v>294.75</v>
      </c>
      <c r="K60" s="1388"/>
      <c r="L60" s="200">
        <f>SUM('5.1. sz. mell. '!L64+'5.2. sz. mell.  '!L65+'5.3 sz. mell'!L61+'5.4. sz mell'!L61+'5.5. sz. mell.  '!L65+'5.6. sz. mell'!L65+'5.7. sz. mell.'!L68+'5.8. sz. mell.'!L57+'5.9. sz. mell.'!L57+'5.10 sz. mell '!L56)</f>
        <v>294.75</v>
      </c>
      <c r="M60" s="200">
        <f>SUM('5.1. sz. mell. '!M64+'5.2. sz. mell.  '!M65+'5.3 sz. mell'!M61+'5.4. sz mell'!M61+'5.5. sz. mell.  '!M65+'5.6. sz. mell'!M65+'5.7. sz. mell.'!M68+'5.8. sz. mell.'!M57+'5.9. sz. mell.'!M57+'5.10 sz. mell '!M56)</f>
        <v>294.75</v>
      </c>
      <c r="N60" s="285">
        <f t="shared" si="6"/>
        <v>102.78988666085441</v>
      </c>
      <c r="O60" s="145"/>
      <c r="P60" s="145"/>
      <c r="Q60" s="1876">
        <f t="shared" si="11"/>
        <v>0</v>
      </c>
      <c r="R60" s="1876"/>
      <c r="S60" s="1885"/>
      <c r="T60" s="1885"/>
      <c r="U60" s="248"/>
      <c r="V60" s="248"/>
      <c r="W60" s="1871"/>
      <c r="X60" s="1962"/>
      <c r="Y60" s="1876">
        <f>SUM('5.a sz. mell. '!F59+'5.b. sz. mell.'!F60)</f>
        <v>286.75</v>
      </c>
      <c r="Z60" s="1876"/>
      <c r="AA60" s="1885"/>
      <c r="AB60" s="1885"/>
      <c r="AC60" s="248"/>
      <c r="AD60" s="248"/>
      <c r="AE60" s="1871"/>
      <c r="AF60" s="1903"/>
    </row>
    <row r="61" spans="1:32" ht="15" customHeight="1" thickBot="1" x14ac:dyDescent="0.25">
      <c r="A61" s="276" t="s">
        <v>325</v>
      </c>
      <c r="B61" s="277"/>
      <c r="C61" s="278"/>
      <c r="D61" s="202"/>
      <c r="E61" s="202"/>
      <c r="F61" s="202"/>
      <c r="G61" s="2451"/>
      <c r="H61" s="202"/>
      <c r="I61" s="1527"/>
      <c r="J61" s="202"/>
      <c r="K61" s="1527"/>
      <c r="L61" s="202"/>
      <c r="M61" s="202"/>
      <c r="N61" s="497"/>
      <c r="O61" s="145"/>
      <c r="P61" s="145"/>
      <c r="Q61" s="1876"/>
      <c r="R61" s="1876"/>
      <c r="S61" s="1885"/>
      <c r="T61" s="1885"/>
      <c r="U61" s="248"/>
      <c r="V61" s="248"/>
      <c r="W61" s="1871"/>
      <c r="X61" s="1962"/>
      <c r="Y61" s="1876"/>
      <c r="Z61" s="1876"/>
      <c r="AA61" s="1885"/>
      <c r="AB61" s="1885"/>
      <c r="AC61" s="248"/>
      <c r="AD61" s="248"/>
      <c r="AE61" s="1871"/>
      <c r="AF61" s="1903"/>
    </row>
    <row r="63" spans="1:32" x14ac:dyDescent="0.2">
      <c r="H63" s="92">
        <f t="shared" ref="H63:M63" si="12">SUM(H44-H59)</f>
        <v>0</v>
      </c>
      <c r="I63" s="92">
        <f t="shared" si="12"/>
        <v>0</v>
      </c>
      <c r="J63" s="92">
        <f t="shared" si="12"/>
        <v>0</v>
      </c>
      <c r="K63" s="92">
        <f t="shared" si="12"/>
        <v>0</v>
      </c>
      <c r="L63" s="92">
        <f t="shared" si="12"/>
        <v>0</v>
      </c>
      <c r="M63" s="92">
        <f t="shared" si="12"/>
        <v>47339946</v>
      </c>
    </row>
    <row r="65" spans="3:16" ht="15.75" x14ac:dyDescent="0.2">
      <c r="C65" s="116" t="s">
        <v>945</v>
      </c>
      <c r="D65" s="116"/>
      <c r="E65" s="116"/>
      <c r="F65" s="116"/>
      <c r="G65" s="1416"/>
      <c r="H65" s="116"/>
      <c r="I65" s="1416"/>
      <c r="J65" s="116"/>
      <c r="K65" s="1416"/>
      <c r="L65" s="116"/>
      <c r="M65" s="116"/>
    </row>
    <row r="66" spans="3:16" ht="15.75" x14ac:dyDescent="0.2">
      <c r="C66" s="116" t="s">
        <v>942</v>
      </c>
      <c r="D66" s="116"/>
      <c r="E66" s="116"/>
      <c r="F66" s="116">
        <v>1675922680</v>
      </c>
      <c r="G66" s="1416"/>
      <c r="H66" s="203">
        <v>1773574438</v>
      </c>
      <c r="I66" s="1470"/>
      <c r="J66" s="203">
        <v>1872431461</v>
      </c>
      <c r="K66" s="1470"/>
      <c r="L66" s="203">
        <v>1872431461</v>
      </c>
      <c r="M66" s="203">
        <v>1824759372</v>
      </c>
    </row>
    <row r="67" spans="3:16" ht="15.75" x14ac:dyDescent="0.2">
      <c r="C67" s="116" t="s">
        <v>943</v>
      </c>
      <c r="D67" s="116"/>
      <c r="E67" s="116"/>
      <c r="F67" s="116"/>
      <c r="G67" s="1416"/>
      <c r="H67" s="203"/>
      <c r="I67" s="1470"/>
      <c r="J67" s="203"/>
      <c r="K67" s="1470"/>
      <c r="L67" s="203"/>
      <c r="M67" s="203"/>
      <c r="P67" s="115" t="s">
        <v>875</v>
      </c>
    </row>
    <row r="68" spans="3:16" ht="23.25" customHeight="1" x14ac:dyDescent="0.2">
      <c r="C68" s="781" t="s">
        <v>944</v>
      </c>
      <c r="D68" s="782"/>
      <c r="E68" s="782"/>
      <c r="F68" s="518">
        <f>SUM(F66:F67)</f>
        <v>1675922680</v>
      </c>
      <c r="G68" s="1528"/>
      <c r="H68" s="518">
        <f t="shared" ref="H68:M68" si="13">SUM(H66:H67)</f>
        <v>1773574438</v>
      </c>
      <c r="I68" s="518">
        <f t="shared" si="13"/>
        <v>0</v>
      </c>
      <c r="J68" s="518">
        <f t="shared" si="13"/>
        <v>1872431461</v>
      </c>
      <c r="K68" s="518">
        <f t="shared" si="13"/>
        <v>0</v>
      </c>
      <c r="L68" s="518">
        <f t="shared" si="13"/>
        <v>1872431461</v>
      </c>
      <c r="M68" s="518">
        <f t="shared" si="13"/>
        <v>1824759372</v>
      </c>
    </row>
    <row r="69" spans="3:16" ht="15.75" x14ac:dyDescent="0.2">
      <c r="C69" s="116"/>
      <c r="D69" s="116"/>
      <c r="E69" s="116"/>
      <c r="F69" s="116"/>
      <c r="G69" s="1416"/>
      <c r="H69" s="203"/>
      <c r="I69" s="1470"/>
      <c r="J69" s="203"/>
      <c r="K69" s="203"/>
      <c r="L69" s="203"/>
      <c r="M69" s="203"/>
    </row>
    <row r="70" spans="3:16" ht="15.75" x14ac:dyDescent="0.2">
      <c r="C70" s="780" t="s">
        <v>893</v>
      </c>
      <c r="D70" s="780"/>
      <c r="E70" s="780"/>
      <c r="F70" s="482">
        <f>SUM(F68-F59)</f>
        <v>0</v>
      </c>
      <c r="G70" s="1529"/>
      <c r="H70" s="482">
        <f>SUM(H68-H59)</f>
        <v>0</v>
      </c>
      <c r="I70" s="482"/>
      <c r="J70" s="482">
        <f>SUM(J68-J59)</f>
        <v>0</v>
      </c>
      <c r="K70" s="482"/>
      <c r="L70" s="482">
        <f>SUM(L68-L59)</f>
        <v>0</v>
      </c>
      <c r="M70" s="482">
        <f>SUM(M68-M59)</f>
        <v>0</v>
      </c>
    </row>
    <row r="74" spans="3:16" ht="15.75" x14ac:dyDescent="0.2">
      <c r="C74" s="116" t="s">
        <v>946</v>
      </c>
    </row>
    <row r="75" spans="3:16" ht="15.75" x14ac:dyDescent="0.2">
      <c r="C75" s="116"/>
    </row>
    <row r="76" spans="3:16" ht="15.75" x14ac:dyDescent="0.2">
      <c r="C76" s="116" t="s">
        <v>947</v>
      </c>
      <c r="F76" s="116">
        <v>749506020</v>
      </c>
      <c r="H76" s="203">
        <v>750104477</v>
      </c>
      <c r="I76" s="1470"/>
      <c r="J76" s="203">
        <v>752497974</v>
      </c>
      <c r="K76" s="1470"/>
      <c r="L76" s="203">
        <v>752497974</v>
      </c>
      <c r="M76" s="203">
        <v>752165831</v>
      </c>
    </row>
    <row r="77" spans="3:16" ht="15.75" x14ac:dyDescent="0.2">
      <c r="C77" s="116" t="s">
        <v>948</v>
      </c>
      <c r="F77" s="116">
        <v>926416660</v>
      </c>
      <c r="H77" s="203">
        <v>1023469961</v>
      </c>
      <c r="I77" s="1470"/>
      <c r="J77" s="203">
        <v>1119933487</v>
      </c>
      <c r="K77" s="1470"/>
      <c r="L77" s="203">
        <v>1119933487</v>
      </c>
      <c r="M77" s="203">
        <v>1119933487</v>
      </c>
    </row>
    <row r="78" spans="3:16" ht="18.75" x14ac:dyDescent="0.2">
      <c r="C78" s="471" t="s">
        <v>944</v>
      </c>
      <c r="F78" s="203">
        <f>SUM(F76:F77)</f>
        <v>1675922680</v>
      </c>
      <c r="G78" s="1470"/>
      <c r="H78" s="203">
        <f t="shared" ref="H78:M78" si="14">SUM(H76:H77)</f>
        <v>1773574438</v>
      </c>
      <c r="I78" s="203">
        <f t="shared" si="14"/>
        <v>0</v>
      </c>
      <c r="J78" s="203">
        <f t="shared" si="14"/>
        <v>1872431461</v>
      </c>
      <c r="K78" s="203">
        <f t="shared" si="14"/>
        <v>0</v>
      </c>
      <c r="L78" s="203">
        <f t="shared" si="14"/>
        <v>1872431461</v>
      </c>
      <c r="M78" s="203">
        <f t="shared" si="14"/>
        <v>1872099318</v>
      </c>
    </row>
    <row r="79" spans="3:16" ht="15.75" x14ac:dyDescent="0.2">
      <c r="C79" s="116"/>
      <c r="H79" s="203"/>
      <c r="I79" s="1470"/>
      <c r="J79" s="203"/>
      <c r="K79" s="203"/>
      <c r="L79" s="203"/>
      <c r="M79" s="203"/>
    </row>
    <row r="80" spans="3:16" ht="15.75" x14ac:dyDescent="0.2">
      <c r="C80" s="780" t="s">
        <v>279</v>
      </c>
      <c r="F80" s="482">
        <f>SUM(F78-F44)</f>
        <v>0</v>
      </c>
      <c r="G80" s="1529"/>
      <c r="H80" s="482">
        <f>SUM(H78-H44)</f>
        <v>0</v>
      </c>
      <c r="I80" s="482"/>
      <c r="J80" s="482">
        <f>SUM(J78-J44)</f>
        <v>0</v>
      </c>
      <c r="K80" s="482"/>
      <c r="L80" s="482">
        <f>SUM(L78-L44)</f>
        <v>0</v>
      </c>
      <c r="M80" s="482">
        <f>SUM(M78-M44)</f>
        <v>0</v>
      </c>
    </row>
    <row r="81" spans="3:13" ht="15.75" x14ac:dyDescent="0.2">
      <c r="C81" s="116"/>
      <c r="H81" s="92"/>
      <c r="I81" s="1420"/>
      <c r="J81" s="92"/>
      <c r="K81" s="1420"/>
      <c r="L81" s="92"/>
      <c r="M81" s="92"/>
    </row>
    <row r="82" spans="3:13" ht="15.75" x14ac:dyDescent="0.2">
      <c r="C82" s="116"/>
    </row>
    <row r="83" spans="3:13" ht="15.75" x14ac:dyDescent="0.2">
      <c r="C83" s="116"/>
    </row>
    <row r="84" spans="3:13" ht="15.75" x14ac:dyDescent="0.2">
      <c r="C84" s="116"/>
    </row>
    <row r="85" spans="3:13" ht="15.75" x14ac:dyDescent="0.2">
      <c r="C85" s="116"/>
    </row>
    <row r="86" spans="3:13" ht="15.75" x14ac:dyDescent="0.2">
      <c r="C86" s="116"/>
    </row>
  </sheetData>
  <mergeCells count="24">
    <mergeCell ref="AC5:AC6"/>
    <mergeCell ref="AE5:AE6"/>
    <mergeCell ref="N2:N3"/>
    <mergeCell ref="AA5:AA6"/>
    <mergeCell ref="S3:S4"/>
    <mergeCell ref="U3:U4"/>
    <mergeCell ref="W3:W4"/>
    <mergeCell ref="S5:S6"/>
    <mergeCell ref="U5:U6"/>
    <mergeCell ref="W5:W6"/>
    <mergeCell ref="A5:B5"/>
    <mergeCell ref="A2:B2"/>
    <mergeCell ref="D2:D3"/>
    <mergeCell ref="F2:F3"/>
    <mergeCell ref="A3:B3"/>
    <mergeCell ref="K2:K3"/>
    <mergeCell ref="H2:H3"/>
    <mergeCell ref="G2:G3"/>
    <mergeCell ref="C1:M1"/>
    <mergeCell ref="D4:F4"/>
    <mergeCell ref="M2:M3"/>
    <mergeCell ref="I2:I3"/>
    <mergeCell ref="J2:J3"/>
    <mergeCell ref="L2:L3"/>
  </mergeCells>
  <printOptions horizontalCentered="1"/>
  <pageMargins left="0.35433070866141736" right="0.19685039370078741" top="0.51181102362204722" bottom="0.39370078740157483" header="0.51181102362204722" footer="0.15748031496062992"/>
  <pageSetup paperSize="9" scale="65" firstPageNumber="40" orientation="portrait" useFirstPageNumber="1" r:id="rId1"/>
  <headerFooter>
    <oddFooter>&amp;C-&amp;P -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62"/>
  <sheetViews>
    <sheetView view="pageBreakPreview" topLeftCell="A16" zoomScaleNormal="100" zoomScaleSheetLayoutView="100" zoomScalePageLayoutView="60" workbookViewId="0">
      <selection activeCell="L47" sqref="L47"/>
    </sheetView>
  </sheetViews>
  <sheetFormatPr defaultColWidth="9.33203125" defaultRowHeight="12.75" x14ac:dyDescent="0.2"/>
  <cols>
    <col min="1" max="1" width="7.6640625" style="114" customWidth="1"/>
    <col min="2" max="2" width="9.6640625" style="115" customWidth="1"/>
    <col min="3" max="3" width="61.6640625" style="115" customWidth="1"/>
    <col min="4" max="5" width="9.33203125" style="115" hidden="1" customWidth="1"/>
    <col min="6" max="6" width="16.33203125" style="115" customWidth="1"/>
    <col min="7" max="7" width="0.33203125" style="1390" hidden="1" customWidth="1"/>
    <col min="8" max="8" width="0.33203125" style="115" hidden="1" customWidth="1"/>
    <col min="9" max="9" width="0.33203125" style="1390" hidden="1" customWidth="1"/>
    <col min="10" max="10" width="18.5" style="115" customWidth="1"/>
    <col min="11" max="11" width="15.33203125" style="1390" customWidth="1"/>
    <col min="12" max="12" width="17.33203125" style="115" customWidth="1"/>
    <col min="13" max="13" width="16.6640625" style="115" customWidth="1"/>
    <col min="14" max="14" width="9.83203125" style="115" customWidth="1"/>
    <col min="15" max="15" width="13.33203125" style="115" customWidth="1"/>
    <col min="16" max="16" width="13.6640625" style="115" customWidth="1"/>
    <col min="17" max="17" width="9.33203125" style="115"/>
    <col min="18" max="18" width="15.33203125" style="115" customWidth="1"/>
    <col min="19" max="16384" width="9.33203125" style="115"/>
  </cols>
  <sheetData>
    <row r="1" spans="1:13" s="95" customFormat="1" ht="14.25" customHeight="1" thickBot="1" x14ac:dyDescent="0.25">
      <c r="A1" s="240"/>
      <c r="B1" s="241"/>
      <c r="C1" s="4494" t="s">
        <v>714</v>
      </c>
      <c r="D1" s="4494"/>
      <c r="E1" s="4494"/>
      <c r="F1" s="4494"/>
      <c r="G1" s="4494"/>
      <c r="H1" s="4494"/>
      <c r="I1" s="4494"/>
      <c r="J1" s="4494"/>
      <c r="K1" s="4494"/>
      <c r="L1" s="4494"/>
      <c r="M1" s="4494"/>
    </row>
    <row r="2" spans="1:13" s="120" customFormat="1" ht="51.75" customHeight="1" thickBot="1" x14ac:dyDescent="0.25">
      <c r="A2" s="4516" t="s">
        <v>411</v>
      </c>
      <c r="B2" s="4516"/>
      <c r="C2" s="117" t="s">
        <v>457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120" customFormat="1" ht="34.5" customHeight="1" thickBot="1" x14ac:dyDescent="0.25">
      <c r="A3" s="4506" t="s">
        <v>283</v>
      </c>
      <c r="B3" s="4506"/>
      <c r="C3" s="204" t="s">
        <v>326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123" customFormat="1" ht="13.5" customHeight="1" thickBot="1" x14ac:dyDescent="0.3">
      <c r="A4" s="1300"/>
      <c r="B4" s="1301"/>
      <c r="C4" s="1301"/>
      <c r="D4" s="4518"/>
      <c r="E4" s="4518"/>
      <c r="F4" s="4519"/>
      <c r="G4" s="1511"/>
      <c r="H4" s="1445"/>
      <c r="I4" s="1445"/>
      <c r="J4" s="1445"/>
      <c r="K4" s="1445"/>
      <c r="L4" s="1445"/>
      <c r="M4" s="1508" t="s">
        <v>935</v>
      </c>
    </row>
    <row r="5" spans="1:13" ht="30.7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129" customFormat="1" ht="12.9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129" customFormat="1" ht="15.9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 t="e">
        <f>SUM(D9:D18)</f>
        <v>#REF!</v>
      </c>
      <c r="E8" s="137" t="e">
        <f>SUM(E9:E18)</f>
        <v>#REF!</v>
      </c>
      <c r="F8" s="137">
        <f>SUM(F9:F18)</f>
        <v>204499020</v>
      </c>
      <c r="G8" s="1382">
        <f>SUM(H8-F8)</f>
        <v>95957</v>
      </c>
      <c r="H8" s="137">
        <f>SUM(H9:H18)</f>
        <v>204594977</v>
      </c>
      <c r="I8" s="1374">
        <f>SUM(J8-H8)</f>
        <v>-2988798</v>
      </c>
      <c r="J8" s="137">
        <f>SUM(J9:J18)</f>
        <v>201606179</v>
      </c>
      <c r="K8" s="1374">
        <f>SUM(L8-J8)</f>
        <v>0</v>
      </c>
      <c r="L8" s="137">
        <f>SUM(L9:L18)</f>
        <v>201606179</v>
      </c>
      <c r="M8" s="137">
        <f>SUM(M9:M18)</f>
        <v>201633951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 t="e">
        <f>SUM(#REF!+#REF!+#REF!+#REF!+#REF!+#REF!+'5.1. sz. mell. '!D9+'5.2. sz. mell.  '!D9+'5.3 sz. mell'!D9+'5.4. sz mell'!D9+'5.5. sz. mell.  '!D9+'5.6. sz. mell'!D9+'5.7. sz. mell.'!D9+'5.8. sz. mell.'!D9+#REF!+'5.9. sz. mell.'!D9+'5.10 sz. mell '!D9)</f>
        <v>#REF!</v>
      </c>
      <c r="E9" s="691" t="e">
        <f>SUM(#REF!+#REF!+#REF!+#REF!+#REF!+#REF!+'5.1. sz. mell. '!E9+'5.2. sz. mell.  '!E9+'5.3 sz. mell'!E9+'5.4. sz mell'!E9+'5.5. sz. mell.  '!E9+'5.6. sz. mell'!E9+'5.7. sz. mell.'!E9+'5.8. sz. mell.'!E9+#REF!+'5.9. sz. mell.'!E9+'5.10 sz. mell '!E9)</f>
        <v>#REF!</v>
      </c>
      <c r="F9" s="150">
        <f>SUM('5.1.a. sz. mell.'!F9+'5.2.a. sz. mell.'!F9+'5.3.a. sz. mell'!F9+'5.4.a. sz mell'!F9+'5.5.a. sz. mell.'!F9+'5.6.a. sz. mell'!F9+'5.7.a. sz. mell.'!F9+'5.8.a. sz. mell.'!F9+'5.9.a. sz. mell'!F9+'5.10.a.sz. mell'!F9)</f>
        <v>0</v>
      </c>
      <c r="G9" s="1533"/>
      <c r="H9" s="310">
        <f>SUM('5.1.a. sz. mell.'!H9+'5.2.a. sz. mell.'!H9+'5.3.a. sz. mell'!H9+'5.4.a. sz mell'!H9+'5.5.a. sz. mell.'!H9+'5.6.a. sz. mell'!H9+'5.7.a. sz. mell.'!H9+'5.8.a. sz. mell.'!H9+'5.9.a. sz. mell'!H9+'5.10.a.sz. mell'!H9)</f>
        <v>0</v>
      </c>
      <c r="I9" s="1533"/>
      <c r="J9" s="310">
        <f>SUM('5.1.a. sz. mell.'!J9+'5.2.a. sz. mell.'!J9+'5.3.a. sz. mell'!J9+'5.4.a. sz mell'!J9+'5.5.a. sz. mell.'!J9+'5.6.a. sz. mell'!J9+'5.7.a. sz. mell.'!J9+'5.8.a. sz. mell.'!J9+'5.9.a. sz. mell'!J9+'5.10.a.sz. mell'!J9)</f>
        <v>0</v>
      </c>
      <c r="K9" s="1415">
        <f>SUM(L9-J9)</f>
        <v>0</v>
      </c>
      <c r="L9" s="310">
        <f>SUM('5.1.a. sz. mell.'!L9+'5.2.a. sz. mell.'!L9+'5.3.a. sz. mell'!L9+'5.4.a. sz mell'!L9+'5.5.a. sz. mell.'!L9+'5.6.a. sz. mell'!L9+'5.7.a. sz. mell.'!L9+'5.8.a. sz. mell.'!L9+'5.9.a. sz. mell'!L9+'5.10.a.sz. mell'!L9)</f>
        <v>0</v>
      </c>
      <c r="M9" s="150">
        <f>SUM('5.1.a. sz. mell.'!M9+'5.2.a. sz. mell.'!M9+'5.3.a. sz. mell'!M9+'5.4.a. sz mell'!M9+'5.5.a. sz. mell.'!M9+'5.6.a. sz. mell'!M9+'5.7.a. sz. mell.'!M9+'5.8.a. sz. mell.'!M9+'5.9.a. sz. mell'!M9+'5.10.a.sz. mell'!M9)</f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 t="e">
        <f>SUM(#REF!+#REF!+#REF!+#REF!+#REF!+#REF!+'5.1. sz. mell. '!D10+'5.2. sz. mell.  '!D10+'5.3 sz. mell'!D10+'5.4. sz mell'!D10+'5.5. sz. mell.  '!D10+'5.6. sz. mell'!D10+'5.7. sz. mell.'!D10+'5.8. sz. mell.'!D10+#REF!+'5.9. sz. mell.'!D10+'5.10 sz. mell '!D10)</f>
        <v>#REF!</v>
      </c>
      <c r="E10" s="670" t="e">
        <f>SUM(#REF!+#REF!+#REF!+#REF!+#REF!+#REF!+'5.1. sz. mell. '!E10+'5.2. sz. mell.  '!E10+'5.3 sz. mell'!E10+'5.4. sz mell'!E10+'5.5. sz. mell.  '!E10+'5.6. sz. mell'!E10+'5.7. sz. mell.'!E10+'5.8. sz. mell.'!E10+#REF!+'5.9. sz. mell.'!E10+'5.10 sz. mell '!E10)</f>
        <v>#REF!</v>
      </c>
      <c r="F10" s="144">
        <f>SUM('5.1.a. sz. mell.'!F10+'5.2.a. sz. mell.'!F10+'5.3.a. sz. mell'!F10+'5.4.a. sz mell'!F10+'5.5.a. sz. mell.'!F10+'5.6.a. sz. mell'!F10+'5.7.a. sz. mell.'!F10+'5.8.a. sz. mell.'!F10+'5.9.a. sz. mell'!F10+'5.10.a.sz. mell'!F10)</f>
        <v>97476681</v>
      </c>
      <c r="G10" s="1415">
        <f>SUM(H10-F10)</f>
        <v>658894</v>
      </c>
      <c r="H10" s="483">
        <f>SUM('5.1.a. sz. mell.'!H10+'5.2.a. sz. mell.'!H10+'5.3.a. sz. mell'!H10+'5.4.a. sz mell'!H10+'5.5.a. sz. mell.'!H10+'5.6.a. sz. mell'!H10+'5.7.a. sz. mell.'!H10+'5.8.a. sz. mell.'!H10+'5.9.a. sz. mell'!H10+'5.10.a.sz. mell'!H10)</f>
        <v>98135575</v>
      </c>
      <c r="I10" s="1415">
        <f>SUM(J10-H10)</f>
        <v>-5287848</v>
      </c>
      <c r="J10" s="483">
        <f>SUM('5.1.a. sz. mell.'!J10+'5.2.a. sz. mell.'!J10+'5.3.a. sz. mell'!J10+'5.4.a. sz mell'!J10+'5.5.a. sz. mell.'!J10+'5.6.a. sz. mell'!J10+'5.7.a. sz. mell.'!J10+'5.8.a. sz. mell.'!J10+'5.9.a. sz. mell'!J10+'5.10.a.sz. mell'!J10)</f>
        <v>92847727</v>
      </c>
      <c r="K10" s="1415">
        <f>SUM(L10-J10)</f>
        <v>0</v>
      </c>
      <c r="L10" s="483">
        <f>SUM('5.1.a. sz. mell.'!L10+'5.2.a. sz. mell.'!L10+'5.3.a. sz. mell'!L10+'5.4.a. sz mell'!L10+'5.5.a. sz. mell.'!L10+'5.6.a. sz. mell'!L10+'5.7.a. sz. mell.'!L10+'5.8.a. sz. mell.'!L10+'5.9.a. sz. mell'!L10+'5.10.a.sz. mell'!L10)</f>
        <v>92847727</v>
      </c>
      <c r="M10" s="144">
        <f>SUM('5.1.a. sz. mell.'!M10+'5.2.a. sz. mell.'!M10+'5.3.a. sz. mell'!M10+'5.4.a. sz mell'!M10+'5.5.a. sz. mell.'!M10+'5.6.a. sz. mell'!M10+'5.7.a. sz. mell.'!M10+'5.8.a. sz. mell.'!M10+'5.9.a. sz. mell'!M10+'5.10.a.sz. mell'!M10)</f>
        <v>92875499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 t="e">
        <f>SUM(#REF!+#REF!+#REF!+#REF!+#REF!+#REF!+'5.1. sz. mell. '!D11+'5.2. sz. mell.  '!D11+'5.3 sz. mell'!D11+'5.4. sz mell'!D11+'5.5. sz. mell.  '!D11+'5.6. sz. mell'!D11+'5.7. sz. mell.'!D11+'5.8. sz. mell.'!D11+#REF!+'5.9. sz. mell.'!D11+'5.10 sz. mell '!D11)</f>
        <v>#REF!</v>
      </c>
      <c r="E11" s="670" t="e">
        <f>SUM(#REF!+#REF!+#REF!+#REF!+#REF!+#REF!+'5.1. sz. mell. '!E11+'5.2. sz. mell.  '!E11+'5.3 sz. mell'!E11+'5.4. sz mell'!E11+'5.5. sz. mell.  '!E11+'5.6. sz. mell'!E11+'5.7. sz. mell.'!E11+'5.8. sz. mell.'!E11+#REF!+'5.9. sz. mell.'!E11+'5.10 sz. mell '!E11)</f>
        <v>#REF!</v>
      </c>
      <c r="F11" s="144">
        <f>SUM('5.1.a. sz. mell.'!F11+'5.2.a. sz. mell.'!F11+'5.3.a. sz. mell'!F11+'5.4.a. sz mell'!F11+'5.5.a. sz. mell.'!F11+'5.6.a. sz. mell'!F11+'5.7.a. sz. mell.'!F11+'5.8.a. sz. mell.'!F11+'5.9.a. sz. mell'!F11+'5.10.a.sz. mell'!F11)</f>
        <v>6528000</v>
      </c>
      <c r="G11" s="1415">
        <f t="shared" ref="G11:K26" si="0">SUM(H11-F11)</f>
        <v>-228000</v>
      </c>
      <c r="H11" s="483">
        <f>SUM('5.1.a. sz. mell.'!H11+'5.2.a. sz. mell.'!H11+'5.3.a. sz. mell'!H11+'5.4.a. sz mell'!H11+'5.5.a. sz. mell.'!H11+'5.6.a. sz. mell'!H11+'5.7.a. sz. mell.'!H11+'5.8.a. sz. mell.'!H11+'5.9.a. sz. mell'!H11+'5.10.a.sz. mell'!H11)</f>
        <v>6300000</v>
      </c>
      <c r="I11" s="1415">
        <f t="shared" si="0"/>
        <v>771974</v>
      </c>
      <c r="J11" s="483">
        <f>SUM('5.1.a. sz. mell.'!J11+'5.2.a. sz. mell.'!J11+'5.3.a. sz. mell'!J11+'5.4.a. sz mell'!J11+'5.5.a. sz. mell.'!J11+'5.6.a. sz. mell'!J11+'5.7.a. sz. mell.'!J11+'5.8.a. sz. mell.'!J11+'5.9.a. sz. mell'!J11+'5.10.a.sz. mell'!J11)</f>
        <v>7071974</v>
      </c>
      <c r="K11" s="1415">
        <f t="shared" si="0"/>
        <v>0</v>
      </c>
      <c r="L11" s="483">
        <f>SUM('5.1.a. sz. mell.'!L11+'5.2.a. sz. mell.'!L11+'5.3.a. sz. mell'!L11+'5.4.a. sz mell'!L11+'5.5.a. sz. mell.'!L11+'5.6.a. sz. mell'!L11+'5.7.a. sz. mell.'!L11+'5.8.a. sz. mell.'!L11+'5.9.a. sz. mell'!L11+'5.10.a.sz. mell'!L11)</f>
        <v>7071974</v>
      </c>
      <c r="M11" s="144">
        <f>SUM('5.1.a. sz. mell.'!M11+'5.2.a. sz. mell.'!M11+'5.3.a. sz. mell'!M11+'5.4.a. sz mell'!M11+'5.5.a. sz. mell.'!M11+'5.6.a. sz. mell'!M11+'5.7.a. sz. mell.'!M11+'5.8.a. sz. mell.'!M11+'5.9.a. sz. mell'!M11+'5.10.a.sz. mell'!M11)</f>
        <v>7071974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 t="e">
        <f>SUM(#REF!+#REF!+#REF!+#REF!+#REF!+#REF!+'5.1. sz. mell. '!D12+'5.2. sz. mell.  '!D12+'5.3 sz. mell'!D12+'5.4. sz mell'!D12+'5.5. sz. mell.  '!D12+'5.6. sz. mell'!D12+'5.7. sz. mell.'!D12+'5.8. sz. mell.'!D12+#REF!+'5.9. sz. mell.'!D12+'5.10 sz. mell '!D12)</f>
        <v>#REF!</v>
      </c>
      <c r="E12" s="670" t="e">
        <f>SUM(#REF!+#REF!+#REF!+#REF!+#REF!+#REF!+'5.1. sz. mell. '!E12+'5.2. sz. mell.  '!E12+'5.3 sz. mell'!E12+'5.4. sz mell'!E12+'5.5. sz. mell.  '!E12+'5.6. sz. mell'!E12+'5.7. sz. mell.'!E12+'5.8. sz. mell.'!E12+#REF!+'5.9. sz. mell.'!E12+'5.10 sz. mell '!E12)</f>
        <v>#REF!</v>
      </c>
      <c r="F12" s="144">
        <f>SUM('5.1.a. sz. mell.'!F12+'5.2.a. sz. mell.'!F12+'5.3.a. sz. mell'!F12+'5.4.a. sz mell'!F12+'5.5.a. sz. mell.'!F12+'5.6.a. sz. mell'!F12+'5.7.a. sz. mell.'!F12+'5.8.a. sz. mell.'!F12+'5.10.a.sz. mell'!F12)+'5.9.a. sz. mell'!F12</f>
        <v>53277004</v>
      </c>
      <c r="G12" s="1415">
        <f t="shared" si="0"/>
        <v>-1186800</v>
      </c>
      <c r="H12" s="483">
        <f>SUM('5.1.a. sz. mell.'!H12+'5.2.a. sz. mell.'!H12+'5.3.a. sz. mell'!H12+'5.4.a. sz mell'!H12+'5.5.a. sz. mell.'!H12+'5.6.a. sz. mell'!H12+'5.7.a. sz. mell.'!H12+'5.8.a. sz. mell.'!H12+'5.9.a. sz. mell'!H12+'5.10.a.sz. mell'!H12)</f>
        <v>52090204</v>
      </c>
      <c r="I12" s="1415">
        <f t="shared" si="0"/>
        <v>389037</v>
      </c>
      <c r="J12" s="483">
        <f>SUM('5.1.a. sz. mell.'!J12+'5.2.a. sz. mell.'!J12+'5.3.a. sz. mell'!J12+'5.4.a. sz mell'!J12+'5.5.a. sz. mell.'!J12+'5.6.a. sz. mell'!J12+'5.7.a. sz. mell.'!J12+'5.8.a. sz. mell.'!J12+'5.9.a. sz. mell'!J12+'5.10.a.sz. mell'!J12)</f>
        <v>52479241</v>
      </c>
      <c r="K12" s="1415">
        <f t="shared" si="0"/>
        <v>0</v>
      </c>
      <c r="L12" s="483">
        <f>SUM('5.1.a. sz. mell.'!L12+'5.2.a. sz. mell.'!L12+'5.3.a. sz. mell'!L12+'5.4.a. sz mell'!L12+'5.5.a. sz. mell.'!L12+'5.6.a. sz. mell'!L12+'5.7.a. sz. mell.'!L12+'5.8.a. sz. mell.'!L12+'5.9.a. sz. mell'!L12+'5.10.a.sz. mell'!L12)</f>
        <v>52479241</v>
      </c>
      <c r="M12" s="144">
        <f>SUM('5.1.a. sz. mell.'!M12+'5.2.a. sz. mell.'!M12+'5.3.a. sz. mell'!M12+'5.4.a. sz mell'!M12+'5.5.a. sz. mell.'!M12+'5.6.a. sz. mell'!M12+'5.7.a. sz. mell.'!M12+'5.8.a. sz. mell.'!M12+'5.9.a. sz. mell'!M12+'5.10.a.sz. mell'!M12)</f>
        <v>52479241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 t="e">
        <f>SUM(#REF!+#REF!+#REF!+#REF!+#REF!+#REF!+'5.1. sz. mell. '!D13+'5.2. sz. mell.  '!D13+'5.3 sz. mell'!D13+'5.4. sz mell'!D13+'5.5. sz. mell.  '!D13+'5.6. sz. mell'!D13+'5.7. sz. mell.'!D13+'5.8. sz. mell.'!D13+#REF!+'5.9. sz. mell.'!D13+'5.10 sz. mell '!D13)</f>
        <v>#REF!</v>
      </c>
      <c r="E13" s="670" t="e">
        <f>SUM(#REF!+#REF!+#REF!+#REF!+#REF!+#REF!+'5.1. sz. mell. '!E13+'5.2. sz. mell.  '!E13+'5.3 sz. mell'!E13+'5.4. sz mell'!E13+'5.5. sz. mell.  '!E13+'5.6. sz. mell'!E13+'5.7. sz. mell.'!E13+'5.8. sz. mell.'!E13+#REF!+'5.9. sz. mell.'!E13+'5.10 sz. mell '!E13)</f>
        <v>#REF!</v>
      </c>
      <c r="F13" s="144">
        <f>SUM('5.1.a. sz. mell.'!F13+'5.2.a. sz. mell.'!F13+'5.3.a. sz. mell'!F13+'5.4.a. sz mell'!F13+'5.5.a. sz. mell.'!F13+'5.6.a. sz. mell'!F13+'5.7.a. sz. mell.'!F13+'5.8.a. sz. mell.'!F13+'5.9.a. sz. mell'!F13+'5.10.a.sz. mell'!F13)</f>
        <v>5732000</v>
      </c>
      <c r="G13" s="1415">
        <f t="shared" si="0"/>
        <v>0</v>
      </c>
      <c r="H13" s="483">
        <f>SUM('5.1.a. sz. mell.'!H13+'5.2.a. sz. mell.'!H13+'5.3.a. sz. mell'!H13+'5.4.a. sz mell'!H13+'5.5.a. sz. mell.'!H13+'5.6.a. sz. mell'!H13+'5.7.a. sz. mell.'!H13+'5.8.a. sz. mell.'!H13+'5.9.a. sz. mell'!H13+'5.10.a.sz. mell'!H13)</f>
        <v>5732000</v>
      </c>
      <c r="I13" s="1415">
        <f t="shared" si="0"/>
        <v>829716</v>
      </c>
      <c r="J13" s="483">
        <f>SUM('5.1.a. sz. mell.'!J13+'5.2.a. sz. mell.'!J13+'5.3.a. sz. mell'!J13+'5.4.a. sz mell'!J13+'5.5.a. sz. mell.'!J13+'5.6.a. sz. mell'!J13+'5.7.a. sz. mell.'!J13+'5.8.a. sz. mell.'!J13+'5.9.a. sz. mell'!J13+'5.10.a.sz. mell'!J13)</f>
        <v>6561716</v>
      </c>
      <c r="K13" s="1415">
        <f t="shared" si="0"/>
        <v>0</v>
      </c>
      <c r="L13" s="483">
        <f>SUM('5.1.a. sz. mell.'!L13+'5.2.a. sz. mell.'!L13+'5.3.a. sz. mell'!L13+'5.4.a. sz mell'!L13+'5.5.a. sz. mell.'!L13+'5.6.a. sz. mell'!L13+'5.7.a. sz. mell.'!L13+'5.8.a. sz. mell.'!L13+'5.9.a. sz. mell'!L13+'5.10.a.sz. mell'!L13)</f>
        <v>6561716</v>
      </c>
      <c r="M13" s="144">
        <f>SUM('5.1.a. sz. mell.'!M13+'5.2.a. sz. mell.'!M13+'5.3.a. sz. mell'!M13+'5.4.a. sz mell'!M13+'5.5.a. sz. mell.'!M13+'5.6.a. sz. mell'!M13+'5.7.a. sz. mell.'!M13+'5.8.a. sz. mell.'!M13+'5.9.a. sz. mell'!M13+'5.10.a.sz. mell'!M13)</f>
        <v>6561716</v>
      </c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4" t="e">
        <f>SUM(#REF!+#REF!+#REF!+#REF!+#REF!+#REF!+'5.1. sz. mell. '!D14+'5.2. sz. mell.  '!D14+'5.3 sz. mell'!D14+'5.4. sz mell'!D14+'5.5. sz. mell.  '!D14+'5.6. sz. mell'!D14+'5.7. sz. mell.'!D14+'5.8. sz. mell.'!D14+#REF!+'5.9. sz. mell.'!D14+'5.10 sz. mell '!D14)</f>
        <v>#REF!</v>
      </c>
      <c r="E14" s="670" t="e">
        <f>SUM(#REF!+#REF!+#REF!+#REF!+#REF!+#REF!+'5.1. sz. mell. '!E14+'5.2. sz. mell.  '!E14+'5.3 sz. mell'!E14+'5.4. sz mell'!E14+'5.5. sz. mell.  '!E14+'5.6. sz. mell'!E14+'5.7. sz. mell.'!E14+'5.8. sz. mell.'!E14+#REF!+'5.9. sz. mell.'!E14+'5.10 sz. mell '!E14)</f>
        <v>#REF!</v>
      </c>
      <c r="F14" s="144">
        <f>SUM('5.1.a. sz. mell.'!F14+'5.2.a. sz. mell.'!F14+'5.3.a. sz. mell'!F14+'5.4.a. sz mell'!F14+'5.5.a. sz. mell.'!F14+'5.6.a. sz. mell'!F14+'5.7.a. sz. mell.'!F14+'5.8.a. sz. mell.'!F14+'5.9.a. sz. mell'!F14+'5.10.a.sz. mell'!F14)</f>
        <v>40296335</v>
      </c>
      <c r="G14" s="1415">
        <f t="shared" si="0"/>
        <v>-204094</v>
      </c>
      <c r="H14" s="483">
        <f>SUM('5.1.a. sz. mell.'!H14+'5.2.a. sz. mell.'!H14+'5.3.a. sz. mell'!H14+'5.4.a. sz mell'!H14+'5.5.a. sz. mell.'!H14+'5.6.a. sz. mell'!H14+'5.7.a. sz. mell.'!H14+'5.8.a. sz. mell.'!H14+'5.9.a. sz. mell'!H14+'5.10.a.sz. mell'!H14)</f>
        <v>40092241</v>
      </c>
      <c r="I14" s="1415">
        <f t="shared" si="0"/>
        <v>-1632054</v>
      </c>
      <c r="J14" s="483">
        <f>SUM('5.1.a. sz. mell.'!J14+'5.2.a. sz. mell.'!J14+'5.3.a. sz. mell'!J14+'5.4.a. sz mell'!J14+'5.5.a. sz. mell.'!J14+'5.6.a. sz. mell'!J14+'5.7.a. sz. mell.'!J14+'5.8.a. sz. mell.'!J14+'5.9.a. sz. mell'!J14+'5.10.a.sz. mell'!J14)</f>
        <v>38460187</v>
      </c>
      <c r="K14" s="1415">
        <f t="shared" si="0"/>
        <v>0</v>
      </c>
      <c r="L14" s="483">
        <f>SUM('5.1.a. sz. mell.'!L14+'5.2.a. sz. mell.'!L14+'5.3.a. sz. mell'!L14+'5.4.a. sz mell'!L14+'5.5.a. sz. mell.'!L14+'5.6.a. sz. mell'!L14+'5.7.a. sz. mell.'!L14+'5.8.a. sz. mell.'!L14+'5.9.a. sz. mell'!L14+'5.10.a.sz. mell'!L14)</f>
        <v>38460187</v>
      </c>
      <c r="M14" s="144">
        <f>SUM('5.1.a. sz. mell.'!M14+'5.2.a. sz. mell.'!M14+'5.3.a. sz. mell'!M14+'5.4.a. sz mell'!M14+'5.5.a. sz. mell.'!M14+'5.6.a. sz. mell'!M14+'5.7.a. sz. mell.'!M14+'5.8.a. sz. mell.'!M14+'5.9.a. sz. mell'!M14+'5.10.a.sz. mell'!M14)</f>
        <v>38460187</v>
      </c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 t="e">
        <f>SUM(#REF!+#REF!+#REF!+#REF!+#REF!+#REF!+'5.1. sz. mell. '!D15+'5.2. sz. mell.  '!D16+'5.3 sz. mell'!D16+'5.4. sz mell'!D16+'5.5. sz. mell.  '!D16+'5.6. sz. mell'!D16+'5.7. sz. mell.'!D16+'5.8. sz. mell.'!D15+#REF!+'5.9. sz. mell.'!D15+'5.10 sz. mell '!D15)</f>
        <v>#REF!</v>
      </c>
      <c r="E15" s="670" t="e">
        <f>SUM(#REF!+#REF!+#REF!+#REF!+#REF!+#REF!+'5.1. sz. mell. '!E15+'5.2. sz. mell.  '!E16+'5.3 sz. mell'!E16+'5.4. sz mell'!E16+'5.5. sz. mell.  '!E16+'5.6. sz. mell'!E16+'5.7. sz. mell.'!E16+'5.8. sz. mell.'!E15+#REF!+'5.9. sz. mell.'!E15+'5.10 sz. mell '!E15)</f>
        <v>#REF!</v>
      </c>
      <c r="F15" s="144">
        <f>SUM('5.1.a. sz. mell.'!F16+'5.2.a. sz. mell.'!F16+'5.3.a. sz. mell'!F16+'5.4.a. sz mell'!F16+'5.5.a. sz. mell.'!F16+'5.6.a. sz. mell'!F16+'5.7.a. sz. mell.'!F16+'5.8.a. sz. mell.'!F15+'5.9.a. sz. mell'!F15+'5.10.a.sz. mell'!F15)</f>
        <v>0</v>
      </c>
      <c r="G15" s="1415">
        <f t="shared" si="0"/>
        <v>1030768</v>
      </c>
      <c r="H15" s="483">
        <f>SUM('5.1.a. sz. mell.'!H15+'5.2.a. sz. mell.'!H15+'5.3.a. sz. mell'!H15+'5.4.a. sz mell'!H15+'5.5.a. sz. mell.'!H15+'5.6.a. sz. mell'!H15+'5.7.a. sz. mell.'!H15+'5.8.a. sz. mell.'!H15+'5.9.a. sz. mell'!H15+'5.10.a.sz. mell'!H15)</f>
        <v>1030768</v>
      </c>
      <c r="I15" s="1415">
        <f t="shared" si="0"/>
        <v>2736658</v>
      </c>
      <c r="J15" s="483">
        <f>SUM('5.1.a. sz. mell.'!J15+'5.2.a. sz. mell.'!J15+'5.3.a. sz. mell'!J15+'5.4.a. sz mell'!J15+'5.5.a. sz. mell.'!J15+'5.6.a. sz. mell'!J15+'5.7.a. sz. mell.'!J15+'5.8.a. sz. mell.'!J15+'5.9.a. sz. mell'!J15+'5.10.a.sz. mell'!J15)</f>
        <v>3767426</v>
      </c>
      <c r="K15" s="1415">
        <f t="shared" si="0"/>
        <v>0</v>
      </c>
      <c r="L15" s="483">
        <f>SUM('5.1.a. sz. mell.'!L15+'5.2.a. sz. mell.'!L15+'5.3.a. sz. mell'!L15+'5.4.a. sz mell'!L15+'5.5.a. sz. mell.'!L15+'5.6.a. sz. mell'!L15+'5.7.a. sz. mell.'!L15+'5.8.a. sz. mell.'!L15+'5.9.a. sz. mell'!L15+'5.10.a.sz. mell'!L15)</f>
        <v>3767426</v>
      </c>
      <c r="M15" s="144">
        <f>SUM('5.1.a. sz. mell.'!M15+'5.2.a. sz. mell.'!M15+'5.3.a. sz. mell'!M15+'5.4.a. sz mell'!M15+'5.5.a. sz. mell.'!M15+'5.6.a. sz. mell'!M15+'5.7.a. sz. mell.'!M15+'5.8.a. sz. mell.'!M15+'5.9.a. sz. mell'!M15+'5.10.a.sz. mell'!M15)</f>
        <v>3767426</v>
      </c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666"/>
      <c r="F16" s="144"/>
      <c r="G16" s="1415">
        <f t="shared" si="0"/>
        <v>0</v>
      </c>
      <c r="H16" s="483">
        <f>SUM('5.1.a. sz. mell.'!H16+'5.2.a. sz. mell.'!H16+'5.3.a. sz. mell'!H16+'5.4.a. sz mell'!H16+'5.5.a. sz. mell.'!H16+'5.6.a. sz. mell'!H16+'5.7.a. sz. mell.'!H16+'5.8.a. sz. mell.'!H16+'5.9.a. sz. mell'!H16+'5.10.a.sz. mell'!H16)</f>
        <v>0</v>
      </c>
      <c r="I16" s="1415">
        <f t="shared" si="0"/>
        <v>8</v>
      </c>
      <c r="J16" s="483">
        <f>SUM('5.1.a. sz. mell.'!J16+'5.2.a. sz. mell.'!J16+'5.3.a. sz. mell'!J16+'5.4.a. sz mell'!J16+'5.5.a. sz. mell.'!J16+'5.6.a. sz. mell'!J16+'5.7.a. sz. mell.'!J16+'5.8.a. sz. mell.'!J16+'5.9.a. sz. mell'!J16+'5.10.a.sz. mell'!J16)</f>
        <v>8</v>
      </c>
      <c r="K16" s="1415">
        <f t="shared" si="0"/>
        <v>0</v>
      </c>
      <c r="L16" s="483">
        <f>SUM('5.1.a. sz. mell.'!L16+'5.2.a. sz. mell.'!L16+'5.3.a. sz. mell'!L16+'5.4.a. sz mell'!L16+'5.5.a. sz. mell.'!L16+'5.6.a. sz. mell'!L16+'5.7.a. sz. mell.'!L16+'5.8.a. sz. mell.'!L16+'5.9.a. sz. mell'!L16+'5.10.a.sz. mell'!L16)</f>
        <v>8</v>
      </c>
      <c r="M16" s="144">
        <f>SUM('5.1.a. sz. mell.'!M16+'5.2.a. sz. mell.'!M16+'5.3.a. sz. mell'!M16+'5.4.a. sz mell'!M16+'5.5.a. sz. mell.'!M16+'5.6.a. sz. mell'!M16+'5.7.a. sz. mell.'!M16+'5.8.a. sz. mell.'!M16+'5.9.a. sz. mell'!M16+'5.10.a.sz. mell'!M16)</f>
        <v>8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666"/>
      <c r="F17" s="153"/>
      <c r="G17" s="1415">
        <f t="shared" si="0"/>
        <v>0</v>
      </c>
      <c r="H17" s="483">
        <f>SUM('5.1.a. sz. mell.'!H17+'5.2.a. sz. mell.'!H17+'5.3.a. sz. mell'!H17+'5.4.a. sz mell'!H17+'5.5.a. sz. mell.'!H17+'5.6.a. sz. mell'!H17+'5.7.a. sz. mell.'!H17+'5.8.a. sz. mell.'!H17+'5.9.a. sz. mell'!H17+'5.10.a.sz. mell'!H17)</f>
        <v>0</v>
      </c>
      <c r="I17" s="1415">
        <f t="shared" si="0"/>
        <v>0</v>
      </c>
      <c r="J17" s="483">
        <f>SUM('5.1.a. sz. mell.'!J17+'5.2.a. sz. mell.'!J17+'5.3.a. sz. mell'!J17+'5.4.a. sz mell'!J17+'5.5.a. sz. mell.'!J17+'5.6.a. sz. mell'!J17+'5.7.a. sz. mell.'!J17+'5.8.a. sz. mell.'!J17+'5.9.a. sz. mell'!J17+'5.10.a.sz. mell'!J17)</f>
        <v>0</v>
      </c>
      <c r="K17" s="1415">
        <f t="shared" si="0"/>
        <v>0</v>
      </c>
      <c r="L17" s="483">
        <f>SUM('5.1.a. sz. mell.'!L17+'5.2.a. sz. mell.'!L17+'5.3.a. sz. mell'!L17+'5.4.a. sz mell'!L17+'5.5.a. sz. mell.'!L17+'5.6.a. sz. mell'!L17+'5.7.a. sz. mell.'!L17+'5.8.a. sz. mell.'!L17+'5.9.a. sz. mell'!L17+'5.10.a.sz. mell'!L17)</f>
        <v>0</v>
      </c>
      <c r="M17" s="144">
        <f>SUM('5.1.a. sz. mell.'!M17+'5.2.a. sz. mell.'!M17+'5.3.a. sz. mell'!M17+'5.4.a. sz mell'!M17+'5.5.a. sz. mell.'!M17+'5.6.a. sz. mell'!M17+'5.7.a. sz. mell.'!M17+'5.8.a. sz. mell.'!M17+'5.9.a. sz. mell'!M17+'5.10.a.sz. mell'!M17)</f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294" t="e">
        <f>SUM(#REF!+#REF!+#REF!+#REF!+#REF!+#REF!+'5.1. sz. mell. '!D16+'5.2. sz. mell.  '!D18+'5.3 sz. mell'!D18+'5.4. sz mell'!D18+'5.5. sz. mell.  '!D18+'5.6. sz. mell'!D18+'5.7. sz. mell.'!D18+'5.8. sz. mell.'!D18+#REF!+'5.9. sz. mell.'!D18+'5.10 sz. mell '!D18)</f>
        <v>#REF!</v>
      </c>
      <c r="E18" s="692" t="e">
        <f>SUM(#REF!+#REF!+#REF!+#REF!+#REF!+#REF!+'5.1. sz. mell. '!E16+'5.2. sz. mell.  '!E18+'5.3 sz. mell'!E18+'5.4. sz mell'!E18+'5.5. sz. mell.  '!E18+'5.6. sz. mell'!E18+'5.7. sz. mell.'!E18+'5.8. sz. mell.'!E18+#REF!+'5.9. sz. mell.'!E18+'5.10 sz. mell '!E18)</f>
        <v>#REF!</v>
      </c>
      <c r="F18" s="294">
        <f>SUM('5.1.a. sz. mell.'!F18+'5.2.a. sz. mell.'!F18+'5.3.a. sz. mell'!F18+'5.4.a. sz mell'!F18+'5.5.a. sz. mell.'!F18+'5.6.a. sz. mell'!F18+'5.7.a. sz. mell.'!F18+'5.8.a. sz. mell.'!F18+'5.9.a. sz. mell'!F18+'5.10.a.sz. mell'!F18)</f>
        <v>1189000</v>
      </c>
      <c r="G18" s="1415">
        <f t="shared" si="0"/>
        <v>25189</v>
      </c>
      <c r="H18" s="829">
        <f>SUM('5.1.a. sz. mell.'!H18+'5.2.a. sz. mell.'!H18+'5.3.a. sz. mell'!H18+'5.4.a. sz mell'!H18+'5.5.a. sz. mell.'!H18+'5.6.a. sz. mell'!H18+'5.7.a. sz. mell.'!H18+'5.8.a. sz. mell.'!H18+'5.9.a. sz. mell'!H18+'5.10.a.sz. mell'!H18)</f>
        <v>1214189</v>
      </c>
      <c r="I18" s="1415">
        <f t="shared" si="0"/>
        <v>-796289</v>
      </c>
      <c r="J18" s="483">
        <f>SUM('5.1.a. sz. mell.'!J18+'5.2.a. sz. mell.'!J18+'5.3.a. sz. mell'!J18+'5.4.a. sz mell'!J18+'5.5.a. sz. mell.'!J18+'5.6.a. sz. mell'!J18+'5.7.a. sz. mell.'!J18+'5.8.a. sz. mell.'!J18+'5.9.a. sz. mell'!J18+'5.10.a.sz. mell'!J18)</f>
        <v>417900</v>
      </c>
      <c r="K18" s="1415">
        <f t="shared" si="0"/>
        <v>0</v>
      </c>
      <c r="L18" s="829">
        <f>SUM('5.1.a. sz. mell.'!L18+'5.2.a. sz. mell.'!L18+'5.3.a. sz. mell'!L18+'5.4.a. sz mell'!L18+'5.5.a. sz. mell.'!L18+'5.6.a. sz. mell'!L18+'5.7.a. sz. mell.'!L18+'5.8.a. sz. mell.'!L18+'5.9.a. sz. mell'!L18+'5.10.a.sz. mell'!L18)</f>
        <v>417900</v>
      </c>
      <c r="M18" s="294">
        <f>SUM('5.1.a. sz. mell.'!M18+'5.2.a. sz. mell.'!M18+'5.3.a. sz. mell'!M18+'5.4.a. sz mell'!M18+'5.5.a. sz. mell.'!M18+'5.6.a. sz. mell'!M18+'5.7.a. sz. mell.'!M18+'5.8.a. sz. mell.'!M18+'5.9.a. sz. mell'!M18+'5.10.a.sz. mell'!M18)</f>
        <v>417900</v>
      </c>
    </row>
    <row r="19" spans="1:13" s="141" customFormat="1" ht="30" customHeight="1" thickBot="1" x14ac:dyDescent="0.25">
      <c r="A19" s="134" t="s">
        <v>17</v>
      </c>
      <c r="B19" s="148"/>
      <c r="C19" s="247" t="s">
        <v>419</v>
      </c>
      <c r="D19" s="137" t="e">
        <f>SUM(D20:D25)-D23</f>
        <v>#REF!</v>
      </c>
      <c r="E19" s="137" t="e">
        <v>#VALUE!</v>
      </c>
      <c r="F19" s="137">
        <f>SUM(F20+F24+F25)</f>
        <v>70681000</v>
      </c>
      <c r="G19" s="1382">
        <f>SUM(H19-F19)</f>
        <v>0</v>
      </c>
      <c r="H19" s="137">
        <f>SUM(H20+H24+H25)</f>
        <v>70681000</v>
      </c>
      <c r="I19" s="1374">
        <f>SUM(J19-H19)</f>
        <v>-139477</v>
      </c>
      <c r="J19" s="137">
        <f>SUM(J20+J24+J25)</f>
        <v>70541523</v>
      </c>
      <c r="K19" s="1374">
        <f>SUM(L19-J19)</f>
        <v>0</v>
      </c>
      <c r="L19" s="137">
        <f>SUM(L20+L24+L25)</f>
        <v>70541523</v>
      </c>
      <c r="M19" s="137">
        <f>SUM(M20+M24+M25)</f>
        <v>70541523</v>
      </c>
    </row>
    <row r="20" spans="1:13" s="145" customFormat="1" ht="33" customHeight="1" x14ac:dyDescent="0.2">
      <c r="A20" s="142"/>
      <c r="B20" s="143" t="s">
        <v>5</v>
      </c>
      <c r="C20" s="251" t="s">
        <v>420</v>
      </c>
      <c r="D20" s="150"/>
      <c r="E20" s="150"/>
      <c r="F20" s="150">
        <f>SUM(F21:F22)</f>
        <v>70681000</v>
      </c>
      <c r="G20" s="1415">
        <f t="shared" si="0"/>
        <v>0</v>
      </c>
      <c r="H20" s="150">
        <f>SUM(H21:H23)</f>
        <v>70681000</v>
      </c>
      <c r="I20" s="1415">
        <f t="shared" si="0"/>
        <v>-139477</v>
      </c>
      <c r="J20" s="150">
        <f>SUM(J21:J23)+'5.9.a. sz. mell'!J20</f>
        <v>70541523</v>
      </c>
      <c r="K20" s="1415">
        <f t="shared" si="0"/>
        <v>0</v>
      </c>
      <c r="L20" s="150">
        <f>SUM(L21:L23)+'5.9.a. sz. mell'!L20</f>
        <v>70541523</v>
      </c>
      <c r="M20" s="150">
        <f>SUM(M21:M23)+'5.9.a. sz. mell'!M20</f>
        <v>70541523</v>
      </c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75">
        <f>SUM('5.10 sz. mell '!D22)</f>
        <v>442256</v>
      </c>
      <c r="E21" s="175">
        <f>SUM('5.10 sz. mell '!E22)</f>
        <v>442256</v>
      </c>
      <c r="F21" s="175">
        <f>SUM('5.10.a.sz. mell'!F21)</f>
        <v>70681000</v>
      </c>
      <c r="G21" s="1415">
        <f t="shared" si="0"/>
        <v>0</v>
      </c>
      <c r="H21" s="175">
        <f>SUM('5.10.a.sz. mell'!H21)</f>
        <v>70681000</v>
      </c>
      <c r="I21" s="1415">
        <f t="shared" si="0"/>
        <v>-169900</v>
      </c>
      <c r="J21" s="175">
        <f>SUM('5.10.a.sz. mell'!J21)</f>
        <v>70511100</v>
      </c>
      <c r="K21" s="1415">
        <f t="shared" si="0"/>
        <v>0</v>
      </c>
      <c r="L21" s="175">
        <f>SUM('5.10.a.sz. mell'!L21)</f>
        <v>70511100</v>
      </c>
      <c r="M21" s="175">
        <f>SUM('5.10.a.sz. mell'!M21)</f>
        <v>70511100</v>
      </c>
    </row>
    <row r="22" spans="1:13" s="145" customFormat="1" ht="15.75" customHeight="1" x14ac:dyDescent="0.2">
      <c r="A22" s="142"/>
      <c r="B22" s="143" t="s">
        <v>360</v>
      </c>
      <c r="C22" s="55" t="s">
        <v>1430</v>
      </c>
      <c r="D22" s="144" t="e">
        <f>SUM(#REF!+#REF!+#REF!+#REF!+#REF!+#REF!+'5.1. sz. mell. '!D18+'5.2. sz. mell.  '!D20+'5.3 sz. mell'!D20+'5.4. sz mell'!D20+'5.5. sz. mell.  '!D20+'5.6. sz. mell'!D20+'5.7. sz. mell.'!D20+'5.8. sz. mell.'!D20+#REF!+'5.9. sz. mell.'!D20)</f>
        <v>#REF!</v>
      </c>
      <c r="E22" s="144" t="e">
        <f>SUM(#REF!+#REF!+#REF!+#REF!+#REF!+#REF!+'5.1. sz. mell. '!E18+'5.2. sz. mell.  '!E20+'5.3 sz. mell'!E20+'5.4. sz mell'!E20+'5.5. sz. mell.  '!E20+'5.6. sz. mell'!E20+'5.7. sz. mell.'!E20+'5.8. sz. mell.'!E20+#REF!+'5.9. sz. mell.'!E20)</f>
        <v>#REF!</v>
      </c>
      <c r="F22" s="144">
        <f>SUM('5.1.a. sz. mell.'!F20+'5.2.a. sz. mell.'!F20+'5.3.a. sz. mell'!F20+'5.4.a. sz mell'!F20+'5.5.a. sz. mell.'!F20+'5.6.a. sz. mell'!F20+'5.7.a. sz. mell.'!F20+'5.8.a. sz. mell.'!F20+'5.9.a. sz. mell'!F20)</f>
        <v>0</v>
      </c>
      <c r="G22" s="1415"/>
      <c r="H22" s="144">
        <f>SUM('5.7.a. sz. mell.'!H22+'5.8.a. sz. mell.'!H22)+'5.2.a. sz. mell.'!H23+'5.1.a. sz. mell.'!H23+'5.9.a. sz. mell'!H22</f>
        <v>0</v>
      </c>
      <c r="I22" s="1376"/>
      <c r="J22" s="144">
        <f>SUM('5.7.a. sz. mell.'!J22+'5.8.a. sz. mell.'!J22)+'5.2.a. sz. mell.'!J23+'5.1.a. sz. mell.'!J23+'5.9.a. sz. mell'!J22</f>
        <v>0</v>
      </c>
      <c r="K22" s="1415">
        <f t="shared" si="0"/>
        <v>0</v>
      </c>
      <c r="L22" s="144">
        <f>SUM('5.7.a. sz. mell.'!L22+'5.8.a. sz. mell.'!L22)+'5.2.a. sz. mell.'!L23+'5.1.a. sz. mell.'!L23+'5.9.a. sz. mell'!L22</f>
        <v>0</v>
      </c>
      <c r="M22" s="144">
        <f>SUM('5.7.a. sz. mell.'!M22+'5.8.a. sz. mell.'!M22)+'5.2.a. sz. mell.'!M23+'5.1.a. sz. mell.'!M23+'5.9.a. sz. mell'!M22</f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 t="e">
        <f>SUM(#REF!+#REF!+'5.1. sz. mell. '!D19+'5.2. sz. mell.  '!D21)</f>
        <v>#REF!</v>
      </c>
      <c r="E23" s="144" t="e">
        <f>SUM(#REF!+#REF!+'5.1. sz. mell. '!E19+'5.2. sz. mell.  '!E21)</f>
        <v>#REF!</v>
      </c>
      <c r="F23" s="144"/>
      <c r="G23" s="1415"/>
      <c r="H23" s="144">
        <f>SUM('5.1.a. sz. mell.'!H24+'5.7.a. sz. mell.'!H23)+'5.9.a. sz. mell'!H23</f>
        <v>0</v>
      </c>
      <c r="I23" s="1376"/>
      <c r="J23" s="144">
        <f>SUM('5.1.a. sz. mell.'!J24+'5.7.a. sz. mell.'!J23)+'5.9.a. sz. mell'!J23</f>
        <v>0</v>
      </c>
      <c r="K23" s="1415">
        <f t="shared" si="0"/>
        <v>0</v>
      </c>
      <c r="L23" s="144">
        <f>SUM('5.1.a. sz. mell.'!L24+'5.7.a. sz. mell.'!L23)+'5.9.a. sz. mell'!L23</f>
        <v>0</v>
      </c>
      <c r="M23" s="144">
        <f>SUM('5.1.a. sz. mell.'!M24+'5.7.a. sz. mell.'!M23)+'5.9.a. sz. mell'!M23</f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>
        <f>'5.7. sz. mell.'!E23</f>
        <v>2090</v>
      </c>
      <c r="F24" s="144">
        <f>'5.7. sz. mell.'!F23</f>
        <v>0</v>
      </c>
      <c r="G24" s="1415"/>
      <c r="H24" s="144"/>
      <c r="I24" s="1376"/>
      <c r="J24" s="144"/>
      <c r="K24" s="1415">
        <f t="shared" si="0"/>
        <v>0</v>
      </c>
      <c r="L24" s="144"/>
      <c r="M24" s="144"/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294" t="e">
        <f>SUM(#REF!+'5.9. sz. mell.'!D24)</f>
        <v>#REF!</v>
      </c>
      <c r="E25" s="294" t="e">
        <f>SUM(#REF!+'5.9. sz. mell.'!E24+'5.2. sz. mell.  '!E26)+#REF!+'5.10 sz. mell '!E26</f>
        <v>#REF!</v>
      </c>
      <c r="F25" s="294">
        <f>SUM('5.9. sz. mell.'!F24+'5.2. sz. mell.  '!F26)+'5.10 sz. mell '!F26</f>
        <v>0</v>
      </c>
      <c r="G25" s="2667"/>
      <c r="H25" s="294"/>
      <c r="I25" s="1384"/>
      <c r="J25" s="294"/>
      <c r="K25" s="1415">
        <f t="shared" si="0"/>
        <v>0</v>
      </c>
      <c r="L25" s="294"/>
      <c r="M25" s="294"/>
    </row>
    <row r="26" spans="1:13" s="141" customFormat="1" ht="15" customHeight="1" thickBot="1" x14ac:dyDescent="0.25">
      <c r="A26" s="134" t="s">
        <v>31</v>
      </c>
      <c r="B26" s="170"/>
      <c r="C26" s="247" t="s">
        <v>426</v>
      </c>
      <c r="D26" s="137" t="e">
        <f>SUM(D27)</f>
        <v>#REF!</v>
      </c>
      <c r="E26" s="137" t="e">
        <f>SUM(E27)</f>
        <v>#REF!</v>
      </c>
      <c r="F26" s="137">
        <f>SUM(F27)</f>
        <v>0</v>
      </c>
      <c r="G26" s="1382"/>
      <c r="H26" s="137">
        <f>SUM(H27)</f>
        <v>402500</v>
      </c>
      <c r="I26" s="1374"/>
      <c r="J26" s="137">
        <f>SUM(J27)</f>
        <v>402500</v>
      </c>
      <c r="K26" s="1374">
        <f t="shared" si="0"/>
        <v>0</v>
      </c>
      <c r="L26" s="137">
        <f>SUM(L27)</f>
        <v>402500</v>
      </c>
      <c r="M26" s="137">
        <f>SUM(M27)</f>
        <v>402500</v>
      </c>
    </row>
    <row r="27" spans="1:13" s="145" customFormat="1" ht="15" customHeight="1" thickBot="1" x14ac:dyDescent="0.25">
      <c r="A27" s="142"/>
      <c r="B27" s="143" t="s">
        <v>19</v>
      </c>
      <c r="C27" s="55" t="s">
        <v>427</v>
      </c>
      <c r="D27" s="294" t="e">
        <f>SUM(#REF!+#REF!+#REF!+#REF!+#REF!+#REF!+'5.1. sz. mell. '!D24+'5.2. sz. mell.  '!D29+'5.3 sz. mell'!D28+'5.4. sz mell'!D28+'5.5. sz. mell.  '!D32+'5.6. sz. mell'!D32+'5.7. sz. mell.'!D32+'5.8. sz. mell.'!D32+#REF!+'5.9. sz. mell.'!D32+'5.10 sz. mell '!D33)</f>
        <v>#REF!</v>
      </c>
      <c r="E27" s="294" t="e">
        <f>SUM(#REF!+#REF!+#REF!+#REF!+#REF!+#REF!+'5.1. sz. mell. '!E24+'5.2. sz. mell.  '!E29+'5.3 sz. mell'!E28+'5.4. sz mell'!E28+'5.5. sz. mell.  '!E32+'5.6. sz. mell'!E32+'5.7. sz. mell.'!E32+'5.8. sz. mell.'!E32+#REF!+'5.9. sz. mell.'!E32+'5.10 sz. mell '!E33)</f>
        <v>#REF!</v>
      </c>
      <c r="F27" s="294">
        <f>SUM('5.1.a. sz. mell.'!F28+'5.2.a. sz. mell.'!F28+'5.3.a. sz. mell'!F27+'5.4.a. sz mell'!F27+'5.6.a. sz. mell'!F27+'5.7.a. sz. mell.'!F27+'5.8.a. sz. mell.'!F27+'5.9.a. sz. mell'!F27+'5.10.a.sz. mell'!F27)</f>
        <v>0</v>
      </c>
      <c r="G27" s="2667"/>
      <c r="H27" s="294">
        <f>SUM('5.1.a. sz. mell.'!H28+'5.2.a. sz. mell.'!H28+'5.3.a. sz. mell'!H27+'5.4.a. sz mell'!H27+'5.6.a. sz. mell'!H27+'5.7.a. sz. mell.'!H27+'5.8.a. sz. mell.'!H27+'5.9.a. sz. mell'!H27+'5.10.a.sz. mell'!H27)</f>
        <v>402500</v>
      </c>
      <c r="I27" s="1384"/>
      <c r="J27" s="294">
        <f>SUM('5.1.a. sz. mell.'!J28+'5.2.a. sz. mell.'!J28+'5.3.a. sz. mell'!J27+'5.4.a. sz mell'!J27+'5.6.a. sz. mell'!J27+'5.7.a. sz. mell.'!J27+'5.8.a. sz. mell.'!J27+'5.9.a. sz. mell'!J27+'5.10.a.sz. mell'!J27)</f>
        <v>402500</v>
      </c>
      <c r="K27" s="1415">
        <f t="shared" ref="K27:K55" si="1">SUM(L27-J27)</f>
        <v>0</v>
      </c>
      <c r="L27" s="294">
        <f>SUM('5.1.a. sz. mell.'!L28+'5.2.a. sz. mell.'!L28+'5.3.a. sz. mell'!L27+'5.4.a. sz mell'!L27+'5.6.a. sz. mell'!L27+'5.7.a. sz. mell.'!L27+'5.8.a. sz. mell.'!L27+'5.9.a. sz. mell'!L27+'5.10.a.sz. mell'!L27)</f>
        <v>402500</v>
      </c>
      <c r="M27" s="294">
        <f>SUM('5.1.a. sz. mell.'!M28+'5.2.a. sz. mell.'!M28+'5.3.a. sz. mell'!M27+'5.4.a. sz mell'!M27+'5.6.a. sz. mell'!M27+'5.7.a. sz. mell.'!M27+'5.8.a. sz. mell.'!M27+'5.9.a. sz. mell'!M27+'5.10.a.sz. mell'!M27)</f>
        <v>402500</v>
      </c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/>
      <c r="E28" s="155"/>
      <c r="F28" s="155"/>
      <c r="G28" s="1381"/>
      <c r="H28" s="155"/>
      <c r="I28" s="1374">
        <f>SUM(J28-H28)</f>
        <v>20000</v>
      </c>
      <c r="J28" s="137">
        <f>SUM(J29:J31)</f>
        <v>20000</v>
      </c>
      <c r="K28" s="1374">
        <f t="shared" si="1"/>
        <v>0</v>
      </c>
      <c r="L28" s="137">
        <f>SUM(L29:L31)</f>
        <v>20000</v>
      </c>
      <c r="M28" s="137">
        <f>SUM(M29:M31)</f>
        <v>20000</v>
      </c>
    </row>
    <row r="29" spans="1:13" s="145" customFormat="1" ht="15" customHeight="1" x14ac:dyDescent="0.2">
      <c r="A29" s="142"/>
      <c r="B29" s="253" t="s">
        <v>33</v>
      </c>
      <c r="C29" s="55" t="s">
        <v>359</v>
      </c>
      <c r="D29" s="144"/>
      <c r="E29" s="144"/>
      <c r="F29" s="144"/>
      <c r="G29" s="1415"/>
      <c r="H29" s="144"/>
      <c r="I29" s="1376"/>
      <c r="J29" s="144"/>
      <c r="K29" s="1415">
        <f t="shared" si="1"/>
        <v>0</v>
      </c>
      <c r="L29" s="144"/>
      <c r="M29" s="144"/>
    </row>
    <row r="30" spans="1:13" s="145" customFormat="1" ht="15" customHeight="1" x14ac:dyDescent="0.2">
      <c r="A30" s="142"/>
      <c r="B30" s="253" t="s">
        <v>39</v>
      </c>
      <c r="C30" s="55" t="s">
        <v>72</v>
      </c>
      <c r="D30" s="144"/>
      <c r="E30" s="144"/>
      <c r="F30" s="144"/>
      <c r="G30" s="1415"/>
      <c r="H30" s="144"/>
      <c r="I30" s="1376"/>
      <c r="J30" s="144"/>
      <c r="K30" s="1415">
        <f t="shared" si="1"/>
        <v>0</v>
      </c>
      <c r="L30" s="144"/>
      <c r="M30" s="144"/>
    </row>
    <row r="31" spans="1:13" s="145" customFormat="1" ht="15" customHeight="1" thickBot="1" x14ac:dyDescent="0.25">
      <c r="A31" s="142"/>
      <c r="B31" s="253" t="s">
        <v>41</v>
      </c>
      <c r="C31" s="55" t="s">
        <v>74</v>
      </c>
      <c r="D31" s="144"/>
      <c r="E31" s="144"/>
      <c r="F31" s="144"/>
      <c r="G31" s="1415"/>
      <c r="H31" s="144"/>
      <c r="I31" s="1415">
        <f>SUM(J31-H31)</f>
        <v>20000</v>
      </c>
      <c r="J31" s="144">
        <f>SUM('5.9.a. sz. mell'!J31)</f>
        <v>20000</v>
      </c>
      <c r="K31" s="1415">
        <f t="shared" si="1"/>
        <v>0</v>
      </c>
      <c r="L31" s="144">
        <f>SUM('5.9.a. sz. mell'!L31)</f>
        <v>20000</v>
      </c>
      <c r="M31" s="144">
        <f>SUM('5.9.a. sz. mell'!M31)</f>
        <v>20000</v>
      </c>
    </row>
    <row r="32" spans="1:13" s="141" customFormat="1" ht="30" customHeight="1" thickBot="1" x14ac:dyDescent="0.25">
      <c r="A32" s="134">
        <v>5</v>
      </c>
      <c r="B32" s="254"/>
      <c r="C32" s="170" t="s">
        <v>429</v>
      </c>
      <c r="D32" s="155"/>
      <c r="E32" s="155"/>
      <c r="F32" s="155"/>
      <c r="G32" s="1381"/>
      <c r="H32" s="155"/>
      <c r="I32" s="1380"/>
      <c r="J32" s="155"/>
      <c r="K32" s="1374">
        <f t="shared" si="1"/>
        <v>0</v>
      </c>
      <c r="L32" s="155"/>
      <c r="M32" s="155"/>
    </row>
    <row r="33" spans="1:16" s="141" customFormat="1" ht="30" customHeight="1" thickBot="1" x14ac:dyDescent="0.25">
      <c r="A33" s="134"/>
      <c r="B33" s="255" t="s">
        <v>47</v>
      </c>
      <c r="C33" s="251" t="s">
        <v>430</v>
      </c>
      <c r="D33" s="295"/>
      <c r="E33" s="295"/>
      <c r="F33" s="295"/>
      <c r="G33" s="1381"/>
      <c r="H33" s="295"/>
      <c r="I33" s="1381"/>
      <c r="J33" s="295"/>
      <c r="K33" s="1415">
        <f t="shared" si="1"/>
        <v>0</v>
      </c>
      <c r="L33" s="295"/>
      <c r="M33" s="295"/>
    </row>
    <row r="34" spans="1:16" s="141" customFormat="1" ht="15" customHeight="1" thickBot="1" x14ac:dyDescent="0.3">
      <c r="A34" s="134" t="s">
        <v>79</v>
      </c>
      <c r="B34" s="256"/>
      <c r="C34" s="247" t="s">
        <v>431</v>
      </c>
      <c r="D34" s="295"/>
      <c r="E34" s="295"/>
      <c r="F34" s="295"/>
      <c r="G34" s="1381"/>
      <c r="H34" s="295"/>
      <c r="I34" s="1381"/>
      <c r="J34" s="295"/>
      <c r="K34" s="1374">
        <f t="shared" si="1"/>
        <v>0</v>
      </c>
      <c r="L34" s="295"/>
      <c r="M34" s="295"/>
    </row>
    <row r="35" spans="1:16" s="141" customFormat="1" ht="30" customHeight="1" thickBot="1" x14ac:dyDescent="0.25">
      <c r="A35" s="134"/>
      <c r="B35" s="257" t="s">
        <v>69</v>
      </c>
      <c r="C35" s="55" t="s">
        <v>432</v>
      </c>
      <c r="D35" s="295"/>
      <c r="E35" s="295"/>
      <c r="F35" s="295"/>
      <c r="G35" s="1381"/>
      <c r="H35" s="295"/>
      <c r="I35" s="1381"/>
      <c r="J35" s="295"/>
      <c r="K35" s="1415">
        <f t="shared" si="1"/>
        <v>0</v>
      </c>
      <c r="L35" s="295"/>
      <c r="M35" s="295"/>
    </row>
    <row r="36" spans="1:16" s="141" customFormat="1" ht="15" customHeight="1" thickBot="1" x14ac:dyDescent="0.3">
      <c r="A36" s="134" t="s">
        <v>89</v>
      </c>
      <c r="B36" s="256"/>
      <c r="C36" s="170" t="s">
        <v>433</v>
      </c>
      <c r="D36" s="285">
        <f>+D37+D38</f>
        <v>0</v>
      </c>
      <c r="E36" s="285" t="e">
        <f>+E37+E38</f>
        <v>#REF!</v>
      </c>
      <c r="F36" s="285">
        <f>+F37+F38+F39</f>
        <v>880935610</v>
      </c>
      <c r="G36" s="1382">
        <f t="shared" ref="G36:I41" si="2">SUM(H36-F36)</f>
        <v>55105561</v>
      </c>
      <c r="H36" s="285">
        <f>+H37+H38+H39</f>
        <v>936041171</v>
      </c>
      <c r="I36" s="1374">
        <f t="shared" si="2"/>
        <v>-2880611</v>
      </c>
      <c r="J36" s="285">
        <f>+J37+J38+J39</f>
        <v>933160560</v>
      </c>
      <c r="K36" s="1374">
        <f t="shared" si="1"/>
        <v>0</v>
      </c>
      <c r="L36" s="285">
        <f>+L37+L38+L39</f>
        <v>933160560</v>
      </c>
      <c r="M36" s="285">
        <f>+M37+M38+M39</f>
        <v>933160560</v>
      </c>
    </row>
    <row r="37" spans="1:16" s="141" customFormat="1" ht="15" customHeight="1" x14ac:dyDescent="0.2">
      <c r="A37" s="149"/>
      <c r="B37" s="255" t="s">
        <v>81</v>
      </c>
      <c r="C37" s="249" t="s">
        <v>434</v>
      </c>
      <c r="D37" s="693"/>
      <c r="E37" s="693" t="e">
        <f>'5.1. sz. mell. '!E26+'5.2. sz. mell.  '!E34+'5.3 sz. mell'!E37+'5.4. sz mell'!E37+'5.5. sz. mell.  '!E34+'5.6. sz. mell'!E34+'5.7. sz. mell.'!E34+'5.8. sz. mell.'!E37+#REF!+'5.9. sz. mell.'!E37+'5.10 sz. mell '!E38</f>
        <v>#REF!</v>
      </c>
      <c r="F37" s="150">
        <f>SUM('5.1.a. sz. mell.'!F39+'5.2.a. sz. mell.'!F39+'5.3.a. sz. mell'!F37+'5.4.a. sz mell'!F37+'5.5.a. sz. mell.'!F41+'5.6.a. sz. mell'!F41+'5.7.a. sz. mell.'!F41+'5.8.a. sz. mell.'!F37+'5.9.a. sz. mell'!F37+'5.10.a.sz. mell'!F37)</f>
        <v>0</v>
      </c>
      <c r="G37" s="1415">
        <f t="shared" si="2"/>
        <v>3584196</v>
      </c>
      <c r="H37" s="150">
        <f>SUM('5.1.a. sz. mell.'!H39+'5.2.a. sz. mell.'!H39+'5.3.a. sz. mell'!H37+'5.4.a. sz mell'!H37+'5.5.a. sz. mell.'!H41+'5.6.a. sz. mell'!H41+'5.7.a. sz. mell.'!H41+'5.8.a. sz. mell.'!H37+'5.9.a. sz. mell'!H37+'5.10.a.sz. mell'!H37)</f>
        <v>3584196</v>
      </c>
      <c r="I37" s="1415">
        <f t="shared" si="2"/>
        <v>0</v>
      </c>
      <c r="J37" s="150">
        <f>SUM('5.1.a. sz. mell.'!J39+'5.2.a. sz. mell.'!J39+'5.3.a. sz. mell'!J37+'5.4.a. sz mell'!J37+'5.5.a. sz. mell.'!J41+'5.6.a. sz. mell'!J41+'5.7.a. sz. mell.'!J41+'5.8.a. sz. mell.'!J37+'5.9.a. sz. mell'!J37+'5.10.a.sz. mell'!J37)</f>
        <v>3584196</v>
      </c>
      <c r="K37" s="1415">
        <f t="shared" si="1"/>
        <v>0</v>
      </c>
      <c r="L37" s="150">
        <f>SUM('5.1.a. sz. mell.'!L39+'5.2.a. sz. mell.'!L39+'5.3.a. sz. mell'!L37+'5.4.a. sz mell'!L37+'5.5.a. sz. mell.'!L41+'5.6.a. sz. mell'!L41+'5.7.a. sz. mell.'!L41+'5.8.a. sz. mell.'!L37+'5.9.a. sz. mell'!L37+'5.10.a.sz. mell'!L37)</f>
        <v>3584196</v>
      </c>
      <c r="M37" s="150">
        <f>SUM('5.1.a. sz. mell.'!M39+'5.2.a. sz. mell.'!M39+'5.3.a. sz. mell'!M37+'5.4.a. sz mell'!M37+'5.5.a. sz. mell.'!M41+'5.6.a. sz. mell'!M41+'5.7.a. sz. mell.'!M41+'5.8.a. sz. mell.'!M37+'5.9.a. sz. mell'!M37+'5.10.a.sz. mell'!M37)</f>
        <v>3584196</v>
      </c>
    </row>
    <row r="38" spans="1:16" s="141" customFormat="1" ht="15" customHeight="1" x14ac:dyDescent="0.2">
      <c r="A38" s="142"/>
      <c r="B38" s="253" t="s">
        <v>83</v>
      </c>
      <c r="C38" s="55" t="s">
        <v>435</v>
      </c>
      <c r="D38" s="694"/>
      <c r="E38" s="694" t="e">
        <f>'5.1. sz. mell. '!E27+'5.2. sz. mell.  '!E35+'5.3 sz. mell'!E38+'5.4. sz mell'!E38+'5.5. sz. mell.  '!E35+'5.6. sz. mell'!E35+'5.7. sz. mell.'!E35+'5.8. sz. mell.'!E38+#REF!+'5.9. sz. mell.'!E38+'5.10 sz. mell '!E39</f>
        <v>#REF!</v>
      </c>
      <c r="F38" s="302">
        <f>SUM('5.1.a. sz. mell.'!F40+'5.2.a. sz. mell.'!F40+'5.3.a. sz. mell'!F38+'5.4.a. sz mell'!F38+'5.5.a. sz. mell.'!F42+'5.6.a. sz. mell'!F42+'5.7.a. sz. mell.'!F42+'5.8.a. sz. mell.'!F38+'5.9.a. sz. mell'!F38+'5.10.a.sz. mell'!F38)</f>
        <v>0</v>
      </c>
      <c r="G38" s="1415">
        <f t="shared" si="2"/>
        <v>0</v>
      </c>
      <c r="H38" s="302">
        <f>SUM('5.1.a. sz. mell.'!H40+'5.2.a. sz. mell.'!H40+'5.3.a. sz. mell'!H38+'5.4.a. sz mell'!H38+'5.5.a. sz. mell.'!H42+'5.6.a. sz. mell'!H42+'5.7.a. sz. mell.'!H42+'5.8.a. sz. mell.'!H38+'5.9.a. sz. mell'!H38+'5.10.a.sz. mell'!H38)</f>
        <v>0</v>
      </c>
      <c r="I38" s="1415">
        <f t="shared" si="2"/>
        <v>0</v>
      </c>
      <c r="J38" s="302">
        <f>SUM('5.1.a. sz. mell.'!J40+'5.2.a. sz. mell.'!J40+'5.3.a. sz. mell'!J38+'5.4.a. sz mell'!J38+'5.5.a. sz. mell.'!J42+'5.6.a. sz. mell'!J42+'5.7.a. sz. mell.'!J42+'5.8.a. sz. mell.'!J38+'5.9.a. sz. mell'!J38+'5.10.a.sz. mell'!J38)</f>
        <v>0</v>
      </c>
      <c r="K38" s="1415">
        <f t="shared" si="1"/>
        <v>0</v>
      </c>
      <c r="L38" s="302">
        <f>SUM('5.1.a. sz. mell.'!L40+'5.2.a. sz. mell.'!L40+'5.3.a. sz. mell'!L38+'5.4.a. sz mell'!L38+'5.5.a. sz. mell.'!L42+'5.6.a. sz. mell'!L42+'5.7.a. sz. mell.'!L42+'5.8.a. sz. mell.'!L38+'5.9.a. sz. mell'!L38+'5.10.a.sz. mell'!L38)</f>
        <v>0</v>
      </c>
      <c r="M38" s="302">
        <f>SUM('5.1.a. sz. mell.'!M40+'5.2.a. sz. mell.'!M40+'5.3.a. sz. mell'!M38+'5.4.a. sz mell'!M38+'5.5.a. sz. mell.'!M42+'5.6.a. sz. mell'!M42+'5.7.a. sz. mell.'!M42+'5.8.a. sz. mell.'!M38+'5.9.a. sz. mell'!M38+'5.10.a.sz. mell'!M38)</f>
        <v>0</v>
      </c>
    </row>
    <row r="39" spans="1:16" s="145" customFormat="1" ht="15" customHeight="1" x14ac:dyDescent="0.2">
      <c r="A39" s="671"/>
      <c r="B39" s="253" t="s">
        <v>85</v>
      </c>
      <c r="C39" s="55" t="s">
        <v>1433</v>
      </c>
      <c r="D39" s="694" t="e">
        <f>SUM(#REF!+#REF!+#REF!+#REF!+#REF!+#REF!+'5.1. sz. mell. '!D28+'5.2. sz. mell.  '!D36+'5.3 sz. mell'!D39+'5.4. sz mell'!D39+'5.5. sz. mell.  '!D43+'5.6. sz. mell'!D43+'5.7. sz. mell.'!D43+'5.8. sz. mell.'!D39+#REF!+'5.9. sz. mell.'!D39+'5.10 sz. mell '!D40)</f>
        <v>#REF!</v>
      </c>
      <c r="E39" s="694" t="e">
        <f>SUM(#REF!+#REF!+#REF!+#REF!+#REF!+#REF!+'5.1. sz. mell. '!E28+'5.2. sz. mell.  '!E36+'5.3 sz. mell'!E39+'5.4. sz mell'!E39+'5.5. sz. mell.  '!E43+'5.6. sz. mell'!E43+'5.7. sz. mell.'!E43+'5.8. sz. mell.'!E39+#REF!+'5.9. sz. mell.'!E39+'5.10 sz. mell '!E40)</f>
        <v>#REF!</v>
      </c>
      <c r="F39" s="144">
        <f>SUM('5.1.a. sz. mell.'!F41+'5.2.a. sz. mell.'!F41+'5.3.a. sz. mell'!F39+'5.4.a. sz mell'!F39+'5.5.a. sz. mell.'!F43+'5.6.a. sz. mell'!F43+'5.7.a. sz. mell.'!F43+'5.8.a. sz. mell.'!F39+'5.9.a. sz. mell'!F39+'5.10.a.sz. mell'!F39)</f>
        <v>880935610</v>
      </c>
      <c r="G39" s="1415">
        <f t="shared" si="2"/>
        <v>51521365</v>
      </c>
      <c r="H39" s="302">
        <f>SUM('5.1.a. sz. mell.'!H41+'5.2.a. sz. mell.'!H41+'5.3.a. sz. mell'!H39+'5.4.a. sz mell'!H39+'5.5.a. sz. mell.'!H43+'5.6.a. sz. mell'!H43+'5.7.a. sz. mell.'!H43+'5.8.a. sz. mell.'!H39+'5.9.a. sz. mell'!H39+'5.10.a.sz. mell'!H39)</f>
        <v>932456975</v>
      </c>
      <c r="I39" s="1415">
        <f t="shared" si="2"/>
        <v>-2880611</v>
      </c>
      <c r="J39" s="302">
        <f>SUM('5.1.a. sz. mell.'!J41+'5.2.a. sz. mell.'!J41+'5.3.a. sz. mell'!J39+'5.4.a. sz mell'!J39+'5.5.a. sz. mell.'!J43+'5.6.a. sz. mell'!J43+'5.7.a. sz. mell.'!J43+'5.8.a. sz. mell.'!J39+'5.9.a. sz. mell'!J39+'5.10.a.sz. mell'!J39)</f>
        <v>929576364</v>
      </c>
      <c r="K39" s="1415">
        <f t="shared" si="1"/>
        <v>0</v>
      </c>
      <c r="L39" s="302">
        <f>SUM('5.1.a. sz. mell.'!L41+'5.2.a. sz. mell.'!L41+'5.3.a. sz. mell'!L39+'5.4.a. sz mell'!L39+'5.5.a. sz. mell.'!L43+'5.6.a. sz. mell'!L43+'5.7.a. sz. mell.'!L43+'5.8.a. sz. mell.'!L39+'5.9.a. sz. mell'!L39+'5.10.a.sz. mell'!L39)</f>
        <v>929576364</v>
      </c>
      <c r="M39" s="302">
        <f>SUM('5.1.a. sz. mell.'!M41+'5.2.a. sz. mell.'!M41+'5.3.a. sz. mell'!M39+'5.4.a. sz mell'!M39+'5.5.a. sz. mell.'!M43+'5.6.a. sz. mell'!M43+'5.7.a. sz. mell.'!M43+'5.8.a. sz. mell.'!M39+'5.9.a. sz. mell'!M39+'5.10.a.sz. mell'!M39)</f>
        <v>929576364</v>
      </c>
      <c r="O39" s="205">
        <f>SUM(H40:H41)</f>
        <v>932456975</v>
      </c>
      <c r="P39" s="205">
        <f>SUM(M40:M41)</f>
        <v>929576364</v>
      </c>
    </row>
    <row r="40" spans="1:16" s="145" customFormat="1" ht="15" customHeight="1" x14ac:dyDescent="0.2">
      <c r="A40" s="671"/>
      <c r="B40" s="695" t="s">
        <v>437</v>
      </c>
      <c r="C40" s="696" t="s">
        <v>891</v>
      </c>
      <c r="D40" s="694"/>
      <c r="E40" s="694"/>
      <c r="F40" s="183">
        <f>SUM('5.1.a. sz. mell.'!F42+'5.2.a. sz. mell.'!F42+'5.3.a. sz. mell'!F40+'5.4.a. sz mell'!F40+'5.5.a. sz. mell.'!F44+'5.6.a. sz. mell'!F44+'5.7.a. sz. mell.'!F44+'5.8.a. sz. mell.'!F40+'5.9.a. sz. mell'!F40)</f>
        <v>556998130</v>
      </c>
      <c r="G40" s="1534">
        <f t="shared" si="2"/>
        <v>9318301</v>
      </c>
      <c r="H40" s="302">
        <f>SUM('5.1.a. sz. mell.'!H42+'5.2.a. sz. mell.'!H42+'5.3.a. sz. mell'!H40+'5.4.a. sz mell'!H40+'5.5.a. sz. mell.'!H44+'5.6.a. sz. mell'!H44+'5.7.a. sz. mell.'!H44+'5.8.a. sz. mell.'!H40+'5.9.a. sz. mell'!H40)</f>
        <v>566316431</v>
      </c>
      <c r="I40" s="1534">
        <f t="shared" si="2"/>
        <v>12696085</v>
      </c>
      <c r="J40" s="302">
        <f>SUM('5.1.a. sz. mell.'!J42+'5.2.a. sz. mell.'!J42+'5.3.a. sz. mell'!J40+'5.4.a. sz mell'!J40+'5.5.a. sz. mell.'!J44+'5.6.a. sz. mell'!J44+'5.7.a. sz. mell.'!J44+'5.8.a. sz. mell.'!J40+'5.9.a. sz. mell'!J40)</f>
        <v>579012516</v>
      </c>
      <c r="K40" s="1415">
        <f t="shared" si="1"/>
        <v>0</v>
      </c>
      <c r="L40" s="302">
        <f>SUM('5.1.a. sz. mell.'!L42+'5.2.a. sz. mell.'!L42+'5.3.a. sz. mell'!L40+'5.4.a. sz mell'!L40+'5.5.a. sz. mell.'!L44+'5.6.a. sz. mell'!L44+'5.7.a. sz. mell.'!L44+'5.8.a. sz. mell.'!L40+'5.9.a. sz. mell'!L40)</f>
        <v>579012516</v>
      </c>
      <c r="M40" s="302">
        <f>SUM('5.1.a. sz. mell.'!M42+'5.2.a. sz. mell.'!M42+'5.3.a. sz. mell'!M40+'5.4.a. sz mell'!M40+'5.5.a. sz. mell.'!M44+'5.6.a. sz. mell'!M44+'5.7.a. sz. mell.'!M44+'5.8.a. sz. mell.'!M40+'5.9.a. sz. mell'!M40)</f>
        <v>579012516</v>
      </c>
    </row>
    <row r="41" spans="1:16" s="145" customFormat="1" ht="15" customHeight="1" thickBot="1" x14ac:dyDescent="0.25">
      <c r="A41" s="672"/>
      <c r="B41" s="263" t="s">
        <v>439</v>
      </c>
      <c r="C41" s="264" t="s">
        <v>440</v>
      </c>
      <c r="D41" s="697"/>
      <c r="E41" s="697"/>
      <c r="F41" s="181">
        <f>SUM('5.1.a. sz. mell.'!F43+'5.2.a. sz. mell.'!F43+'5.3.a. sz. mell'!F41+'5.4.a. sz mell'!F41+'5.5.a. sz. mell.'!F45+'5.6.a. sz. mell'!F45+'5.7.a. sz. mell.'!F45+'5.8.a. sz. mell.'!F41+'5.9.a. sz. mell'!F41+'5.10.a.sz. mell'!F39)</f>
        <v>323937480</v>
      </c>
      <c r="G41" s="1534">
        <f t="shared" si="2"/>
        <v>42203064</v>
      </c>
      <c r="H41" s="302">
        <f>SUM('5.1.a. sz. mell.'!H43+'5.2.a. sz. mell.'!H43+'5.3.a. sz. mell'!H41+'5.4.a. sz mell'!H41+'5.5.a. sz. mell.'!H45+'5.6.a. sz. mell'!H45+'5.7.a. sz. mell.'!H45+'5.8.a. sz. mell.'!H41+'5.9.a. sz. mell'!H41+'5.10.a.sz. mell'!H39)</f>
        <v>366140544</v>
      </c>
      <c r="I41" s="1534">
        <f t="shared" si="2"/>
        <v>-15576696</v>
      </c>
      <c r="J41" s="302">
        <f>SUM('5.1.a. sz. mell.'!J43+'5.2.a. sz. mell.'!J43+'5.3.a. sz. mell'!J41+'5.4.a. sz mell'!J41+'5.5.a. sz. mell.'!J45+'5.6.a. sz. mell'!J45+'5.7.a. sz. mell.'!J45+'5.8.a. sz. mell.'!J41+'5.9.a. sz. mell'!J41+'5.10.a.sz. mell'!J39)</f>
        <v>350563848</v>
      </c>
      <c r="K41" s="1415">
        <f t="shared" si="1"/>
        <v>0</v>
      </c>
      <c r="L41" s="302">
        <f>SUM('5.1.a. sz. mell.'!L43+'5.2.a. sz. mell.'!L43+'5.3.a. sz. mell'!L41+'5.4.a. sz mell'!L41+'5.5.a. sz. mell.'!L45+'5.6.a. sz. mell'!L45+'5.7.a. sz. mell.'!L45+'5.8.a. sz. mell.'!L41+'5.9.a. sz. mell'!L41+'5.10.a.sz. mell'!L39)</f>
        <v>350563848</v>
      </c>
      <c r="M41" s="302">
        <f>SUM('5.1.a. sz. mell.'!M43+'5.2.a. sz. mell.'!M43+'5.3.a. sz. mell'!M41+'5.4.a. sz mell'!M41+'5.5.a. sz. mell.'!M45+'5.6.a. sz. mell'!M45+'5.7.a. sz. mell.'!M45+'5.8.a. sz. mell.'!M41+'5.9.a. sz. mell'!M41+'5.10.a.sz. mell'!M39)</f>
        <v>350563848</v>
      </c>
    </row>
    <row r="42" spans="1:16" s="145" customFormat="1" ht="12.75" hidden="1" customHeight="1" x14ac:dyDescent="0.25">
      <c r="A42" s="258" t="s">
        <v>99</v>
      </c>
      <c r="B42" s="256"/>
      <c r="C42" s="298" t="s">
        <v>458</v>
      </c>
      <c r="D42" s="155"/>
      <c r="E42" s="155"/>
      <c r="F42" s="155"/>
      <c r="G42" s="1381"/>
      <c r="H42" s="155"/>
      <c r="I42" s="1380"/>
      <c r="J42" s="155"/>
      <c r="K42" s="1518">
        <f t="shared" si="1"/>
        <v>0</v>
      </c>
      <c r="L42" s="155"/>
      <c r="M42" s="155"/>
    </row>
    <row r="43" spans="1:16" s="145" customFormat="1" ht="15" customHeight="1" thickBot="1" x14ac:dyDescent="0.25">
      <c r="A43" s="192" t="s">
        <v>99</v>
      </c>
      <c r="B43" s="160"/>
      <c r="C43" s="274" t="s">
        <v>460</v>
      </c>
      <c r="D43" s="162" t="e">
        <f>SUM(D8,D19,D28,D32,D36,D39)</f>
        <v>#REF!</v>
      </c>
      <c r="E43" s="162" t="e">
        <f>SUM(E8,E19,E28,E32,E36,E39)</f>
        <v>#REF!</v>
      </c>
      <c r="F43" s="162">
        <f>SUM(F8,F19,F28,F32,F36,F42,F26)</f>
        <v>1156115630</v>
      </c>
      <c r="G43" s="1437">
        <f>SUM(H43-F43)</f>
        <v>55604018</v>
      </c>
      <c r="H43" s="162">
        <f>SUM(H8,H19,H28,H32,H36,H42,H26)</f>
        <v>1211719648</v>
      </c>
      <c r="I43" s="1373">
        <f>SUM(J43-H43)</f>
        <v>-5988886</v>
      </c>
      <c r="J43" s="162">
        <f>SUM(J8,J19,J28,J32,J36,J42,J26)</f>
        <v>1205730762</v>
      </c>
      <c r="K43" s="1421">
        <f t="shared" si="1"/>
        <v>0</v>
      </c>
      <c r="L43" s="162">
        <f>SUM(L8,L19,L28,L32,L36,L42,L26)</f>
        <v>1205730762</v>
      </c>
      <c r="M43" s="162">
        <f>SUM(M8,M19,M28,M32,M36,M42,M26)</f>
        <v>1205758534</v>
      </c>
      <c r="O43" s="205">
        <f>SUM(H43-H58)</f>
        <v>-1400000</v>
      </c>
      <c r="P43" s="205">
        <f>SUM(M43-M58)</f>
        <v>2722907</v>
      </c>
    </row>
    <row r="44" spans="1:16" s="145" customFormat="1" ht="16.5" customHeight="1" thickBot="1" x14ac:dyDescent="0.25">
      <c r="A44" s="2098"/>
      <c r="B44" s="266"/>
      <c r="C44" s="275"/>
      <c r="D44" s="165"/>
      <c r="E44" s="165"/>
      <c r="F44" s="2452"/>
      <c r="G44" s="1532"/>
      <c r="H44" s="1532"/>
      <c r="I44" s="1532"/>
      <c r="J44" s="1532"/>
      <c r="K44" s="4275"/>
      <c r="L44" s="1532"/>
      <c r="M44" s="881"/>
    </row>
    <row r="45" spans="1:16" s="129" customFormat="1" ht="15" customHeight="1" thickBot="1" x14ac:dyDescent="0.25">
      <c r="A45" s="192"/>
      <c r="B45" s="160"/>
      <c r="C45" s="282" t="s">
        <v>231</v>
      </c>
      <c r="D45" s="162"/>
      <c r="E45" s="162"/>
      <c r="F45" s="162"/>
      <c r="G45" s="1437"/>
      <c r="H45" s="162"/>
      <c r="I45" s="1373"/>
      <c r="J45" s="162"/>
      <c r="K45" s="1421">
        <f t="shared" si="1"/>
        <v>0</v>
      </c>
      <c r="L45" s="162"/>
      <c r="M45" s="162"/>
    </row>
    <row r="46" spans="1:16" s="172" customFormat="1" ht="15" customHeight="1" thickBot="1" x14ac:dyDescent="0.25">
      <c r="A46" s="134" t="s">
        <v>3</v>
      </c>
      <c r="B46" s="170"/>
      <c r="C46" s="171" t="s">
        <v>442</v>
      </c>
      <c r="D46" s="64" t="e">
        <f>SUM(D47+D48+D49+D51)</f>
        <v>#REF!</v>
      </c>
      <c r="E46" s="64" t="e">
        <v>#NAME?</v>
      </c>
      <c r="F46" s="64">
        <f>SUM(F47+F48+F49+F51)</f>
        <v>1144456530</v>
      </c>
      <c r="G46" s="1382">
        <f>SUM(H46-F46)</f>
        <v>52639558</v>
      </c>
      <c r="H46" s="64">
        <f>SUM(H47+H48+H49+H51)</f>
        <v>1197096088</v>
      </c>
      <c r="I46" s="1374">
        <f>SUM(J46-H46)</f>
        <v>-8443237</v>
      </c>
      <c r="J46" s="64">
        <f>SUM(J47+J48+J49+J51)</f>
        <v>1188652851</v>
      </c>
      <c r="K46" s="1374">
        <f t="shared" si="1"/>
        <v>0</v>
      </c>
      <c r="L46" s="64">
        <f>SUM(L47+L48+L49+L51)</f>
        <v>1188652851</v>
      </c>
      <c r="M46" s="64">
        <f>SUM(M47+M48+M49+M51)</f>
        <v>1186094846</v>
      </c>
    </row>
    <row r="47" spans="1:16" ht="15" customHeight="1" x14ac:dyDescent="0.2">
      <c r="A47" s="173"/>
      <c r="B47" s="174" t="s">
        <v>152</v>
      </c>
      <c r="C47" s="251" t="s">
        <v>153</v>
      </c>
      <c r="D47" s="299" t="e">
        <f>SUM(#REF!+#REF!+#REF!+#REF!+#REF!+#REF!+'5.1. sz. mell. '!D34+'5.2. sz. mell.  '!D48+'5.3 sz. mell'!D47+'5.4. sz mell'!D47+'5.5. sz. mell.  '!D51+'5.6. sz. mell'!D51+'5.7. sz. mell.'!D51+'5.8. sz. mell.'!D46+#REF!+'5.9. sz. mell.'!D46+'5.10 sz. mell '!D45)</f>
        <v>#REF!</v>
      </c>
      <c r="E47" s="1318" t="e">
        <f>SUM(#REF!+#REF!+#REF!+#REF!+#REF!+#REF!+'5.1. sz. mell. '!E34+'5.2. sz. mell.  '!E48+'5.3 sz. mell'!E47+'5.4. sz mell'!E47+'5.5. sz. mell.  '!E51+'5.6. sz. mell'!E51+'5.7. sz. mell.'!E51+'5.8. sz. mell.'!E46+#REF!+'5.9. sz. mell.'!E46+'5.10 sz. mell '!E45)</f>
        <v>#REF!</v>
      </c>
      <c r="F47" s="299">
        <f>SUM('5.1.a. sz. mell.'!F48+'5.2.a. sz. mell.'!F48+'5.3.a. sz. mell'!F47+'5.4.a. sz mell'!F47+'5.5.a. sz. mell.'!F51+'5.6.a. sz. mell'!F51+'5.7.a. sz. mell.'!F51+'5.8.a. sz. mell.'!F46+'5.9.a. sz. mell'!F46+'5.10.a.sz. mell'!F44)</f>
        <v>588537876</v>
      </c>
      <c r="G47" s="1415">
        <f t="shared" ref="G47:I55" si="3">SUM(H47-F47)</f>
        <v>14205138</v>
      </c>
      <c r="H47" s="299">
        <f>SUM('5.1.a. sz. mell.'!H48+'5.2.a. sz. mell.'!H48+'5.3.a. sz. mell'!H47+'5.4.a. sz mell'!H47+'5.5.a. sz. mell.'!H51+'5.6.a. sz. mell'!H51+'5.7.a. sz. mell.'!H51+'5.8.a. sz. mell.'!H46+'5.9.a. sz. mell'!H46+'5.10.a.sz. mell'!H44)</f>
        <v>602743014</v>
      </c>
      <c r="I47" s="1415">
        <f t="shared" si="3"/>
        <v>14938492</v>
      </c>
      <c r="J47" s="299">
        <f>SUM('5.1.a. sz. mell.'!J48+'5.2.a. sz. mell.'!J48+'5.3.a. sz. mell'!J47+'5.4.a. sz mell'!J47+'5.5.a. sz. mell.'!J51+'5.6.a. sz. mell'!J51+'5.7.a. sz. mell.'!J51+'5.8.a. sz. mell.'!J46+'5.9.a. sz. mell'!J46+'5.10.a.sz. mell'!J44)</f>
        <v>617681506</v>
      </c>
      <c r="K47" s="1415">
        <f t="shared" si="1"/>
        <v>0</v>
      </c>
      <c r="L47" s="299">
        <f>SUM('5.1.a. sz. mell.'!L48+'5.2.a. sz. mell.'!L48+'5.3.a. sz. mell'!L47+'5.4.a. sz mell'!L47+'5.5.a. sz. mell.'!L51+'5.6.a. sz. mell'!L51+'5.7.a. sz. mell.'!L51+'5.8.a. sz. mell.'!L46+'5.9.a. sz. mell'!L46+'5.10.a.sz. mell'!L44)</f>
        <v>617681506</v>
      </c>
      <c r="M47" s="299">
        <f>SUM('5.1.a. sz. mell.'!M48+'5.2.a. sz. mell.'!M48+'5.3.a. sz. mell'!M47+'5.4.a. sz mell'!M47+'5.5.a. sz. mell.'!M51+'5.6.a. sz. mell'!M51+'5.7.a. sz. mell.'!M51+'5.8.a. sz. mell.'!M46+'5.9.a. sz. mell'!M46+'5.10.a.sz. mell'!M44)</f>
        <v>617200017</v>
      </c>
    </row>
    <row r="48" spans="1:16" ht="15" customHeight="1" x14ac:dyDescent="0.2">
      <c r="A48" s="142"/>
      <c r="B48" s="176" t="s">
        <v>154</v>
      </c>
      <c r="C48" s="55" t="s">
        <v>155</v>
      </c>
      <c r="D48" s="56" t="e">
        <f>SUM(#REF!+#REF!+#REF!+#REF!+#REF!+#REF!+'5.1. sz. mell. '!D36+'5.2. sz. mell.  '!D50+'5.3 sz. mell'!D48+'5.4. sz mell'!D48+'5.5. sz. mell.  '!D52+'5.6. sz. mell'!D52+'5.7. sz. mell.'!D52+'5.8. sz. mell.'!D47+#REF!+'5.9. sz. mell.'!D47+'5.10 sz. mell '!D46)</f>
        <v>#REF!</v>
      </c>
      <c r="E48" s="57" t="e">
        <f>SUM(#REF!+#REF!+#REF!+#REF!+#REF!+#REF!+'5.1. sz. mell. '!E36+'5.2. sz. mell.  '!E50+'5.3 sz. mell'!E48+'5.4. sz mell'!E48+'5.5. sz. mell.  '!E52+'5.6. sz. mell'!E52+'5.7. sz. mell.'!E52+'5.8. sz. mell.'!E47+#REF!+'5.9. sz. mell.'!E47+'5.10 sz. mell '!E46)</f>
        <v>#REF!</v>
      </c>
      <c r="F48" s="56">
        <f>SUM('5.1.a. sz. mell.'!F50+'5.2.a. sz. mell.'!F50+'5.3.a. sz. mell'!F48+'5.4.a. sz mell'!F48+'5.5.a. sz. mell.'!F52+'5.6.a. sz. mell'!F52+'5.7.a. sz. mell.'!F52+'5.8.a. sz. mell.'!F47+'5.9.a. sz. mell'!F47+'5.10.a.sz. mell'!F45)</f>
        <v>119220254</v>
      </c>
      <c r="G48" s="1415">
        <f t="shared" si="3"/>
        <v>2346543</v>
      </c>
      <c r="H48" s="56">
        <f>SUM('5.1.a. sz. mell.'!H50+'5.2.a. sz. mell.'!H50+'5.3.a. sz. mell'!H48+'5.4.a. sz mell'!H48+'5.5.a. sz. mell.'!H52+'5.6.a. sz. mell'!H52+'5.7.a. sz. mell.'!H52+'5.8.a. sz. mell.'!H47+'5.9.a. sz. mell'!H47+'5.10.a.sz. mell'!H45)</f>
        <v>121566797</v>
      </c>
      <c r="I48" s="1415">
        <f t="shared" si="3"/>
        <v>3655549</v>
      </c>
      <c r="J48" s="56">
        <f>SUM('5.1.a. sz. mell.'!J50+'5.2.a. sz. mell.'!J50+'5.3.a. sz. mell'!J48+'5.4.a. sz mell'!J48+'5.5.a. sz. mell.'!J52+'5.6.a. sz. mell'!J52+'5.7.a. sz. mell.'!J52+'5.8.a. sz. mell.'!J47+'5.9.a. sz. mell'!J47+'5.10.a.sz. mell'!J45)</f>
        <v>125222346</v>
      </c>
      <c r="K48" s="1415">
        <f t="shared" si="1"/>
        <v>0</v>
      </c>
      <c r="L48" s="56">
        <f>SUM('5.1.a. sz. mell.'!L50+'5.2.a. sz. mell.'!L50+'5.3.a. sz. mell'!L48+'5.4.a. sz mell'!L48+'5.5.a. sz. mell.'!L52+'5.6.a. sz. mell'!L52+'5.7.a. sz. mell.'!L52+'5.8.a. sz. mell.'!L47+'5.9.a. sz. mell'!L47+'5.10.a.sz. mell'!L45)</f>
        <v>125222346</v>
      </c>
      <c r="M48" s="56">
        <f>SUM('5.1.a. sz. mell.'!M50+'5.2.a. sz. mell.'!M50+'5.3.a. sz. mell'!M48+'5.4.a. sz mell'!M48+'5.5.a. sz. mell.'!M52+'5.6.a. sz. mell'!M52+'5.7.a. sz. mell.'!M52+'5.8.a. sz. mell.'!M47+'5.9.a. sz. mell'!M47+'5.10.a.sz. mell'!M45)</f>
        <v>125079547</v>
      </c>
    </row>
    <row r="49" spans="1:13" ht="15" customHeight="1" x14ac:dyDescent="0.2">
      <c r="A49" s="142"/>
      <c r="B49" s="176" t="s">
        <v>156</v>
      </c>
      <c r="C49" s="55" t="s">
        <v>157</v>
      </c>
      <c r="D49" s="56" t="e">
        <f>SUM(#REF!+#REF!+#REF!+#REF!+#REF!+#REF!+'5.1. sz. mell. '!D38+'5.2. sz. mell.  '!D52+'5.3 sz. mell'!D49+'5.4. sz mell'!D49+'5.5. sz. mell.  '!D53+'5.6. sz. mell'!D53+'5.7. sz. mell.'!D53+'5.8. sz. mell.'!D48+#REF!+'5.9. sz. mell.'!D48+'5.10 sz. mell '!D47)</f>
        <v>#REF!</v>
      </c>
      <c r="E49" s="57" t="e">
        <f>SUM(#REF!+#REF!+#REF!+#REF!+#REF!+#REF!+'5.1. sz. mell. '!E38+'5.2. sz. mell.  '!E52+'5.3 sz. mell'!E49+'5.4. sz mell'!E49+'5.5. sz. mell.  '!E53+'5.6. sz. mell'!E53+'5.7. sz. mell.'!E53+'5.8. sz. mell.'!E48+#REF!+'5.9. sz. mell.'!E48+'5.10 sz. mell '!E47)</f>
        <v>#REF!</v>
      </c>
      <c r="F49" s="56">
        <f>SUM('5.1.a. sz. mell.'!F52+'5.3.a. sz. mell'!F49+'5.4.a. sz mell'!F49+'5.5.a. sz. mell.'!F53+'5.6.a. sz. mell'!F53+'5.7.a. sz. mell.'!F53+'5.8.a. sz. mell.'!F48+'5.9.a. sz. mell'!F48+'5.10.a.sz. mell'!F46+'5.2.a. sz. mell.'!F52)</f>
        <v>436698400</v>
      </c>
      <c r="G49" s="1415">
        <f t="shared" si="3"/>
        <v>36087877</v>
      </c>
      <c r="H49" s="56">
        <f>SUM('5.1.a. sz. mell.'!H52+'5.3.a. sz. mell'!H49+'5.4.a. sz mell'!H49+'5.5.a. sz. mell.'!H53+'5.6.a. sz. mell'!H53+'5.7.a. sz. mell.'!H53+'5.8.a. sz. mell.'!H48+'5.9.a. sz. mell'!H48+'5.10.a.sz. mell'!H46+'5.2.a. sz. mell.'!H52)</f>
        <v>472786277</v>
      </c>
      <c r="I49" s="1415">
        <f t="shared" si="3"/>
        <v>-27037278</v>
      </c>
      <c r="J49" s="56">
        <f>SUM('5.1.a. sz. mell.'!J52+'5.3.a. sz. mell'!J49+'5.4.a. sz mell'!J49+'5.5.a. sz. mell.'!J53+'5.6.a. sz. mell'!J53+'5.7.a. sz. mell.'!J53+'5.8.a. sz. mell.'!J48+'5.9.a. sz. mell'!J48+'5.10.a.sz. mell'!J46+'5.2.a. sz. mell.'!J52)</f>
        <v>445748999</v>
      </c>
      <c r="K49" s="1415">
        <f t="shared" si="1"/>
        <v>0</v>
      </c>
      <c r="L49" s="56">
        <f>SUM('5.1.a. sz. mell.'!L52+'5.3.a. sz. mell'!L49+'5.4.a. sz mell'!L49+'5.5.a. sz. mell.'!L53+'5.6.a. sz. mell'!L53+'5.7.a. sz. mell.'!L53+'5.8.a. sz. mell.'!L48+'5.9.a. sz. mell'!L48+'5.10.a.sz. mell'!L46+'5.2.a. sz. mell.'!L52)</f>
        <v>445748999</v>
      </c>
      <c r="M49" s="56">
        <f>SUM('5.1.a. sz. mell.'!M52+'5.3.a. sz. mell'!M49+'5.4.a. sz mell'!M49+'5.5.a. sz. mell.'!M53+'5.6.a. sz. mell'!M53+'5.7.a. sz. mell.'!M53+'5.8.a. sz. mell.'!M48+'5.9.a. sz. mell'!M48+'5.10.a.sz. mell'!M46+'5.2.a. sz. mell.'!M52)</f>
        <v>443815282</v>
      </c>
    </row>
    <row r="50" spans="1:13" ht="15" customHeight="1" x14ac:dyDescent="0.2">
      <c r="A50" s="142"/>
      <c r="B50" s="176" t="s">
        <v>158</v>
      </c>
      <c r="C50" s="55" t="s">
        <v>159</v>
      </c>
      <c r="D50" s="56"/>
      <c r="E50" s="57"/>
      <c r="F50" s="56">
        <f>SUM('5.1.a. sz. mell.'!F51+'5.2.a. sz. mell.'!F51+'5.3.a. sz. mell'!F50+'5.4.a. sz mell'!F50+'5.5.a. sz. mell.'!F54+'5.6.a. sz. mell'!F54+'5.7.a. sz. mell.'!F54+'5.8.a. sz. mell.'!F49+'5.9.a. sz. mell'!F49+'5.10.a.sz. mell'!F47)</f>
        <v>0</v>
      </c>
      <c r="G50" s="1415">
        <f t="shared" si="3"/>
        <v>0</v>
      </c>
      <c r="H50" s="56">
        <f>SUM('5.1.a. sz. mell.'!H53+'5.3.a. sz. mell'!H50+'5.4.a. sz mell'!H50+'5.5.a. sz. mell.'!H54+'5.6.a. sz. mell'!H54+'5.7.a. sz. mell.'!H54+'5.8.a. sz. mell.'!H49+'5.9.a. sz. mell'!H49+'5.10.a.sz. mell'!H47+'5.2.a. sz. mell.'!H53)</f>
        <v>0</v>
      </c>
      <c r="I50" s="1415">
        <f t="shared" si="3"/>
        <v>0</v>
      </c>
      <c r="J50" s="56">
        <f>SUM('5.1.a. sz. mell.'!J53+'5.3.a. sz. mell'!J50+'5.4.a. sz mell'!J50+'5.5.a. sz. mell.'!J54+'5.6.a. sz. mell'!J54+'5.7.a. sz. mell.'!J54+'5.8.a. sz. mell.'!J49+'5.9.a. sz. mell'!J49+'5.10.a.sz. mell'!J47+'5.2.a. sz. mell.'!J53)</f>
        <v>0</v>
      </c>
      <c r="K50" s="1415">
        <f t="shared" si="1"/>
        <v>0</v>
      </c>
      <c r="L50" s="56">
        <f>SUM('5.1.a. sz. mell.'!L53+'5.3.a. sz. mell'!L50+'5.4.a. sz mell'!L50+'5.5.a. sz. mell.'!L54+'5.6.a. sz. mell'!L54+'5.7.a. sz. mell.'!L54+'5.8.a. sz. mell.'!L49+'5.9.a. sz. mell'!L49+'5.10.a.sz. mell'!L47+'5.2.a. sz. mell.'!L53)</f>
        <v>0</v>
      </c>
      <c r="M50" s="56">
        <f>SUM('5.1.a. sz. mell.'!M53+'5.3.a. sz. mell'!M50+'5.4.a. sz mell'!M50+'5.5.a. sz. mell.'!M54+'5.6.a. sz. mell'!M54+'5.7.a. sz. mell.'!M54+'5.8.a. sz. mell.'!M49+'5.9.a. sz. mell'!M49+'5.10.a.sz. mell'!M47+'5.2.a. sz. mell.'!M53)</f>
        <v>0</v>
      </c>
    </row>
    <row r="51" spans="1:13" ht="15" customHeight="1" thickBot="1" x14ac:dyDescent="0.25">
      <c r="A51" s="142"/>
      <c r="B51" s="176" t="s">
        <v>160</v>
      </c>
      <c r="C51" s="55" t="s">
        <v>161</v>
      </c>
      <c r="D51" s="56" t="e">
        <f>SUM(#REF!+'5.9. sz. mell.'!D50)</f>
        <v>#REF!</v>
      </c>
      <c r="E51" s="57" t="e">
        <f>SUM(#REF!+'5.9. sz. mell.'!E50)</f>
        <v>#REF!</v>
      </c>
      <c r="F51" s="1168"/>
      <c r="G51" s="1415">
        <f t="shared" si="3"/>
        <v>0</v>
      </c>
      <c r="H51" s="1168">
        <f>SUM('5.1.a. sz. mell.'!H55+'5.2.a. sz. mell.'!H55+'5.3.a. sz. mell'!H51+'5.4.a. sz mell'!H51+'5.5.a. sz. mell.'!H55+'5.6.a. sz. mell'!H55+'5.7.a. sz. mell.'!H55+'5.8.a. sz. mell.'!H50+'5.9.a. sz. mell'!H50+'5.10.a.sz. mell'!H48+'5.2.a. sz. mell.'!H54)</f>
        <v>0</v>
      </c>
      <c r="I51" s="1415">
        <f t="shared" si="3"/>
        <v>0</v>
      </c>
      <c r="J51" s="1168">
        <f>SUM('5.1.a. sz. mell.'!J55+'5.2.a. sz. mell.'!J55+'5.3.a. sz. mell'!J51+'5.4.a. sz mell'!J51+'5.5.a. sz. mell.'!J55+'5.6.a. sz. mell'!J55+'5.7.a. sz. mell.'!J55+'5.8.a. sz. mell.'!J50+'5.9.a. sz. mell'!J50+'5.10.a.sz. mell'!J48+'5.2.a. sz. mell.'!J54)</f>
        <v>0</v>
      </c>
      <c r="K51" s="1415">
        <f t="shared" si="1"/>
        <v>0</v>
      </c>
      <c r="L51" s="1168">
        <f>SUM('5.1.a. sz. mell.'!L55+'5.2.a. sz. mell.'!L55+'5.3.a. sz. mell'!L51+'5.4.a. sz mell'!L51+'5.5.a. sz. mell.'!L55+'5.6.a. sz. mell'!L55+'5.7.a. sz. mell.'!L55+'5.8.a. sz. mell.'!L50+'5.9.a. sz. mell'!L50+'5.10.a.sz. mell'!L48+'5.2.a. sz. mell.'!L54)</f>
        <v>0</v>
      </c>
      <c r="M51" s="1168">
        <f>SUM('5.1.a. sz. mell.'!M55+'5.2.a. sz. mell.'!M55+'5.3.a. sz. mell'!M51+'5.4.a. sz mell'!M51+'5.5.a. sz. mell.'!M55+'5.6.a. sz. mell'!M55+'5.7.a. sz. mell.'!M55+'5.8.a. sz. mell.'!M50+'5.9.a. sz. mell'!M50+'5.10.a.sz. mell'!M48+'5.2.a. sz. mell.'!M54)</f>
        <v>0</v>
      </c>
    </row>
    <row r="52" spans="1:13" ht="15" customHeight="1" thickBot="1" x14ac:dyDescent="0.25">
      <c r="A52" s="134" t="s">
        <v>17</v>
      </c>
      <c r="B52" s="170"/>
      <c r="C52" s="171" t="s">
        <v>443</v>
      </c>
      <c r="D52" s="64">
        <f>SUM(D53:D55)</f>
        <v>0</v>
      </c>
      <c r="E52" s="64" t="e">
        <f>SUM(E53:E55)</f>
        <v>#REF!</v>
      </c>
      <c r="F52" s="64">
        <f>SUM(F53:F55)</f>
        <v>11659100</v>
      </c>
      <c r="G52" s="1382">
        <f>SUM(H52-F52)</f>
        <v>4364460</v>
      </c>
      <c r="H52" s="64">
        <f>SUM(H53:H55)</f>
        <v>16023560</v>
      </c>
      <c r="I52" s="1374">
        <f>SUM(J52-H52)</f>
        <v>1054351</v>
      </c>
      <c r="J52" s="64">
        <f>SUM(J53:J55)</f>
        <v>17077911</v>
      </c>
      <c r="K52" s="1374">
        <f t="shared" si="1"/>
        <v>0</v>
      </c>
      <c r="L52" s="64">
        <f>SUM(L53:L55)</f>
        <v>17077911</v>
      </c>
      <c r="M52" s="64">
        <f>SUM(M53:M55)</f>
        <v>16940781</v>
      </c>
    </row>
    <row r="53" spans="1:13" s="172" customFormat="1" ht="15" customHeight="1" x14ac:dyDescent="0.2">
      <c r="A53" s="173"/>
      <c r="B53" s="267" t="s">
        <v>5</v>
      </c>
      <c r="C53" s="251" t="s">
        <v>183</v>
      </c>
      <c r="D53" s="50"/>
      <c r="E53" s="50" t="e">
        <f>'5.1. sz. mell. '!E45+'5.2. sz. mell.  '!E57+'5.3 sz. mell'!E53+'5.4. sz mell'!E53+'5.5. sz. mell.  '!E57+'5.6. sz. mell'!E57+'5.7. sz. mell.'!E58+'5.8. sz. mell.'!E52+#REF!+'5.9. sz. mell.'!E52+'5.10 sz. mell '!E51</f>
        <v>#REF!</v>
      </c>
      <c r="F53" s="50">
        <f>SUM('5.1.a. sz. mell.'!F57+'5.2.a. sz. mell.'!F57+'5.3.a. sz. mell'!F53+'5.4.a. sz mell'!F53+'5.5.a. sz. mell.'!F57+'5.6.a. sz. mell'!F57+'5.7.a. sz. mell.'!F58+'5.8.a. sz. mell.'!F52+'5.9.a. sz. mell'!F52+'5.10.a.sz. mell'!F50)</f>
        <v>11659100</v>
      </c>
      <c r="G53" s="1415">
        <f t="shared" si="3"/>
        <v>3484460</v>
      </c>
      <c r="H53" s="50">
        <f>SUM('5.1.a. sz. mell.'!H57+'5.2.a. sz. mell.'!H57+'5.3.a. sz. mell'!H53+'5.4.a. sz mell'!H53+'5.5.a. sz. mell.'!H57+'5.6.a. sz. mell'!H57+'5.7.a. sz. mell.'!H58+'5.8.a. sz. mell.'!H52+'5.9.a. sz. mell'!H52+'5.10.a.sz. mell'!H50)</f>
        <v>15143560</v>
      </c>
      <c r="I53" s="1415">
        <f t="shared" si="3"/>
        <v>-1107933</v>
      </c>
      <c r="J53" s="50">
        <f>SUM('5.1.a. sz. mell.'!J57+'5.2.a. sz. mell.'!J57+'5.3.a. sz. mell'!J53+'5.4.a. sz mell'!J53+'5.5.a. sz. mell.'!J57+'5.6.a. sz. mell'!J57+'5.7.a. sz. mell.'!J58+'5.8.a. sz. mell.'!J52+'5.9.a. sz. mell'!J52+'5.10.a.sz. mell'!J50)</f>
        <v>14035627</v>
      </c>
      <c r="K53" s="1415">
        <f t="shared" si="1"/>
        <v>0</v>
      </c>
      <c r="L53" s="50">
        <f>SUM('5.1.a. sz. mell.'!L57+'5.2.a. sz. mell.'!L57+'5.3.a. sz. mell'!L53+'5.4.a. sz mell'!L53+'5.5.a. sz. mell.'!L57+'5.6.a. sz. mell'!L57+'5.7.a. sz. mell.'!L58+'5.8.a. sz. mell.'!L52+'5.9.a. sz. mell'!L52+'5.10.a.sz. mell'!L50)</f>
        <v>14035627</v>
      </c>
      <c r="M53" s="50">
        <f>SUM('5.1.a. sz. mell.'!M57+'5.2.a. sz. mell.'!M57+'5.3.a. sz. mell'!M53+'5.4.a. sz mell'!M53+'5.5.a. sz. mell.'!M57+'5.6.a. sz. mell'!M57+'5.7.a. sz. mell.'!M58+'5.8.a. sz. mell.'!M52+'5.9.a. sz. mell'!M52+'5.10.a.sz. mell'!M50)</f>
        <v>13898497</v>
      </c>
    </row>
    <row r="54" spans="1:13" ht="15" customHeight="1" x14ac:dyDescent="0.2">
      <c r="A54" s="142"/>
      <c r="B54" s="253" t="s">
        <v>7</v>
      </c>
      <c r="C54" s="55" t="s">
        <v>185</v>
      </c>
      <c r="D54" s="56"/>
      <c r="E54" s="50" t="e">
        <f>'5.1. sz. mell. '!E46+'5.2. sz. mell.  '!E58+'5.3 sz. mell'!E54+'5.4. sz mell'!E54+'5.5. sz. mell.  '!E58+'5.6. sz. mell'!E58+'5.7. sz. mell.'!E59+'5.8. sz. mell.'!E53+#REF!+'5.9. sz. mell.'!E53+'5.10 sz. mell '!E52</f>
        <v>#REF!</v>
      </c>
      <c r="F54" s="50">
        <f>SUM('5.1.a. sz. mell.'!F58+'5.2.a. sz. mell.'!F58+'5.3.a. sz. mell'!F54+'5.4.a. sz mell'!F54+'5.5.a. sz. mell.'!F58+'5.6.a. sz. mell'!F58+'5.7.a. sz. mell.'!F59+'5.8.a. sz. mell.'!F53+'5.9.a. sz. mell'!F53+'5.10.a.sz. mell'!F51)</f>
        <v>0</v>
      </c>
      <c r="G54" s="1415">
        <f t="shared" si="3"/>
        <v>880000</v>
      </c>
      <c r="H54" s="50">
        <f>SUM('5.1.a. sz. mell.'!H58+'5.2.a. sz. mell.'!H58+'5.3.a. sz. mell'!H54+'5.4.a. sz mell'!H54+'5.5.a. sz. mell.'!H58+'5.6.a. sz. mell'!H58+'5.7.a. sz. mell.'!H59+'5.8.a. sz. mell.'!H53+'5.9.a. sz. mell'!H53+'5.10.a.sz. mell'!H51)</f>
        <v>880000</v>
      </c>
      <c r="I54" s="1415">
        <f t="shared" si="3"/>
        <v>2162284</v>
      </c>
      <c r="J54" s="50">
        <f>SUM('5.1.a. sz. mell.'!J58+'5.2.a. sz. mell.'!J58+'5.3.a. sz. mell'!J54+'5.4.a. sz mell'!J54+'5.5.a. sz. mell.'!J58+'5.6.a. sz. mell'!J58+'5.7.a. sz. mell.'!J59+'5.8.a. sz. mell.'!J53+'5.9.a. sz. mell'!J53+'5.10.a.sz. mell'!J51)</f>
        <v>3042284</v>
      </c>
      <c r="K54" s="1415">
        <f t="shared" si="1"/>
        <v>0</v>
      </c>
      <c r="L54" s="50">
        <f>SUM('5.1.a. sz. mell.'!L58+'5.2.a. sz. mell.'!L58+'5.3.a. sz. mell'!L54+'5.4.a. sz mell'!L54+'5.5.a. sz. mell.'!L58+'5.6.a. sz. mell'!L58+'5.7.a. sz. mell.'!L59+'5.8.a. sz. mell.'!L53+'5.9.a. sz. mell'!L53+'5.10.a.sz. mell'!L51)</f>
        <v>3042284</v>
      </c>
      <c r="M54" s="50">
        <f>SUM('5.1.a. sz. mell.'!M58+'5.2.a. sz. mell.'!M58+'5.3.a. sz. mell'!M54+'5.4.a. sz mell'!M54+'5.5.a. sz. mell.'!M58+'5.6.a. sz. mell'!M58+'5.7.a. sz. mell.'!M59+'5.8.a. sz. mell.'!M53+'5.9.a. sz. mell'!M53+'5.10.a.sz. mell'!M51)</f>
        <v>3042284</v>
      </c>
    </row>
    <row r="55" spans="1:13" ht="15.75" customHeight="1" thickBot="1" x14ac:dyDescent="0.25">
      <c r="A55" s="151"/>
      <c r="B55" s="2676" t="s">
        <v>9</v>
      </c>
      <c r="C55" s="2376" t="s">
        <v>444</v>
      </c>
      <c r="D55" s="60"/>
      <c r="E55" s="60"/>
      <c r="F55" s="60"/>
      <c r="G55" s="1415">
        <f t="shared" si="3"/>
        <v>0</v>
      </c>
      <c r="H55" s="50">
        <f>SUM('5.1.a. sz. mell.'!H59+'5.2.a. sz. mell.'!H59+'5.3.a. sz. mell'!H55+'5.4.a. sz mell'!H55+'5.5.a. sz. mell.'!H59+'5.6.a. sz. mell'!H59+'5.7.a. sz. mell.'!H60+'5.8.a. sz. mell.'!H54+'5.9.a. sz. mell'!H54+'5.10.a.sz. mell'!H52)</f>
        <v>0</v>
      </c>
      <c r="I55" s="1415">
        <f t="shared" si="3"/>
        <v>0</v>
      </c>
      <c r="J55" s="50">
        <f>SUM('5.1.a. sz. mell.'!J59+'5.2.a. sz. mell.'!J59+'5.3.a. sz. mell'!J55+'5.4.a. sz mell'!J55+'5.5.a. sz. mell.'!J59+'5.6.a. sz. mell'!J59+'5.7.a. sz. mell.'!J60+'5.8.a. sz. mell.'!J54+'5.9.a. sz. mell'!J54+'5.10.a.sz. mell'!J52)</f>
        <v>0</v>
      </c>
      <c r="K55" s="1415">
        <f t="shared" si="1"/>
        <v>0</v>
      </c>
      <c r="L55" s="50">
        <f>SUM('5.1.a. sz. mell.'!L59+'5.2.a. sz. mell.'!L59+'5.3.a. sz. mell'!L55+'5.4.a. sz mell'!L55+'5.5.a. sz. mell.'!L59+'5.6.a. sz. mell'!L59+'5.7.a. sz. mell.'!L60+'5.8.a. sz. mell.'!L54+'5.9.a. sz. mell'!L54+'5.10.a.sz. mell'!L52)</f>
        <v>0</v>
      </c>
      <c r="M55" s="56"/>
    </row>
    <row r="56" spans="1:13" ht="15" hidden="1" customHeight="1" thickBot="1" x14ac:dyDescent="0.25">
      <c r="A56" s="178"/>
      <c r="B56" s="2748"/>
      <c r="C56" s="2749"/>
      <c r="D56" s="2750"/>
      <c r="E56" s="2750"/>
      <c r="F56" s="2750"/>
      <c r="G56" s="2747"/>
      <c r="H56" s="300"/>
      <c r="I56" s="1526"/>
      <c r="J56" s="300"/>
      <c r="K56" s="1526"/>
      <c r="L56" s="300"/>
      <c r="M56" s="300"/>
    </row>
    <row r="57" spans="1:13" s="145" customFormat="1" ht="12.75" hidden="1" customHeight="1" x14ac:dyDescent="0.2">
      <c r="A57" s="134" t="s">
        <v>45</v>
      </c>
      <c r="B57" s="170"/>
      <c r="C57" s="301" t="s">
        <v>459</v>
      </c>
      <c r="D57" s="155"/>
      <c r="E57" s="155"/>
      <c r="F57" s="155"/>
      <c r="G57" s="1381"/>
      <c r="H57" s="155"/>
      <c r="I57" s="1380"/>
      <c r="J57" s="155"/>
      <c r="K57" s="1380"/>
      <c r="L57" s="155"/>
      <c r="M57" s="155"/>
    </row>
    <row r="58" spans="1:13" ht="15" customHeight="1" thickBot="1" x14ac:dyDescent="0.25">
      <c r="A58" s="134" t="s">
        <v>31</v>
      </c>
      <c r="B58" s="160"/>
      <c r="C58" s="274" t="s">
        <v>446</v>
      </c>
      <c r="D58" s="162" t="e">
        <f>+D46+D52+D56</f>
        <v>#REF!</v>
      </c>
      <c r="E58" s="162" t="e">
        <f>+E46+E52+E56</f>
        <v>#NAME?</v>
      </c>
      <c r="F58" s="162">
        <f>+F46+F52+F56+F57</f>
        <v>1156115630</v>
      </c>
      <c r="G58" s="1437">
        <f>SUM(H58-F58)</f>
        <v>57004018</v>
      </c>
      <c r="H58" s="162">
        <f>+H46+H52+H56+H57</f>
        <v>1213119648</v>
      </c>
      <c r="I58" s="1373">
        <f>SUM(J58-H58)</f>
        <v>-7388886</v>
      </c>
      <c r="J58" s="162">
        <f>+J46+J52+J56+J57</f>
        <v>1205730762</v>
      </c>
      <c r="K58" s="1373">
        <f>SUM(L58-J58)</f>
        <v>0</v>
      </c>
      <c r="L58" s="162">
        <f>+L46+L52+L56+L57</f>
        <v>1205730762</v>
      </c>
      <c r="M58" s="162">
        <f>+M46+M52+M56+M57</f>
        <v>1203035627</v>
      </c>
    </row>
    <row r="59" spans="1:13" ht="15" customHeight="1" thickBot="1" x14ac:dyDescent="0.25">
      <c r="A59" s="276" t="s">
        <v>324</v>
      </c>
      <c r="B59" s="277"/>
      <c r="C59" s="278"/>
      <c r="D59" s="200" t="e">
        <f>SUM(#REF!+#REF!+#REF!+#REF!+#REF!+#REF!+'5.1. sz. mell. '!D53+'5.2. sz. mell.  '!D65+'5.3 sz. mell'!D61+'5.4. sz mell'!D61+'5.5. sz. mell.  '!D65+'5.6. sz. mell'!D65+'5.7. sz. mell.'!D68+'5.8. sz. mell.'!D57+#REF!+'5.9. sz. mell.'!D57+'5.10 sz. mell '!D56)</f>
        <v>#REF!</v>
      </c>
      <c r="E59" s="200" t="e">
        <f>SUM(#REF!+#REF!+#REF!+#REF!+#REF!+#REF!+'5.1. sz. mell. '!E53+'5.2. sz. mell.  '!E65+'5.3 sz. mell'!E61+'5.4. sz mell'!E61+'5.5. sz. mell.  '!E65+'5.6. sz. mell'!E65+'5.7. sz. mell.'!E68+'5.8. sz. mell.'!E57+#REF!+'5.9. sz. mell.'!E57+'5.10 sz. mell '!E56)</f>
        <v>#REF!</v>
      </c>
      <c r="F59" s="2461">
        <f>SUM('5.1.a. sz. mell.'!F64+'5.2.a. sz. mell.'!F65+'5.3.a. sz. mell'!F61+'5.4.a. sz mell'!F61+'5.5.a. sz. mell.'!F65+'5.6.a. sz. mell'!F65+'5.7.a. sz. mell.'!F67+'5.8.a. sz. mell.'!F57+'5.9.a. sz. mell'!F57+'5.10.a.sz. mell'!F55)</f>
        <v>202.75</v>
      </c>
      <c r="G59" s="1652"/>
      <c r="H59" s="50">
        <f>SUM('5.1.a. sz. mell.'!H64+'5.2.a. sz. mell.'!H65+'5.3.a. sz. mell'!H61+'5.4.a. sz mell'!H61+'5.5.a. sz. mell.'!H65+'5.6.a. sz. mell'!H65+'5.7.a. sz. mell.'!H67+'5.8.a. sz. mell.'!H57+'5.9.a. sz. mell'!H57+'5.10.a.sz. mell'!H55)</f>
        <v>202.75</v>
      </c>
      <c r="I59" s="1524"/>
      <c r="J59" s="50">
        <f>SUM('5.1.a. sz. mell.'!J64+'5.2.a. sz. mell.'!J65+'5.3.a. sz. mell'!J61+'5.4.a. sz mell'!J61+'5.5.a. sz. mell.'!J65+'5.6.a. sz. mell'!J65+'5.7.a. sz. mell.'!J67+'5.8.a. sz. mell.'!J57+'5.9.a. sz. mell'!J57+'5.10.a.sz. mell'!J55)</f>
        <v>210.75</v>
      </c>
      <c r="K59" s="1524"/>
      <c r="L59" s="50">
        <f>SUM('5.1.a. sz. mell.'!L64+'5.2.a. sz. mell.'!L65+'5.3.a. sz. mell'!L61+'5.4.a. sz mell'!L61+'5.5.a. sz. mell.'!L65+'5.6.a. sz. mell'!L65+'5.7.a. sz. mell.'!L67+'5.8.a. sz. mell.'!L57+'5.9.a. sz. mell'!L57+'5.10.a.sz. mell'!L55)</f>
        <v>210.75</v>
      </c>
      <c r="M59" s="50">
        <f>SUM('5.1.a. sz. mell.'!M64+'5.2.a. sz. mell.'!M65+'5.3.a. sz. mell'!M61+'5.4.a. sz mell'!M61+'5.5.a. sz. mell.'!M65+'5.6.a. sz. mell'!M65+'5.7.a. sz. mell.'!M67+'5.8.a. sz. mell.'!M57+'5.9.a. sz. mell'!M57+'5.10.a.sz. mell'!M55)</f>
        <v>210.75</v>
      </c>
    </row>
    <row r="60" spans="1:13" ht="15" customHeight="1" thickBot="1" x14ac:dyDescent="0.25">
      <c r="A60" s="276" t="s">
        <v>325</v>
      </c>
      <c r="B60" s="277"/>
      <c r="C60" s="278"/>
      <c r="D60" s="202"/>
      <c r="E60" s="202"/>
      <c r="F60" s="202"/>
      <c r="G60" s="2451"/>
      <c r="H60" s="202"/>
      <c r="I60" s="1527"/>
      <c r="J60" s="202"/>
      <c r="K60" s="1527"/>
      <c r="L60" s="202"/>
      <c r="M60" s="202"/>
    </row>
    <row r="62" spans="1:13" x14ac:dyDescent="0.2">
      <c r="F62" s="92">
        <f>SUM(F43-F58)</f>
        <v>0</v>
      </c>
      <c r="G62" s="92">
        <f t="shared" ref="G62:M62" si="4">SUM(G43-G58)</f>
        <v>-1400000</v>
      </c>
      <c r="H62" s="92">
        <f t="shared" si="4"/>
        <v>-1400000</v>
      </c>
      <c r="I62" s="92">
        <f t="shared" si="4"/>
        <v>1400000</v>
      </c>
      <c r="J62" s="92">
        <f t="shared" si="4"/>
        <v>0</v>
      </c>
      <c r="K62" s="92">
        <f t="shared" si="4"/>
        <v>0</v>
      </c>
      <c r="L62" s="92">
        <f t="shared" si="4"/>
        <v>0</v>
      </c>
      <c r="M62" s="92">
        <f t="shared" si="4"/>
        <v>2722907</v>
      </c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5748031496062992" right="0.15748031496062992" top="0.31496062992125984" bottom="0.39370078740157483" header="0.51181102362204722" footer="0.15748031496062992"/>
  <pageSetup paperSize="9" scale="69" firstPageNumber="41" orientation="portrait" useFirstPageNumber="1" r:id="rId1"/>
  <headerFooter>
    <oddFooter>&amp;C-&amp;P -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61"/>
  <sheetViews>
    <sheetView view="pageBreakPreview" topLeftCell="A40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7.6640625" style="114" customWidth="1"/>
    <col min="2" max="2" width="9.6640625" style="115" customWidth="1"/>
    <col min="3" max="3" width="61.6640625" style="115" customWidth="1"/>
    <col min="4" max="5" width="9.33203125" style="115" hidden="1" customWidth="1"/>
    <col min="6" max="6" width="14.6640625" style="115" customWidth="1"/>
    <col min="7" max="7" width="15" style="1390" hidden="1" customWidth="1"/>
    <col min="8" max="8" width="12.83203125" style="115" hidden="1" customWidth="1"/>
    <col min="9" max="9" width="12.6640625" style="1390" hidden="1" customWidth="1"/>
    <col min="10" max="10" width="16.33203125" style="115" customWidth="1"/>
    <col min="11" max="11" width="16.1640625" style="1390" customWidth="1"/>
    <col min="12" max="12" width="14.5" style="115" customWidth="1"/>
    <col min="13" max="13" width="15.1640625" style="115" customWidth="1"/>
    <col min="14" max="14" width="9.83203125" style="115" customWidth="1"/>
    <col min="15" max="15" width="14.6640625" style="115" customWidth="1"/>
    <col min="16" max="16" width="15.1640625" style="115" customWidth="1"/>
    <col min="17" max="16384" width="9.33203125" style="115"/>
  </cols>
  <sheetData>
    <row r="1" spans="1:16" s="95" customFormat="1" ht="14.25" customHeight="1" thickBot="1" x14ac:dyDescent="0.25">
      <c r="A1" s="240"/>
      <c r="B1" s="241"/>
      <c r="C1" s="4494" t="s">
        <v>461</v>
      </c>
      <c r="D1" s="4494"/>
      <c r="E1" s="4494"/>
      <c r="F1" s="4494"/>
      <c r="G1" s="4494"/>
      <c r="H1" s="4494"/>
      <c r="I1" s="4494"/>
      <c r="J1" s="4494"/>
      <c r="K1" s="4494"/>
      <c r="L1" s="4494"/>
      <c r="M1" s="4494"/>
      <c r="N1" s="441"/>
      <c r="O1" s="441"/>
      <c r="P1" s="441"/>
    </row>
    <row r="2" spans="1:16" s="120" customFormat="1" ht="53.25" customHeight="1" thickBot="1" x14ac:dyDescent="0.25">
      <c r="A2" s="4516" t="s">
        <v>411</v>
      </c>
      <c r="B2" s="4516"/>
      <c r="C2" s="117" t="s">
        <v>457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1948</v>
      </c>
    </row>
    <row r="3" spans="1:16" s="120" customFormat="1" ht="30" customHeight="1" thickBot="1" x14ac:dyDescent="0.25">
      <c r="A3" s="4506" t="s">
        <v>283</v>
      </c>
      <c r="B3" s="4506"/>
      <c r="C3" s="204" t="s">
        <v>327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6" s="123" customFormat="1" ht="13.5" customHeight="1" thickBot="1" x14ac:dyDescent="0.3">
      <c r="A4" s="1300"/>
      <c r="B4" s="1301"/>
      <c r="C4" s="1301"/>
      <c r="D4" s="4518"/>
      <c r="E4" s="4518"/>
      <c r="F4" s="4519"/>
      <c r="G4" s="1511"/>
      <c r="H4" s="1445"/>
      <c r="I4" s="1445"/>
      <c r="J4" s="1445"/>
      <c r="K4" s="1445"/>
      <c r="L4" s="1445"/>
      <c r="M4" s="1508" t="s">
        <v>935</v>
      </c>
    </row>
    <row r="5" spans="1:16" ht="21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6" s="129" customFormat="1" ht="12.9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6" s="129" customFormat="1" ht="15.9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6" s="141" customFormat="1" ht="15" customHeight="1" thickBot="1" x14ac:dyDescent="0.25">
      <c r="A8" s="134" t="s">
        <v>3</v>
      </c>
      <c r="B8" s="148"/>
      <c r="C8" s="247" t="s">
        <v>413</v>
      </c>
      <c r="D8" s="137" t="e">
        <f>SUM(D9:D18)</f>
        <v>#REF!</v>
      </c>
      <c r="E8" s="137" t="e">
        <f>SUM(E9:E18)</f>
        <v>#REF!</v>
      </c>
      <c r="F8" s="137">
        <f>SUM(F9:F19)</f>
        <v>18469000</v>
      </c>
      <c r="G8" s="1382">
        <f>SUM(H8-F8)</f>
        <v>0</v>
      </c>
      <c r="H8" s="137">
        <f>SUM(H9:H19)</f>
        <v>18469000</v>
      </c>
      <c r="I8" s="1374">
        <f>SUM(J8-H8)</f>
        <v>-743128</v>
      </c>
      <c r="J8" s="137">
        <f>SUM(J9:J19)</f>
        <v>17725872</v>
      </c>
      <c r="K8" s="1374">
        <f>SUM(L8-J8)</f>
        <v>0</v>
      </c>
      <c r="L8" s="137">
        <f>SUM(L9:L19)</f>
        <v>17725872</v>
      </c>
      <c r="M8" s="137">
        <f>SUM(M9:M19)</f>
        <v>17365957</v>
      </c>
    </row>
    <row r="9" spans="1:16" s="141" customFormat="1" ht="15" customHeight="1" x14ac:dyDescent="0.2">
      <c r="A9" s="149"/>
      <c r="B9" s="143" t="s">
        <v>152</v>
      </c>
      <c r="C9" s="249" t="s">
        <v>48</v>
      </c>
      <c r="D9" s="150" t="e">
        <f>SUM(#REF!+#REF!+#REF!+#REF!+#REF!+#REF!+'5.1. sz. mell. '!D9+'5.2. sz. mell.  '!D9+'5.3 sz. mell'!D9+'5.4. sz mell'!D9+'5.5. sz. mell.  '!D9+'5.6. sz. mell'!D9+'5.7. sz. mell.'!D9+'5.8. sz. mell.'!D9+#REF!+'5.9. sz. mell.'!D9+'5.10 sz. mell '!D9)</f>
        <v>#REF!</v>
      </c>
      <c r="E9" s="150" t="e">
        <f>SUM(#REF!+#REF!+#REF!+#REF!+#REF!+#REF!+'5.1. sz. mell. '!E9+'5.2. sz. mell.  '!E9+'5.3 sz. mell'!E9+'5.4. sz mell'!E9+'5.5. sz. mell.  '!E9+'5.6. sz. mell'!E9+'5.7. sz. mell.'!E9+'5.8. sz. mell.'!E9+#REF!+'5.9. sz. mell.'!E9+'5.10 sz. mell '!E9)</f>
        <v>#REF!</v>
      </c>
      <c r="F9" s="150"/>
      <c r="G9" s="1533"/>
      <c r="H9" s="150"/>
      <c r="I9" s="1375"/>
      <c r="J9" s="150"/>
      <c r="K9" s="1375"/>
      <c r="L9" s="150"/>
      <c r="M9" s="150"/>
    </row>
    <row r="10" spans="1:16" s="141" customFormat="1" ht="15" customHeight="1" x14ac:dyDescent="0.2">
      <c r="A10" s="142"/>
      <c r="B10" s="143" t="s">
        <v>154</v>
      </c>
      <c r="C10" s="55" t="s">
        <v>50</v>
      </c>
      <c r="D10" s="144" t="e">
        <f>SUM(#REF!+#REF!+#REF!+#REF!+#REF!+#REF!+'5.1. sz. mell. '!D10+'5.2. sz. mell.  '!D10+'5.3 sz. mell'!D10+'5.4. sz mell'!D10+'5.5. sz. mell.  '!D10+'5.6. sz. mell'!D10+'5.7. sz. mell.'!D10+'5.8. sz. mell.'!D10+#REF!+'5.9. sz. mell.'!D10+'5.10 sz. mell '!D10)</f>
        <v>#REF!</v>
      </c>
      <c r="E10" s="144" t="e">
        <f>SUM(#REF!+#REF!+#REF!+#REF!+#REF!+#REF!+'5.1. sz. mell. '!E10+'5.2. sz. mell.  '!E10+'5.3 sz. mell'!E10+'5.4. sz mell'!E10+'5.5. sz. mell.  '!E10+'5.6. sz. mell'!E10+'5.7. sz. mell.'!E10+'5.8. sz. mell.'!E10+#REF!+'5.9. sz. mell.'!E10+'5.10 sz. mell '!E10)</f>
        <v>#REF!</v>
      </c>
      <c r="F10" s="144">
        <f>SUM('5.9.b. sz. mell.'!F10+'5.10.b. sz. mell'!F10)</f>
        <v>14780000</v>
      </c>
      <c r="G10" s="1415">
        <f>SUM(H10-F10)</f>
        <v>1293900</v>
      </c>
      <c r="H10" s="144">
        <f>SUM('5.9.b. sz. mell.'!H10+'5.10.b. sz. mell'!H10)</f>
        <v>16073900</v>
      </c>
      <c r="I10" s="1376">
        <f>SUM(J10-H10)</f>
        <v>-743433</v>
      </c>
      <c r="J10" s="144">
        <f>SUM('5.9.b. sz. mell.'!J10+'5.10.b. sz. mell'!J10)</f>
        <v>15330467</v>
      </c>
      <c r="K10" s="1376">
        <f>SUM(L10-J10)</f>
        <v>0</v>
      </c>
      <c r="L10" s="144">
        <f>SUM('5.9.b. sz. mell.'!L10+'5.10.b. sz. mell'!L10)</f>
        <v>15330467</v>
      </c>
      <c r="M10" s="144">
        <f>SUM('5.9.b. sz. mell.'!M10+'5.10.b. sz. mell'!M10)</f>
        <v>15067060</v>
      </c>
    </row>
    <row r="11" spans="1:16" s="141" customFormat="1" ht="15" customHeight="1" x14ac:dyDescent="0.2">
      <c r="A11" s="142"/>
      <c r="B11" s="143" t="s">
        <v>156</v>
      </c>
      <c r="C11" s="55" t="s">
        <v>414</v>
      </c>
      <c r="D11" s="144" t="e">
        <f>SUM(#REF!+#REF!+#REF!+#REF!+#REF!+#REF!+'5.1. sz. mell. '!D11+'5.2. sz. mell.  '!D11+'5.3 sz. mell'!D11+'5.4. sz mell'!D11+'5.5. sz. mell.  '!D11+'5.6. sz. mell'!D11+'5.7. sz. mell.'!D11+'5.8. sz. mell.'!D11+#REF!+'5.9. sz. mell.'!D11+'5.10 sz. mell '!D11)</f>
        <v>#REF!</v>
      </c>
      <c r="E11" s="144" t="e">
        <f>SUM(#REF!+#REF!+#REF!+#REF!+#REF!+#REF!+'5.1. sz. mell. '!E11+'5.2. sz. mell.  '!E11+'5.3 sz. mell'!E11+'5.4. sz mell'!E11+'5.5. sz. mell.  '!E11+'5.6. sz. mell'!E11+'5.7. sz. mell.'!E11+'5.8. sz. mell.'!E11+#REF!+'5.9. sz. mell.'!E11+'5.10 sz. mell '!E11)</f>
        <v>#REF!</v>
      </c>
      <c r="F11" s="144">
        <f>SUM('5.10.b. sz. mell'!F11)</f>
        <v>1364000</v>
      </c>
      <c r="G11" s="1415">
        <f t="shared" ref="G11:K19" si="0">SUM(H11-F11)</f>
        <v>-1364000</v>
      </c>
      <c r="H11" s="144">
        <f>SUM('5.9.b. sz. mell.'!H11+'5.10.b. sz. mell'!H11)</f>
        <v>0</v>
      </c>
      <c r="I11" s="1376">
        <f t="shared" si="0"/>
        <v>0</v>
      </c>
      <c r="J11" s="144">
        <f>SUM('5.9.b. sz. mell.'!J11+'5.10.b. sz. mell'!J11)</f>
        <v>0</v>
      </c>
      <c r="K11" s="1376">
        <f t="shared" si="0"/>
        <v>0</v>
      </c>
      <c r="L11" s="144">
        <f>SUM('5.9.b. sz. mell.'!L11+'5.10.b. sz. mell'!L11)</f>
        <v>0</v>
      </c>
      <c r="M11" s="144">
        <f>SUM('5.9.b. sz. mell.'!M11+'5.10.b. sz. mell'!M11)</f>
        <v>0</v>
      </c>
    </row>
    <row r="12" spans="1:16" s="141" customFormat="1" ht="15" customHeight="1" x14ac:dyDescent="0.2">
      <c r="A12" s="142"/>
      <c r="B12" s="143" t="s">
        <v>158</v>
      </c>
      <c r="C12" s="55" t="s">
        <v>415</v>
      </c>
      <c r="D12" s="144" t="e">
        <f>SUM(#REF!+#REF!+#REF!+#REF!+#REF!+#REF!+'5.1. sz. mell. '!D12+'5.2. sz. mell.  '!D12+'5.3 sz. mell'!D12+'5.4. sz mell'!D12+'5.5. sz. mell.  '!D12+'5.6. sz. mell'!D12+'5.7. sz. mell.'!D12+'5.8. sz. mell.'!D12+#REF!+'5.9. sz. mell.'!D12+'5.10 sz. mell '!D12)</f>
        <v>#REF!</v>
      </c>
      <c r="E12" s="144" t="e">
        <f>SUM(#REF!+#REF!+#REF!+#REF!+#REF!+#REF!+'5.1. sz. mell. '!E12+'5.2. sz. mell.  '!E12+'5.3 sz. mell'!E12+'5.4. sz mell'!E12+'5.5. sz. mell.  '!E12+'5.6. sz. mell'!E12+'5.7. sz. mell.'!E12+'5.8. sz. mell.'!E12+#REF!+'5.9. sz. mell.'!E12+'5.10 sz. mell '!E12)</f>
        <v>#REF!</v>
      </c>
      <c r="F12" s="144">
        <f>SUM('5.9.b. sz. mell.'!F12)</f>
        <v>1400000</v>
      </c>
      <c r="G12" s="1415">
        <f t="shared" si="0"/>
        <v>0</v>
      </c>
      <c r="H12" s="144">
        <f>SUM('5.9.b. sz. mell.'!H12+'5.10.b. sz. mell'!H12)</f>
        <v>1400000</v>
      </c>
      <c r="I12" s="1376">
        <f t="shared" si="0"/>
        <v>32800</v>
      </c>
      <c r="J12" s="144">
        <f>SUM('5.9.b. sz. mell.'!J12+'5.10.b. sz. mell'!J12)</f>
        <v>1432800</v>
      </c>
      <c r="K12" s="1376">
        <f t="shared" si="0"/>
        <v>0</v>
      </c>
      <c r="L12" s="144">
        <f>SUM('5.9.b. sz. mell.'!L12+'5.10.b. sz. mell'!L12)</f>
        <v>1432800</v>
      </c>
      <c r="M12" s="144">
        <f>SUM('5.9.b. sz. mell.'!M12+'5.10.b. sz. mell'!M12)</f>
        <v>1432800</v>
      </c>
    </row>
    <row r="13" spans="1:16" s="141" customFormat="1" ht="15" customHeight="1" x14ac:dyDescent="0.2">
      <c r="A13" s="142"/>
      <c r="B13" s="143" t="s">
        <v>375</v>
      </c>
      <c r="C13" s="250" t="s">
        <v>416</v>
      </c>
      <c r="D13" s="144" t="e">
        <f>SUM(#REF!+#REF!+#REF!+#REF!+#REF!+#REF!+'5.1. sz. mell. '!D13+'5.2. sz. mell.  '!D13+'5.3 sz. mell'!D13+'5.4. sz mell'!D13+'5.5. sz. mell.  '!D13+'5.6. sz. mell'!D13+'5.7. sz. mell.'!D13+'5.8. sz. mell.'!D13+#REF!+'5.9. sz. mell.'!D13+'5.10 sz. mell '!D13)</f>
        <v>#REF!</v>
      </c>
      <c r="E13" s="144" t="e">
        <f>SUM(#REF!+#REF!+#REF!+#REF!+#REF!+#REF!+'5.1. sz. mell. '!E13+'5.2. sz. mell.  '!E13+'5.3 sz. mell'!E13+'5.4. sz mell'!E13+'5.5. sz. mell.  '!E13+'5.6. sz. mell'!E13+'5.7. sz. mell.'!E13+'5.8. sz. mell.'!E13+#REF!+'5.9. sz. mell.'!E13+'5.10 sz. mell '!E13)</f>
        <v>#REF!</v>
      </c>
      <c r="F13" s="144">
        <f>SUM('5.10.b. sz. mell'!F13)</f>
        <v>798000</v>
      </c>
      <c r="G13" s="1415">
        <f t="shared" si="0"/>
        <v>0</v>
      </c>
      <c r="H13" s="144">
        <f>SUM('5.9.b. sz. mell.'!H13+'5.10.b. sz. mell'!H13)</f>
        <v>798000</v>
      </c>
      <c r="I13" s="1376">
        <f t="shared" si="0"/>
        <v>-34502</v>
      </c>
      <c r="J13" s="144">
        <f>SUM('5.9.b. sz. mell.'!J13+'5.10.b. sz. mell'!J13)</f>
        <v>763498</v>
      </c>
      <c r="K13" s="1376">
        <f t="shared" si="0"/>
        <v>0</v>
      </c>
      <c r="L13" s="144">
        <f>SUM('5.9.b. sz. mell.'!L13+'5.10.b. sz. mell'!L13)</f>
        <v>763498</v>
      </c>
      <c r="M13" s="144">
        <f>SUM('5.9.b. sz. mell.'!M13+'5.10.b. sz. mell'!M13)</f>
        <v>666990</v>
      </c>
    </row>
    <row r="14" spans="1:16" s="141" customFormat="1" ht="15" customHeight="1" x14ac:dyDescent="0.2">
      <c r="A14" s="146"/>
      <c r="B14" s="143" t="s">
        <v>162</v>
      </c>
      <c r="C14" s="55" t="s">
        <v>340</v>
      </c>
      <c r="D14" s="144" t="e">
        <f>SUM(#REF!+#REF!+#REF!+#REF!+#REF!+#REF!+'5.1. sz. mell. '!D14+'5.2. sz. mell.  '!D14+'5.3 sz. mell'!D14+'5.4. sz mell'!D14+'5.5. sz. mell.  '!D14+'5.6. sz. mell'!D14+'5.7. sz. mell.'!D14+'5.8. sz. mell.'!D14+#REF!+'5.9. sz. mell.'!D14+'5.10 sz. mell '!D14)</f>
        <v>#REF!</v>
      </c>
      <c r="E14" s="144" t="e">
        <f>SUM(#REF!+#REF!+#REF!+#REF!+#REF!+#REF!+'5.1. sz. mell. '!E14+'5.2. sz. mell.  '!E14+'5.3 sz. mell'!E14+'5.4. sz mell'!E14+'5.5. sz. mell.  '!E14+'5.6. sz. mell'!E14+'5.7. sz. mell.'!E14+'5.8. sz. mell.'!E14+#REF!+'5.9. sz. mell.'!E14+'5.10 sz. mell '!E14)</f>
        <v>#REF!</v>
      </c>
      <c r="F14" s="144">
        <f>SUM('5.10.b. sz. mell'!F14)</f>
        <v>0</v>
      </c>
      <c r="G14" s="1415">
        <f t="shared" si="0"/>
        <v>0</v>
      </c>
      <c r="H14" s="144">
        <f>SUM('5.9.b. sz. mell.'!H14+'5.10.b. sz. mell'!H14)</f>
        <v>0</v>
      </c>
      <c r="I14" s="1376">
        <f t="shared" si="0"/>
        <v>0</v>
      </c>
      <c r="J14" s="144">
        <f>SUM('5.9.b. sz. mell.'!J14+'5.10.b. sz. mell'!J14)</f>
        <v>0</v>
      </c>
      <c r="K14" s="1376">
        <f t="shared" si="0"/>
        <v>0</v>
      </c>
      <c r="L14" s="144">
        <f>SUM('5.9.b. sz. mell.'!L14+'5.10.b. sz. mell'!L14)</f>
        <v>0</v>
      </c>
      <c r="M14" s="144">
        <f>SUM('5.9.b. sz. mell.'!M14+'5.10.b. sz. mell'!M14)</f>
        <v>0</v>
      </c>
    </row>
    <row r="15" spans="1:16" s="145" customFormat="1" ht="15" customHeight="1" x14ac:dyDescent="0.2">
      <c r="A15" s="142"/>
      <c r="B15" s="143" t="s">
        <v>164</v>
      </c>
      <c r="C15" s="55" t="s">
        <v>60</v>
      </c>
      <c r="D15" s="144" t="e">
        <f>SUM(#REF!+#REF!+#REF!+#REF!+#REF!+#REF!+'5.1. sz. mell. '!D15+'5.2. sz. mell.  '!D16+'5.3 sz. mell'!D16+'5.4. sz mell'!D16+'5.5. sz. mell.  '!D16+'5.6. sz. mell'!D16+'5.7. sz. mell.'!D16+'5.8. sz. mell.'!D15+#REF!+'5.9. sz. mell.'!D15+'5.10 sz. mell '!D15)</f>
        <v>#REF!</v>
      </c>
      <c r="E15" s="144" t="e">
        <f>SUM(#REF!+#REF!+#REF!+#REF!+#REF!+#REF!+'5.1. sz. mell. '!E15+'5.2. sz. mell.  '!E16+'5.3 sz. mell'!E16+'5.4. sz mell'!E16+'5.5. sz. mell.  '!E16+'5.6. sz. mell'!E16+'5.7. sz. mell.'!E16+'5.8. sz. mell.'!E15+#REF!+'5.9. sz. mell.'!E15+'5.10 sz. mell '!E15)</f>
        <v>#REF!</v>
      </c>
      <c r="F15" s="144">
        <f>SUM('5.10.b. sz. mell'!F15)</f>
        <v>0</v>
      </c>
      <c r="G15" s="1415">
        <f t="shared" si="0"/>
        <v>0</v>
      </c>
      <c r="H15" s="144">
        <f>SUM('5.9.b. sz. mell.'!H15+'5.10.b. sz. mell'!H15)</f>
        <v>0</v>
      </c>
      <c r="I15" s="1376">
        <f t="shared" si="0"/>
        <v>0</v>
      </c>
      <c r="J15" s="144">
        <f>SUM('5.9.b. sz. mell.'!J15+'5.10.b. sz. mell'!J15)</f>
        <v>0</v>
      </c>
      <c r="K15" s="1376">
        <f t="shared" si="0"/>
        <v>0</v>
      </c>
      <c r="L15" s="144">
        <f>SUM('5.9.b. sz. mell.'!L15+'5.10.b. sz. mell'!L15)</f>
        <v>0</v>
      </c>
      <c r="M15" s="144">
        <f>SUM('5.9.b. sz. mell.'!M15+'5.10.b. sz. mell'!M15)</f>
        <v>0</v>
      </c>
    </row>
    <row r="16" spans="1:16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44">
        <f>SUM('5.10.b. sz. mell'!F16)</f>
        <v>0</v>
      </c>
      <c r="G16" s="1415">
        <f t="shared" si="0"/>
        <v>100</v>
      </c>
      <c r="H16" s="144">
        <f>SUM('5.9.b. sz. mell.'!H16+'5.10.b. sz. mell'!H16)</f>
        <v>100</v>
      </c>
      <c r="I16" s="1376">
        <f t="shared" si="0"/>
        <v>-79</v>
      </c>
      <c r="J16" s="144">
        <f>SUM('5.9.b. sz. mell.'!J16+'5.10.b. sz. mell'!J16)</f>
        <v>21</v>
      </c>
      <c r="K16" s="1376">
        <f t="shared" si="0"/>
        <v>0</v>
      </c>
      <c r="L16" s="144">
        <f>SUM('5.9.b. sz. mell.'!L16+'5.10.b. sz. mell'!L16)</f>
        <v>21</v>
      </c>
      <c r="M16" s="144">
        <f>SUM('5.9.b. sz. mell.'!M16+'5.10.b. sz. mell'!M16)</f>
        <v>21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44">
        <f>SUM('5.10.b. sz. mell'!F17)</f>
        <v>0</v>
      </c>
      <c r="G17" s="1415">
        <f t="shared" si="0"/>
        <v>0</v>
      </c>
      <c r="H17" s="144">
        <f>SUM('5.9.b. sz. mell.'!H17+'5.10.b. sz. mell'!H17)</f>
        <v>0</v>
      </c>
      <c r="I17" s="1376">
        <f t="shared" si="0"/>
        <v>0</v>
      </c>
      <c r="J17" s="144">
        <f>SUM('5.9.b. sz. mell.'!J17+'5.10.b. sz. mell'!J17)</f>
        <v>0</v>
      </c>
      <c r="K17" s="1376">
        <f t="shared" si="0"/>
        <v>0</v>
      </c>
      <c r="L17" s="144">
        <f>SUM('5.9.b. sz. mell.'!L17+'5.10.b. sz. mell'!L17)</f>
        <v>0</v>
      </c>
      <c r="M17" s="144">
        <f>SUM('5.9.b. sz. mell.'!M17+'5.10.b. sz. mell'!M17)</f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294" t="e">
        <f>SUM(#REF!+#REF!+#REF!+#REF!+#REF!+#REF!+'5.1. sz. mell. '!D16+'5.2. sz. mell.  '!D18+'5.3 sz. mell'!D18+'5.4. sz mell'!D18+'5.5. sz. mell.  '!D18+'5.6. sz. mell'!D18+'5.7. sz. mell.'!D18+'5.8. sz. mell.'!D18+#REF!+'5.9. sz. mell.'!D18+'5.10 sz. mell '!D18)</f>
        <v>#REF!</v>
      </c>
      <c r="E18" s="294" t="e">
        <f>SUM(#REF!+#REF!+#REF!+#REF!+#REF!+#REF!+'5.1. sz. mell. '!E16+'5.2. sz. mell.  '!E18+'5.3 sz. mell'!E18+'5.4. sz mell'!E18+'5.5. sz. mell.  '!E18+'5.6. sz. mell'!E18+'5.7. sz. mell.'!E18+'5.8. sz. mell.'!E18+#REF!+'5.9. sz. mell.'!E18+'5.10 sz. mell '!E18)</f>
        <v>#REF!</v>
      </c>
      <c r="F18" s="294">
        <f>SUM('5.9.b. sz. mell.'!F18+'5.10.b. sz. mell'!F18)</f>
        <v>127000</v>
      </c>
      <c r="G18" s="1415">
        <f t="shared" si="0"/>
        <v>70000</v>
      </c>
      <c r="H18" s="144">
        <f>SUM('5.9.b. sz. mell.'!H18+'5.10.b. sz. mell'!H18)</f>
        <v>197000</v>
      </c>
      <c r="I18" s="1376">
        <f t="shared" si="0"/>
        <v>2086</v>
      </c>
      <c r="J18" s="144">
        <f>SUM('5.9.b. sz. mell.'!J18+'5.10.b. sz. mell'!J18)</f>
        <v>199086</v>
      </c>
      <c r="K18" s="1376">
        <f t="shared" si="0"/>
        <v>0</v>
      </c>
      <c r="L18" s="144">
        <f>SUM('5.9.b. sz. mell.'!L18+'5.10.b. sz. mell'!L18)</f>
        <v>199086</v>
      </c>
      <c r="M18" s="144">
        <f>SUM('5.9.b. sz. mell.'!M18+'5.10.b. sz. mell'!M18)</f>
        <v>199086</v>
      </c>
    </row>
    <row r="19" spans="1:13" s="145" customFormat="1" ht="15" customHeight="1" thickBot="1" x14ac:dyDescent="0.25">
      <c r="A19" s="146"/>
      <c r="B19" s="152" t="s">
        <v>170</v>
      </c>
      <c r="C19" s="55" t="s">
        <v>976</v>
      </c>
      <c r="D19" s="320"/>
      <c r="E19" s="320"/>
      <c r="F19" s="147"/>
      <c r="G19" s="1415">
        <f t="shared" si="0"/>
        <v>0</v>
      </c>
      <c r="H19" s="147">
        <f>SUM('5.10.b. sz. mell'!H19)</f>
        <v>0</v>
      </c>
      <c r="I19" s="1376">
        <f t="shared" si="0"/>
        <v>0</v>
      </c>
      <c r="J19" s="147">
        <f>SUM('5.10.b. sz. mell'!J19)</f>
        <v>0</v>
      </c>
      <c r="K19" s="1376">
        <f t="shared" si="0"/>
        <v>0</v>
      </c>
      <c r="L19" s="147">
        <f>SUM('5.10.b. sz. mell'!L19)</f>
        <v>0</v>
      </c>
      <c r="M19" s="147">
        <f>SUM('5.10.b. sz. mell'!M19)</f>
        <v>0</v>
      </c>
    </row>
    <row r="20" spans="1:13" s="141" customFormat="1" ht="29.25" customHeight="1" thickBot="1" x14ac:dyDescent="0.25">
      <c r="A20" s="134" t="s">
        <v>17</v>
      </c>
      <c r="B20" s="148"/>
      <c r="C20" s="247" t="s">
        <v>419</v>
      </c>
      <c r="D20" s="137" t="e">
        <f>SUM(D21:D26)-D24</f>
        <v>#REF!</v>
      </c>
      <c r="E20" s="137" t="e">
        <v>#VALUE!</v>
      </c>
      <c r="F20" s="137">
        <f>SUM(F21+F25+F26)</f>
        <v>455857000</v>
      </c>
      <c r="G20" s="1382">
        <f>SUM(H20-F20)</f>
        <v>0</v>
      </c>
      <c r="H20" s="137">
        <f>SUM(H21+H25+H26)</f>
        <v>455857000</v>
      </c>
      <c r="I20" s="1374">
        <f>SUM(J20-H20)</f>
        <v>6244900</v>
      </c>
      <c r="J20" s="137">
        <f>SUM(J21+J25+J26)</f>
        <v>462101900</v>
      </c>
      <c r="K20" s="1374">
        <f>SUM(L20-J20)</f>
        <v>0</v>
      </c>
      <c r="L20" s="137">
        <f>SUM(L21+L25+L26)</f>
        <v>462101900</v>
      </c>
      <c r="M20" s="137">
        <f>SUM(M21+M25+M26)</f>
        <v>462101900</v>
      </c>
    </row>
    <row r="21" spans="1:13" s="145" customFormat="1" ht="32.25" customHeight="1" x14ac:dyDescent="0.2">
      <c r="A21" s="142"/>
      <c r="B21" s="143" t="s">
        <v>5</v>
      </c>
      <c r="C21" s="251" t="s">
        <v>420</v>
      </c>
      <c r="D21" s="150"/>
      <c r="E21" s="150"/>
      <c r="F21" s="150">
        <f>SUM(F22:F24)</f>
        <v>455857000</v>
      </c>
      <c r="G21" s="1533">
        <f>SUM(H21)-F21</f>
        <v>0</v>
      </c>
      <c r="H21" s="150">
        <f>SUM(H22:H24)</f>
        <v>455857000</v>
      </c>
      <c r="I21" s="1375">
        <f>SUM(J21)-H21</f>
        <v>6244900</v>
      </c>
      <c r="J21" s="150">
        <f>SUM(J22:J24)</f>
        <v>462101900</v>
      </c>
      <c r="K21" s="1375">
        <f>SUM(L21)-J21</f>
        <v>0</v>
      </c>
      <c r="L21" s="150">
        <f>SUM(L22:L24)</f>
        <v>462101900</v>
      </c>
      <c r="M21" s="150">
        <f>SUM(M22:M24)</f>
        <v>462101900</v>
      </c>
    </row>
    <row r="22" spans="1:13" s="145" customFormat="1" ht="15" customHeight="1" x14ac:dyDescent="0.2">
      <c r="A22" s="142"/>
      <c r="B22" s="143" t="s">
        <v>421</v>
      </c>
      <c r="C22" s="55" t="s">
        <v>422</v>
      </c>
      <c r="D22" s="175">
        <f>SUM('5.10 sz. mell '!D22)</f>
        <v>442256</v>
      </c>
      <c r="E22" s="175">
        <f>SUM('5.10 sz. mell '!E22)</f>
        <v>442256</v>
      </c>
      <c r="F22" s="175">
        <f>SUM('5.10.b. sz. mell'!F22)</f>
        <v>455857000</v>
      </c>
      <c r="G22" s="1415">
        <f>SUM(H22)-F22</f>
        <v>0</v>
      </c>
      <c r="H22" s="175">
        <f>SUM('5.10.b. sz. mell'!H22)</f>
        <v>455857000</v>
      </c>
      <c r="I22" s="1376">
        <f>SUM(J22)-H22</f>
        <v>6244900</v>
      </c>
      <c r="J22" s="175">
        <f>SUM('5.10.b. sz. mell'!J22)</f>
        <v>462101900</v>
      </c>
      <c r="K22" s="1376">
        <f>SUM(L22)-J22</f>
        <v>0</v>
      </c>
      <c r="L22" s="175">
        <f>SUM('5.10.b. sz. mell'!L22)</f>
        <v>462101900</v>
      </c>
      <c r="M22" s="175">
        <f>SUM('5.10.b. sz. mell'!M22)</f>
        <v>462101900</v>
      </c>
    </row>
    <row r="23" spans="1:13" s="145" customFormat="1" ht="15" customHeight="1" x14ac:dyDescent="0.2">
      <c r="A23" s="142"/>
      <c r="B23" s="143" t="s">
        <v>360</v>
      </c>
      <c r="C23" s="55" t="s">
        <v>1429</v>
      </c>
      <c r="D23" s="144" t="e">
        <f>SUM(#REF!+#REF!+#REF!+#REF!+#REF!+#REF!+'5.1. sz. mell. '!D18+'5.2. sz. mell.  '!D20+'5.3 sz. mell'!D20+'5.4. sz mell'!D20+'5.5. sz. mell.  '!D20+'5.6. sz. mell'!D20+'5.7. sz. mell.'!D20+'5.8. sz. mell.'!D20+#REF!+'5.9. sz. mell.'!D20)</f>
        <v>#REF!</v>
      </c>
      <c r="E23" s="144" t="e">
        <f>SUM(#REF!+#REF!+#REF!+#REF!+#REF!+#REF!+'5.1. sz. mell. '!E18+'5.2. sz. mell.  '!E20+'5.3 sz. mell'!E20+'5.4. sz mell'!E20+'5.5. sz. mell.  '!E20+'5.6. sz. mell'!E20+'5.7. sz. mell.'!E20+'5.8. sz. mell.'!E20+#REF!+'5.9. sz. mell.'!E20)</f>
        <v>#REF!</v>
      </c>
      <c r="F23" s="144">
        <f>SUM('5.9.b. sz. mell.'!F20)</f>
        <v>0</v>
      </c>
      <c r="G23" s="1432"/>
      <c r="H23" s="175">
        <f>SUM('5.10.b. sz. mell'!H23)</f>
        <v>0</v>
      </c>
      <c r="I23" s="1386"/>
      <c r="J23" s="175">
        <f>SUM('5.10.b. sz. mell'!J23)</f>
        <v>0</v>
      </c>
      <c r="K23" s="1376">
        <f t="shared" ref="K23:K29" si="1">SUM(L23)-J23</f>
        <v>0</v>
      </c>
      <c r="L23" s="175">
        <f>SUM('5.10.b. sz. mell'!L23)</f>
        <v>0</v>
      </c>
      <c r="M23" s="175">
        <f>SUM('5.10.b. sz. mell'!M23)</f>
        <v>0</v>
      </c>
    </row>
    <row r="24" spans="1:13" s="145" customFormat="1" ht="15" customHeight="1" x14ac:dyDescent="0.2">
      <c r="A24" s="142"/>
      <c r="B24" s="143" t="s">
        <v>357</v>
      </c>
      <c r="C24" s="55" t="s">
        <v>424</v>
      </c>
      <c r="D24" s="144" t="e">
        <f>SUM(#REF!+#REF!+'5.1. sz. mell. '!D19+'5.2. sz. mell.  '!D21)</f>
        <v>#REF!</v>
      </c>
      <c r="E24" s="144" t="e">
        <f>SUM(#REF!+#REF!+'5.1. sz. mell. '!E19+'5.2. sz. mell.  '!E21)</f>
        <v>#REF!</v>
      </c>
      <c r="F24" s="144"/>
      <c r="G24" s="1432"/>
      <c r="H24" s="175">
        <f>SUM('5.10.b. sz. mell'!H24)</f>
        <v>0</v>
      </c>
      <c r="I24" s="1386"/>
      <c r="J24" s="175">
        <f>SUM('5.10.b. sz. mell'!J24)</f>
        <v>0</v>
      </c>
      <c r="K24" s="1376">
        <f t="shared" si="1"/>
        <v>0</v>
      </c>
      <c r="L24" s="175">
        <f>SUM('5.10.b. sz. mell'!L24)</f>
        <v>0</v>
      </c>
      <c r="M24" s="175">
        <f>SUM('5.10.b. sz. mell'!M24)</f>
        <v>0</v>
      </c>
    </row>
    <row r="25" spans="1:13" s="145" customFormat="1" ht="15" customHeight="1" x14ac:dyDescent="0.2">
      <c r="A25" s="142"/>
      <c r="B25" s="143" t="s">
        <v>7</v>
      </c>
      <c r="C25" s="55" t="s">
        <v>6</v>
      </c>
      <c r="D25" s="144"/>
      <c r="E25" s="144">
        <f>'5.7. sz. mell.'!E23</f>
        <v>2090</v>
      </c>
      <c r="F25" s="144"/>
      <c r="G25" s="1432"/>
      <c r="H25" s="175">
        <f>SUM('5.10.b. sz. mell'!H25)</f>
        <v>0</v>
      </c>
      <c r="I25" s="1386"/>
      <c r="J25" s="175">
        <f>SUM('5.10.b. sz. mell'!J25)</f>
        <v>0</v>
      </c>
      <c r="K25" s="1376">
        <f t="shared" si="1"/>
        <v>0</v>
      </c>
      <c r="L25" s="175">
        <f>SUM('5.10.b. sz. mell'!L25)</f>
        <v>0</v>
      </c>
      <c r="M25" s="175">
        <f>SUM('5.10.b. sz. mell'!M25)</f>
        <v>0</v>
      </c>
    </row>
    <row r="26" spans="1:13" s="145" customFormat="1" ht="15" customHeight="1" thickBot="1" x14ac:dyDescent="0.25">
      <c r="A26" s="142"/>
      <c r="B26" s="143" t="s">
        <v>9</v>
      </c>
      <c r="C26" s="55" t="s">
        <v>425</v>
      </c>
      <c r="D26" s="294" t="e">
        <f>SUM(#REF!+'5.9. sz. mell.'!D24)</f>
        <v>#REF!</v>
      </c>
      <c r="E26" s="294" t="e">
        <f>SUM(#REF!+'5.9. sz. mell.'!E24+'5.2. sz. mell.  '!E26)+#REF!+'5.10 sz. mell '!E26</f>
        <v>#REF!</v>
      </c>
      <c r="F26" s="294"/>
      <c r="G26" s="1519"/>
      <c r="H26" s="175">
        <f>SUM('5.10.b. sz. mell'!H26)</f>
        <v>0</v>
      </c>
      <c r="I26" s="1377"/>
      <c r="J26" s="175">
        <f>SUM('5.10.b. sz. mell'!J26)</f>
        <v>0</v>
      </c>
      <c r="K26" s="1376">
        <f t="shared" si="1"/>
        <v>0</v>
      </c>
      <c r="L26" s="175">
        <f>SUM('5.10.b. sz. mell'!L26)</f>
        <v>0</v>
      </c>
      <c r="M26" s="175">
        <f>SUM('5.10.b. sz. mell'!M26)</f>
        <v>0</v>
      </c>
    </row>
    <row r="27" spans="1:13" s="141" customFormat="1" ht="15" customHeight="1" thickBot="1" x14ac:dyDescent="0.25">
      <c r="A27" s="134" t="s">
        <v>31</v>
      </c>
      <c r="B27" s="170"/>
      <c r="C27" s="247" t="s">
        <v>426</v>
      </c>
      <c r="D27" s="137" t="e">
        <f>SUM(D28)</f>
        <v>#REF!</v>
      </c>
      <c r="E27" s="137" t="e">
        <f>SUM(E28)</f>
        <v>#REF!</v>
      </c>
      <c r="F27" s="137">
        <f>SUM(F28)</f>
        <v>0</v>
      </c>
      <c r="G27" s="1382"/>
      <c r="H27" s="137">
        <f>SUM('5.10.b. sz. mell'!H27)</f>
        <v>100000</v>
      </c>
      <c r="I27" s="1374"/>
      <c r="J27" s="137">
        <f>SUM('5.10.b. sz. mell'!J27)</f>
        <v>100000</v>
      </c>
      <c r="K27" s="1376">
        <f t="shared" si="1"/>
        <v>0</v>
      </c>
      <c r="L27" s="137">
        <f>SUM('5.10.b. sz. mell'!L27)</f>
        <v>100000</v>
      </c>
      <c r="M27" s="137">
        <f>SUM('5.10.b. sz. mell'!M27)</f>
        <v>100000</v>
      </c>
    </row>
    <row r="28" spans="1:13" s="145" customFormat="1" ht="15" customHeight="1" thickBot="1" x14ac:dyDescent="0.25">
      <c r="A28" s="142"/>
      <c r="B28" s="143" t="s">
        <v>19</v>
      </c>
      <c r="C28" s="55" t="s">
        <v>427</v>
      </c>
      <c r="D28" s="294" t="e">
        <f>SUM(#REF!+#REF!+#REF!+#REF!+#REF!+#REF!+'5.1. sz. mell. '!D24+'5.2. sz. mell.  '!D29+'5.3 sz. mell'!D28+'5.4. sz mell'!D28+'5.5. sz. mell.  '!D32+'5.6. sz. mell'!D32+'5.7. sz. mell.'!D32+'5.8. sz. mell.'!D32+#REF!+'5.9. sz. mell.'!D32+'5.10 sz. mell '!D33)</f>
        <v>#REF!</v>
      </c>
      <c r="E28" s="294" t="e">
        <f>SUM(#REF!+#REF!+#REF!+#REF!+#REF!+#REF!+'5.1. sz. mell. '!E24+'5.2. sz. mell.  '!E29+'5.3 sz. mell'!E28+'5.4. sz mell'!E28+'5.5. sz. mell.  '!E32+'5.6. sz. mell'!E32+'5.7. sz. mell.'!E32+'5.8. sz. mell.'!E32+#REF!+'5.9. sz. mell.'!E32+'5.10 sz. mell '!E33)</f>
        <v>#REF!</v>
      </c>
      <c r="F28" s="294"/>
      <c r="G28" s="1519"/>
      <c r="H28" s="175">
        <f>SUM('5.10.b. sz. mell'!H28)</f>
        <v>100000</v>
      </c>
      <c r="I28" s="1377"/>
      <c r="J28" s="175">
        <f>SUM('5.10.b. sz. mell'!J28)</f>
        <v>100000</v>
      </c>
      <c r="K28" s="1376">
        <f t="shared" si="1"/>
        <v>0</v>
      </c>
      <c r="L28" s="175">
        <f>SUM('5.10.b. sz. mell'!L28)</f>
        <v>100000</v>
      </c>
      <c r="M28" s="175">
        <f>SUM('5.10.b. sz. mell'!M28)</f>
        <v>100000</v>
      </c>
    </row>
    <row r="29" spans="1:13" s="145" customFormat="1" ht="15" customHeight="1" thickBot="1" x14ac:dyDescent="0.25">
      <c r="A29" s="134" t="s">
        <v>45</v>
      </c>
      <c r="B29" s="148"/>
      <c r="C29" s="170" t="s">
        <v>428</v>
      </c>
      <c r="D29" s="155"/>
      <c r="E29" s="155"/>
      <c r="F29" s="155">
        <f>SUM(F30:F32)</f>
        <v>0</v>
      </c>
      <c r="G29" s="1381"/>
      <c r="H29" s="155">
        <f>SUM(H30:H32)</f>
        <v>0</v>
      </c>
      <c r="I29" s="1380"/>
      <c r="J29" s="155">
        <f>SUM(J30:J32)</f>
        <v>0</v>
      </c>
      <c r="K29" s="1376">
        <f t="shared" si="1"/>
        <v>0</v>
      </c>
      <c r="L29" s="155">
        <f>SUM(L30:L32)</f>
        <v>0</v>
      </c>
      <c r="M29" s="155">
        <f>SUM(M30:M32)</f>
        <v>0</v>
      </c>
    </row>
    <row r="30" spans="1:13" s="145" customFormat="1" ht="15" customHeight="1" x14ac:dyDescent="0.2">
      <c r="A30" s="142"/>
      <c r="B30" s="253" t="s">
        <v>33</v>
      </c>
      <c r="C30" s="55" t="s">
        <v>359</v>
      </c>
      <c r="D30" s="144"/>
      <c r="E30" s="144"/>
      <c r="F30" s="144"/>
      <c r="G30" s="1415"/>
      <c r="H30" s="144"/>
      <c r="I30" s="1376"/>
      <c r="J30" s="144"/>
      <c r="K30" s="1376"/>
      <c r="L30" s="144"/>
      <c r="M30" s="144"/>
    </row>
    <row r="31" spans="1:13" s="145" customFormat="1" ht="15" customHeight="1" x14ac:dyDescent="0.2">
      <c r="A31" s="142"/>
      <c r="B31" s="253" t="s">
        <v>39</v>
      </c>
      <c r="C31" s="55" t="s">
        <v>72</v>
      </c>
      <c r="D31" s="144"/>
      <c r="E31" s="144"/>
      <c r="F31" s="144"/>
      <c r="G31" s="1415"/>
      <c r="H31" s="144"/>
      <c r="I31" s="1376"/>
      <c r="J31" s="144"/>
      <c r="K31" s="1376"/>
      <c r="L31" s="144"/>
      <c r="M31" s="144"/>
    </row>
    <row r="32" spans="1:13" s="145" customFormat="1" ht="15" customHeight="1" thickBot="1" x14ac:dyDescent="0.25">
      <c r="A32" s="142"/>
      <c r="B32" s="253" t="s">
        <v>41</v>
      </c>
      <c r="C32" s="55" t="s">
        <v>74</v>
      </c>
      <c r="D32" s="144"/>
      <c r="E32" s="144"/>
      <c r="F32" s="144"/>
      <c r="G32" s="1415"/>
      <c r="H32" s="144"/>
      <c r="I32" s="1376"/>
      <c r="J32" s="144"/>
      <c r="K32" s="1376"/>
      <c r="L32" s="144"/>
      <c r="M32" s="144"/>
    </row>
    <row r="33" spans="1:16" s="141" customFormat="1" ht="29.25" customHeight="1" thickBot="1" x14ac:dyDescent="0.25">
      <c r="A33" s="134" t="s">
        <v>67</v>
      </c>
      <c r="B33" s="254"/>
      <c r="C33" s="170" t="s">
        <v>429</v>
      </c>
      <c r="D33" s="155"/>
      <c r="E33" s="155"/>
      <c r="F33" s="155">
        <f>SUM(F34)</f>
        <v>0</v>
      </c>
      <c r="G33" s="1382">
        <f>SUM(H33-F33)</f>
        <v>0</v>
      </c>
      <c r="H33" s="155">
        <f>SUM(H34)</f>
        <v>0</v>
      </c>
      <c r="I33" s="1374">
        <f>SUM(J33-H33)</f>
        <v>0</v>
      </c>
      <c r="J33" s="155">
        <f>SUM(J34)</f>
        <v>0</v>
      </c>
      <c r="K33" s="1374">
        <f>SUM(L33-J33)</f>
        <v>0</v>
      </c>
      <c r="L33" s="155">
        <f>SUM(L34)</f>
        <v>0</v>
      </c>
      <c r="M33" s="155">
        <f>SUM(M34)</f>
        <v>0</v>
      </c>
    </row>
    <row r="34" spans="1:16" s="141" customFormat="1" ht="30" customHeight="1" thickBot="1" x14ac:dyDescent="0.25">
      <c r="A34" s="134"/>
      <c r="B34" s="255" t="s">
        <v>47</v>
      </c>
      <c r="C34" s="251" t="s">
        <v>430</v>
      </c>
      <c r="D34" s="295"/>
      <c r="E34" s="295"/>
      <c r="F34" s="295"/>
      <c r="G34" s="1415">
        <f>SUM(H34-F34)</f>
        <v>0</v>
      </c>
      <c r="H34" s="595">
        <f>SUM('5.10.b. sz. mell'!H34)</f>
        <v>0</v>
      </c>
      <c r="I34" s="1376">
        <f>SUM(J34-H34)</f>
        <v>0</v>
      </c>
      <c r="J34" s="595">
        <f>SUM('5.10.b. sz. mell'!J34)</f>
        <v>0</v>
      </c>
      <c r="K34" s="1376">
        <f>SUM(L34-J34)</f>
        <v>0</v>
      </c>
      <c r="L34" s="595">
        <f>SUM('5.10.b. sz. mell'!L34)</f>
        <v>0</v>
      </c>
      <c r="M34" s="595">
        <f>SUM('5.10.b. sz. mell'!M34)</f>
        <v>0</v>
      </c>
    </row>
    <row r="35" spans="1:16" s="141" customFormat="1" ht="15.75" customHeight="1" thickBot="1" x14ac:dyDescent="0.3">
      <c r="A35" s="134" t="s">
        <v>79</v>
      </c>
      <c r="B35" s="256"/>
      <c r="C35" s="247" t="s">
        <v>431</v>
      </c>
      <c r="D35" s="295"/>
      <c r="E35" s="295"/>
      <c r="F35" s="295"/>
      <c r="G35" s="1381"/>
      <c r="H35" s="295">
        <f>SUM('5.10.b. sz. mell'!H35)</f>
        <v>0</v>
      </c>
      <c r="I35" s="1381"/>
      <c r="J35" s="295">
        <f>SUM('5.10.b. sz. mell'!J35)</f>
        <v>0</v>
      </c>
      <c r="K35" s="1381"/>
      <c r="L35" s="295">
        <f>SUM('5.10.b. sz. mell'!L35)</f>
        <v>0</v>
      </c>
      <c r="M35" s="295"/>
    </row>
    <row r="36" spans="1:16" s="141" customFormat="1" ht="30" customHeight="1" thickBot="1" x14ac:dyDescent="0.25">
      <c r="A36" s="134"/>
      <c r="B36" s="257" t="s">
        <v>69</v>
      </c>
      <c r="C36" s="55" t="s">
        <v>432</v>
      </c>
      <c r="D36" s="295"/>
      <c r="E36" s="295"/>
      <c r="F36" s="295"/>
      <c r="G36" s="1381"/>
      <c r="H36" s="595">
        <f>SUM('5.10.b. sz. mell'!H36)</f>
        <v>0</v>
      </c>
      <c r="I36" s="1381"/>
      <c r="J36" s="595">
        <f>SUM('5.10.b. sz. mell'!J36)</f>
        <v>0</v>
      </c>
      <c r="K36" s="1381"/>
      <c r="L36" s="595">
        <f>SUM('5.10.b. sz. mell'!L36)</f>
        <v>0</v>
      </c>
      <c r="M36" s="295"/>
    </row>
    <row r="37" spans="1:16" s="141" customFormat="1" ht="15" customHeight="1" thickBot="1" x14ac:dyDescent="0.3">
      <c r="A37" s="134" t="s">
        <v>89</v>
      </c>
      <c r="B37" s="256"/>
      <c r="C37" s="170" t="s">
        <v>433</v>
      </c>
      <c r="D37" s="285">
        <f>+D38+D39</f>
        <v>0</v>
      </c>
      <c r="E37" s="285" t="e">
        <f>+E38+E39</f>
        <v>#REF!</v>
      </c>
      <c r="F37" s="285">
        <f>SUM(F40+F39+F38)</f>
        <v>45481050</v>
      </c>
      <c r="G37" s="1382">
        <f t="shared" ref="G37:K42" si="2">SUM(H37-F37)</f>
        <v>41947740</v>
      </c>
      <c r="H37" s="285">
        <f>SUM(H40+H39+H38)</f>
        <v>87428790</v>
      </c>
      <c r="I37" s="1374">
        <f t="shared" si="2"/>
        <v>99344137</v>
      </c>
      <c r="J37" s="285">
        <f>SUM(J40+J39+J38)</f>
        <v>186772927</v>
      </c>
      <c r="K37" s="1374">
        <f t="shared" si="2"/>
        <v>0</v>
      </c>
      <c r="L37" s="285">
        <f>SUM(L40+L39+L38)</f>
        <v>186772927</v>
      </c>
      <c r="M37" s="285">
        <f>SUM(M40+M39+M38)</f>
        <v>186772927</v>
      </c>
    </row>
    <row r="38" spans="1:16" s="141" customFormat="1" ht="15" customHeight="1" thickBot="1" x14ac:dyDescent="0.25">
      <c r="A38" s="149"/>
      <c r="B38" s="253" t="s">
        <v>81</v>
      </c>
      <c r="C38" s="55" t="s">
        <v>434</v>
      </c>
      <c r="D38" s="296"/>
      <c r="E38" s="1314" t="e">
        <f>'5.1. sz. mell. '!E26+'5.2. sz. mell.  '!E34+'5.3 sz. mell'!E37+'5.4. sz mell'!E37+'5.5. sz. mell.  '!E34+'5.6. sz. mell'!E34+'5.7. sz. mell.'!E34+'5.8. sz. mell.'!E37+#REF!+'5.9. sz. mell.'!E37+'5.10 sz. mell '!E38</f>
        <v>#REF!</v>
      </c>
      <c r="F38" s="1310"/>
      <c r="G38" s="1415">
        <f t="shared" si="2"/>
        <v>5019041</v>
      </c>
      <c r="H38" s="1311">
        <f>SUM('5.10.b. sz. mell'!H38)</f>
        <v>5019041</v>
      </c>
      <c r="I38" s="1376">
        <f t="shared" si="2"/>
        <v>0</v>
      </c>
      <c r="J38" s="1311">
        <f>SUM('5.10.b. sz. mell'!J38)</f>
        <v>5019041</v>
      </c>
      <c r="K38" s="1376">
        <f t="shared" si="2"/>
        <v>0</v>
      </c>
      <c r="L38" s="1311">
        <f>SUM('5.10.b. sz. mell'!L38)</f>
        <v>5019041</v>
      </c>
      <c r="M38" s="1311">
        <f>SUM('5.10.b. sz. mell'!M38)</f>
        <v>5019041</v>
      </c>
    </row>
    <row r="39" spans="1:16" s="141" customFormat="1" ht="15" customHeight="1" thickBot="1" x14ac:dyDescent="0.25">
      <c r="A39" s="142"/>
      <c r="B39" s="253" t="s">
        <v>83</v>
      </c>
      <c r="C39" s="55" t="s">
        <v>435</v>
      </c>
      <c r="D39" s="297"/>
      <c r="E39" s="1314"/>
      <c r="F39" s="1313"/>
      <c r="G39" s="1415">
        <f t="shared" si="2"/>
        <v>0</v>
      </c>
      <c r="H39" s="1312"/>
      <c r="I39" s="1376">
        <f t="shared" si="2"/>
        <v>0</v>
      </c>
      <c r="J39" s="1312"/>
      <c r="K39" s="1376">
        <f t="shared" si="2"/>
        <v>0</v>
      </c>
      <c r="L39" s="1312"/>
      <c r="M39" s="1312"/>
    </row>
    <row r="40" spans="1:16" s="145" customFormat="1" ht="15" customHeight="1" thickBot="1" x14ac:dyDescent="0.25">
      <c r="A40" s="671"/>
      <c r="B40" s="253" t="s">
        <v>85</v>
      </c>
      <c r="C40" s="55" t="s">
        <v>1433</v>
      </c>
      <c r="D40" s="273" t="e">
        <f>SUM(#REF!+#REF!+#REF!+#REF!+#REF!+#REF!+'5.1. sz. mell. '!D28+'5.2. sz. mell.  '!D36+'5.3 sz. mell'!D39+'5.4. sz mell'!D39+'5.5. sz. mell.  '!D43+'5.6. sz. mell'!D43+'5.7. sz. mell.'!D43+'5.8. sz. mell.'!D39+#REF!+'5.9. sz. mell.'!D39+'5.10 sz. mell '!D40)</f>
        <v>#REF!</v>
      </c>
      <c r="E40" s="1315" t="e">
        <f>SUM(#REF!+#REF!+#REF!+#REF!+#REF!+#REF!+'5.1. sz. mell. '!E28+'5.2. sz. mell.  '!E36+'5.3 sz. mell'!E39+'5.4. sz mell'!E39+'5.5. sz. mell.  '!E43+'5.6. sz. mell'!E43+'5.7. sz. mell.'!E43+'5.8. sz. mell.'!E39+#REF!+'5.9. sz. mell.'!E39+'5.10 sz. mell '!E40)</f>
        <v>#REF!</v>
      </c>
      <c r="F40" s="1313">
        <f>SUM('5.9.b. sz. mell.'!F39+'5.10.b. sz. mell'!F40)</f>
        <v>45481050</v>
      </c>
      <c r="G40" s="1415">
        <f t="shared" si="2"/>
        <v>36928699</v>
      </c>
      <c r="H40" s="1313">
        <f>SUM('5.9.b. sz. mell.'!H39+'5.10.b. sz. mell'!H40)</f>
        <v>82409749</v>
      </c>
      <c r="I40" s="1376">
        <f t="shared" si="2"/>
        <v>99344137</v>
      </c>
      <c r="J40" s="1313">
        <f>SUM('5.9.b. sz. mell.'!J39+'5.10.b. sz. mell'!J40)</f>
        <v>181753886</v>
      </c>
      <c r="K40" s="1376">
        <f t="shared" si="2"/>
        <v>0</v>
      </c>
      <c r="L40" s="1313">
        <f>SUM('5.9.b. sz. mell.'!L39+'5.10.b. sz. mell'!L40)</f>
        <v>181753886</v>
      </c>
      <c r="M40" s="1313">
        <f>SUM('5.9.b. sz. mell.'!M39+'5.10.b. sz. mell'!M40)</f>
        <v>181753886</v>
      </c>
      <c r="N40" s="205">
        <f>SUM(F41:F42)</f>
        <v>45481050</v>
      </c>
      <c r="O40" s="205">
        <f>SUM(H41:H42)</f>
        <v>82409749</v>
      </c>
      <c r="P40" s="205">
        <f>SUM(M41:M42)</f>
        <v>181753886</v>
      </c>
    </row>
    <row r="41" spans="1:16" s="145" customFormat="1" ht="15" customHeight="1" thickBot="1" x14ac:dyDescent="0.25">
      <c r="A41" s="671"/>
      <c r="B41" s="260" t="s">
        <v>437</v>
      </c>
      <c r="C41" s="261" t="s">
        <v>891</v>
      </c>
      <c r="D41" s="155"/>
      <c r="E41" s="668"/>
      <c r="F41" s="302">
        <f>SUM('5.9.b. sz. mell.'!F40)</f>
        <v>0</v>
      </c>
      <c r="G41" s="2740">
        <f t="shared" si="2"/>
        <v>0</v>
      </c>
      <c r="H41" s="302">
        <f>SUM('5.9.b. sz. mell.'!H40)</f>
        <v>0</v>
      </c>
      <c r="I41" s="1510">
        <f t="shared" si="2"/>
        <v>1497776</v>
      </c>
      <c r="J41" s="302">
        <f>SUM('5.9.b. sz. mell.'!J40)</f>
        <v>1497776</v>
      </c>
      <c r="K41" s="1510">
        <f t="shared" si="2"/>
        <v>0</v>
      </c>
      <c r="L41" s="302">
        <f>SUM('5.9.b. sz. mell.'!L40)</f>
        <v>1497776</v>
      </c>
      <c r="M41" s="302">
        <f>SUM('5.9.b. sz. mell.'!M40)</f>
        <v>1497776</v>
      </c>
    </row>
    <row r="42" spans="1:16" s="145" customFormat="1" ht="15" customHeight="1" thickBot="1" x14ac:dyDescent="0.25">
      <c r="A42" s="672"/>
      <c r="B42" s="263" t="s">
        <v>439</v>
      </c>
      <c r="C42" s="264" t="s">
        <v>532</v>
      </c>
      <c r="D42" s="155"/>
      <c r="E42" s="155"/>
      <c r="F42" s="302">
        <f>SUM('5.9.b. sz. mell.'!F41+'5.10.b. sz. mell'!F40)</f>
        <v>45481050</v>
      </c>
      <c r="G42" s="2740">
        <f t="shared" si="2"/>
        <v>36928699</v>
      </c>
      <c r="H42" s="302">
        <f>SUM('5.9.b. sz. mell.'!H41+'5.10.b. sz. mell'!H40)</f>
        <v>82409749</v>
      </c>
      <c r="I42" s="1510">
        <f t="shared" si="2"/>
        <v>97846361</v>
      </c>
      <c r="J42" s="302">
        <f>SUM('5.9.b. sz. mell.'!J41+'5.10.b. sz. mell'!J40)</f>
        <v>180256110</v>
      </c>
      <c r="K42" s="1510">
        <f t="shared" si="2"/>
        <v>0</v>
      </c>
      <c r="L42" s="302">
        <f>SUM('5.9.b. sz. mell.'!L41+'5.10.b. sz. mell'!L40)</f>
        <v>180256110</v>
      </c>
      <c r="M42" s="302">
        <f>SUM('5.9.b. sz. mell.'!M41+'5.10.b. sz. mell'!M40)</f>
        <v>180256110</v>
      </c>
    </row>
    <row r="43" spans="1:16" s="145" customFormat="1" ht="15" hidden="1" customHeight="1" thickBot="1" x14ac:dyDescent="0.3">
      <c r="A43" s="258"/>
      <c r="B43" s="256"/>
      <c r="C43" s="170"/>
      <c r="D43" s="155"/>
      <c r="E43" s="155"/>
      <c r="F43" s="155"/>
      <c r="G43" s="1381"/>
      <c r="H43" s="155"/>
      <c r="I43" s="1380"/>
      <c r="J43" s="155"/>
      <c r="K43" s="1380"/>
      <c r="L43" s="155"/>
      <c r="M43" s="155"/>
    </row>
    <row r="44" spans="1:16" s="145" customFormat="1" ht="15" customHeight="1" thickBot="1" x14ac:dyDescent="0.25">
      <c r="A44" s="192" t="s">
        <v>99</v>
      </c>
      <c r="B44" s="160"/>
      <c r="C44" s="274" t="s">
        <v>460</v>
      </c>
      <c r="D44" s="162" t="e">
        <f>SUM(D8,D20,D29,D33,D37,D40)</f>
        <v>#REF!</v>
      </c>
      <c r="E44" s="162" t="e">
        <f>SUM(E8,E20,E29,E33,E37,E40)</f>
        <v>#REF!</v>
      </c>
      <c r="F44" s="162">
        <f>SUM(F8,F20,F29,F33,F37,F43)</f>
        <v>519807050</v>
      </c>
      <c r="G44" s="1437">
        <f>SUM(H44-F44)</f>
        <v>42047740</v>
      </c>
      <c r="H44" s="162">
        <f>SUM(H8,H20,H29,H33,H37,H43)+H27+H35</f>
        <v>561854790</v>
      </c>
      <c r="I44" s="1373">
        <f>SUM(J44-H44)</f>
        <v>104845909</v>
      </c>
      <c r="J44" s="162">
        <f>SUM(J8,J20,J29,J33,J37,J43)+J27+J35</f>
        <v>666700699</v>
      </c>
      <c r="K44" s="1373">
        <f>SUM(L44-J44)</f>
        <v>0</v>
      </c>
      <c r="L44" s="162">
        <f>SUM(L8,L20,L29,L33,L37,L43)+L27+L35</f>
        <v>666700699</v>
      </c>
      <c r="M44" s="162">
        <f>SUM(M8,M20,M29,M33,M37,M43)+M27</f>
        <v>666340784</v>
      </c>
      <c r="N44" s="205">
        <f>SUM(F44-F59)</f>
        <v>0</v>
      </c>
      <c r="O44" s="205">
        <f>SUM(H44-H59)</f>
        <v>1400000</v>
      </c>
      <c r="P44" s="205">
        <f>SUM(M44-M59)</f>
        <v>44617039</v>
      </c>
    </row>
    <row r="45" spans="1:16" s="145" customFormat="1" ht="15.75" customHeight="1" thickBot="1" x14ac:dyDescent="0.25">
      <c r="A45" s="2098"/>
      <c r="B45" s="266"/>
      <c r="C45" s="275"/>
      <c r="D45" s="165"/>
      <c r="E45" s="165"/>
      <c r="F45" s="2452"/>
      <c r="G45" s="1532"/>
      <c r="H45" s="1532"/>
      <c r="I45" s="1532"/>
      <c r="J45" s="1532"/>
      <c r="K45" s="1532"/>
      <c r="L45" s="165"/>
      <c r="M45" s="881"/>
    </row>
    <row r="46" spans="1:16" s="129" customFormat="1" ht="15" customHeight="1" thickBot="1" x14ac:dyDescent="0.25">
      <c r="A46" s="192"/>
      <c r="B46" s="160"/>
      <c r="C46" s="282" t="s">
        <v>231</v>
      </c>
      <c r="D46" s="162"/>
      <c r="E46" s="162"/>
      <c r="F46" s="162"/>
      <c r="G46" s="1437"/>
      <c r="H46" s="162"/>
      <c r="I46" s="1373"/>
      <c r="J46" s="162"/>
      <c r="K46" s="1373"/>
      <c r="L46" s="162"/>
      <c r="M46" s="162"/>
    </row>
    <row r="47" spans="1:16" s="172" customFormat="1" ht="15" customHeight="1" thickBot="1" x14ac:dyDescent="0.25">
      <c r="A47" s="134" t="s">
        <v>3</v>
      </c>
      <c r="B47" s="170"/>
      <c r="C47" s="171" t="s">
        <v>442</v>
      </c>
      <c r="D47" s="64" t="e">
        <f>SUM(D48+D49+D50+D52)</f>
        <v>#REF!</v>
      </c>
      <c r="E47" s="64" t="e">
        <v>#NAME?</v>
      </c>
      <c r="F47" s="64">
        <f>SUM(F48+F49+F50+F52)</f>
        <v>518807050</v>
      </c>
      <c r="G47" s="1382">
        <f>SUM(H47-F47)</f>
        <v>13969744</v>
      </c>
      <c r="H47" s="64">
        <f>SUM(H48+H49+H50+H52)</f>
        <v>532776794</v>
      </c>
      <c r="I47" s="1374">
        <f>SUM(J47-H47)</f>
        <v>77803189</v>
      </c>
      <c r="J47" s="137">
        <f>SUM(J48+J49+J50+J52)</f>
        <v>610579983</v>
      </c>
      <c r="K47" s="1374">
        <f>SUM(L47-J47)</f>
        <v>0</v>
      </c>
      <c r="L47" s="137">
        <f>SUM(L48+L49+L50+L52)</f>
        <v>610579983</v>
      </c>
      <c r="M47" s="137">
        <f>SUM(M48+M49+M50+M52)</f>
        <v>599716752</v>
      </c>
    </row>
    <row r="48" spans="1:16" ht="15" customHeight="1" x14ac:dyDescent="0.2">
      <c r="A48" s="173"/>
      <c r="B48" s="174" t="s">
        <v>152</v>
      </c>
      <c r="C48" s="251" t="s">
        <v>153</v>
      </c>
      <c r="D48" s="299" t="e">
        <f>SUM(#REF!+#REF!+#REF!+#REF!+#REF!+#REF!+'5.1. sz. mell. '!D34+'5.2. sz. mell.  '!D48+'5.3 sz. mell'!D47+'5.4. sz mell'!D47+'5.5. sz. mell.  '!D51+'5.6. sz. mell'!D51+'5.7. sz. mell.'!D51+'5.8. sz. mell.'!D46+#REF!+'5.9. sz. mell.'!D46+'5.10 sz. mell '!D45)</f>
        <v>#REF!</v>
      </c>
      <c r="E48" s="1318" t="e">
        <f>SUM(#REF!+#REF!+#REF!+#REF!+#REF!+#REF!+'5.1. sz. mell. '!E34+'5.2. sz. mell.  '!E48+'5.3 sz. mell'!E47+'5.4. sz mell'!E47+'5.5. sz. mell.  '!E51+'5.6. sz. mell'!E51+'5.7. sz. mell.'!E51+'5.8. sz. mell.'!E46+#REF!+'5.9. sz. mell.'!E46+'5.10 sz. mell '!E45)</f>
        <v>#REF!</v>
      </c>
      <c r="F48" s="299">
        <f>SUM('5.9.b. sz. mell.'!F46+'5.10.b. sz. mell'!F45)</f>
        <v>196372000</v>
      </c>
      <c r="G48" s="1415">
        <f t="shared" ref="G48:K55" si="3">SUM(H48-F48)</f>
        <v>6745710</v>
      </c>
      <c r="H48" s="1316">
        <f>SUM('5.9.b. sz. mell.'!H46+'5.10.b. sz. mell'!H45)</f>
        <v>203117710</v>
      </c>
      <c r="I48" s="1376">
        <f t="shared" si="3"/>
        <v>6223284</v>
      </c>
      <c r="J48" s="1701">
        <f>SUM('5.9.b. sz. mell.'!J46+'5.10.b. sz. mell'!J45)</f>
        <v>209340994</v>
      </c>
      <c r="K48" s="1376">
        <f t="shared" si="3"/>
        <v>0</v>
      </c>
      <c r="L48" s="1701">
        <f>SUM('5.9.b. sz. mell.'!L46+'5.10.b. sz. mell'!L45)</f>
        <v>209340994</v>
      </c>
      <c r="M48" s="150">
        <f>SUM('5.9.b. sz. mell.'!M46+'5.10.b. sz. mell'!M45)</f>
        <v>209340994</v>
      </c>
    </row>
    <row r="49" spans="1:13" ht="15" customHeight="1" x14ac:dyDescent="0.2">
      <c r="A49" s="142"/>
      <c r="B49" s="176" t="s">
        <v>154</v>
      </c>
      <c r="C49" s="55" t="s">
        <v>155</v>
      </c>
      <c r="D49" s="56" t="e">
        <f>SUM(#REF!+#REF!+#REF!+#REF!+#REF!+#REF!+'5.1. sz. mell. '!D36+'5.2. sz. mell.  '!D50+'5.3 sz. mell'!D48+'5.4. sz mell'!D48+'5.5. sz. mell.  '!D52+'5.6. sz. mell'!D52+'5.7. sz. mell.'!D52+'5.8. sz. mell.'!D47+#REF!+'5.9. sz. mell.'!D47+'5.10 sz. mell '!D46)</f>
        <v>#REF!</v>
      </c>
      <c r="E49" s="57" t="e">
        <f>SUM(#REF!+#REF!+#REF!+#REF!+#REF!+#REF!+'5.1. sz. mell. '!E36+'5.2. sz. mell.  '!E50+'5.3 sz. mell'!E48+'5.4. sz mell'!E48+'5.5. sz. mell.  '!E52+'5.6. sz. mell'!E52+'5.7. sz. mell.'!E52+'5.8. sz. mell.'!E47+#REF!+'5.9. sz. mell.'!E47+'5.10 sz. mell '!E46)</f>
        <v>#REF!</v>
      </c>
      <c r="F49" s="56">
        <f>SUM('5.9.b. sz. mell.'!F47+'5.10.b. sz. mell'!F46)</f>
        <v>40088000</v>
      </c>
      <c r="G49" s="1415">
        <f t="shared" si="3"/>
        <v>-102084</v>
      </c>
      <c r="H49" s="53">
        <f>SUM('5.9.b. sz. mell.'!H47+'5.10.b. sz. mell'!H46)</f>
        <v>39985916</v>
      </c>
      <c r="I49" s="1376">
        <f t="shared" si="3"/>
        <v>5176792</v>
      </c>
      <c r="J49" s="500">
        <f>SUM('5.9.b. sz. mell.'!J47+'5.10.b. sz. mell'!J46)</f>
        <v>45162708</v>
      </c>
      <c r="K49" s="1376">
        <f t="shared" si="3"/>
        <v>0</v>
      </c>
      <c r="L49" s="500">
        <f>SUM('5.9.b. sz. mell.'!L47+'5.10.b. sz. mell'!L46)</f>
        <v>45162708</v>
      </c>
      <c r="M49" s="144">
        <f>SUM('5.9.b. sz. mell.'!M47+'5.10.b. sz. mell'!M46)</f>
        <v>45162708</v>
      </c>
    </row>
    <row r="50" spans="1:13" ht="15" customHeight="1" x14ac:dyDescent="0.2">
      <c r="A50" s="142"/>
      <c r="B50" s="176" t="s">
        <v>156</v>
      </c>
      <c r="C50" s="55" t="s">
        <v>157</v>
      </c>
      <c r="D50" s="56" t="e">
        <f>SUM(#REF!+#REF!+#REF!+#REF!+#REF!+#REF!+'5.1. sz. mell. '!D38+'5.2. sz. mell.  '!D52+'5.3 sz. mell'!D49+'5.4. sz mell'!D49+'5.5. sz. mell.  '!D53+'5.6. sz. mell'!D53+'5.7. sz. mell.'!D53+'5.8. sz. mell.'!D48+#REF!+'5.9. sz. mell.'!D48+'5.10 sz. mell '!D47)</f>
        <v>#REF!</v>
      </c>
      <c r="E50" s="57" t="e">
        <f>SUM(#REF!+#REF!+#REF!+#REF!+#REF!+#REF!+'5.1. sz. mell. '!E38+'5.2. sz. mell.  '!E52+'5.3 sz. mell'!E49+'5.4. sz mell'!E49+'5.5. sz. mell.  '!E53+'5.6. sz. mell'!E53+'5.7. sz. mell.'!E53+'5.8. sz. mell.'!E48+#REF!+'5.9. sz. mell.'!E48+'5.10 sz. mell '!E47)</f>
        <v>#REF!</v>
      </c>
      <c r="F50" s="56">
        <f>SUM('5.9.b. sz. mell.'!F48+'5.10.b. sz. mell'!F47)</f>
        <v>282347050</v>
      </c>
      <c r="G50" s="1415">
        <f t="shared" si="3"/>
        <v>7326118</v>
      </c>
      <c r="H50" s="53">
        <f>SUM('5.9.b. sz. mell.'!H48+'5.10.b. sz. mell'!H47)</f>
        <v>289673168</v>
      </c>
      <c r="I50" s="1376">
        <f t="shared" si="3"/>
        <v>66403113</v>
      </c>
      <c r="J50" s="500">
        <f>SUM('5.9.b. sz. mell.'!J48+'5.10.b. sz. mell'!J47)</f>
        <v>356076281</v>
      </c>
      <c r="K50" s="1376">
        <f t="shared" si="3"/>
        <v>0</v>
      </c>
      <c r="L50" s="500">
        <f>SUM('5.9.b. sz. mell.'!L48+'5.10.b. sz. mell'!L47)</f>
        <v>356076281</v>
      </c>
      <c r="M50" s="144">
        <f>SUM('5.9.b. sz. mell.'!M48+'5.10.b. sz. mell'!M47)</f>
        <v>345213050</v>
      </c>
    </row>
    <row r="51" spans="1:13" ht="15" customHeight="1" x14ac:dyDescent="0.2">
      <c r="A51" s="142"/>
      <c r="B51" s="176" t="s">
        <v>158</v>
      </c>
      <c r="C51" s="55" t="s">
        <v>159</v>
      </c>
      <c r="D51" s="56"/>
      <c r="E51" s="57"/>
      <c r="F51" s="56">
        <f>SUM('5.9.b. sz. mell.'!F49+'5.10.b. sz. mell'!F48)</f>
        <v>0</v>
      </c>
      <c r="G51" s="1415">
        <f t="shared" si="3"/>
        <v>0</v>
      </c>
      <c r="H51" s="53">
        <f>SUM('5.9.b. sz. mell.'!H49+'5.10.b. sz. mell'!H48)</f>
        <v>0</v>
      </c>
      <c r="I51" s="1376">
        <f t="shared" si="3"/>
        <v>0</v>
      </c>
      <c r="J51" s="500">
        <f>SUM('5.9.b. sz. mell.'!J49+'5.10.b. sz. mell'!J48)</f>
        <v>0</v>
      </c>
      <c r="K51" s="1376">
        <f t="shared" si="3"/>
        <v>0</v>
      </c>
      <c r="L51" s="500">
        <f>SUM('5.9.b. sz. mell.'!L49+'5.10.b. sz. mell'!L48)</f>
        <v>0</v>
      </c>
      <c r="M51" s="144">
        <f>SUM('5.9.b. sz. mell.'!M49+'5.10.b. sz. mell'!M48)</f>
        <v>0</v>
      </c>
    </row>
    <row r="52" spans="1:13" ht="15" customHeight="1" thickBot="1" x14ac:dyDescent="0.25">
      <c r="A52" s="142"/>
      <c r="B52" s="176" t="s">
        <v>160</v>
      </c>
      <c r="C52" s="55" t="s">
        <v>161</v>
      </c>
      <c r="D52" s="56" t="e">
        <f>SUM(#REF!+'5.9. sz. mell.'!D50)</f>
        <v>#REF!</v>
      </c>
      <c r="E52" s="57" t="e">
        <f>SUM(#REF!+'5.9. sz. mell.'!E50)</f>
        <v>#REF!</v>
      </c>
      <c r="F52" s="1168">
        <f>SUM('5.9.b. sz. mell.'!F50+'5.10.b. sz. mell'!F49)</f>
        <v>0</v>
      </c>
      <c r="G52" s="1415">
        <f t="shared" si="3"/>
        <v>0</v>
      </c>
      <c r="H52" s="1317">
        <f>SUM('5.9.b. sz. mell.'!H50+'5.10.b. sz. mell'!H49)</f>
        <v>0</v>
      </c>
      <c r="I52" s="1376">
        <f t="shared" si="3"/>
        <v>0</v>
      </c>
      <c r="J52" s="1322">
        <f>SUM('5.9.b. sz. mell.'!J50+'5.10.b. sz. mell'!J49)</f>
        <v>0</v>
      </c>
      <c r="K52" s="1376">
        <f t="shared" si="3"/>
        <v>0</v>
      </c>
      <c r="L52" s="1322">
        <f>SUM('5.9.b. sz. mell.'!L50+'5.10.b. sz. mell'!L49)</f>
        <v>0</v>
      </c>
      <c r="M52" s="294">
        <f>SUM('5.9.b. sz. mell.'!M50+'5.10.b. sz. mell'!M49)</f>
        <v>0</v>
      </c>
    </row>
    <row r="53" spans="1:13" ht="15" customHeight="1" thickBot="1" x14ac:dyDescent="0.25">
      <c r="A53" s="134" t="s">
        <v>17</v>
      </c>
      <c r="B53" s="170"/>
      <c r="C53" s="171" t="s">
        <v>443</v>
      </c>
      <c r="D53" s="64">
        <f>SUM(D54:D56)</f>
        <v>0</v>
      </c>
      <c r="E53" s="64" t="e">
        <f>SUM(E54:E56)</f>
        <v>#REF!</v>
      </c>
      <c r="F53" s="64">
        <f>SUM(F54:F56)</f>
        <v>1000000</v>
      </c>
      <c r="G53" s="1382">
        <f>SUM(H53-F53)</f>
        <v>26677996</v>
      </c>
      <c r="H53" s="64">
        <f>SUM(H54:H56)</f>
        <v>27677996</v>
      </c>
      <c r="I53" s="1374">
        <f>SUM(J53-H53)</f>
        <v>28442720</v>
      </c>
      <c r="J53" s="137">
        <f>SUM(J54:J56)</f>
        <v>56120716</v>
      </c>
      <c r="K53" s="1374">
        <f>SUM(L53-J53)</f>
        <v>0</v>
      </c>
      <c r="L53" s="137">
        <f>SUM(L54:L56)</f>
        <v>56120716</v>
      </c>
      <c r="M53" s="137">
        <f>SUM(M54:M56)</f>
        <v>22006993</v>
      </c>
    </row>
    <row r="54" spans="1:13" s="172" customFormat="1" ht="15" customHeight="1" x14ac:dyDescent="0.2">
      <c r="A54" s="173"/>
      <c r="B54" s="267" t="s">
        <v>5</v>
      </c>
      <c r="C54" s="251" t="s">
        <v>183</v>
      </c>
      <c r="D54" s="50"/>
      <c r="E54" s="50" t="e">
        <f>'5.1. sz. mell. '!E45+'5.2. sz. mell.  '!E57+'5.3 sz. mell'!E53+'5.4. sz mell'!E53+'5.5. sz. mell.  '!E57+'5.6. sz. mell'!E57+'5.7. sz. mell.'!E58+'5.8. sz. mell.'!E52+#REF!+'5.9. sz. mell.'!E52+'5.10 sz. mell '!E51</f>
        <v>#REF!</v>
      </c>
      <c r="F54" s="50">
        <f>SUM('5.9.b. sz. mell.'!F52+'5.10.b. sz. mell'!F51)</f>
        <v>1000000</v>
      </c>
      <c r="G54" s="1415">
        <f t="shared" si="3"/>
        <v>15880496</v>
      </c>
      <c r="H54" s="50">
        <f>SUM('5.9.b. sz. mell.'!H52+'5.10.b. sz. mell'!H51)</f>
        <v>16880496</v>
      </c>
      <c r="I54" s="1376">
        <f t="shared" si="3"/>
        <v>33131520</v>
      </c>
      <c r="J54" s="175">
        <f>SUM('5.9.b. sz. mell.'!J52+'5.10.b. sz. mell'!J51)</f>
        <v>50012016</v>
      </c>
      <c r="K54" s="1376">
        <f t="shared" si="3"/>
        <v>0</v>
      </c>
      <c r="L54" s="175">
        <f>SUM('5.9.b. sz. mell.'!L52+'5.10.b. sz. mell'!L51)</f>
        <v>50012016</v>
      </c>
      <c r="M54" s="175">
        <f>SUM('5.9.b. sz. mell.'!M52+'5.10.b. sz. mell'!M51)</f>
        <v>15898293</v>
      </c>
    </row>
    <row r="55" spans="1:13" ht="15" customHeight="1" x14ac:dyDescent="0.2">
      <c r="A55" s="142"/>
      <c r="B55" s="253" t="s">
        <v>7</v>
      </c>
      <c r="C55" s="55" t="s">
        <v>185</v>
      </c>
      <c r="D55" s="56"/>
      <c r="E55" s="50" t="e">
        <f>'5.1. sz. mell. '!E46+'5.2. sz. mell.  '!E58+'5.3 sz. mell'!E54+'5.4. sz mell'!E54+'5.5. sz. mell.  '!E58+'5.6. sz. mell'!E58+'5.7. sz. mell.'!E59+'5.8. sz. mell.'!E53+#REF!+'5.9. sz. mell.'!E53+'5.10 sz. mell '!E52</f>
        <v>#REF!</v>
      </c>
      <c r="F55" s="50">
        <f>SUM('5.9.b. sz. mell.'!F53+'5.10.b. sz. mell'!F52)</f>
        <v>0</v>
      </c>
      <c r="G55" s="1415">
        <f t="shared" si="3"/>
        <v>10797500</v>
      </c>
      <c r="H55" s="50">
        <f>SUM('5.9.b. sz. mell.'!H53+'5.10.b. sz. mell'!H52)</f>
        <v>10797500</v>
      </c>
      <c r="I55" s="1376">
        <f t="shared" si="3"/>
        <v>-4688800</v>
      </c>
      <c r="J55" s="175">
        <f>SUM('5.9.b. sz. mell.'!J53+'5.10.b. sz. mell'!J52)</f>
        <v>6108700</v>
      </c>
      <c r="K55" s="1376">
        <f t="shared" si="3"/>
        <v>0</v>
      </c>
      <c r="L55" s="175">
        <f>SUM('5.9.b. sz. mell.'!L53+'5.10.b. sz. mell'!L52)</f>
        <v>6108700</v>
      </c>
      <c r="M55" s="175">
        <f>SUM('5.9.b. sz. mell.'!M53+'5.10.b. sz. mell'!M52)</f>
        <v>6108700</v>
      </c>
    </row>
    <row r="56" spans="1:13" ht="17.25" customHeight="1" thickBot="1" x14ac:dyDescent="0.25">
      <c r="A56" s="142"/>
      <c r="B56" s="253" t="s">
        <v>9</v>
      </c>
      <c r="C56" s="55" t="s">
        <v>444</v>
      </c>
      <c r="D56" s="56"/>
      <c r="E56" s="56"/>
      <c r="F56" s="56"/>
      <c r="G56" s="2746"/>
      <c r="H56" s="56"/>
      <c r="I56" s="1525"/>
      <c r="J56" s="144"/>
      <c r="K56" s="1525"/>
      <c r="L56" s="144"/>
      <c r="M56" s="144"/>
    </row>
    <row r="57" spans="1:13" ht="15" hidden="1" customHeight="1" thickBot="1" x14ac:dyDescent="0.25">
      <c r="A57" s="134" t="s">
        <v>31</v>
      </c>
      <c r="B57" s="170"/>
      <c r="C57" s="171" t="s">
        <v>445</v>
      </c>
      <c r="D57" s="300"/>
      <c r="E57" s="300"/>
      <c r="F57" s="300"/>
      <c r="G57" s="2747"/>
      <c r="H57" s="300"/>
      <c r="I57" s="1526"/>
      <c r="J57" s="155"/>
      <c r="K57" s="1526"/>
      <c r="L57" s="155"/>
      <c r="M57" s="155"/>
    </row>
    <row r="58" spans="1:13" s="145" customFormat="1" ht="12.75" hidden="1" customHeight="1" x14ac:dyDescent="0.2">
      <c r="A58" s="134"/>
      <c r="B58" s="170"/>
      <c r="C58" s="171"/>
      <c r="D58" s="155"/>
      <c r="E58" s="155"/>
      <c r="F58" s="155"/>
      <c r="G58" s="1381"/>
      <c r="H58" s="155"/>
      <c r="I58" s="1380"/>
      <c r="J58" s="155"/>
      <c r="K58" s="1380"/>
      <c r="L58" s="155"/>
      <c r="M58" s="155"/>
    </row>
    <row r="59" spans="1:13" ht="15" customHeight="1" thickBot="1" x14ac:dyDescent="0.25">
      <c r="A59" s="192" t="s">
        <v>31</v>
      </c>
      <c r="B59" s="160"/>
      <c r="C59" s="274" t="s">
        <v>446</v>
      </c>
      <c r="D59" s="162" t="e">
        <f>+D47+D53+D57</f>
        <v>#REF!</v>
      </c>
      <c r="E59" s="162" t="e">
        <f>+E47+E53+E57</f>
        <v>#NAME?</v>
      </c>
      <c r="F59" s="162">
        <f>+F47+F53+F57+F58</f>
        <v>519807050</v>
      </c>
      <c r="G59" s="1437">
        <f>SUM(H59-F59)</f>
        <v>40647740</v>
      </c>
      <c r="H59" s="162">
        <f>+H47+H53+H57+H58</f>
        <v>560454790</v>
      </c>
      <c r="I59" s="1373">
        <f>SUM(J59-H59)</f>
        <v>106245909</v>
      </c>
      <c r="J59" s="162">
        <f>+J47+J53+J57+J58</f>
        <v>666700699</v>
      </c>
      <c r="K59" s="1373">
        <f>SUM(L59-J59)</f>
        <v>0</v>
      </c>
      <c r="L59" s="162">
        <f>+L47+L53+L57+L58</f>
        <v>666700699</v>
      </c>
      <c r="M59" s="162">
        <f>+M47+M53+M57+M58</f>
        <v>621723745</v>
      </c>
    </row>
    <row r="60" spans="1:13" ht="15" customHeight="1" thickBot="1" x14ac:dyDescent="0.25">
      <c r="A60" s="276" t="s">
        <v>324</v>
      </c>
      <c r="B60" s="277"/>
      <c r="C60" s="278"/>
      <c r="D60" s="200" t="e">
        <f>SUM(#REF!+#REF!+#REF!+#REF!+#REF!+#REF!+'5.1. sz. mell. '!D53+'5.2. sz. mell.  '!D65+'5.3 sz. mell'!D61+'5.4. sz mell'!D61+'5.5. sz. mell.  '!D65+'5.6. sz. mell'!D65+'5.7. sz. mell.'!D68+'5.8. sz. mell.'!D57+#REF!+'5.9. sz. mell.'!D57+'5.10 sz. mell '!D56)</f>
        <v>#REF!</v>
      </c>
      <c r="E60" s="200" t="e">
        <f>SUM(#REF!+#REF!+#REF!+#REF!+#REF!+#REF!+'5.1. sz. mell. '!E53+'5.2. sz. mell.  '!E65+'5.3 sz. mell'!E61+'5.4. sz mell'!E61+'5.5. sz. mell.  '!E65+'5.6. sz. mell'!E65+'5.7. sz. mell.'!E68+'5.8. sz. mell.'!E57+#REF!+'5.9. sz. mell.'!E57+'5.10 sz. mell '!E56)</f>
        <v>#REF!</v>
      </c>
      <c r="F60" s="200">
        <f>SUM('5.10.b. sz. mell'!F56)</f>
        <v>84</v>
      </c>
      <c r="G60" s="1559"/>
      <c r="H60" s="200"/>
      <c r="I60" s="1388"/>
      <c r="J60" s="200"/>
      <c r="K60" s="1388"/>
      <c r="L60" s="200"/>
      <c r="M60" s="200"/>
    </row>
    <row r="61" spans="1:13" ht="15" customHeight="1" thickBot="1" x14ac:dyDescent="0.25">
      <c r="A61" s="276" t="s">
        <v>325</v>
      </c>
      <c r="B61" s="277"/>
      <c r="C61" s="278"/>
      <c r="D61" s="202"/>
      <c r="E61" s="202"/>
      <c r="F61" s="202"/>
      <c r="G61" s="2451"/>
      <c r="H61" s="202"/>
      <c r="I61" s="1527"/>
      <c r="J61" s="202"/>
      <c r="K61" s="1527"/>
      <c r="L61" s="202"/>
      <c r="M61" s="202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35433070866141736" right="0.19685039370078741" top="0.35433070866141736" bottom="0.39370078740157483" header="0.51181102362204722" footer="0.15748031496062992"/>
  <pageSetup paperSize="9" scale="70" firstPageNumber="42" orientation="portrait" useFirstPageNumber="1" r:id="rId1"/>
  <headerFooter>
    <oddFooter>&amp;C-&amp;P -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57"/>
  <sheetViews>
    <sheetView view="pageBreakPreview" topLeftCell="A37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7.6640625" style="114" customWidth="1"/>
    <col min="2" max="2" width="8.5" style="115" customWidth="1"/>
    <col min="3" max="3" width="59.1640625" style="115" customWidth="1"/>
    <col min="4" max="5" width="9.33203125" style="115" hidden="1" customWidth="1"/>
    <col min="6" max="6" width="10.83203125" style="115" customWidth="1"/>
    <col min="7" max="7" width="12.83203125" style="1390" hidden="1" customWidth="1"/>
    <col min="8" max="8" width="12.83203125" style="115" hidden="1" customWidth="1"/>
    <col min="9" max="9" width="10.5" style="1390" hidden="1" customWidth="1"/>
    <col min="10" max="10" width="12.83203125" style="115" customWidth="1"/>
    <col min="11" max="11" width="12.83203125" style="1390" customWidth="1"/>
    <col min="12" max="12" width="14.5" style="115" customWidth="1"/>
    <col min="13" max="13" width="13.5" style="590" customWidth="1"/>
    <col min="14" max="14" width="9.83203125" style="115" customWidth="1"/>
    <col min="15" max="16384" width="9.33203125" style="115"/>
  </cols>
  <sheetData>
    <row r="1" spans="1:13" s="95" customFormat="1" ht="18" customHeight="1" thickBot="1" x14ac:dyDescent="0.25">
      <c r="A1" s="240"/>
      <c r="B1" s="241"/>
      <c r="C1" s="4524" t="s">
        <v>715</v>
      </c>
      <c r="D1" s="4524"/>
      <c r="E1" s="4524"/>
      <c r="F1" s="4524"/>
      <c r="G1" s="4524"/>
      <c r="H1" s="4524"/>
      <c r="I1" s="4524"/>
      <c r="J1" s="4524"/>
      <c r="K1" s="4524"/>
      <c r="L1" s="4524"/>
      <c r="M1" s="4524"/>
    </row>
    <row r="2" spans="1:13" s="120" customFormat="1" ht="49.5" customHeight="1" thickBot="1" x14ac:dyDescent="0.25">
      <c r="A2" s="4516" t="s">
        <v>411</v>
      </c>
      <c r="B2" s="4516"/>
      <c r="C2" s="117" t="s">
        <v>457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120" customFormat="1" ht="30" customHeight="1" thickBot="1" x14ac:dyDescent="0.25">
      <c r="A3" s="4506" t="s">
        <v>283</v>
      </c>
      <c r="B3" s="4506"/>
      <c r="C3" s="204" t="s">
        <v>328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123" customFormat="1" ht="13.5" customHeight="1" thickBot="1" x14ac:dyDescent="0.25">
      <c r="A4" s="1300"/>
      <c r="B4" s="1301"/>
      <c r="C4" s="1301"/>
      <c r="D4" s="4446"/>
      <c r="E4" s="4446"/>
      <c r="F4" s="4470"/>
      <c r="G4" s="1440"/>
      <c r="H4" s="1445"/>
      <c r="I4" s="1445"/>
      <c r="J4" s="1445"/>
      <c r="K4" s="1445"/>
      <c r="L4" s="1445"/>
      <c r="M4" s="1508" t="s">
        <v>935</v>
      </c>
    </row>
    <row r="5" spans="1:13" ht="30.7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577"/>
    </row>
    <row r="6" spans="1:13" s="129" customFormat="1" ht="12.9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578"/>
    </row>
    <row r="7" spans="1:13" s="129" customFormat="1" ht="15.9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579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 t="e">
        <f>SUM(D9:D18)</f>
        <v>#REF!</v>
      </c>
      <c r="E8" s="137" t="e">
        <f>SUM(E9:E18)</f>
        <v>#REF!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580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 t="e">
        <f>SUM(#REF!+#REF!+#REF!+#REF!+#REF!+#REF!+'5.1. sz. mell. '!D9+'5.2. sz. mell.  '!D9+'5.3 sz. mell'!D9+'5.4. sz mell'!D9+'5.5. sz. mell.  '!D9+'5.6. sz. mell'!D9+'5.7. sz. mell.'!D9+'5.8. sz. mell.'!D9+#REF!+'5.9. sz. mell.'!D9+'5.10 sz. mell '!D9)</f>
        <v>#REF!</v>
      </c>
      <c r="E9" s="150" t="e">
        <f>SUM(#REF!+#REF!+#REF!+#REF!+#REF!+#REF!+'5.1. sz. mell. '!E9+'5.2. sz. mell.  '!E9+'5.3 sz. mell'!E9+'5.4. sz mell'!E9+'5.5. sz. mell.  '!E9+'5.6. sz. mell'!E9+'5.7. sz. mell.'!E9+'5.8. sz. mell.'!E9+#REF!+'5.9. sz. mell.'!E9+'5.10 sz. mell '!E9)</f>
        <v>#REF!</v>
      </c>
      <c r="F9" s="150">
        <f>SUM('5.1. sz. mell. '!F9+'5.2. sz. mell.  '!F9+'5.3 sz. mell'!F9+'5.4. sz mell'!F9+'5.5. sz. mell.  '!F9+'5.6. sz. mell'!F9+'5.7. sz. mell.'!F9+'5.8. sz. mell.'!F9+'5.9. sz. mell.'!F9+'5.10 sz. mell '!F9)</f>
        <v>0</v>
      </c>
      <c r="G9" s="1533"/>
      <c r="H9" s="150">
        <f>SUM('5.1. sz. mell. '!H9+'5.2. sz. mell.  '!H9+'5.3 sz. mell'!H9+'5.4. sz mell'!H9+'5.5. sz. mell.  '!H9+'5.6. sz. mell'!H9+'5.7. sz. mell.'!H9+'5.8. sz. mell.'!H9+'5.9. sz. mell.'!H9+'5.10 sz. mell '!H9)</f>
        <v>0</v>
      </c>
      <c r="I9" s="1375"/>
      <c r="J9" s="150">
        <f>SUM('5.1. sz. mell. '!J9+'5.2. sz. mell.  '!J9+'5.3 sz. mell'!J9+'5.4. sz mell'!J9+'5.5. sz. mell.  '!J9+'5.6. sz. mell'!J9+'5.7. sz. mell.'!J9+'5.8. sz. mell.'!J9+'5.9. sz. mell.'!J9+'5.10 sz. mell '!J9)</f>
        <v>0</v>
      </c>
      <c r="K9" s="1375"/>
      <c r="L9" s="150">
        <f>SUM('5.1. sz. mell. '!L9+'5.2. sz. mell.  '!L9+'5.3 sz. mell'!L9+'5.4. sz mell'!L9+'5.5. sz. mell.  '!L9+'5.6. sz. mell'!L9+'5.7. sz. mell.'!L9+'5.8. sz. mell.'!L9+'5.9. sz. mell.'!L9+'5.10 sz. mell '!L9)</f>
        <v>0</v>
      </c>
      <c r="M9" s="581"/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 t="e">
        <f>SUM(#REF!+#REF!+#REF!+#REF!+#REF!+#REF!+'5.1. sz. mell. '!D10+'5.2. sz. mell.  '!D10+'5.3 sz. mell'!D10+'5.4. sz mell'!D10+'5.5. sz. mell.  '!D10+'5.6. sz. mell'!D10+'5.7. sz. mell.'!D10+'5.8. sz. mell.'!D10+#REF!+'5.9. sz. mell.'!D10+'5.10 sz. mell '!D10)</f>
        <v>#REF!</v>
      </c>
      <c r="E10" s="144" t="e">
        <f>SUM(#REF!+#REF!+#REF!+#REF!+#REF!+#REF!+'5.1. sz. mell. '!E10+'5.2. sz. mell.  '!E10+'5.3 sz. mell'!E10+'5.4. sz mell'!E10+'5.5. sz. mell.  '!E10+'5.6. sz. mell'!E10+'5.7. sz. mell.'!E10+'5.8. sz. mell.'!E10+#REF!+'5.9. sz. mell.'!E10+'5.10 sz. mell '!E10)</f>
        <v>#REF!</v>
      </c>
      <c r="F10" s="144"/>
      <c r="G10" s="1415"/>
      <c r="H10" s="144"/>
      <c r="I10" s="1376"/>
      <c r="J10" s="144"/>
      <c r="K10" s="1376"/>
      <c r="L10" s="144"/>
      <c r="M10" s="582"/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 t="e">
        <f>SUM(#REF!+#REF!+#REF!+#REF!+#REF!+#REF!+'5.1. sz. mell. '!D11+'5.2. sz. mell.  '!D11+'5.3 sz. mell'!D11+'5.4. sz mell'!D11+'5.5. sz. mell.  '!D11+'5.6. sz. mell'!D11+'5.7. sz. mell.'!D11+'5.8. sz. mell.'!D11+#REF!+'5.9. sz. mell.'!D11+'5.10 sz. mell '!D11)</f>
        <v>#REF!</v>
      </c>
      <c r="E11" s="144" t="e">
        <f>SUM(#REF!+#REF!+#REF!+#REF!+#REF!+#REF!+'5.1. sz. mell. '!E11+'5.2. sz. mell.  '!E11+'5.3 sz. mell'!E11+'5.4. sz mell'!E11+'5.5. sz. mell.  '!E11+'5.6. sz. mell'!E11+'5.7. sz. mell.'!E11+'5.8. sz. mell.'!E11+#REF!+'5.9. sz. mell.'!E11+'5.10 sz. mell '!E11)</f>
        <v>#REF!</v>
      </c>
      <c r="F11" s="144"/>
      <c r="G11" s="1415"/>
      <c r="H11" s="144"/>
      <c r="I11" s="1376"/>
      <c r="J11" s="144"/>
      <c r="K11" s="1376"/>
      <c r="L11" s="144"/>
      <c r="M11" s="582"/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 t="e">
        <f>SUM(#REF!+#REF!+#REF!+#REF!+#REF!+#REF!+'5.1. sz. mell. '!D12+'5.2. sz. mell.  '!D12+'5.3 sz. mell'!D12+'5.4. sz mell'!D12+'5.5. sz. mell.  '!D12+'5.6. sz. mell'!D12+'5.7. sz. mell.'!D12+'5.8. sz. mell.'!D12+#REF!+'5.9. sz. mell.'!D12+'5.10 sz. mell '!D12)</f>
        <v>#REF!</v>
      </c>
      <c r="E12" s="144" t="e">
        <f>SUM(#REF!+#REF!+#REF!+#REF!+#REF!+#REF!+'5.1. sz. mell. '!E12+'5.2. sz. mell.  '!E12+'5.3 sz. mell'!E12+'5.4. sz mell'!E12+'5.5. sz. mell.  '!E12+'5.6. sz. mell'!E12+'5.7. sz. mell.'!E12+'5.8. sz. mell.'!E12+#REF!+'5.9. sz. mell.'!E12+'5.10 sz. mell '!E12)</f>
        <v>#REF!</v>
      </c>
      <c r="F12" s="144"/>
      <c r="G12" s="1415"/>
      <c r="H12" s="144"/>
      <c r="I12" s="1376"/>
      <c r="J12" s="144"/>
      <c r="K12" s="1376"/>
      <c r="L12" s="144"/>
      <c r="M12" s="582"/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 t="e">
        <f>SUM(#REF!+#REF!+#REF!+#REF!+#REF!+#REF!+'5.1. sz. mell. '!D13+'5.2. sz. mell.  '!D13+'5.3 sz. mell'!D13+'5.4. sz mell'!D13+'5.5. sz. mell.  '!D13+'5.6. sz. mell'!D13+'5.7. sz. mell.'!D13+'5.8. sz. mell.'!D13+#REF!+'5.9. sz. mell.'!D13+'5.10 sz. mell '!D13)</f>
        <v>#REF!</v>
      </c>
      <c r="E13" s="144" t="e">
        <f>SUM(#REF!+#REF!+#REF!+#REF!+#REF!+#REF!+'5.1. sz. mell. '!E13+'5.2. sz. mell.  '!E13+'5.3 sz. mell'!E13+'5.4. sz mell'!E13+'5.5. sz. mell.  '!E13+'5.6. sz. mell'!E13+'5.7. sz. mell.'!E13+'5.8. sz. mell.'!E13+#REF!+'5.9. sz. mell.'!E13+'5.10 sz. mell '!E13)</f>
        <v>#REF!</v>
      </c>
      <c r="F13" s="144"/>
      <c r="G13" s="1415"/>
      <c r="H13" s="144"/>
      <c r="I13" s="1376"/>
      <c r="J13" s="144"/>
      <c r="K13" s="1376"/>
      <c r="L13" s="144"/>
      <c r="M13" s="582"/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4" t="e">
        <f>SUM(#REF!+#REF!+#REF!+#REF!+#REF!+#REF!+'5.1. sz. mell. '!D14+'5.2. sz. mell.  '!D14+'5.3 sz. mell'!D14+'5.4. sz mell'!D14+'5.5. sz. mell.  '!D14+'5.6. sz. mell'!D14+'5.7. sz. mell.'!D14+'5.8. sz. mell.'!D14+#REF!+'5.9. sz. mell.'!D14+'5.10 sz. mell '!D14)</f>
        <v>#REF!</v>
      </c>
      <c r="E14" s="144" t="e">
        <f>SUM(#REF!+#REF!+#REF!+#REF!+#REF!+#REF!+'5.1. sz. mell. '!E14+'5.2. sz. mell.  '!E14+'5.3 sz. mell'!E14+'5.4. sz mell'!E14+'5.5. sz. mell.  '!E14+'5.6. sz. mell'!E14+'5.7. sz. mell.'!E14+'5.8. sz. mell.'!E14+#REF!+'5.9. sz. mell.'!E14+'5.10 sz. mell '!E14)</f>
        <v>#REF!</v>
      </c>
      <c r="F14" s="144"/>
      <c r="G14" s="1415"/>
      <c r="H14" s="144"/>
      <c r="I14" s="1376"/>
      <c r="J14" s="144"/>
      <c r="K14" s="1376"/>
      <c r="L14" s="144"/>
      <c r="M14" s="582"/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 t="e">
        <f>SUM(#REF!+#REF!+#REF!+#REF!+#REF!+#REF!+'5.1. sz. mell. '!D15+'5.2. sz. mell.  '!D16+'5.3 sz. mell'!D16+'5.4. sz mell'!D16+'5.5. sz. mell.  '!D16+'5.6. sz. mell'!D16+'5.7. sz. mell.'!D16+'5.8. sz. mell.'!D15+#REF!+'5.9. sz. mell.'!D15+'5.10 sz. mell '!D15)</f>
        <v>#REF!</v>
      </c>
      <c r="E15" s="144" t="e">
        <f>SUM(#REF!+#REF!+#REF!+#REF!+#REF!+#REF!+'5.1. sz. mell. '!E15+'5.2. sz. mell.  '!E16+'5.3 sz. mell'!E16+'5.4. sz mell'!E16+'5.5. sz. mell.  '!E16+'5.6. sz. mell'!E16+'5.7. sz. mell.'!E16+'5.8. sz. mell.'!E15+#REF!+'5.9. sz. mell.'!E15+'5.10 sz. mell '!E15)</f>
        <v>#REF!</v>
      </c>
      <c r="F15" s="144"/>
      <c r="G15" s="1415"/>
      <c r="H15" s="144"/>
      <c r="I15" s="1376"/>
      <c r="J15" s="144"/>
      <c r="K15" s="1376"/>
      <c r="L15" s="144"/>
      <c r="M15" s="582"/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/>
      <c r="G16" s="1518"/>
      <c r="H16" s="153"/>
      <c r="I16" s="1378"/>
      <c r="J16" s="153"/>
      <c r="K16" s="1378"/>
      <c r="L16" s="153"/>
      <c r="M16" s="584"/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518"/>
      <c r="H17" s="153"/>
      <c r="I17" s="1378"/>
      <c r="J17" s="153"/>
      <c r="K17" s="1378"/>
      <c r="L17" s="153"/>
      <c r="M17" s="584"/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294" t="e">
        <f>SUM(#REF!+#REF!+#REF!+#REF!+#REF!+#REF!+'5.1. sz. mell. '!D16+'5.2. sz. mell.  '!D18+'5.3 sz. mell'!D18+'5.4. sz mell'!D18+'5.5. sz. mell.  '!D18+'5.6. sz. mell'!D18+'5.7. sz. mell.'!D18+'5.8. sz. mell.'!D18+#REF!+'5.9. sz. mell.'!D18+'5.10 sz. mell '!D18)</f>
        <v>#REF!</v>
      </c>
      <c r="E18" s="294" t="e">
        <f>SUM(#REF!+#REF!+#REF!+#REF!+#REF!+#REF!+'5.1. sz. mell. '!E16+'5.2. sz. mell.  '!E18+'5.3 sz. mell'!E18+'5.4. sz mell'!E18+'5.5. sz. mell.  '!E18+'5.6. sz. mell'!E18+'5.7. sz. mell.'!E18+'5.8. sz. mell.'!E18+#REF!+'5.9. sz. mell.'!E18+'5.10 sz. mell '!E18)</f>
        <v>#REF!</v>
      </c>
      <c r="F18" s="294"/>
      <c r="G18" s="2667"/>
      <c r="H18" s="294"/>
      <c r="I18" s="1384"/>
      <c r="J18" s="294"/>
      <c r="K18" s="1384"/>
      <c r="L18" s="294"/>
      <c r="M18" s="591"/>
    </row>
    <row r="19" spans="1:13" s="141" customFormat="1" ht="30.75" customHeight="1" thickBot="1" x14ac:dyDescent="0.25">
      <c r="A19" s="134" t="s">
        <v>17</v>
      </c>
      <c r="B19" s="148"/>
      <c r="C19" s="247" t="s">
        <v>419</v>
      </c>
      <c r="D19" s="137" t="e">
        <f>SUM(D20:D25)-D23</f>
        <v>#REF!</v>
      </c>
      <c r="E19" s="137" t="e">
        <v>#VALUE!</v>
      </c>
      <c r="F19" s="137">
        <f>SUM(F20:F25)-F23</f>
        <v>0</v>
      </c>
      <c r="G19" s="1382"/>
      <c r="H19" s="137">
        <f>SUM(H20:H25)-H23</f>
        <v>0</v>
      </c>
      <c r="I19" s="1374"/>
      <c r="J19" s="137">
        <f>SUM(J20:J25)-J23</f>
        <v>0</v>
      </c>
      <c r="K19" s="1374"/>
      <c r="L19" s="137">
        <f>SUM(L20:L25)-L23</f>
        <v>0</v>
      </c>
      <c r="M19" s="580">
        <f>SUM(M20:M25)-M23</f>
        <v>0</v>
      </c>
    </row>
    <row r="20" spans="1:13" s="145" customFormat="1" ht="38.25" customHeight="1" x14ac:dyDescent="0.2">
      <c r="A20" s="142"/>
      <c r="B20" s="143" t="s">
        <v>5</v>
      </c>
      <c r="C20" s="251" t="s">
        <v>420</v>
      </c>
      <c r="D20" s="150"/>
      <c r="E20" s="150"/>
      <c r="F20" s="150"/>
      <c r="G20" s="1533"/>
      <c r="H20" s="150"/>
      <c r="I20" s="1375"/>
      <c r="J20" s="150"/>
      <c r="K20" s="1375"/>
      <c r="L20" s="150"/>
      <c r="M20" s="581"/>
    </row>
    <row r="21" spans="1:13" s="145" customFormat="1" ht="20.25" customHeight="1" x14ac:dyDescent="0.2">
      <c r="A21" s="142"/>
      <c r="B21" s="143" t="s">
        <v>421</v>
      </c>
      <c r="C21" s="55" t="s">
        <v>422</v>
      </c>
      <c r="D21" s="175">
        <f>SUM('5.10 sz. mell '!D22)</f>
        <v>442256</v>
      </c>
      <c r="E21" s="175">
        <f>SUM('5.10 sz. mell '!E22)</f>
        <v>442256</v>
      </c>
      <c r="F21" s="175"/>
      <c r="G21" s="1432"/>
      <c r="H21" s="175"/>
      <c r="I21" s="1386"/>
      <c r="J21" s="175"/>
      <c r="K21" s="1386"/>
      <c r="L21" s="175"/>
      <c r="M21" s="589"/>
    </row>
    <row r="22" spans="1:13" s="145" customFormat="1" ht="18.75" customHeight="1" x14ac:dyDescent="0.2">
      <c r="A22" s="142"/>
      <c r="B22" s="143" t="s">
        <v>360</v>
      </c>
      <c r="C22" s="55" t="s">
        <v>1429</v>
      </c>
      <c r="D22" s="144" t="e">
        <f>SUM(#REF!+#REF!+#REF!+#REF!+#REF!+#REF!+'5.1. sz. mell. '!D18+'5.2. sz. mell.  '!D20+'5.3 sz. mell'!D20+'5.4. sz mell'!D20+'5.5. sz. mell.  '!D20+'5.6. sz. mell'!D20+'5.7. sz. mell.'!D20+'5.8. sz. mell.'!D20+#REF!+'5.9. sz. mell.'!D20)</f>
        <v>#REF!</v>
      </c>
      <c r="E22" s="144" t="e">
        <f>SUM(#REF!+#REF!+#REF!+#REF!+#REF!+#REF!+'5.1. sz. mell. '!E18+'5.2. sz. mell.  '!E20+'5.3 sz. mell'!E20+'5.4. sz mell'!E20+'5.5. sz. mell.  '!E20+'5.6. sz. mell'!E20+'5.7. sz. mell.'!E20+'5.8. sz. mell.'!E20+#REF!+'5.9. sz. mell.'!E20)</f>
        <v>#REF!</v>
      </c>
      <c r="F22" s="144"/>
      <c r="G22" s="1415"/>
      <c r="H22" s="144"/>
      <c r="I22" s="1376"/>
      <c r="J22" s="144"/>
      <c r="K22" s="1376"/>
      <c r="L22" s="144"/>
      <c r="M22" s="582"/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 t="e">
        <f>SUM(#REF!+#REF!+'5.1. sz. mell. '!D19+'5.2. sz. mell.  '!D21)</f>
        <v>#REF!</v>
      </c>
      <c r="E23" s="144" t="e">
        <f>SUM(#REF!+#REF!+'5.1. sz. mell. '!E19+'5.2. sz. mell.  '!E21)</f>
        <v>#REF!</v>
      </c>
      <c r="F23" s="144"/>
      <c r="G23" s="1415"/>
      <c r="H23" s="144"/>
      <c r="I23" s="1376"/>
      <c r="J23" s="144"/>
      <c r="K23" s="1376"/>
      <c r="L23" s="144"/>
      <c r="M23" s="582"/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>
        <f>'5.7. sz. mell.'!E23</f>
        <v>2090</v>
      </c>
      <c r="F24" s="144"/>
      <c r="G24" s="1415"/>
      <c r="H24" s="144"/>
      <c r="I24" s="1376"/>
      <c r="J24" s="144"/>
      <c r="K24" s="1376"/>
      <c r="L24" s="144"/>
      <c r="M24" s="582"/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294" t="e">
        <f>SUM(#REF!+'5.9. sz. mell.'!D24)</f>
        <v>#REF!</v>
      </c>
      <c r="E25" s="294" t="e">
        <f>SUM(#REF!+'5.9. sz. mell.'!E24+'5.2. sz. mell.  '!E26)+#REF!+'5.10 sz. mell '!E26</f>
        <v>#REF!</v>
      </c>
      <c r="F25" s="294"/>
      <c r="G25" s="2667"/>
      <c r="H25" s="294"/>
      <c r="I25" s="1384"/>
      <c r="J25" s="294"/>
      <c r="K25" s="1384"/>
      <c r="L25" s="294"/>
      <c r="M25" s="591"/>
    </row>
    <row r="26" spans="1:13" s="141" customFormat="1" ht="15" customHeight="1" thickBot="1" x14ac:dyDescent="0.25">
      <c r="A26" s="134" t="s">
        <v>31</v>
      </c>
      <c r="B26" s="170"/>
      <c r="C26" s="247" t="s">
        <v>426</v>
      </c>
      <c r="D26" s="137" t="e">
        <f>SUM(D27)</f>
        <v>#REF!</v>
      </c>
      <c r="E26" s="137" t="e">
        <f>SUM(E27)</f>
        <v>#REF!</v>
      </c>
      <c r="F26" s="137">
        <f>SUM(F27)</f>
        <v>0</v>
      </c>
      <c r="G26" s="1382"/>
      <c r="H26" s="137">
        <f>SUM(H27)</f>
        <v>0</v>
      </c>
      <c r="I26" s="1374"/>
      <c r="J26" s="137">
        <f>SUM(J27)</f>
        <v>0</v>
      </c>
      <c r="K26" s="1374"/>
      <c r="L26" s="137">
        <f>SUM(L27)</f>
        <v>0</v>
      </c>
      <c r="M26" s="580">
        <f>SUM(M27)</f>
        <v>0</v>
      </c>
    </row>
    <row r="27" spans="1:13" s="145" customFormat="1" ht="31.5" customHeight="1" thickBot="1" x14ac:dyDescent="0.25">
      <c r="A27" s="142"/>
      <c r="B27" s="143" t="s">
        <v>19</v>
      </c>
      <c r="C27" s="55" t="s">
        <v>427</v>
      </c>
      <c r="D27" s="294" t="e">
        <f>SUM(#REF!+#REF!+#REF!+#REF!+#REF!+#REF!+'5.1. sz. mell. '!D24+'5.2. sz. mell.  '!D29+'5.3 sz. mell'!D28+'5.4. sz mell'!D28+'5.5. sz. mell.  '!D32+'5.6. sz. mell'!D32+'5.7. sz. mell.'!D32+'5.8. sz. mell.'!D32+#REF!+'5.9. sz. mell.'!D32+'5.10 sz. mell '!D33)</f>
        <v>#REF!</v>
      </c>
      <c r="E27" s="294" t="e">
        <f>SUM(#REF!+#REF!+#REF!+#REF!+#REF!+#REF!+'5.1. sz. mell. '!E24+'5.2. sz. mell.  '!E29+'5.3 sz. mell'!E28+'5.4. sz mell'!E28+'5.5. sz. mell.  '!E32+'5.6. sz. mell'!E32+'5.7. sz. mell.'!E32+'5.8. sz. mell.'!E32+#REF!+'5.9. sz. mell.'!E32+'5.10 sz. mell '!E33)</f>
        <v>#REF!</v>
      </c>
      <c r="F27" s="294"/>
      <c r="G27" s="2667"/>
      <c r="H27" s="294"/>
      <c r="I27" s="1384"/>
      <c r="J27" s="294"/>
      <c r="K27" s="1384"/>
      <c r="L27" s="294"/>
      <c r="M27" s="591"/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/>
      <c r="E28" s="155"/>
      <c r="F28" s="155"/>
      <c r="G28" s="1381"/>
      <c r="H28" s="155"/>
      <c r="I28" s="1380"/>
      <c r="J28" s="155"/>
      <c r="K28" s="1380"/>
      <c r="L28" s="155"/>
      <c r="M28" s="585"/>
    </row>
    <row r="29" spans="1:13" s="145" customFormat="1" ht="15" customHeight="1" x14ac:dyDescent="0.2">
      <c r="A29" s="142"/>
      <c r="B29" s="253" t="s">
        <v>33</v>
      </c>
      <c r="C29" s="55" t="s">
        <v>359</v>
      </c>
      <c r="D29" s="144"/>
      <c r="E29" s="144"/>
      <c r="F29" s="144"/>
      <c r="G29" s="1415"/>
      <c r="H29" s="144"/>
      <c r="I29" s="1376"/>
      <c r="J29" s="144"/>
      <c r="K29" s="1376"/>
      <c r="L29" s="144"/>
      <c r="M29" s="582"/>
    </row>
    <row r="30" spans="1:13" s="145" customFormat="1" ht="15" customHeight="1" x14ac:dyDescent="0.2">
      <c r="A30" s="142"/>
      <c r="B30" s="253" t="s">
        <v>39</v>
      </c>
      <c r="C30" s="55" t="s">
        <v>72</v>
      </c>
      <c r="D30" s="144"/>
      <c r="E30" s="144"/>
      <c r="F30" s="144"/>
      <c r="G30" s="1415"/>
      <c r="H30" s="144"/>
      <c r="I30" s="1376"/>
      <c r="J30" s="144"/>
      <c r="K30" s="1376"/>
      <c r="L30" s="144"/>
      <c r="M30" s="582"/>
    </row>
    <row r="31" spans="1:13" s="145" customFormat="1" ht="15" customHeight="1" thickBot="1" x14ac:dyDescent="0.25">
      <c r="A31" s="142"/>
      <c r="B31" s="253" t="s">
        <v>41</v>
      </c>
      <c r="C31" s="55" t="s">
        <v>74</v>
      </c>
      <c r="D31" s="144"/>
      <c r="E31" s="144"/>
      <c r="F31" s="144"/>
      <c r="G31" s="1415"/>
      <c r="H31" s="144"/>
      <c r="I31" s="1376"/>
      <c r="J31" s="144"/>
      <c r="K31" s="1376"/>
      <c r="L31" s="144"/>
      <c r="M31" s="582"/>
    </row>
    <row r="32" spans="1:13" s="141" customFormat="1" ht="30" customHeight="1" thickBot="1" x14ac:dyDescent="0.25">
      <c r="A32" s="134" t="s">
        <v>67</v>
      </c>
      <c r="B32" s="254"/>
      <c r="C32" s="170" t="s">
        <v>429</v>
      </c>
      <c r="D32" s="155"/>
      <c r="E32" s="155"/>
      <c r="F32" s="155"/>
      <c r="G32" s="1381"/>
      <c r="H32" s="155"/>
      <c r="I32" s="1380"/>
      <c r="J32" s="155"/>
      <c r="K32" s="1380"/>
      <c r="L32" s="155"/>
      <c r="M32" s="585"/>
    </row>
    <row r="33" spans="1:13" s="141" customFormat="1" ht="31.5" customHeight="1" thickBot="1" x14ac:dyDescent="0.25">
      <c r="A33" s="134"/>
      <c r="B33" s="255" t="s">
        <v>47</v>
      </c>
      <c r="C33" s="251" t="s">
        <v>430</v>
      </c>
      <c r="D33" s="295"/>
      <c r="E33" s="295"/>
      <c r="F33" s="295"/>
      <c r="G33" s="1381"/>
      <c r="H33" s="295"/>
      <c r="I33" s="1381"/>
      <c r="J33" s="295"/>
      <c r="K33" s="1381"/>
      <c r="L33" s="295"/>
      <c r="M33" s="592"/>
    </row>
    <row r="34" spans="1:13" s="141" customFormat="1" ht="17.25" customHeight="1" thickBot="1" x14ac:dyDescent="0.3">
      <c r="A34" s="134" t="s">
        <v>79</v>
      </c>
      <c r="B34" s="256"/>
      <c r="C34" s="247" t="s">
        <v>431</v>
      </c>
      <c r="D34" s="295"/>
      <c r="E34" s="295"/>
      <c r="F34" s="295"/>
      <c r="G34" s="1381"/>
      <c r="H34" s="295"/>
      <c r="I34" s="1381"/>
      <c r="J34" s="295"/>
      <c r="K34" s="1381"/>
      <c r="L34" s="295"/>
      <c r="M34" s="592"/>
    </row>
    <row r="35" spans="1:13" s="141" customFormat="1" ht="32.25" customHeight="1" thickBot="1" x14ac:dyDescent="0.25">
      <c r="A35" s="134" t="s">
        <v>79</v>
      </c>
      <c r="B35" s="257" t="s">
        <v>69</v>
      </c>
      <c r="C35" s="55" t="s">
        <v>432</v>
      </c>
      <c r="D35" s="285">
        <f>+D36+D37</f>
        <v>0</v>
      </c>
      <c r="E35" s="285" t="e">
        <f>+E36+E37</f>
        <v>#REF!</v>
      </c>
      <c r="F35" s="285">
        <f>+F36+F37</f>
        <v>0</v>
      </c>
      <c r="G35" s="1382"/>
      <c r="H35" s="285">
        <f>+H36+H37</f>
        <v>0</v>
      </c>
      <c r="I35" s="1382"/>
      <c r="J35" s="285">
        <f>+J36+J37</f>
        <v>0</v>
      </c>
      <c r="K35" s="1382"/>
      <c r="L35" s="285">
        <f>+L36+L37</f>
        <v>0</v>
      </c>
      <c r="M35" s="588">
        <f>+M36+M37</f>
        <v>0</v>
      </c>
    </row>
    <row r="36" spans="1:13" s="141" customFormat="1" ht="15" customHeight="1" thickBot="1" x14ac:dyDescent="0.3">
      <c r="A36" s="134"/>
      <c r="B36" s="256"/>
      <c r="C36" s="170" t="s">
        <v>433</v>
      </c>
      <c r="D36" s="296"/>
      <c r="E36" s="296" t="e">
        <f>'5.1. sz. mell. '!E26+'5.2. sz. mell.  '!E34+'5.3 sz. mell'!E37+'5.4. sz mell'!E37+'5.5. sz. mell.  '!E34+'5.6. sz. mell'!E34+'5.7. sz. mell.'!E34+'5.8. sz. mell.'!E37+#REF!+'5.9. sz. mell.'!E37+'5.10 sz. mell '!E38</f>
        <v>#REF!</v>
      </c>
      <c r="F36" s="296">
        <f>'5.1. sz. mell. '!F26+'5.2. sz. mell.  '!F34+'5.3 sz. mell'!F37+'5.4. sz mell'!F37+'5.5. sz. mell.  '!F34+'5.6. sz. mell'!F34+'5.7. sz. mell.'!F34+'5.8. sz. mell.'!F37+'5.9. sz. mell.'!F37+'5.10 sz. mell '!F38</f>
        <v>0</v>
      </c>
      <c r="G36" s="1521"/>
      <c r="H36" s="296"/>
      <c r="I36" s="1521"/>
      <c r="J36" s="296"/>
      <c r="K36" s="1521"/>
      <c r="L36" s="296"/>
      <c r="M36" s="593"/>
    </row>
    <row r="37" spans="1:13" s="141" customFormat="1" ht="15" customHeight="1" thickBot="1" x14ac:dyDescent="0.25">
      <c r="A37" s="173"/>
      <c r="B37" s="253" t="s">
        <v>81</v>
      </c>
      <c r="C37" s="55" t="s">
        <v>434</v>
      </c>
      <c r="D37" s="297"/>
      <c r="E37" s="296" t="e">
        <f>'5.1. sz. mell. '!E27+'5.2. sz. mell.  '!E35+'5.3 sz. mell'!E38+'5.4. sz mell'!E38+'5.5. sz. mell.  '!E35+'5.6. sz. mell'!E35+'5.7. sz. mell.'!E35+'5.8. sz. mell.'!E38+#REF!+'5.9. sz. mell.'!E38+'5.10 sz. mell '!E39</f>
        <v>#REF!</v>
      </c>
      <c r="F37" s="296">
        <f>'5.1. sz. mell. '!F27+'5.2. sz. mell.  '!F35+'5.3 sz. mell'!F38+'5.4. sz mell'!F38+'5.5. sz. mell.  '!F35+'5.6. sz. mell'!F35+'5.7. sz. mell.'!F35+'5.8. sz. mell.'!F38+'5.9. sz. mell.'!F38+'5.10 sz. mell '!F39</f>
        <v>0</v>
      </c>
      <c r="G37" s="1521"/>
      <c r="H37" s="296">
        <f>'5.1. sz. mell. '!H27+'5.2. sz. mell.  '!H35+'5.3 sz. mell'!H38+'5.4. sz mell'!H38+'5.5. sz. mell.  '!H35+'5.6. sz. mell'!H35+'5.7. sz. mell.'!H35+'5.8. sz. mell.'!H38+'5.9. sz. mell.'!H38+'5.10 sz. mell '!H39</f>
        <v>0</v>
      </c>
      <c r="I37" s="1521"/>
      <c r="J37" s="296">
        <f>'5.1. sz. mell. '!J27+'5.2. sz. mell.  '!J35+'5.3 sz. mell'!J38+'5.4. sz mell'!J38+'5.5. sz. mell.  '!J35+'5.6. sz. mell'!J35+'5.7. sz. mell.'!J35+'5.8. sz. mell.'!J38+'5.9. sz. mell.'!J38+'5.10 sz. mell '!J39</f>
        <v>0</v>
      </c>
      <c r="K37" s="1521"/>
      <c r="L37" s="296">
        <f>'5.1. sz. mell. '!L27+'5.2. sz. mell.  '!L35+'5.3 sz. mell'!L38+'5.4. sz mell'!L38+'5.5. sz. mell.  '!L35+'5.6. sz. mell'!L35+'5.7. sz. mell.'!L35+'5.8. sz. mell.'!L38+'5.9. sz. mell.'!L38+'5.10 sz. mell '!L39</f>
        <v>0</v>
      </c>
      <c r="M37" s="296">
        <f>'5.1. sz. mell. '!M27+'5.2. sz. mell.  '!M35+'5.3 sz. mell'!M38+'5.4. sz mell'!M38+'5.5. sz. mell.  '!M35+'5.6. sz. mell'!M35+'5.7. sz. mell.'!M35+'5.8. sz. mell.'!M38+'5.9. sz. mell.'!M38+'5.10 sz. mell '!M39</f>
        <v>0</v>
      </c>
    </row>
    <row r="38" spans="1:13" s="145" customFormat="1" ht="15" customHeight="1" thickBot="1" x14ac:dyDescent="0.25">
      <c r="A38" s="671" t="s">
        <v>89</v>
      </c>
      <c r="B38" s="253" t="s">
        <v>83</v>
      </c>
      <c r="C38" s="55" t="s">
        <v>435</v>
      </c>
      <c r="D38" s="273" t="e">
        <f>SUM(#REF!+#REF!+#REF!+#REF!+#REF!+#REF!+'5.1. sz. mell. '!D28+'5.2. sz. mell.  '!D36+'5.3 sz. mell'!D39+'5.4. sz mell'!D39+'5.5. sz. mell.  '!D43+'5.6. sz. mell'!D43+'5.7. sz. mell.'!D43+'5.8. sz. mell.'!D39+#REF!+'5.9. sz. mell.'!D39+'5.10 sz. mell '!D40)</f>
        <v>#REF!</v>
      </c>
      <c r="E38" s="273" t="e">
        <f>SUM(#REF!+#REF!+#REF!+#REF!+#REF!+#REF!+'5.1. sz. mell. '!E28+'5.2. sz. mell.  '!E36+'5.3 sz. mell'!E39+'5.4. sz mell'!E39+'5.5. sz. mell.  '!E43+'5.6. sz. mell'!E43+'5.7. sz. mell.'!E43+'5.8. sz. mell.'!E39+#REF!+'5.9. sz. mell.'!E39+'5.10 sz. mell '!E40)</f>
        <v>#REF!</v>
      </c>
      <c r="F38" s="273"/>
      <c r="G38" s="1546"/>
      <c r="H38" s="273"/>
      <c r="I38" s="1535"/>
      <c r="J38" s="273"/>
      <c r="K38" s="1535"/>
      <c r="L38" s="273"/>
      <c r="M38" s="594"/>
    </row>
    <row r="39" spans="1:13" s="145" customFormat="1" ht="15" customHeight="1" thickBot="1" x14ac:dyDescent="0.25">
      <c r="A39" s="672"/>
      <c r="B39" s="253" t="s">
        <v>85</v>
      </c>
      <c r="C39" s="55" t="s">
        <v>1433</v>
      </c>
      <c r="D39" s="155"/>
      <c r="E39" s="155"/>
      <c r="F39" s="155"/>
      <c r="G39" s="1381"/>
      <c r="H39" s="155"/>
      <c r="I39" s="1380"/>
      <c r="J39" s="155"/>
      <c r="K39" s="1380"/>
      <c r="L39" s="155"/>
      <c r="M39" s="585"/>
    </row>
    <row r="40" spans="1:13" s="145" customFormat="1" ht="15" customHeight="1" thickBot="1" x14ac:dyDescent="0.25">
      <c r="A40" s="192" t="s">
        <v>99</v>
      </c>
      <c r="B40" s="160"/>
      <c r="C40" s="274" t="s">
        <v>441</v>
      </c>
      <c r="D40" s="162" t="e">
        <f>SUM(D8,D19,D28,D32,D35,D38)</f>
        <v>#REF!</v>
      </c>
      <c r="E40" s="162" t="e">
        <f>SUM(E8,E19,E28,E32,E35,E38)</f>
        <v>#REF!</v>
      </c>
      <c r="F40" s="162">
        <f>SUM(F8,F19,F28,F32,F35,F38,F39)</f>
        <v>0</v>
      </c>
      <c r="G40" s="1437"/>
      <c r="H40" s="162">
        <f>SUM(H8,H19,H28,H32,H35,H38,H39)</f>
        <v>0</v>
      </c>
      <c r="I40" s="1373"/>
      <c r="J40" s="162">
        <f>SUM(J8,J19,J28,J32,J35,J38,J39)</f>
        <v>0</v>
      </c>
      <c r="K40" s="1373"/>
      <c r="L40" s="162">
        <f>SUM(L8,L19,L28,L32,L35,L38,L39)</f>
        <v>0</v>
      </c>
      <c r="M40" s="579">
        <f>SUM(M8,M19,M28,M32,M35,M38,M39)</f>
        <v>0</v>
      </c>
    </row>
    <row r="41" spans="1:13" s="145" customFormat="1" ht="18.75" customHeight="1" thickBot="1" x14ac:dyDescent="0.25">
      <c r="A41" s="2098"/>
      <c r="B41" s="266"/>
      <c r="C41" s="275"/>
      <c r="D41" s="165"/>
      <c r="E41" s="165"/>
      <c r="F41" s="2452"/>
      <c r="G41" s="1532"/>
      <c r="H41" s="1532"/>
      <c r="I41" s="1532"/>
      <c r="J41" s="1532"/>
      <c r="K41" s="1532"/>
      <c r="L41" s="165"/>
      <c r="M41" s="2143"/>
    </row>
    <row r="42" spans="1:13" s="129" customFormat="1" ht="15" customHeight="1" thickBot="1" x14ac:dyDescent="0.25">
      <c r="A42" s="192"/>
      <c r="B42" s="160"/>
      <c r="C42" s="282" t="s">
        <v>231</v>
      </c>
      <c r="D42" s="162"/>
      <c r="E42" s="162"/>
      <c r="F42" s="162"/>
      <c r="G42" s="1437"/>
      <c r="H42" s="162"/>
      <c r="I42" s="1373"/>
      <c r="J42" s="162"/>
      <c r="K42" s="1373"/>
      <c r="L42" s="162"/>
      <c r="M42" s="579"/>
    </row>
    <row r="43" spans="1:13" s="172" customFormat="1" ht="15" customHeight="1" thickBot="1" x14ac:dyDescent="0.25">
      <c r="A43" s="134" t="s">
        <v>3</v>
      </c>
      <c r="B43" s="170"/>
      <c r="C43" s="171" t="s">
        <v>442</v>
      </c>
      <c r="D43" s="64" t="e">
        <f>SUM(D44+D45+D46+D48)</f>
        <v>#REF!</v>
      </c>
      <c r="E43" s="64" t="e">
        <v>#NAME?</v>
      </c>
      <c r="F43" s="137"/>
      <c r="G43" s="1382"/>
      <c r="H43" s="137"/>
      <c r="I43" s="1374"/>
      <c r="J43" s="137"/>
      <c r="K43" s="1374"/>
      <c r="L43" s="137"/>
      <c r="M43" s="580">
        <f>SUM(M44+M45+M46+M48+M47)</f>
        <v>0</v>
      </c>
    </row>
    <row r="44" spans="1:13" ht="15" customHeight="1" x14ac:dyDescent="0.2">
      <c r="A44" s="173"/>
      <c r="B44" s="267" t="s">
        <v>152</v>
      </c>
      <c r="C44" s="251" t="s">
        <v>153</v>
      </c>
      <c r="D44" s="299" t="e">
        <f>SUM(#REF!+#REF!+#REF!+#REF!+#REF!+#REF!+'5.1. sz. mell. '!D34+'5.2. sz. mell.  '!D48+'5.3 sz. mell'!D47+'5.4. sz mell'!D47+'5.5. sz. mell.  '!D51+'5.6. sz. mell'!D51+'5.7. sz. mell.'!D51+'5.8. sz. mell.'!D46+#REF!+'5.9. sz. mell.'!D46+'5.10 sz. mell '!D45)</f>
        <v>#REF!</v>
      </c>
      <c r="E44" s="299" t="e">
        <f>SUM(#REF!+#REF!+#REF!+#REF!+#REF!+#REF!+'5.1. sz. mell. '!E34+'5.2. sz. mell.  '!E48+'5.3 sz. mell'!E47+'5.4. sz mell'!E47+'5.5. sz. mell.  '!E51+'5.6. sz. mell'!E51+'5.7. sz. mell.'!E51+'5.8. sz. mell.'!E46+#REF!+'5.9. sz. mell.'!E46+'5.10 sz. mell '!E45)</f>
        <v>#REF!</v>
      </c>
      <c r="F44" s="150"/>
      <c r="G44" s="1533"/>
      <c r="H44" s="150"/>
      <c r="I44" s="1375"/>
      <c r="J44" s="150"/>
      <c r="K44" s="1375"/>
      <c r="L44" s="150"/>
      <c r="M44" s="581"/>
    </row>
    <row r="45" spans="1:13" ht="15" customHeight="1" x14ac:dyDescent="0.2">
      <c r="A45" s="142"/>
      <c r="B45" s="253" t="s">
        <v>154</v>
      </c>
      <c r="C45" s="55" t="s">
        <v>155</v>
      </c>
      <c r="D45" s="56" t="e">
        <f>SUM(#REF!+#REF!+#REF!+#REF!+#REF!+#REF!+'5.1. sz. mell. '!D36+'5.2. sz. mell.  '!D50+'5.3 sz. mell'!D48+'5.4. sz mell'!D48+'5.5. sz. mell.  '!D52+'5.6. sz. mell'!D52+'5.7. sz. mell.'!D52+'5.8. sz. mell.'!D47+#REF!+'5.9. sz. mell.'!D47+'5.10 sz. mell '!D46)</f>
        <v>#REF!</v>
      </c>
      <c r="E45" s="56" t="e">
        <f>SUM(#REF!+#REF!+#REF!+#REF!+#REF!+#REF!+'5.1. sz. mell. '!E36+'5.2. sz. mell.  '!E50+'5.3 sz. mell'!E48+'5.4. sz mell'!E48+'5.5. sz. mell.  '!E52+'5.6. sz. mell'!E52+'5.7. sz. mell.'!E52+'5.8. sz. mell.'!E47+#REF!+'5.9. sz. mell.'!E47+'5.10 sz. mell '!E46)</f>
        <v>#REF!</v>
      </c>
      <c r="F45" s="144"/>
      <c r="G45" s="1415"/>
      <c r="H45" s="144"/>
      <c r="I45" s="1376"/>
      <c r="J45" s="144"/>
      <c r="K45" s="1376"/>
      <c r="L45" s="144"/>
      <c r="M45" s="582"/>
    </row>
    <row r="46" spans="1:13" ht="15" customHeight="1" x14ac:dyDescent="0.2">
      <c r="A46" s="142"/>
      <c r="B46" s="253" t="s">
        <v>156</v>
      </c>
      <c r="C46" s="55" t="s">
        <v>157</v>
      </c>
      <c r="D46" s="56" t="e">
        <f>SUM(#REF!+#REF!+#REF!+#REF!+#REF!+#REF!+'5.1. sz. mell. '!D38+'5.2. sz. mell.  '!D52+'5.3 sz. mell'!D49+'5.4. sz mell'!D49+'5.5. sz. mell.  '!D53+'5.6. sz. mell'!D53+'5.7. sz. mell.'!D53+'5.8. sz. mell.'!D48+#REF!+'5.9. sz. mell.'!D48+'5.10 sz. mell '!D47)</f>
        <v>#REF!</v>
      </c>
      <c r="E46" s="56" t="e">
        <f>SUM(#REF!+#REF!+#REF!+#REF!+#REF!+#REF!+'5.1. sz. mell. '!E38+'5.2. sz. mell.  '!E52+'5.3 sz. mell'!E49+'5.4. sz mell'!E49+'5.5. sz. mell.  '!E53+'5.6. sz. mell'!E53+'5.7. sz. mell.'!E53+'5.8. sz. mell.'!E48+#REF!+'5.9. sz. mell.'!E48+'5.10 sz. mell '!E47)</f>
        <v>#REF!</v>
      </c>
      <c r="F46" s="144"/>
      <c r="G46" s="1415"/>
      <c r="H46" s="144"/>
      <c r="I46" s="1376"/>
      <c r="J46" s="144"/>
      <c r="K46" s="1376"/>
      <c r="L46" s="144"/>
      <c r="M46" s="582"/>
    </row>
    <row r="47" spans="1:13" ht="15" customHeight="1" x14ac:dyDescent="0.2">
      <c r="A47" s="142"/>
      <c r="B47" s="253" t="s">
        <v>158</v>
      </c>
      <c r="C47" s="55" t="s">
        <v>159</v>
      </c>
      <c r="D47" s="56"/>
      <c r="E47" s="56"/>
      <c r="F47" s="144"/>
      <c r="G47" s="1415"/>
      <c r="H47" s="144"/>
      <c r="I47" s="1376"/>
      <c r="J47" s="144"/>
      <c r="K47" s="1376"/>
      <c r="L47" s="144"/>
      <c r="M47" s="582"/>
    </row>
    <row r="48" spans="1:13" ht="15" customHeight="1" thickBot="1" x14ac:dyDescent="0.25">
      <c r="A48" s="142"/>
      <c r="B48" s="253" t="s">
        <v>375</v>
      </c>
      <c r="C48" s="55" t="s">
        <v>161</v>
      </c>
      <c r="D48" s="56" t="e">
        <f>SUM(#REF!+'5.9. sz. mell.'!D50)</f>
        <v>#REF!</v>
      </c>
      <c r="E48" s="56" t="e">
        <f>SUM(#REF!+'5.9. sz. mell.'!E50)</f>
        <v>#REF!</v>
      </c>
      <c r="F48" s="144"/>
      <c r="G48" s="1415"/>
      <c r="H48" s="144"/>
      <c r="I48" s="1376"/>
      <c r="J48" s="144"/>
      <c r="K48" s="1376"/>
      <c r="L48" s="144"/>
      <c r="M48" s="582">
        <f>SUM('5.9. sz. mell.'!M50)</f>
        <v>0</v>
      </c>
    </row>
    <row r="49" spans="1:13" ht="15" customHeight="1" thickBot="1" x14ac:dyDescent="0.25">
      <c r="A49" s="134" t="s">
        <v>17</v>
      </c>
      <c r="B49" s="170"/>
      <c r="C49" s="171" t="s">
        <v>443</v>
      </c>
      <c r="D49" s="64">
        <f>SUM(D50:D52)</f>
        <v>0</v>
      </c>
      <c r="E49" s="64" t="e">
        <f>SUM(E50:E52)</f>
        <v>#REF!</v>
      </c>
      <c r="F49" s="137"/>
      <c r="G49" s="1382"/>
      <c r="H49" s="137"/>
      <c r="I49" s="1374"/>
      <c r="J49" s="137"/>
      <c r="K49" s="1374"/>
      <c r="L49" s="137"/>
      <c r="M49" s="580">
        <f>SUM(M50:M52)</f>
        <v>0</v>
      </c>
    </row>
    <row r="50" spans="1:13" ht="15" customHeight="1" x14ac:dyDescent="0.2">
      <c r="A50" s="142"/>
      <c r="B50" s="267" t="s">
        <v>5</v>
      </c>
      <c r="C50" s="251" t="s">
        <v>183</v>
      </c>
      <c r="D50" s="56"/>
      <c r="E50" s="50" t="e">
        <f>'5.1. sz. mell. '!E46+'5.2. sz. mell.  '!E58+'5.3 sz. mell'!E54+'5.4. sz mell'!E54+'5.5. sz. mell.  '!E58+'5.6. sz. mell'!E58+'5.7. sz. mell.'!E59+'5.8. sz. mell.'!E53+#REF!+'5.9. sz. mell.'!E53+'5.10 sz. mell '!E52</f>
        <v>#REF!</v>
      </c>
      <c r="F50" s="175"/>
      <c r="G50" s="1432"/>
      <c r="H50" s="175"/>
      <c r="I50" s="1386"/>
      <c r="J50" s="175"/>
      <c r="K50" s="1386"/>
      <c r="L50" s="175"/>
      <c r="M50" s="589"/>
    </row>
    <row r="51" spans="1:13" ht="15" customHeight="1" x14ac:dyDescent="0.2">
      <c r="A51" s="142"/>
      <c r="B51" s="253" t="s">
        <v>7</v>
      </c>
      <c r="C51" s="55" t="s">
        <v>185</v>
      </c>
      <c r="D51" s="56"/>
      <c r="E51" s="56"/>
      <c r="F51" s="144"/>
      <c r="G51" s="1415"/>
      <c r="H51" s="144"/>
      <c r="I51" s="1376"/>
      <c r="J51" s="144"/>
      <c r="K51" s="1376"/>
      <c r="L51" s="144"/>
      <c r="M51" s="582"/>
    </row>
    <row r="52" spans="1:13" ht="15" customHeight="1" thickBot="1" x14ac:dyDescent="0.25">
      <c r="A52" s="142"/>
      <c r="B52" s="253" t="s">
        <v>9</v>
      </c>
      <c r="C52" s="55" t="s">
        <v>444</v>
      </c>
      <c r="D52" s="56"/>
      <c r="E52" s="56"/>
      <c r="F52" s="144"/>
      <c r="G52" s="1415"/>
      <c r="H52" s="144"/>
      <c r="I52" s="1376"/>
      <c r="J52" s="144"/>
      <c r="K52" s="1376"/>
      <c r="L52" s="144"/>
      <c r="M52" s="582"/>
    </row>
    <row r="53" spans="1:13" ht="15" hidden="1" customHeight="1" thickBot="1" x14ac:dyDescent="0.25">
      <c r="A53" s="134" t="s">
        <v>31</v>
      </c>
      <c r="B53" s="170"/>
      <c r="C53" s="171" t="s">
        <v>445</v>
      </c>
      <c r="D53" s="300"/>
      <c r="E53" s="300"/>
      <c r="F53" s="155"/>
      <c r="G53" s="1381"/>
      <c r="H53" s="155"/>
      <c r="I53" s="1380"/>
      <c r="J53" s="155"/>
      <c r="K53" s="1380"/>
      <c r="L53" s="155"/>
      <c r="M53" s="585"/>
    </row>
    <row r="54" spans="1:13" s="145" customFormat="1" ht="15" hidden="1" customHeight="1" thickBot="1" x14ac:dyDescent="0.25">
      <c r="A54" s="134"/>
      <c r="B54" s="170"/>
      <c r="C54" s="171" t="s">
        <v>459</v>
      </c>
      <c r="D54" s="155"/>
      <c r="E54" s="155"/>
      <c r="F54" s="155"/>
      <c r="G54" s="1381"/>
      <c r="H54" s="155"/>
      <c r="I54" s="1380"/>
      <c r="J54" s="155"/>
      <c r="K54" s="1380"/>
      <c r="L54" s="155"/>
      <c r="M54" s="585"/>
    </row>
    <row r="55" spans="1:13" ht="15" customHeight="1" thickBot="1" x14ac:dyDescent="0.25">
      <c r="A55" s="192" t="s">
        <v>31</v>
      </c>
      <c r="B55" s="160"/>
      <c r="C55" s="274" t="s">
        <v>446</v>
      </c>
      <c r="D55" s="162" t="e">
        <f>+D43+D49+D53</f>
        <v>#REF!</v>
      </c>
      <c r="E55" s="162" t="e">
        <f>+E43+E49+E53</f>
        <v>#NAME?</v>
      </c>
      <c r="F55" s="162"/>
      <c r="G55" s="1437"/>
      <c r="H55" s="162"/>
      <c r="I55" s="1373"/>
      <c r="J55" s="162"/>
      <c r="K55" s="1373"/>
      <c r="L55" s="162"/>
      <c r="M55" s="579">
        <f>+M43+M49+M53+M54</f>
        <v>0</v>
      </c>
    </row>
    <row r="56" spans="1:13" ht="15" customHeight="1" thickBot="1" x14ac:dyDescent="0.25">
      <c r="A56" s="276" t="s">
        <v>324</v>
      </c>
      <c r="B56" s="277"/>
      <c r="C56" s="278"/>
      <c r="D56" s="200" t="e">
        <f>SUM(#REF!+#REF!+#REF!+#REF!+#REF!+#REF!+'5.1. sz. mell. '!D53+'5.2. sz. mell.  '!D65+'5.3 sz. mell'!D61+'5.4. sz mell'!D61+'5.5. sz. mell.  '!D65+'5.6. sz. mell'!D65+'5.7. sz. mell.'!D68+'5.8. sz. mell.'!D57+#REF!+'5.9. sz. mell.'!D57+'5.10 sz. mell '!D56)</f>
        <v>#REF!</v>
      </c>
      <c r="E56" s="200" t="e">
        <f>SUM(#REF!+#REF!+#REF!+#REF!+#REF!+#REF!+'5.1. sz. mell. '!E53+'5.2. sz. mell.  '!E65+'5.3 sz. mell'!E61+'5.4. sz mell'!E61+'5.5. sz. mell.  '!E65+'5.6. sz. mell'!E65+'5.7. sz. mell.'!E68+'5.8. sz. mell.'!E57+#REF!+'5.9. sz. mell.'!E57+'5.10 sz. mell '!E56)</f>
        <v>#REF!</v>
      </c>
      <c r="F56" s="200"/>
      <c r="G56" s="1559"/>
      <c r="H56" s="200"/>
      <c r="I56" s="1388"/>
      <c r="J56" s="200"/>
      <c r="K56" s="1388"/>
      <c r="L56" s="200"/>
      <c r="M56" s="200"/>
    </row>
    <row r="57" spans="1:13" ht="15" customHeight="1" thickBot="1" x14ac:dyDescent="0.25">
      <c r="A57" s="276" t="s">
        <v>325</v>
      </c>
      <c r="B57" s="277"/>
      <c r="C57" s="278"/>
      <c r="D57" s="202"/>
      <c r="E57" s="202"/>
      <c r="F57" s="202"/>
      <c r="G57" s="1527"/>
      <c r="H57" s="202"/>
      <c r="I57" s="1527"/>
      <c r="J57" s="202"/>
      <c r="K57" s="1527"/>
      <c r="L57" s="202"/>
      <c r="M57" s="202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35433070866141736" right="0.19685039370078741" top="0.51181102362204722" bottom="0.39370078740157483" header="0.51181102362204722" footer="0.15748031496062992"/>
  <pageSetup paperSize="9" scale="77" firstPageNumber="43" orientation="portrait" useFirstPageNumber="1" r:id="rId1"/>
  <headerFooter>
    <oddFooter>&amp;C-&amp;P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31"/>
  <sheetViews>
    <sheetView view="pageBreakPreview" topLeftCell="A2" zoomScale="60" zoomScaleNormal="100" zoomScalePageLayoutView="60" workbookViewId="0">
      <selection activeCell="T4" sqref="T4"/>
    </sheetView>
  </sheetViews>
  <sheetFormatPr defaultColWidth="9.33203125" defaultRowHeight="15.75" x14ac:dyDescent="0.2"/>
  <cols>
    <col min="1" max="1" width="6.1640625" style="38" customWidth="1"/>
    <col min="2" max="2" width="43" style="39" customWidth="1"/>
    <col min="3" max="3" width="9.33203125" style="38" hidden="1" customWidth="1"/>
    <col min="4" max="4" width="13.5" style="38" customWidth="1"/>
    <col min="5" max="5" width="19.6640625" style="38" customWidth="1"/>
    <col min="6" max="6" width="17.1640625" style="1370" hidden="1" customWidth="1"/>
    <col min="7" max="7" width="16.6640625" style="38" hidden="1" customWidth="1"/>
    <col min="8" max="8" width="16.6640625" style="1370" hidden="1" customWidth="1"/>
    <col min="9" max="9" width="18.83203125" style="38" customWidth="1"/>
    <col min="10" max="10" width="16.1640625" style="1370" customWidth="1"/>
    <col min="11" max="11" width="18.33203125" style="38" customWidth="1"/>
    <col min="12" max="12" width="18" style="38" customWidth="1"/>
    <col min="13" max="13" width="43.83203125" style="38" customWidth="1"/>
    <col min="14" max="15" width="18.33203125" style="38" customWidth="1"/>
    <col min="16" max="16" width="15.5" style="1370" hidden="1" customWidth="1"/>
    <col min="17" max="17" width="16.5" style="38" hidden="1" customWidth="1"/>
    <col min="18" max="18" width="17.5" style="1370" hidden="1" customWidth="1"/>
    <col min="19" max="19" width="19.33203125" style="38" customWidth="1"/>
    <col min="20" max="20" width="16.1640625" style="1370" customWidth="1"/>
    <col min="21" max="21" width="18.5" style="38" customWidth="1"/>
    <col min="22" max="22" width="19.1640625" style="38" customWidth="1"/>
    <col min="23" max="23" width="14.6640625" style="95" bestFit="1" customWidth="1"/>
    <col min="24" max="24" width="17.5" style="38" customWidth="1"/>
    <col min="25" max="25" width="18.1640625" style="38" customWidth="1"/>
    <col min="26" max="27" width="19.83203125" style="38" customWidth="1"/>
    <col min="28" max="28" width="18" style="38" customWidth="1"/>
    <col min="29" max="29" width="21.5" style="38" customWidth="1"/>
    <col min="30" max="16384" width="9.33203125" style="38"/>
  </cols>
  <sheetData>
    <row r="1" spans="1:29" ht="39.75" hidden="1" customHeight="1" x14ac:dyDescent="0.2">
      <c r="A1" s="4310" t="s">
        <v>268</v>
      </c>
      <c r="B1" s="4310"/>
      <c r="C1" s="4310"/>
      <c r="D1" s="4310"/>
      <c r="E1" s="4310"/>
      <c r="F1" s="4310"/>
      <c r="G1" s="4310"/>
      <c r="H1" s="4310"/>
      <c r="I1" s="4310"/>
      <c r="J1" s="4310"/>
      <c r="K1" s="4310"/>
      <c r="L1" s="4310"/>
      <c r="M1" s="4310"/>
      <c r="N1" s="4310"/>
      <c r="O1" s="4310"/>
      <c r="P1" s="4310"/>
      <c r="Q1" s="4310"/>
      <c r="R1" s="4310"/>
      <c r="S1" s="4310"/>
      <c r="T1" s="4310"/>
      <c r="U1" s="4310"/>
      <c r="V1" s="4310"/>
    </row>
    <row r="2" spans="1:29" ht="16.5" customHeight="1" thickBot="1" x14ac:dyDescent="0.25">
      <c r="F2" s="778"/>
      <c r="G2" s="778"/>
      <c r="H2" s="778"/>
      <c r="I2" s="778"/>
      <c r="J2" s="778"/>
      <c r="L2" s="3043" t="s">
        <v>935</v>
      </c>
      <c r="N2" s="772"/>
      <c r="O2" s="772"/>
      <c r="P2" s="1636"/>
      <c r="Q2" s="1636"/>
      <c r="R2" s="1636"/>
      <c r="S2" s="1636"/>
      <c r="T2" s="1636"/>
      <c r="U2" s="772"/>
      <c r="V2" s="3043" t="s">
        <v>935</v>
      </c>
      <c r="W2" s="40"/>
      <c r="X2" s="40"/>
    </row>
    <row r="3" spans="1:29" ht="24" customHeight="1" thickBot="1" x14ac:dyDescent="0.25">
      <c r="A3" s="4308" t="s">
        <v>1</v>
      </c>
      <c r="B3" s="4311" t="s">
        <v>230</v>
      </c>
      <c r="C3" s="4312"/>
      <c r="D3" s="4312"/>
      <c r="E3" s="4312"/>
      <c r="F3" s="4312"/>
      <c r="G3" s="4314"/>
      <c r="H3" s="4314"/>
      <c r="I3" s="4314"/>
      <c r="J3" s="4314"/>
      <c r="K3" s="4314"/>
      <c r="L3" s="4315"/>
      <c r="M3" s="4317" t="s">
        <v>231</v>
      </c>
      <c r="N3" s="4318"/>
      <c r="O3" s="4318"/>
      <c r="P3" s="4318"/>
      <c r="Q3" s="4318"/>
      <c r="R3" s="4318"/>
      <c r="S3" s="4318"/>
      <c r="T3" s="4318"/>
      <c r="U3" s="4318"/>
      <c r="V3" s="4319"/>
    </row>
    <row r="4" spans="1:29" s="44" customFormat="1" ht="42" customHeight="1" thickBot="1" x14ac:dyDescent="0.25">
      <c r="A4" s="4308"/>
      <c r="B4" s="42" t="s">
        <v>232</v>
      </c>
      <c r="C4" s="2091"/>
      <c r="D4" s="43" t="s">
        <v>2622</v>
      </c>
      <c r="E4" s="45" t="s">
        <v>1084</v>
      </c>
      <c r="F4" s="1618" t="s">
        <v>1035</v>
      </c>
      <c r="G4" s="438" t="s">
        <v>234</v>
      </c>
      <c r="H4" s="1618" t="s">
        <v>1031</v>
      </c>
      <c r="I4" s="438" t="s">
        <v>1028</v>
      </c>
      <c r="J4" s="1618" t="s">
        <v>1038</v>
      </c>
      <c r="K4" s="438" t="s">
        <v>234</v>
      </c>
      <c r="L4" s="438" t="s">
        <v>1952</v>
      </c>
      <c r="M4" s="42" t="s">
        <v>232</v>
      </c>
      <c r="N4" s="43" t="s">
        <v>2622</v>
      </c>
      <c r="O4" s="45" t="s">
        <v>1085</v>
      </c>
      <c r="P4" s="1618" t="s">
        <v>1035</v>
      </c>
      <c r="Q4" s="438" t="s">
        <v>234</v>
      </c>
      <c r="R4" s="1618" t="s">
        <v>1031</v>
      </c>
      <c r="S4" s="438" t="s">
        <v>1028</v>
      </c>
      <c r="T4" s="1618" t="s">
        <v>1038</v>
      </c>
      <c r="U4" s="438" t="s">
        <v>234</v>
      </c>
      <c r="V4" s="438" t="s">
        <v>1952</v>
      </c>
      <c r="W4" s="99"/>
    </row>
    <row r="5" spans="1:29" s="44" customFormat="1" ht="15" customHeight="1" thickBot="1" x14ac:dyDescent="0.25">
      <c r="A5" s="41"/>
      <c r="B5" s="42"/>
      <c r="C5" s="2091"/>
      <c r="D5" s="43"/>
      <c r="E5" s="1218"/>
      <c r="F5" s="1544"/>
      <c r="G5" s="1543"/>
      <c r="H5" s="1545"/>
      <c r="I5" s="1542"/>
      <c r="J5" s="1545"/>
      <c r="K5" s="1542"/>
      <c r="L5" s="1542"/>
      <c r="M5" s="42"/>
      <c r="N5" s="4196"/>
      <c r="O5" s="1218"/>
      <c r="P5" s="1635"/>
      <c r="Q5" s="1211"/>
      <c r="R5" s="1635"/>
      <c r="S5" s="1211"/>
      <c r="T5" s="3309"/>
      <c r="U5" s="1211"/>
      <c r="V5" s="1542"/>
      <c r="W5" s="99"/>
      <c r="Z5" s="4316" t="s">
        <v>805</v>
      </c>
      <c r="AA5" s="4316"/>
      <c r="AB5" s="4316"/>
      <c r="AC5" s="4316"/>
    </row>
    <row r="6" spans="1:29" ht="31.5" customHeight="1" x14ac:dyDescent="0.2">
      <c r="A6" s="100" t="s">
        <v>3</v>
      </c>
      <c r="B6" s="48" t="s">
        <v>269</v>
      </c>
      <c r="C6" s="4207"/>
      <c r="D6" s="49">
        <v>1022672014</v>
      </c>
      <c r="E6" s="50">
        <f>SUM('2. sz. mell'!F30)</f>
        <v>0</v>
      </c>
      <c r="F6" s="1629">
        <f>SUM(G6-E6)</f>
        <v>0</v>
      </c>
      <c r="G6" s="1689">
        <f>SUM('2. sz. mell'!H30)</f>
        <v>0</v>
      </c>
      <c r="H6" s="1629">
        <f>SUM(I6-G6)</f>
        <v>71704828</v>
      </c>
      <c r="I6" s="310">
        <f>SUM('2. sz. mell'!J30)</f>
        <v>71704828</v>
      </c>
      <c r="J6" s="1403">
        <f>SUM(K6-I6)</f>
        <v>0</v>
      </c>
      <c r="K6" s="310">
        <f>SUM('2. sz. mell'!L30)</f>
        <v>71704828</v>
      </c>
      <c r="L6" s="3282">
        <f>SUM('2. sz. mell'!M30)</f>
        <v>71704828</v>
      </c>
      <c r="M6" s="48" t="s">
        <v>270</v>
      </c>
      <c r="N6" s="3284">
        <v>551665354</v>
      </c>
      <c r="O6" s="50">
        <f>SUM('2. sz. mell'!F68)</f>
        <v>1179484400</v>
      </c>
      <c r="P6" s="1524">
        <f>SUM(Q6-O6)</f>
        <v>336502970</v>
      </c>
      <c r="Q6" s="50">
        <f>SUM('2. sz. mell'!H68)</f>
        <v>1515987370</v>
      </c>
      <c r="R6" s="1524">
        <f>SUM(S6-Q6)</f>
        <v>283707718</v>
      </c>
      <c r="S6" s="175">
        <f>SUM('2. sz. mell'!J68)</f>
        <v>1799695088</v>
      </c>
      <c r="T6" s="1386">
        <f>SUM(U6-S6)</f>
        <v>0</v>
      </c>
      <c r="U6" s="175">
        <f>SUM('2. sz. mell'!L68)</f>
        <v>1799695088</v>
      </c>
      <c r="V6" s="50">
        <f>SUM('2. sz. mell'!M68)</f>
        <v>970156969</v>
      </c>
      <c r="W6" s="95">
        <f>SUM(O6:O7)</f>
        <v>1208794400</v>
      </c>
      <c r="Y6" s="38">
        <f>SUM(O6:O7)</f>
        <v>1208794400</v>
      </c>
      <c r="Z6" s="38">
        <f>SUM(Q6:Q7)</f>
        <v>1740024587</v>
      </c>
      <c r="AA6" s="38">
        <f>SUM(U6:U7)</f>
        <v>2188078535</v>
      </c>
      <c r="AB6" s="38">
        <f>SUM(V6:V7)</f>
        <v>1262369790</v>
      </c>
      <c r="AC6" s="38">
        <f>SUM(AB6/AA6)*100</f>
        <v>57.693074988279612</v>
      </c>
    </row>
    <row r="7" spans="1:29" ht="15" customHeight="1" x14ac:dyDescent="0.2">
      <c r="A7" s="101" t="s">
        <v>17</v>
      </c>
      <c r="B7" s="52" t="s">
        <v>271</v>
      </c>
      <c r="C7" s="57"/>
      <c r="D7" s="53">
        <v>3013000</v>
      </c>
      <c r="E7" s="56">
        <f>SUM('2. sz. mell'!F29)</f>
        <v>200000000</v>
      </c>
      <c r="F7" s="1630">
        <f t="shared" ref="F7:J25" si="0">SUM(G7-E7)</f>
        <v>-200000000</v>
      </c>
      <c r="G7" s="1295">
        <f>SUM('2. sz. mell'!H29)</f>
        <v>0</v>
      </c>
      <c r="H7" s="1630">
        <f>SUM('2. sz. mell'!I29)</f>
        <v>20000</v>
      </c>
      <c r="I7" s="483">
        <f>SUM('2. sz. mell'!J29)</f>
        <v>20000</v>
      </c>
      <c r="J7" s="1630">
        <f>SUM('2. sz. mell'!K29)</f>
        <v>0</v>
      </c>
      <c r="K7" s="483">
        <f>SUM('2. sz. mell'!L29)</f>
        <v>20000</v>
      </c>
      <c r="L7" s="483">
        <f>SUM('2. sz. mell'!M29)</f>
        <v>20000</v>
      </c>
      <c r="M7" s="52" t="s">
        <v>185</v>
      </c>
      <c r="N7" s="757">
        <v>710127452</v>
      </c>
      <c r="O7" s="56">
        <f>SUM('2. sz. mell'!F69)</f>
        <v>29310000</v>
      </c>
      <c r="P7" s="1524">
        <f t="shared" ref="P7:T24" si="1">SUM(Q7-O7)</f>
        <v>194727217</v>
      </c>
      <c r="Q7" s="56">
        <f>SUM('2. sz. mell'!H69)</f>
        <v>224037217</v>
      </c>
      <c r="R7" s="1524">
        <f t="shared" si="1"/>
        <v>164346230</v>
      </c>
      <c r="S7" s="144">
        <f>SUM('2. sz. mell'!J69)</f>
        <v>388383447</v>
      </c>
      <c r="T7" s="1386">
        <f t="shared" si="1"/>
        <v>0</v>
      </c>
      <c r="U7" s="144">
        <f>SUM('2. sz. mell'!L69)</f>
        <v>388383447</v>
      </c>
      <c r="V7" s="56">
        <f>SUM('2. sz. mell'!M69)</f>
        <v>292212821</v>
      </c>
    </row>
    <row r="8" spans="1:29" ht="15" customHeight="1" x14ac:dyDescent="0.2">
      <c r="A8" s="101" t="s">
        <v>31</v>
      </c>
      <c r="B8" s="52" t="s">
        <v>272</v>
      </c>
      <c r="C8" s="57"/>
      <c r="D8" s="53">
        <v>11225701</v>
      </c>
      <c r="E8" s="56">
        <f>SUM('2. sz. mell'!F31)</f>
        <v>0</v>
      </c>
      <c r="F8" s="1630">
        <f t="shared" si="0"/>
        <v>0</v>
      </c>
      <c r="G8" s="1195">
        <f>SUM('2. sz. mell'!H31)</f>
        <v>0</v>
      </c>
      <c r="H8" s="1630">
        <f t="shared" si="0"/>
        <v>556836</v>
      </c>
      <c r="I8" s="483">
        <f>SUM('2. sz. mell'!J31)</f>
        <v>556836</v>
      </c>
      <c r="J8" s="1630">
        <f t="shared" si="0"/>
        <v>0</v>
      </c>
      <c r="K8" s="483">
        <f>SUM('2. sz. mell'!L31)</f>
        <v>556836</v>
      </c>
      <c r="L8" s="1167">
        <f>SUM('2. sz. mell'!M31)</f>
        <v>796962</v>
      </c>
      <c r="M8" s="52" t="s">
        <v>273</v>
      </c>
      <c r="N8" s="757">
        <v>2926883</v>
      </c>
      <c r="O8" s="56">
        <f>SUM('2. sz. mell'!F70)</f>
        <v>292489000</v>
      </c>
      <c r="P8" s="1524">
        <f t="shared" si="1"/>
        <v>314644025</v>
      </c>
      <c r="Q8" s="56">
        <f>SUM('2. sz. mell'!H70)</f>
        <v>607133025</v>
      </c>
      <c r="R8" s="1524">
        <f t="shared" si="1"/>
        <v>-529873689</v>
      </c>
      <c r="S8" s="144">
        <f>SUM('2. sz. mell'!J70)</f>
        <v>77259336</v>
      </c>
      <c r="T8" s="1386">
        <f t="shared" si="1"/>
        <v>0</v>
      </c>
      <c r="U8" s="144">
        <f>SUM('2. sz. mell'!L70)</f>
        <v>77259336</v>
      </c>
      <c r="V8" s="56">
        <f>SUM('2. sz. mell'!M70)</f>
        <v>15555764</v>
      </c>
    </row>
    <row r="9" spans="1:29" ht="15" customHeight="1" x14ac:dyDescent="0.2">
      <c r="A9" s="101" t="s">
        <v>45</v>
      </c>
      <c r="B9" s="52" t="s">
        <v>1160</v>
      </c>
      <c r="C9" s="57"/>
      <c r="D9" s="53"/>
      <c r="E9" s="56"/>
      <c r="F9" s="1630">
        <f t="shared" si="0"/>
        <v>0</v>
      </c>
      <c r="G9" s="1195"/>
      <c r="H9" s="1630">
        <f t="shared" si="0"/>
        <v>0</v>
      </c>
      <c r="I9" s="483"/>
      <c r="J9" s="1630">
        <f t="shared" si="0"/>
        <v>0</v>
      </c>
      <c r="K9" s="483"/>
      <c r="L9" s="1167"/>
      <c r="M9" s="52"/>
      <c r="N9" s="757"/>
      <c r="O9" s="56"/>
      <c r="P9" s="1524">
        <f t="shared" si="1"/>
        <v>0</v>
      </c>
      <c r="Q9" s="56"/>
      <c r="R9" s="1524">
        <f t="shared" si="1"/>
        <v>0</v>
      </c>
      <c r="S9" s="144"/>
      <c r="T9" s="1386">
        <f t="shared" si="1"/>
        <v>0</v>
      </c>
      <c r="U9" s="144"/>
      <c r="V9" s="56"/>
    </row>
    <row r="10" spans="1:29" ht="12.75" hidden="1" customHeight="1" x14ac:dyDescent="0.2">
      <c r="A10" s="101" t="s">
        <v>67</v>
      </c>
      <c r="B10" s="52"/>
      <c r="C10" s="57"/>
      <c r="D10" s="53"/>
      <c r="E10" s="56"/>
      <c r="F10" s="1630">
        <f t="shared" si="0"/>
        <v>0</v>
      </c>
      <c r="G10" s="1195"/>
      <c r="H10" s="1630">
        <f t="shared" si="0"/>
        <v>0</v>
      </c>
      <c r="I10" s="483"/>
      <c r="J10" s="1630">
        <f t="shared" si="0"/>
        <v>0</v>
      </c>
      <c r="K10" s="483"/>
      <c r="L10" s="1167"/>
      <c r="M10" s="52"/>
      <c r="N10" s="757"/>
      <c r="O10" s="56"/>
      <c r="P10" s="1524">
        <f t="shared" si="1"/>
        <v>0</v>
      </c>
      <c r="Q10" s="56"/>
      <c r="R10" s="1524">
        <f t="shared" si="1"/>
        <v>0</v>
      </c>
      <c r="S10" s="144"/>
      <c r="T10" s="1386">
        <f t="shared" si="1"/>
        <v>0</v>
      </c>
      <c r="U10" s="144"/>
      <c r="V10" s="56"/>
    </row>
    <row r="11" spans="1:29" ht="12.75" hidden="1" customHeight="1" x14ac:dyDescent="0.2">
      <c r="A11" s="101" t="s">
        <v>79</v>
      </c>
      <c r="B11" s="52"/>
      <c r="C11" s="57"/>
      <c r="D11" s="53"/>
      <c r="E11" s="56"/>
      <c r="F11" s="1630">
        <f t="shared" si="0"/>
        <v>0</v>
      </c>
      <c r="G11" s="1677"/>
      <c r="H11" s="1630">
        <f t="shared" si="0"/>
        <v>0</v>
      </c>
      <c r="I11" s="483"/>
      <c r="J11" s="1630">
        <f t="shared" si="0"/>
        <v>0</v>
      </c>
      <c r="K11" s="483"/>
      <c r="L11" s="1167"/>
      <c r="M11" s="52"/>
      <c r="N11" s="757"/>
      <c r="O11" s="56"/>
      <c r="P11" s="1524">
        <f t="shared" si="1"/>
        <v>0</v>
      </c>
      <c r="Q11" s="56"/>
      <c r="R11" s="1524">
        <f t="shared" si="1"/>
        <v>0</v>
      </c>
      <c r="S11" s="144"/>
      <c r="T11" s="1386">
        <f t="shared" si="1"/>
        <v>0</v>
      </c>
      <c r="U11" s="144"/>
      <c r="V11" s="56"/>
    </row>
    <row r="12" spans="1:29" ht="12.75" hidden="1" customHeight="1" x14ac:dyDescent="0.2">
      <c r="A12" s="101" t="s">
        <v>89</v>
      </c>
      <c r="B12" s="52"/>
      <c r="C12" s="57"/>
      <c r="D12" s="53"/>
      <c r="E12" s="56"/>
      <c r="F12" s="1630">
        <f t="shared" si="0"/>
        <v>0</v>
      </c>
      <c r="G12" s="1195"/>
      <c r="H12" s="1630">
        <f t="shared" si="0"/>
        <v>0</v>
      </c>
      <c r="I12" s="483"/>
      <c r="J12" s="1630">
        <f t="shared" si="0"/>
        <v>0</v>
      </c>
      <c r="K12" s="483"/>
      <c r="L12" s="1167"/>
      <c r="M12" s="2075"/>
      <c r="N12" s="4202"/>
      <c r="O12" s="56"/>
      <c r="P12" s="1524">
        <f t="shared" si="1"/>
        <v>0</v>
      </c>
      <c r="Q12" s="56"/>
      <c r="R12" s="1524">
        <f t="shared" si="1"/>
        <v>0</v>
      </c>
      <c r="S12" s="144"/>
      <c r="T12" s="1386">
        <f t="shared" si="1"/>
        <v>0</v>
      </c>
      <c r="U12" s="144"/>
      <c r="V12" s="56"/>
    </row>
    <row r="13" spans="1:29" ht="12.75" hidden="1" customHeight="1" x14ac:dyDescent="0.2">
      <c r="A13" s="101" t="s">
        <v>99</v>
      </c>
      <c r="B13" s="52"/>
      <c r="C13" s="57"/>
      <c r="D13" s="53"/>
      <c r="E13" s="56"/>
      <c r="F13" s="1630">
        <f t="shared" si="0"/>
        <v>0</v>
      </c>
      <c r="G13" s="1195"/>
      <c r="H13" s="1630">
        <f t="shared" si="0"/>
        <v>0</v>
      </c>
      <c r="I13" s="483"/>
      <c r="J13" s="1630">
        <f t="shared" si="0"/>
        <v>0</v>
      </c>
      <c r="K13" s="483"/>
      <c r="L13" s="1167"/>
      <c r="M13" s="2075"/>
      <c r="N13" s="4202"/>
      <c r="O13" s="56"/>
      <c r="P13" s="1524">
        <f t="shared" si="1"/>
        <v>0</v>
      </c>
      <c r="Q13" s="56"/>
      <c r="R13" s="1524">
        <f t="shared" si="1"/>
        <v>0</v>
      </c>
      <c r="S13" s="144"/>
      <c r="T13" s="1386">
        <f t="shared" si="1"/>
        <v>0</v>
      </c>
      <c r="U13" s="144"/>
      <c r="V13" s="56"/>
    </row>
    <row r="14" spans="1:29" ht="15" customHeight="1" x14ac:dyDescent="0.2">
      <c r="A14" s="101" t="s">
        <v>101</v>
      </c>
      <c r="B14" s="52"/>
      <c r="C14" s="57"/>
      <c r="D14" s="53"/>
      <c r="E14" s="56"/>
      <c r="F14" s="1630">
        <f t="shared" si="0"/>
        <v>0</v>
      </c>
      <c r="G14" s="1677"/>
      <c r="H14" s="1630">
        <f t="shared" si="0"/>
        <v>0</v>
      </c>
      <c r="I14" s="483"/>
      <c r="J14" s="1630">
        <f t="shared" si="0"/>
        <v>0</v>
      </c>
      <c r="K14" s="483"/>
      <c r="L14" s="1167"/>
      <c r="M14" s="52"/>
      <c r="N14" s="757"/>
      <c r="O14" s="56"/>
      <c r="P14" s="1524">
        <f t="shared" si="1"/>
        <v>0</v>
      </c>
      <c r="Q14" s="56"/>
      <c r="R14" s="1524">
        <f t="shared" si="1"/>
        <v>0</v>
      </c>
      <c r="S14" s="144"/>
      <c r="T14" s="1386">
        <f t="shared" si="1"/>
        <v>0</v>
      </c>
      <c r="U14" s="144"/>
      <c r="V14" s="56"/>
    </row>
    <row r="15" spans="1:29" ht="15" customHeight="1" thickBot="1" x14ac:dyDescent="0.25">
      <c r="A15" s="101" t="s">
        <v>109</v>
      </c>
      <c r="B15" s="52"/>
      <c r="C15" s="57"/>
      <c r="D15" s="53"/>
      <c r="E15" s="56"/>
      <c r="F15" s="1630">
        <f t="shared" si="0"/>
        <v>0</v>
      </c>
      <c r="G15" s="1295"/>
      <c r="H15" s="3281">
        <f t="shared" si="0"/>
        <v>0</v>
      </c>
      <c r="I15" s="829"/>
      <c r="J15" s="3281">
        <f t="shared" si="0"/>
        <v>0</v>
      </c>
      <c r="K15" s="829"/>
      <c r="L15" s="3283"/>
      <c r="M15" s="52"/>
      <c r="N15" s="757"/>
      <c r="O15" s="56"/>
      <c r="P15" s="1524">
        <f t="shared" si="1"/>
        <v>0</v>
      </c>
      <c r="Q15" s="56"/>
      <c r="R15" s="1524">
        <f t="shared" si="1"/>
        <v>0</v>
      </c>
      <c r="S15" s="144"/>
      <c r="T15" s="1386">
        <f t="shared" si="1"/>
        <v>0</v>
      </c>
      <c r="U15" s="144"/>
      <c r="V15" s="56"/>
    </row>
    <row r="16" spans="1:29" ht="18" customHeight="1" thickBot="1" x14ac:dyDescent="0.25">
      <c r="A16" s="102" t="s">
        <v>119</v>
      </c>
      <c r="B16" s="62" t="s">
        <v>242</v>
      </c>
      <c r="C16" s="4198"/>
      <c r="D16" s="63">
        <v>1036910715</v>
      </c>
      <c r="E16" s="64">
        <f>SUM(E6:E15)</f>
        <v>200000000</v>
      </c>
      <c r="F16" s="1530">
        <f t="shared" si="0"/>
        <v>-200000000</v>
      </c>
      <c r="G16" s="759">
        <f>SUM(G6:G15)</f>
        <v>0</v>
      </c>
      <c r="H16" s="1530">
        <f t="shared" si="0"/>
        <v>72281664</v>
      </c>
      <c r="I16" s="759">
        <f>SUM(I6:I15)</f>
        <v>72281664</v>
      </c>
      <c r="J16" s="1530">
        <f t="shared" si="0"/>
        <v>0</v>
      </c>
      <c r="K16" s="759">
        <f>SUM(K6:K15)</f>
        <v>72281664</v>
      </c>
      <c r="L16" s="64">
        <f>SUM(L6:L15)</f>
        <v>72521790</v>
      </c>
      <c r="M16" s="62" t="s">
        <v>243</v>
      </c>
      <c r="N16" s="859">
        <v>1264719689</v>
      </c>
      <c r="O16" s="64">
        <f>SUM(O6:O14)-O15</f>
        <v>1501283400</v>
      </c>
      <c r="P16" s="1530">
        <f t="shared" si="1"/>
        <v>845874212</v>
      </c>
      <c r="Q16" s="64">
        <f>SUM(Q6:Q14)-Q15</f>
        <v>2347157612</v>
      </c>
      <c r="R16" s="1530">
        <f t="shared" si="1"/>
        <v>-81819741</v>
      </c>
      <c r="S16" s="137">
        <f>SUM(S6:S14)-S15</f>
        <v>2265337871</v>
      </c>
      <c r="T16" s="1374">
        <f t="shared" si="1"/>
        <v>0</v>
      </c>
      <c r="U16" s="137">
        <f>SUM(U6:U14)-U15</f>
        <v>2265337871</v>
      </c>
      <c r="V16" s="64">
        <f>SUM(V6:V14)-V15</f>
        <v>1277925554</v>
      </c>
    </row>
    <row r="17" spans="1:24" ht="31.5" customHeight="1" thickBot="1" x14ac:dyDescent="0.25">
      <c r="A17" s="103" t="s">
        <v>125</v>
      </c>
      <c r="B17" s="66" t="s">
        <v>244</v>
      </c>
      <c r="C17" s="4208"/>
      <c r="D17" s="104"/>
      <c r="E17" s="761">
        <f>SUM(E18:E20)</f>
        <v>0</v>
      </c>
      <c r="F17" s="1530">
        <f t="shared" si="0"/>
        <v>200000000</v>
      </c>
      <c r="G17" s="3277">
        <f t="shared" ref="G17:L17" si="2">SUM(G18:G20)</f>
        <v>200000000</v>
      </c>
      <c r="H17" s="3278">
        <f t="shared" si="2"/>
        <v>-200000000</v>
      </c>
      <c r="I17" s="3277">
        <f t="shared" si="2"/>
        <v>0</v>
      </c>
      <c r="J17" s="1374">
        <f t="shared" si="2"/>
        <v>0</v>
      </c>
      <c r="K17" s="3274">
        <f t="shared" si="2"/>
        <v>0</v>
      </c>
      <c r="L17" s="3275">
        <f t="shared" si="2"/>
        <v>0</v>
      </c>
      <c r="M17" s="1180" t="s">
        <v>1825</v>
      </c>
      <c r="N17" s="4203"/>
      <c r="O17" s="75">
        <f>SUM('2. sz. mell'!F87)</f>
        <v>0</v>
      </c>
      <c r="P17" s="1524">
        <f t="shared" si="1"/>
        <v>0</v>
      </c>
      <c r="Q17" s="75">
        <f>SUM('2. sz. mell'!H87)</f>
        <v>0</v>
      </c>
      <c r="R17" s="1524">
        <f t="shared" si="1"/>
        <v>0</v>
      </c>
      <c r="S17" s="589">
        <f>SUM('2. sz. mell'!J87)</f>
        <v>0</v>
      </c>
      <c r="T17" s="1386">
        <f t="shared" si="1"/>
        <v>0</v>
      </c>
      <c r="U17" s="589">
        <f>SUM('2. sz. mell'!L87)</f>
        <v>0</v>
      </c>
      <c r="V17" s="75">
        <f>SUM('2. sz. mell'!M87)</f>
        <v>0</v>
      </c>
    </row>
    <row r="18" spans="1:24" ht="15" customHeight="1" x14ac:dyDescent="0.2">
      <c r="A18" s="101" t="s">
        <v>133</v>
      </c>
      <c r="B18" s="52" t="s">
        <v>120</v>
      </c>
      <c r="C18" s="4209"/>
      <c r="D18" s="72"/>
      <c r="E18" s="582"/>
      <c r="F18" s="1630">
        <f t="shared" si="0"/>
        <v>0</v>
      </c>
      <c r="G18" s="3279"/>
      <c r="H18" s="1630">
        <f t="shared" si="0"/>
        <v>0</v>
      </c>
      <c r="I18" s="3279"/>
      <c r="J18" s="3276">
        <f t="shared" si="0"/>
        <v>0</v>
      </c>
      <c r="K18" s="72"/>
      <c r="L18" s="582"/>
      <c r="M18" s="1181" t="s">
        <v>981</v>
      </c>
      <c r="N18" s="3288"/>
      <c r="O18" s="70"/>
      <c r="P18" s="1524">
        <f t="shared" si="1"/>
        <v>0</v>
      </c>
      <c r="Q18" s="70"/>
      <c r="R18" s="1524">
        <f t="shared" si="1"/>
        <v>0</v>
      </c>
      <c r="S18" s="582"/>
      <c r="T18" s="1386">
        <f t="shared" si="1"/>
        <v>0</v>
      </c>
      <c r="U18" s="582"/>
      <c r="V18" s="70"/>
    </row>
    <row r="19" spans="1:24" ht="33.75" customHeight="1" x14ac:dyDescent="0.2">
      <c r="A19" s="101" t="s">
        <v>143</v>
      </c>
      <c r="B19" s="48" t="s">
        <v>245</v>
      </c>
      <c r="C19" s="4209"/>
      <c r="D19" s="72"/>
      <c r="E19" s="582"/>
      <c r="F19" s="1630">
        <f t="shared" si="0"/>
        <v>0</v>
      </c>
      <c r="G19" s="3279"/>
      <c r="H19" s="1630">
        <f t="shared" si="0"/>
        <v>0</v>
      </c>
      <c r="I19" s="3279"/>
      <c r="J19" s="3276">
        <f t="shared" si="0"/>
        <v>0</v>
      </c>
      <c r="K19" s="72"/>
      <c r="L19" s="582"/>
      <c r="M19" s="52" t="s">
        <v>216</v>
      </c>
      <c r="N19" s="3288">
        <v>332480815</v>
      </c>
      <c r="O19" s="70">
        <f>SUM('2. sz. mell'!F89)</f>
        <v>0</v>
      </c>
      <c r="P19" s="1524">
        <f t="shared" si="1"/>
        <v>0</v>
      </c>
      <c r="Q19" s="70"/>
      <c r="R19" s="1524">
        <f t="shared" si="1"/>
        <v>0</v>
      </c>
      <c r="S19" s="582"/>
      <c r="T19" s="1386">
        <f t="shared" si="1"/>
        <v>0</v>
      </c>
      <c r="U19" s="582"/>
      <c r="V19" s="70"/>
    </row>
    <row r="20" spans="1:24" ht="30.75" customHeight="1" x14ac:dyDescent="0.2">
      <c r="A20" s="101" t="s">
        <v>145</v>
      </c>
      <c r="B20" s="48" t="s">
        <v>1826</v>
      </c>
      <c r="C20" s="4209"/>
      <c r="D20" s="72"/>
      <c r="E20" s="582"/>
      <c r="F20" s="1630">
        <f t="shared" si="0"/>
        <v>200000000</v>
      </c>
      <c r="G20" s="3279">
        <f>SUM('2. sz. mell'!H35)</f>
        <v>200000000</v>
      </c>
      <c r="H20" s="1630">
        <f t="shared" si="0"/>
        <v>-200000000</v>
      </c>
      <c r="I20" s="3279">
        <f>SUM('2. sz. mell'!J35)</f>
        <v>0</v>
      </c>
      <c r="J20" s="2746">
        <f t="shared" si="0"/>
        <v>0</v>
      </c>
      <c r="K20" s="758"/>
      <c r="L20" s="582"/>
      <c r="M20" s="1181"/>
      <c r="N20" s="3288"/>
      <c r="O20" s="70"/>
      <c r="P20" s="1524">
        <f t="shared" si="1"/>
        <v>0</v>
      </c>
      <c r="Q20" s="70"/>
      <c r="R20" s="1524">
        <f t="shared" si="1"/>
        <v>0</v>
      </c>
      <c r="S20" s="582"/>
      <c r="T20" s="1386">
        <f t="shared" si="1"/>
        <v>0</v>
      </c>
      <c r="U20" s="582"/>
      <c r="V20" s="70">
        <f>SUM('2. sz. mell'!M90)</f>
        <v>0</v>
      </c>
    </row>
    <row r="21" spans="1:24" ht="15" customHeight="1" thickBot="1" x14ac:dyDescent="0.25">
      <c r="A21" s="101" t="s">
        <v>248</v>
      </c>
      <c r="B21" s="74"/>
      <c r="C21" s="4209"/>
      <c r="D21" s="72"/>
      <c r="E21" s="582"/>
      <c r="F21" s="1630">
        <f t="shared" si="0"/>
        <v>0</v>
      </c>
      <c r="G21" s="3280"/>
      <c r="H21" s="3281">
        <f t="shared" si="0"/>
        <v>0</v>
      </c>
      <c r="I21" s="3280"/>
      <c r="J21" s="2746">
        <f t="shared" si="0"/>
        <v>0</v>
      </c>
      <c r="K21" s="758"/>
      <c r="L21" s="582"/>
      <c r="M21" s="1182"/>
      <c r="N21" s="4204"/>
      <c r="O21" s="70"/>
      <c r="P21" s="1524">
        <f t="shared" si="1"/>
        <v>0</v>
      </c>
      <c r="Q21" s="70"/>
      <c r="R21" s="1524">
        <f t="shared" si="1"/>
        <v>0</v>
      </c>
      <c r="S21" s="582"/>
      <c r="T21" s="1386">
        <f t="shared" si="1"/>
        <v>0</v>
      </c>
      <c r="U21" s="582"/>
      <c r="V21" s="70"/>
    </row>
    <row r="22" spans="1:24" ht="20.25" customHeight="1" thickBot="1" x14ac:dyDescent="0.25">
      <c r="A22" s="102" t="s">
        <v>249</v>
      </c>
      <c r="B22" s="62" t="s">
        <v>866</v>
      </c>
      <c r="C22" s="1515"/>
      <c r="D22" s="105"/>
      <c r="E22" s="137">
        <f>SUM(E17:E21)</f>
        <v>0</v>
      </c>
      <c r="F22" s="1374">
        <f>SUM(G22-E22)</f>
        <v>200000000</v>
      </c>
      <c r="G22" s="759">
        <f>SUM(G17)</f>
        <v>200000000</v>
      </c>
      <c r="H22" s="1374">
        <f t="shared" si="0"/>
        <v>-200000000</v>
      </c>
      <c r="I22" s="759">
        <f>SUM(I17)</f>
        <v>0</v>
      </c>
      <c r="J22" s="1374">
        <f t="shared" si="0"/>
        <v>0</v>
      </c>
      <c r="K22" s="759">
        <f>SUM(K17:K21)</f>
        <v>0</v>
      </c>
      <c r="L22" s="137">
        <f>SUM(L17:L21)</f>
        <v>0</v>
      </c>
      <c r="M22" s="62" t="s">
        <v>275</v>
      </c>
      <c r="N22" s="859">
        <v>332480815</v>
      </c>
      <c r="O22" s="64">
        <f>SUM(O17:O21)</f>
        <v>0</v>
      </c>
      <c r="P22" s="1530">
        <f t="shared" si="1"/>
        <v>0</v>
      </c>
      <c r="Q22" s="64">
        <f>SUM(Q17:Q21)</f>
        <v>0</v>
      </c>
      <c r="R22" s="1530">
        <f t="shared" si="1"/>
        <v>0</v>
      </c>
      <c r="S22" s="137">
        <f>SUM(S17:S21)</f>
        <v>0</v>
      </c>
      <c r="T22" s="1374">
        <f t="shared" si="1"/>
        <v>0</v>
      </c>
      <c r="U22" s="137">
        <f>SUM(U17:U21)</f>
        <v>0</v>
      </c>
      <c r="V22" s="64">
        <f>SUM(V17:V21)</f>
        <v>0</v>
      </c>
    </row>
    <row r="23" spans="1:24" ht="34.5" customHeight="1" thickBot="1" x14ac:dyDescent="0.25">
      <c r="A23" s="102" t="s">
        <v>276</v>
      </c>
      <c r="B23" s="30" t="s">
        <v>813</v>
      </c>
      <c r="C23" s="1515"/>
      <c r="D23" s="105"/>
      <c r="E23" s="64"/>
      <c r="F23" s="1630">
        <f t="shared" si="0"/>
        <v>0</v>
      </c>
      <c r="G23" s="759"/>
      <c r="H23" s="1630">
        <f t="shared" si="0"/>
        <v>0</v>
      </c>
      <c r="I23" s="759"/>
      <c r="J23" s="1630">
        <f t="shared" si="0"/>
        <v>0</v>
      </c>
      <c r="K23" s="759"/>
      <c r="L23" s="64"/>
      <c r="M23" s="1293" t="s">
        <v>814</v>
      </c>
      <c r="N23" s="859"/>
      <c r="O23" s="64">
        <f>SUM('1.1.sz.mell  '!E19)</f>
        <v>0</v>
      </c>
      <c r="P23" s="1524">
        <f t="shared" si="1"/>
        <v>0</v>
      </c>
      <c r="Q23" s="64"/>
      <c r="R23" s="1524">
        <f t="shared" si="1"/>
        <v>0</v>
      </c>
      <c r="S23" s="137"/>
      <c r="T23" s="1386">
        <f t="shared" si="1"/>
        <v>0</v>
      </c>
      <c r="U23" s="137"/>
      <c r="V23" s="64">
        <f>SUM(V20)</f>
        <v>0</v>
      </c>
    </row>
    <row r="24" spans="1:24" ht="18" customHeight="1" thickBot="1" x14ac:dyDescent="0.25">
      <c r="A24" s="106" t="s">
        <v>276</v>
      </c>
      <c r="B24" s="77" t="s">
        <v>277</v>
      </c>
      <c r="C24" s="4210">
        <f>+C16+C22</f>
        <v>0</v>
      </c>
      <c r="D24" s="107">
        <f>+D16+D22</f>
        <v>1036910715</v>
      </c>
      <c r="E24" s="108">
        <f>+E16+E22+E23</f>
        <v>200000000</v>
      </c>
      <c r="F24" s="1374">
        <f>SUM(G24-E24)</f>
        <v>0</v>
      </c>
      <c r="G24" s="1691">
        <f>+G16+G22+G23</f>
        <v>200000000</v>
      </c>
      <c r="H24" s="1631">
        <f t="shared" si="0"/>
        <v>-127718336</v>
      </c>
      <c r="I24" s="1691">
        <f>+I16+I22+I23</f>
        <v>72281664</v>
      </c>
      <c r="J24" s="1631">
        <f t="shared" si="0"/>
        <v>0</v>
      </c>
      <c r="K24" s="1691">
        <f>+K16+K22+K23</f>
        <v>72281664</v>
      </c>
      <c r="L24" s="108">
        <f>+L16+L22+L23</f>
        <v>72521790</v>
      </c>
      <c r="M24" s="77" t="s">
        <v>278</v>
      </c>
      <c r="N24" s="4205">
        <v>1597200504</v>
      </c>
      <c r="O24" s="108">
        <f>+O16+O22-O23</f>
        <v>1501283400</v>
      </c>
      <c r="P24" s="1631">
        <f t="shared" si="1"/>
        <v>845874212</v>
      </c>
      <c r="Q24" s="949">
        <f>+Q16+Q22-Q23</f>
        <v>2347157612</v>
      </c>
      <c r="R24" s="1631">
        <f t="shared" si="1"/>
        <v>-81819741</v>
      </c>
      <c r="S24" s="1693">
        <f>+S16+S22-S23</f>
        <v>2265337871</v>
      </c>
      <c r="T24" s="1695">
        <f t="shared" si="1"/>
        <v>0</v>
      </c>
      <c r="U24" s="1693">
        <f>+U16+U22-U23</f>
        <v>2265337871</v>
      </c>
      <c r="V24" s="108">
        <f>+V16+V22-V23</f>
        <v>1277925554</v>
      </c>
      <c r="W24" s="38">
        <f>+W16+W22-W23</f>
        <v>0</v>
      </c>
      <c r="X24" s="38">
        <f>SUM(V24/Q24)*100</f>
        <v>54.445664299087561</v>
      </c>
    </row>
    <row r="25" spans="1:24" ht="18" customHeight="1" thickBot="1" x14ac:dyDescent="0.25">
      <c r="A25" s="106" t="s">
        <v>250</v>
      </c>
      <c r="B25" s="109" t="s">
        <v>257</v>
      </c>
      <c r="C25" s="4211"/>
      <c r="D25" s="110">
        <v>227808974</v>
      </c>
      <c r="E25" s="111">
        <f>IF(((O16-E16)&gt;0),O16-E16,"----")</f>
        <v>1301283400</v>
      </c>
      <c r="F25" s="1632">
        <f t="shared" si="0"/>
        <v>1045874212</v>
      </c>
      <c r="G25" s="760">
        <f>IF(((Q16-G16)&gt;0),Q16-G16,"----")</f>
        <v>2347157612</v>
      </c>
      <c r="H25" s="1632">
        <f t="shared" si="0"/>
        <v>-154101405</v>
      </c>
      <c r="I25" s="1692">
        <f>IF(((S16-I16)&gt;0),S16-I16,"----")</f>
        <v>2193056207</v>
      </c>
      <c r="J25" s="1632">
        <f>SUM(K25-I25)</f>
        <v>0</v>
      </c>
      <c r="K25" s="1692">
        <f>IF(((U16-K16)&gt;0),U16-K16,"----")</f>
        <v>2193056207</v>
      </c>
      <c r="L25" s="111">
        <f>IF(((V16-L16)&gt;0),V16-L16,"----")</f>
        <v>1205403764</v>
      </c>
      <c r="M25" s="109" t="s">
        <v>258</v>
      </c>
      <c r="N25" s="4206"/>
      <c r="O25" s="111" t="str">
        <f>IF(((E16-O16)&gt;0),E16-O16,"----")</f>
        <v>----</v>
      </c>
      <c r="P25" s="1632"/>
      <c r="Q25" s="111" t="str">
        <f>IF(((G16-Q16)&gt;0),G16-Q16,"----")</f>
        <v>----</v>
      </c>
      <c r="R25" s="1632"/>
      <c r="S25" s="1694" t="str">
        <f>IF(((I16-S16)&gt;0),I16-S16,"----")</f>
        <v>----</v>
      </c>
      <c r="T25" s="1696"/>
      <c r="U25" s="1694" t="str">
        <f>IF(((K16-U16)&gt;0),K16-U16,"----")</f>
        <v>----</v>
      </c>
      <c r="V25" s="111" t="str">
        <f>IF(((L16-V16)&gt;0),L16-V16,"----")</f>
        <v>----</v>
      </c>
    </row>
    <row r="28" spans="1:24" x14ac:dyDescent="0.2">
      <c r="B28" s="82"/>
    </row>
    <row r="29" spans="1:24" x14ac:dyDescent="0.2">
      <c r="B29" s="112"/>
      <c r="C29" s="95"/>
      <c r="D29" s="95"/>
      <c r="E29" s="95"/>
      <c r="F29" s="1633"/>
      <c r="G29" s="95"/>
      <c r="H29" s="1633"/>
      <c r="I29" s="95"/>
      <c r="J29" s="1633"/>
      <c r="K29" s="95"/>
      <c r="L29" s="95"/>
      <c r="Q29" s="95"/>
      <c r="R29" s="1633"/>
      <c r="S29" s="95"/>
      <c r="T29" s="1633"/>
      <c r="U29" s="95"/>
      <c r="V29" s="95"/>
    </row>
    <row r="31" spans="1:24" x14ac:dyDescent="0.2">
      <c r="B31" s="99"/>
      <c r="C31" s="113"/>
      <c r="D31" s="113"/>
      <c r="E31" s="113"/>
      <c r="F31" s="1634"/>
      <c r="G31" s="113"/>
      <c r="H31" s="1634"/>
      <c r="I31" s="113"/>
      <c r="J31" s="1634"/>
      <c r="K31" s="113"/>
      <c r="L31" s="113"/>
      <c r="Q31" s="113"/>
      <c r="R31" s="1634"/>
      <c r="S31" s="113"/>
      <c r="T31" s="1634"/>
      <c r="U31" s="113"/>
      <c r="V31" s="113"/>
    </row>
  </sheetData>
  <mergeCells count="5">
    <mergeCell ref="A3:A4"/>
    <mergeCell ref="B3:L3"/>
    <mergeCell ref="A1:V1"/>
    <mergeCell ref="Z5:AC5"/>
    <mergeCell ref="M3:V3"/>
  </mergeCells>
  <printOptions horizontalCentered="1"/>
  <pageMargins left="0.19685039370078741" right="0.15748031496062992" top="1.0236220472440944" bottom="0.43307086614173229" header="0.23622047244094491" footer="0.19685039370078741"/>
  <pageSetup paperSize="9" firstPageNumber="8" orientation="landscape" useFirstPageNumber="1" r:id="rId1"/>
  <headerFooter>
    <oddHeader>&amp;C&amp;"Times New Roman CE,Félkövér"&amp;14
Felhalmozási bevételek és kiadások mérlege
(Önkormányzati szinten)&amp;R&amp;"Times New Roman ,Normál"&amp;12 1.2. sz. melléklet</oddHeader>
    <oddFooter>&amp;C- &amp;P -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G85"/>
  <sheetViews>
    <sheetView view="pageBreakPreview" zoomScaleNormal="100" zoomScaleSheetLayoutView="100" zoomScalePageLayoutView="60" workbookViewId="0">
      <selection activeCell="K64" sqref="K6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4" style="115" customWidth="1"/>
    <col min="4" max="5" width="9.33203125" style="115" hidden="1" customWidth="1"/>
    <col min="6" max="6" width="14.6640625" style="115" customWidth="1"/>
    <col min="7" max="7" width="12.1640625" style="1390" hidden="1" customWidth="1"/>
    <col min="8" max="8" width="13.33203125" style="115" hidden="1" customWidth="1"/>
    <col min="9" max="9" width="13.83203125" style="1390" hidden="1" customWidth="1"/>
    <col min="10" max="10" width="13.83203125" style="115" customWidth="1"/>
    <col min="11" max="11" width="12.6640625" style="1390" customWidth="1"/>
    <col min="12" max="12" width="14.1640625" style="115" customWidth="1"/>
    <col min="13" max="13" width="15.1640625" style="115" customWidth="1"/>
    <col min="14" max="14" width="15.5" style="115" customWidth="1"/>
    <col min="15" max="15" width="16.1640625" style="115" customWidth="1"/>
    <col min="16" max="16" width="12.6640625" style="115" customWidth="1"/>
    <col min="17" max="17" width="9.33203125" style="115"/>
    <col min="18" max="18" width="15.83203125" style="1877" customWidth="1"/>
    <col min="19" max="19" width="15.83203125" style="1877" hidden="1" customWidth="1"/>
    <col min="20" max="20" width="15" style="1886" customWidth="1"/>
    <col min="21" max="21" width="15" style="1886" hidden="1" customWidth="1"/>
    <col min="22" max="22" width="15" style="115" customWidth="1"/>
    <col min="23" max="23" width="15" style="115" hidden="1" customWidth="1"/>
    <col min="24" max="24" width="15" style="1161" customWidth="1"/>
    <col min="25" max="25" width="13.33203125" style="1904" bestFit="1" customWidth="1"/>
    <col min="26" max="26" width="20.5" style="1877" customWidth="1"/>
    <col min="27" max="27" width="20.5" style="1877" hidden="1" customWidth="1"/>
    <col min="28" max="28" width="16.6640625" style="1886" customWidth="1"/>
    <col min="29" max="29" width="16.6640625" style="1886" hidden="1" customWidth="1"/>
    <col min="30" max="30" width="16.6640625" style="2027" customWidth="1"/>
    <col min="31" max="31" width="16.6640625" style="115" hidden="1" customWidth="1"/>
    <col min="32" max="32" width="16.6640625" style="1161" customWidth="1"/>
    <col min="33" max="33" width="16.33203125" style="1904" customWidth="1"/>
    <col min="34" max="16384" width="9.33203125" style="115"/>
  </cols>
  <sheetData>
    <row r="1" spans="1:33" s="98" customFormat="1" ht="21" customHeight="1" thickBot="1" x14ac:dyDescent="0.25">
      <c r="A1" s="240"/>
      <c r="B1" s="241"/>
      <c r="C1" s="4526" t="s">
        <v>716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  <c r="R1" s="1872"/>
      <c r="S1" s="1872"/>
      <c r="T1" s="1882"/>
      <c r="U1" s="1882"/>
      <c r="X1" s="1868"/>
      <c r="Y1" s="1899"/>
      <c r="Z1" s="1872"/>
      <c r="AA1" s="1872"/>
      <c r="AB1" s="1882"/>
      <c r="AC1" s="1882"/>
      <c r="AF1" s="1868"/>
      <c r="AG1" s="1899"/>
    </row>
    <row r="2" spans="1:33" s="303" customFormat="1" ht="52.5" customHeight="1" thickBot="1" x14ac:dyDescent="0.25">
      <c r="A2" s="4516" t="s">
        <v>411</v>
      </c>
      <c r="B2" s="4516"/>
      <c r="C2" s="117" t="s">
        <v>1000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  <c r="R2" s="1873"/>
      <c r="S2" s="1873"/>
      <c r="T2" s="1883"/>
      <c r="U2" s="1883"/>
      <c r="X2" s="1869"/>
      <c r="Y2" s="1900"/>
      <c r="Z2" s="1873"/>
      <c r="AA2" s="1873"/>
      <c r="AB2" s="1883"/>
      <c r="AC2" s="1883"/>
      <c r="AF2" s="1869"/>
      <c r="AG2" s="1900"/>
    </row>
    <row r="3" spans="1:33" s="303" customFormat="1" ht="30" customHeight="1" thickBot="1" x14ac:dyDescent="0.25">
      <c r="A3" s="4525" t="s">
        <v>283</v>
      </c>
      <c r="B3" s="4525"/>
      <c r="C3" s="304" t="s">
        <v>1438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  <c r="R3" s="1874"/>
      <c r="S3" s="1874"/>
      <c r="T3" s="4493" t="s">
        <v>1056</v>
      </c>
      <c r="U3" s="1884"/>
      <c r="V3" s="4442" t="s">
        <v>1057</v>
      </c>
      <c r="W3" s="305"/>
      <c r="X3" s="4439" t="s">
        <v>1058</v>
      </c>
      <c r="Y3" s="1946"/>
      <c r="Z3" s="1874"/>
      <c r="AA3" s="1874"/>
      <c r="AB3" s="4493" t="s">
        <v>1056</v>
      </c>
      <c r="AC3" s="1884"/>
      <c r="AD3" s="4442" t="s">
        <v>1057</v>
      </c>
      <c r="AE3" s="305"/>
      <c r="AF3" s="4439" t="s">
        <v>1058</v>
      </c>
      <c r="AG3" s="1946"/>
    </row>
    <row r="4" spans="1:3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45"/>
      <c r="I4" s="1445"/>
      <c r="J4" s="1445"/>
      <c r="K4" s="1445"/>
      <c r="L4" s="1445"/>
      <c r="M4" s="1508" t="s">
        <v>935</v>
      </c>
      <c r="R4" s="1875" t="s">
        <v>771</v>
      </c>
      <c r="S4" s="1875"/>
      <c r="T4" s="4493"/>
      <c r="U4" s="1884"/>
      <c r="V4" s="4442"/>
      <c r="W4" s="305"/>
      <c r="X4" s="4439"/>
      <c r="Y4" s="1947" t="s">
        <v>289</v>
      </c>
      <c r="Z4" s="1875" t="s">
        <v>771</v>
      </c>
      <c r="AA4" s="1875"/>
      <c r="AB4" s="4493"/>
      <c r="AC4" s="1884"/>
      <c r="AD4" s="4442"/>
      <c r="AE4" s="305"/>
      <c r="AF4" s="4439"/>
      <c r="AG4" s="1947" t="s">
        <v>289</v>
      </c>
    </row>
    <row r="5" spans="1:33" s="145" customFormat="1" ht="20.2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  <c r="R5" s="1908" t="s">
        <v>279</v>
      </c>
      <c r="S5" s="1908"/>
      <c r="T5" s="1913" t="s">
        <v>279</v>
      </c>
      <c r="U5" s="1913"/>
      <c r="V5" s="470" t="s">
        <v>279</v>
      </c>
      <c r="W5" s="470"/>
      <c r="X5" s="1910" t="s">
        <v>279</v>
      </c>
      <c r="Y5" s="1906" t="s">
        <v>279</v>
      </c>
      <c r="Z5" s="1950" t="s">
        <v>770</v>
      </c>
      <c r="AA5" s="2350"/>
      <c r="AB5" s="1949" t="s">
        <v>770</v>
      </c>
      <c r="AC5" s="1949"/>
      <c r="AD5" s="490"/>
      <c r="AE5" s="490"/>
      <c r="AF5" s="1945"/>
      <c r="AG5" s="1948" t="s">
        <v>770</v>
      </c>
    </row>
    <row r="6" spans="1:3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  <c r="R6" s="1875"/>
      <c r="S6" s="1875"/>
      <c r="T6" s="1884"/>
      <c r="U6" s="1884"/>
      <c r="X6" s="1870"/>
      <c r="Y6" s="1902"/>
      <c r="Z6" s="1951"/>
      <c r="AA6" s="2216"/>
      <c r="AB6" s="1884"/>
      <c r="AC6" s="1884"/>
      <c r="AF6" s="1870"/>
      <c r="AG6" s="1902"/>
    </row>
    <row r="7" spans="1:3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  <c r="R7" s="1875"/>
      <c r="S7" s="1875"/>
      <c r="T7" s="1884"/>
      <c r="U7" s="1884"/>
      <c r="X7" s="1870"/>
      <c r="Y7" s="1902"/>
      <c r="Z7" s="1951"/>
      <c r="AA7" s="2216"/>
      <c r="AB7" s="1884"/>
      <c r="AC7" s="1884"/>
      <c r="AF7" s="1870"/>
      <c r="AG7" s="1902"/>
    </row>
    <row r="8" spans="1:3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54873</v>
      </c>
      <c r="K8" s="1374">
        <f>SUM(L8-J8)</f>
        <v>0</v>
      </c>
      <c r="L8" s="137">
        <f>SUM(L9:L18)</f>
        <v>54873</v>
      </c>
      <c r="M8" s="137">
        <f>SUM(M9:M18)</f>
        <v>54873</v>
      </c>
      <c r="R8" s="1876">
        <f>SUM(F8-Z8)</f>
        <v>0</v>
      </c>
      <c r="S8" s="1876"/>
      <c r="T8" s="1885">
        <f>SUM(H8-AB8)</f>
        <v>0</v>
      </c>
      <c r="U8" s="1885"/>
      <c r="V8" s="248">
        <f t="shared" ref="V8:V39" si="0">SUM(J8-AD8)</f>
        <v>54873</v>
      </c>
      <c r="W8" s="248"/>
      <c r="X8" s="1871">
        <f t="shared" ref="X8:X39" si="1">SUM(L8-AF8)</f>
        <v>0</v>
      </c>
      <c r="Y8" s="1903">
        <f t="shared" ref="Y8:Y39" si="2">SUM(M8-AG8)</f>
        <v>0</v>
      </c>
      <c r="Z8" s="1952">
        <f>SUM('5.1.a. sz. mell.'!F8+'5.1.b. sz. mell.'!F8+'5.1.c. sz. mell.'!F8)</f>
        <v>0</v>
      </c>
      <c r="AA8" s="2217"/>
      <c r="AB8" s="1885">
        <f>SUM('5.1.a. sz. mell.'!H8+'5.1.b. sz. mell.'!H8+'5.1.c. sz. mell.'!H8)</f>
        <v>0</v>
      </c>
      <c r="AC8" s="1885"/>
      <c r="AD8" s="248">
        <f>SUM('5.1.a. sz. mell.'!K8+'5.1.b. sz. mell.'!K8+'5.1.c. sz. mell.'!K8)</f>
        <v>0</v>
      </c>
      <c r="AE8" s="248"/>
      <c r="AF8" s="1871">
        <f>SUM('5.1.a. sz. mell.'!J8+'5.1.b. sz. mell.'!J8+'5.1.c. sz. mell.'!J8)</f>
        <v>54873</v>
      </c>
      <c r="AG8" s="1903">
        <f>SUM('5.1.a. sz. mell.'!M8+'5.1.b. sz. mell.'!M8+'5.1.c. sz. mell.'!M8)</f>
        <v>54873</v>
      </c>
    </row>
    <row r="9" spans="1:3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5"/>
      <c r="L9" s="150">
        <v>0</v>
      </c>
      <c r="M9" s="150">
        <v>0</v>
      </c>
      <c r="R9" s="1876">
        <f t="shared" ref="R9:R63" si="3">SUM(F9-Z9)</f>
        <v>0</v>
      </c>
      <c r="S9" s="1876"/>
      <c r="T9" s="1885">
        <f t="shared" ref="T9:T63" si="4">SUM(H9-AB9)</f>
        <v>0</v>
      </c>
      <c r="U9" s="1885"/>
      <c r="V9" s="248">
        <f t="shared" si="0"/>
        <v>0</v>
      </c>
      <c r="W9" s="248"/>
      <c r="X9" s="1871">
        <f t="shared" si="1"/>
        <v>0</v>
      </c>
      <c r="Y9" s="1903">
        <f t="shared" si="2"/>
        <v>0</v>
      </c>
      <c r="Z9" s="1952">
        <f>SUM('5.1.a. sz. mell.'!F9+'5.1.b. sz. mell.'!F9+'5.1.c. sz. mell.'!F9)</f>
        <v>0</v>
      </c>
      <c r="AA9" s="2217"/>
      <c r="AB9" s="1885">
        <f>SUM('5.1.a. sz. mell.'!H9+'5.1.b. sz. mell.'!H9+'5.1.c. sz. mell.'!H9)</f>
        <v>0</v>
      </c>
      <c r="AC9" s="1885"/>
      <c r="AD9" s="248">
        <f>SUM('5.1.a. sz. mell.'!J9+'5.1.b. sz. mell.'!J9+'5.1.c. sz. mell.'!J9)</f>
        <v>0</v>
      </c>
      <c r="AE9" s="1885"/>
      <c r="AF9" s="1871">
        <f>SUM('5.1.a. sz. mell.'!L9+'5.1.b. sz. mell.'!L9+'5.1.c. sz. mell.'!L9)</f>
        <v>0</v>
      </c>
      <c r="AG9" s="1903">
        <f>SUM('5.1.a. sz. mell.'!M9+'5.1.b. sz. mell.'!M9+'5.1.c. sz. mell.'!M9)</f>
        <v>0</v>
      </c>
    </row>
    <row r="10" spans="1:3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6"/>
      <c r="L10" s="144">
        <v>0</v>
      </c>
      <c r="M10" s="144">
        <v>0</v>
      </c>
      <c r="R10" s="1876">
        <f t="shared" si="3"/>
        <v>0</v>
      </c>
      <c r="S10" s="1876"/>
      <c r="T10" s="1885">
        <f t="shared" si="4"/>
        <v>0</v>
      </c>
      <c r="U10" s="1885"/>
      <c r="V10" s="248">
        <f t="shared" si="0"/>
        <v>0</v>
      </c>
      <c r="W10" s="248"/>
      <c r="X10" s="1871">
        <f t="shared" si="1"/>
        <v>0</v>
      </c>
      <c r="Y10" s="1903">
        <f t="shared" si="2"/>
        <v>0</v>
      </c>
      <c r="Z10" s="1952">
        <f>SUM('5.1.a. sz. mell.'!F10+'5.1.b. sz. mell.'!F10+'5.1.c. sz. mell.'!F10)</f>
        <v>0</v>
      </c>
      <c r="AA10" s="2217"/>
      <c r="AB10" s="1885">
        <f>SUM('5.1.a. sz. mell.'!H10+'5.1.b. sz. mell.'!H10+'5.1.c. sz. mell.'!H10)</f>
        <v>0</v>
      </c>
      <c r="AC10" s="1885"/>
      <c r="AD10" s="248">
        <f>SUM('5.1.a. sz. mell.'!J10+'5.1.b. sz. mell.'!J10+'5.1.c. sz. mell.'!J10)</f>
        <v>0</v>
      </c>
      <c r="AE10" s="1885"/>
      <c r="AF10" s="1871">
        <f>SUM('5.1.a. sz. mell.'!L10+'5.1.b. sz. mell.'!L10+'5.1.c. sz. mell.'!L10)</f>
        <v>0</v>
      </c>
      <c r="AG10" s="1903">
        <f>SUM('5.1.a. sz. mell.'!M10+'5.1.b. sz. mell.'!M10+'5.1.c. sz. mell.'!M10)</f>
        <v>0</v>
      </c>
    </row>
    <row r="11" spans="1:3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6"/>
      <c r="L11" s="144">
        <v>0</v>
      </c>
      <c r="M11" s="144">
        <v>0</v>
      </c>
      <c r="R11" s="1876">
        <f t="shared" si="3"/>
        <v>0</v>
      </c>
      <c r="S11" s="1876"/>
      <c r="T11" s="1885">
        <f t="shared" si="4"/>
        <v>0</v>
      </c>
      <c r="U11" s="1885"/>
      <c r="V11" s="248">
        <f t="shared" si="0"/>
        <v>0</v>
      </c>
      <c r="W11" s="248"/>
      <c r="X11" s="1871">
        <f t="shared" si="1"/>
        <v>0</v>
      </c>
      <c r="Y11" s="1903">
        <f t="shared" si="2"/>
        <v>0</v>
      </c>
      <c r="Z11" s="1952">
        <f>SUM('5.1.a. sz. mell.'!F11+'5.1.b. sz. mell.'!F11+'5.1.c. sz. mell.'!F11)</f>
        <v>0</v>
      </c>
      <c r="AA11" s="2217"/>
      <c r="AB11" s="1885">
        <f>SUM('5.1.a. sz. mell.'!H11+'5.1.b. sz. mell.'!H11+'5.1.c. sz. mell.'!H11)</f>
        <v>0</v>
      </c>
      <c r="AC11" s="1885"/>
      <c r="AD11" s="248">
        <f>SUM('5.1.a. sz. mell.'!J11+'5.1.b. sz. mell.'!J11+'5.1.c. sz. mell.'!J11)</f>
        <v>0</v>
      </c>
      <c r="AE11" s="1885"/>
      <c r="AF11" s="1871">
        <f>SUM('5.1.a. sz. mell.'!L11+'5.1.b. sz. mell.'!L11+'5.1.c. sz. mell.'!L11)</f>
        <v>0</v>
      </c>
      <c r="AG11" s="1903">
        <f>SUM('5.1.a. sz. mell.'!M11+'5.1.b. sz. mell.'!M11+'5.1.c. sz. mell.'!M11)</f>
        <v>0</v>
      </c>
    </row>
    <row r="12" spans="1:3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6"/>
      <c r="L12" s="144">
        <v>0</v>
      </c>
      <c r="M12" s="144">
        <v>0</v>
      </c>
      <c r="R12" s="1876">
        <f t="shared" si="3"/>
        <v>0</v>
      </c>
      <c r="S12" s="1876"/>
      <c r="T12" s="1885">
        <f t="shared" si="4"/>
        <v>0</v>
      </c>
      <c r="U12" s="1885"/>
      <c r="V12" s="248">
        <f t="shared" si="0"/>
        <v>0</v>
      </c>
      <c r="W12" s="248"/>
      <c r="X12" s="1871">
        <f t="shared" si="1"/>
        <v>0</v>
      </c>
      <c r="Y12" s="1903">
        <f t="shared" si="2"/>
        <v>0</v>
      </c>
      <c r="Z12" s="1952">
        <f>SUM('5.1.a. sz. mell.'!F12+'5.1.b. sz. mell.'!F12+'5.1.c. sz. mell.'!F12)</f>
        <v>0</v>
      </c>
      <c r="AA12" s="2217"/>
      <c r="AB12" s="1885">
        <f>SUM('5.1.a. sz. mell.'!H12+'5.1.b. sz. mell.'!H12+'5.1.c. sz. mell.'!H12)</f>
        <v>0</v>
      </c>
      <c r="AC12" s="1885"/>
      <c r="AD12" s="248">
        <f>SUM('5.1.a. sz. mell.'!J12+'5.1.b. sz. mell.'!J12+'5.1.c. sz. mell.'!J12)</f>
        <v>0</v>
      </c>
      <c r="AE12" s="1885"/>
      <c r="AF12" s="1871">
        <f>SUM('5.1.a. sz. mell.'!L12+'5.1.b. sz. mell.'!L12+'5.1.c. sz. mell.'!L12)</f>
        <v>0</v>
      </c>
      <c r="AG12" s="1903">
        <f>SUM('5.1.a. sz. mell.'!M12+'5.1.b. sz. mell.'!M12+'5.1.c. sz. mell.'!M12)</f>
        <v>0</v>
      </c>
    </row>
    <row r="13" spans="1:3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6"/>
      <c r="L13" s="144">
        <v>0</v>
      </c>
      <c r="M13" s="144">
        <v>0</v>
      </c>
      <c r="R13" s="1876">
        <f t="shared" si="3"/>
        <v>0</v>
      </c>
      <c r="S13" s="1876"/>
      <c r="T13" s="1885">
        <f t="shared" si="4"/>
        <v>0</v>
      </c>
      <c r="U13" s="1885"/>
      <c r="V13" s="248">
        <f t="shared" si="0"/>
        <v>0</v>
      </c>
      <c r="W13" s="248"/>
      <c r="X13" s="1871">
        <f t="shared" si="1"/>
        <v>0</v>
      </c>
      <c r="Y13" s="1903">
        <f t="shared" si="2"/>
        <v>0</v>
      </c>
      <c r="Z13" s="1952">
        <f>SUM('5.1.a. sz. mell.'!F13+'5.1.b. sz. mell.'!F13+'5.1.c. sz. mell.'!F13)</f>
        <v>0</v>
      </c>
      <c r="AA13" s="2217"/>
      <c r="AB13" s="1885">
        <f>SUM('5.1.a. sz. mell.'!H13+'5.1.b. sz. mell.'!H13+'5.1.c. sz. mell.'!H13)</f>
        <v>0</v>
      </c>
      <c r="AC13" s="1885"/>
      <c r="AD13" s="248">
        <f>SUM('5.1.a. sz. mell.'!J13+'5.1.b. sz. mell.'!J13+'5.1.c. sz. mell.'!J13)</f>
        <v>0</v>
      </c>
      <c r="AE13" s="1885"/>
      <c r="AF13" s="1871">
        <f>SUM('5.1.a. sz. mell.'!L13+'5.1.b. sz. mell.'!L13+'5.1.c. sz. mell.'!L13)</f>
        <v>0</v>
      </c>
      <c r="AG13" s="1903">
        <f>SUM('5.1.a. sz. mell.'!M13+'5.1.b. sz. mell.'!M13+'5.1.c. sz. mell.'!M13)</f>
        <v>0</v>
      </c>
    </row>
    <row r="14" spans="1:3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6"/>
      <c r="L14" s="144">
        <v>0</v>
      </c>
      <c r="M14" s="144">
        <v>0</v>
      </c>
      <c r="R14" s="1876">
        <f t="shared" si="3"/>
        <v>0</v>
      </c>
      <c r="S14" s="1876"/>
      <c r="T14" s="1885">
        <f t="shared" si="4"/>
        <v>0</v>
      </c>
      <c r="U14" s="1885"/>
      <c r="V14" s="248">
        <f t="shared" si="0"/>
        <v>0</v>
      </c>
      <c r="W14" s="248"/>
      <c r="X14" s="1871">
        <f t="shared" si="1"/>
        <v>0</v>
      </c>
      <c r="Y14" s="1903">
        <f t="shared" si="2"/>
        <v>0</v>
      </c>
      <c r="Z14" s="1952">
        <f>SUM('5.1.a. sz. mell.'!F14+'5.1.b. sz. mell.'!F14+'5.1.c. sz. mell.'!F14)</f>
        <v>0</v>
      </c>
      <c r="AA14" s="2217"/>
      <c r="AB14" s="1885">
        <f>SUM('5.1.a. sz. mell.'!H14+'5.1.b. sz. mell.'!H14+'5.1.c. sz. mell.'!H14)</f>
        <v>0</v>
      </c>
      <c r="AC14" s="1885"/>
      <c r="AD14" s="248">
        <f>SUM('5.1.a. sz. mell.'!J14+'5.1.b. sz. mell.'!J14+'5.1.c. sz. mell.'!J14)</f>
        <v>0</v>
      </c>
      <c r="AE14" s="1885"/>
      <c r="AF14" s="1871">
        <f>SUM('5.1.a. sz. mell.'!L14+'5.1.b. sz. mell.'!L14+'5.1.c. sz. mell.'!L14)</f>
        <v>0</v>
      </c>
      <c r="AG14" s="1903">
        <f>SUM('5.1.a. sz. mell.'!M14+'5.1.b. sz. mell.'!M14+'5.1.c. sz. mell.'!M14)</f>
        <v>0</v>
      </c>
    </row>
    <row r="15" spans="1:33" s="145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7"/>
      <c r="L15" s="147">
        <v>0</v>
      </c>
      <c r="M15" s="147">
        <v>0</v>
      </c>
      <c r="R15" s="1876">
        <f t="shared" si="3"/>
        <v>0</v>
      </c>
      <c r="S15" s="1876"/>
      <c r="T15" s="1885">
        <f t="shared" si="4"/>
        <v>0</v>
      </c>
      <c r="U15" s="1885"/>
      <c r="V15" s="248">
        <f t="shared" si="0"/>
        <v>0</v>
      </c>
      <c r="W15" s="248"/>
      <c r="X15" s="1871">
        <f t="shared" si="1"/>
        <v>0</v>
      </c>
      <c r="Y15" s="1903">
        <f t="shared" si="2"/>
        <v>0</v>
      </c>
      <c r="Z15" s="1952">
        <f>SUM('5.1.a. sz. mell.'!F15+'5.1.b. sz. mell.'!F15+'5.1.c. sz. mell.'!F15)</f>
        <v>0</v>
      </c>
      <c r="AA15" s="2217"/>
      <c r="AB15" s="1885">
        <f>SUM('5.1.a. sz. mell.'!H15+'5.1.b. sz. mell.'!H15+'5.1.c. sz. mell.'!H15)</f>
        <v>0</v>
      </c>
      <c r="AC15" s="1885"/>
      <c r="AD15" s="248">
        <f>SUM('5.1.a. sz. mell.'!J15+'5.1.b. sz. mell.'!J15+'5.1.c. sz. mell.'!J15)</f>
        <v>0</v>
      </c>
      <c r="AE15" s="1885"/>
      <c r="AF15" s="1871">
        <f>SUM('5.1.a. sz. mell.'!L15+'5.1.b. sz. mell.'!L15+'5.1.c. sz. mell.'!L15)</f>
        <v>0</v>
      </c>
      <c r="AG15" s="1903">
        <f>SUM('5.1.a. sz. mell.'!M15+'5.1.b. sz. mell.'!M15+'5.1.c. sz. mell.'!M15)</f>
        <v>0</v>
      </c>
    </row>
    <row r="16" spans="1:3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0</v>
      </c>
      <c r="K16" s="1376"/>
      <c r="L16" s="144">
        <v>0</v>
      </c>
      <c r="M16" s="144"/>
      <c r="R16" s="1876">
        <f t="shared" si="3"/>
        <v>0</v>
      </c>
      <c r="S16" s="1876"/>
      <c r="T16" s="1885">
        <f t="shared" si="4"/>
        <v>0</v>
      </c>
      <c r="U16" s="1885"/>
      <c r="V16" s="248">
        <f t="shared" si="0"/>
        <v>0</v>
      </c>
      <c r="W16" s="248"/>
      <c r="X16" s="1871">
        <f t="shared" si="1"/>
        <v>0</v>
      </c>
      <c r="Y16" s="1903">
        <f t="shared" si="2"/>
        <v>0</v>
      </c>
      <c r="Z16" s="1952">
        <f>SUM('5.1.a. sz. mell.'!F16+'5.1.b. sz. mell.'!F16+'5.1.c. sz. mell.'!F16)</f>
        <v>0</v>
      </c>
      <c r="AA16" s="2217"/>
      <c r="AB16" s="1885">
        <f>SUM('5.1.a. sz. mell.'!H16+'5.1.b. sz. mell.'!H16+'5.1.c. sz. mell.'!H16)</f>
        <v>0</v>
      </c>
      <c r="AC16" s="1885"/>
      <c r="AD16" s="248">
        <f>SUM('5.1.a. sz. mell.'!J16+'5.1.b. sz. mell.'!J16+'5.1.c. sz. mell.'!J16)</f>
        <v>0</v>
      </c>
      <c r="AE16" s="1885"/>
      <c r="AF16" s="1871">
        <f>SUM('5.1.a. sz. mell.'!L16+'5.1.b. sz. mell.'!L16+'5.1.c. sz. mell.'!L16)</f>
        <v>0</v>
      </c>
      <c r="AG16" s="1903">
        <f>SUM('5.1.a. sz. mell.'!M16+'5.1.b. sz. mell.'!M16+'5.1.c. sz. mell.'!M16)</f>
        <v>0</v>
      </c>
    </row>
    <row r="17" spans="1:33" s="141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/>
      <c r="L17" s="153">
        <v>0</v>
      </c>
      <c r="M17" s="153"/>
      <c r="R17" s="1876">
        <f t="shared" si="3"/>
        <v>0</v>
      </c>
      <c r="S17" s="1876"/>
      <c r="T17" s="1885">
        <f t="shared" si="4"/>
        <v>0</v>
      </c>
      <c r="U17" s="1885"/>
      <c r="V17" s="248">
        <f t="shared" si="0"/>
        <v>0</v>
      </c>
      <c r="W17" s="248"/>
      <c r="X17" s="1871">
        <f t="shared" si="1"/>
        <v>0</v>
      </c>
      <c r="Y17" s="1903">
        <f t="shared" si="2"/>
        <v>0</v>
      </c>
      <c r="Z17" s="1952">
        <f>SUM('5.1.a. sz. mell.'!F17+'5.1.b. sz. mell.'!F17+'5.1.c. sz. mell.'!F17)</f>
        <v>0</v>
      </c>
      <c r="AA17" s="2217"/>
      <c r="AB17" s="1885">
        <f>SUM('5.1.a. sz. mell.'!H17+'5.1.b. sz. mell.'!H17+'5.1.c. sz. mell.'!H17)</f>
        <v>0</v>
      </c>
      <c r="AC17" s="1885"/>
      <c r="AD17" s="248">
        <f>SUM('5.1.a. sz. mell.'!J17+'5.1.b. sz. mell.'!J17+'5.1.c. sz. mell.'!J17)</f>
        <v>0</v>
      </c>
      <c r="AE17" s="1885"/>
      <c r="AF17" s="1871">
        <f>SUM('5.1.a. sz. mell.'!L17+'5.1.b. sz. mell.'!L17+'5.1.c. sz. mell.'!L17)</f>
        <v>0</v>
      </c>
      <c r="AG17" s="1903">
        <f>SUM('5.1.a. sz. mell.'!M17+'5.1.b. sz. mell.'!M17+'5.1.c. sz. mell.'!M17)</f>
        <v>0</v>
      </c>
    </row>
    <row r="18" spans="1:3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/>
      <c r="I18" s="1378"/>
      <c r="J18" s="153">
        <v>54873</v>
      </c>
      <c r="K18" s="1378">
        <f>SUM(L18-J18)</f>
        <v>0</v>
      </c>
      <c r="L18" s="153">
        <v>54873</v>
      </c>
      <c r="M18" s="153">
        <v>54873</v>
      </c>
      <c r="R18" s="1876">
        <f t="shared" si="3"/>
        <v>0</v>
      </c>
      <c r="S18" s="1876"/>
      <c r="T18" s="1885">
        <f t="shared" si="4"/>
        <v>0</v>
      </c>
      <c r="U18" s="1885"/>
      <c r="V18" s="248">
        <f t="shared" si="0"/>
        <v>0</v>
      </c>
      <c r="W18" s="248"/>
      <c r="X18" s="1871">
        <f t="shared" si="1"/>
        <v>0</v>
      </c>
      <c r="Y18" s="1903">
        <f t="shared" si="2"/>
        <v>0</v>
      </c>
      <c r="Z18" s="1952">
        <f>SUM('5.1.a. sz. mell.'!F18+'5.1.b. sz. mell.'!F18+'5.1.c. sz. mell.'!F18)</f>
        <v>0</v>
      </c>
      <c r="AA18" s="2217"/>
      <c r="AB18" s="1885">
        <f>SUM('5.1.a. sz. mell.'!H18+'5.1.b. sz. mell.'!H18+'5.1.c. sz. mell.'!H18)</f>
        <v>0</v>
      </c>
      <c r="AC18" s="1885"/>
      <c r="AD18" s="248">
        <f>SUM('5.1.a. sz. mell.'!J18+'5.1.b. sz. mell.'!J18+'5.1.c. sz. mell.'!J18)</f>
        <v>54873</v>
      </c>
      <c r="AE18" s="1885"/>
      <c r="AF18" s="1871">
        <f>SUM('5.1.a. sz. mell.'!L18+'5.1.b. sz. mell.'!L18+'5.1.c. sz. mell.'!L18)</f>
        <v>54873</v>
      </c>
      <c r="AG18" s="1903">
        <f>SUM('5.1.a. sz. mell.'!M18+'5.1.b. sz. mell.'!M18+'5.1.c. sz. mell.'!M18)</f>
        <v>54873</v>
      </c>
    </row>
    <row r="19" spans="1:33" s="145" customFormat="1" ht="29.25" customHeight="1" thickBot="1" x14ac:dyDescent="0.25">
      <c r="A19" s="134" t="s">
        <v>17</v>
      </c>
      <c r="B19" s="148"/>
      <c r="C19" s="247" t="s">
        <v>419</v>
      </c>
      <c r="D19" s="137">
        <f>SUM(D20:D26)-D22</f>
        <v>53245</v>
      </c>
      <c r="E19" s="137">
        <f>SUM(E20:E26)-E22</f>
        <v>54476</v>
      </c>
      <c r="F19" s="137">
        <f>SUM(F20+F25+F26)</f>
        <v>0</v>
      </c>
      <c r="G19" s="1382"/>
      <c r="H19" s="137">
        <f>SUM(H20+H25+H26)</f>
        <v>0</v>
      </c>
      <c r="I19" s="1374"/>
      <c r="J19" s="137">
        <f>SUM(J20+J25+J26)</f>
        <v>0</v>
      </c>
      <c r="K19" s="1374">
        <f>SUM(L19-J19)</f>
        <v>0</v>
      </c>
      <c r="L19" s="137">
        <f>SUM(L20+L25+L26)</f>
        <v>0</v>
      </c>
      <c r="M19" s="137">
        <f>SUM(M20+M25+M26)</f>
        <v>0</v>
      </c>
      <c r="R19" s="1876">
        <f t="shared" si="3"/>
        <v>0</v>
      </c>
      <c r="S19" s="1876"/>
      <c r="T19" s="1885">
        <f t="shared" si="4"/>
        <v>0</v>
      </c>
      <c r="U19" s="1885"/>
      <c r="V19" s="248">
        <f t="shared" si="0"/>
        <v>0</v>
      </c>
      <c r="W19" s="248"/>
      <c r="X19" s="1871">
        <f t="shared" si="1"/>
        <v>0</v>
      </c>
      <c r="Y19" s="1903">
        <f t="shared" si="2"/>
        <v>0</v>
      </c>
      <c r="Z19" s="1952">
        <f>SUM('5.1.a. sz. mell.'!F19+'5.1.b. sz. mell.'!F19+'5.1.c. sz. mell.'!F19)</f>
        <v>0</v>
      </c>
      <c r="AA19" s="2217"/>
      <c r="AB19" s="1885">
        <f>SUM('5.1.a. sz. mell.'!H19+'5.1.b. sz. mell.'!H19+'5.1.c. sz. mell.'!H19)</f>
        <v>0</v>
      </c>
      <c r="AC19" s="1885"/>
      <c r="AD19" s="248">
        <f>SUM('5.1.a. sz. mell.'!J19+'5.1.b. sz. mell.'!J19+'5.1.c. sz. mell.'!J19)</f>
        <v>0</v>
      </c>
      <c r="AE19" s="1885"/>
      <c r="AF19" s="1871">
        <f>SUM('5.1.a. sz. mell.'!L19+'5.1.b. sz. mell.'!L19+'5.1.c. sz. mell.'!L19)</f>
        <v>0</v>
      </c>
      <c r="AG19" s="1903">
        <f>SUM('5.1.a. sz. mell.'!M19+'5.1.b. sz. mell.'!M19+'5.1.c. sz. mell.'!M19)</f>
        <v>0</v>
      </c>
    </row>
    <row r="20" spans="1:33" s="145" customFormat="1" ht="29.25" customHeight="1" x14ac:dyDescent="0.2">
      <c r="A20" s="142"/>
      <c r="B20" s="143" t="s">
        <v>5</v>
      </c>
      <c r="C20" s="251" t="s">
        <v>420</v>
      </c>
      <c r="D20" s="144">
        <v>53245</v>
      </c>
      <c r="E20" s="144">
        <v>54476</v>
      </c>
      <c r="F20" s="144">
        <v>0</v>
      </c>
      <c r="G20" s="1415"/>
      <c r="H20" s="144">
        <f>+H22+H23+H24</f>
        <v>0</v>
      </c>
      <c r="I20" s="1376"/>
      <c r="J20" s="144">
        <f>+J22+J23+J24</f>
        <v>0</v>
      </c>
      <c r="K20" s="1376"/>
      <c r="L20" s="144">
        <f>+L22+L23+L24</f>
        <v>0</v>
      </c>
      <c r="M20" s="144">
        <f>+M22+M23+M24</f>
        <v>0</v>
      </c>
      <c r="R20" s="1876">
        <f t="shared" si="3"/>
        <v>0</v>
      </c>
      <c r="S20" s="1876"/>
      <c r="T20" s="1885">
        <f t="shared" si="4"/>
        <v>0</v>
      </c>
      <c r="U20" s="1885"/>
      <c r="V20" s="248">
        <f t="shared" si="0"/>
        <v>0</v>
      </c>
      <c r="W20" s="248"/>
      <c r="X20" s="1871">
        <f t="shared" si="1"/>
        <v>0</v>
      </c>
      <c r="Y20" s="1903">
        <f t="shared" si="2"/>
        <v>0</v>
      </c>
      <c r="Z20" s="1952">
        <f>SUM('5.1.a. sz. mell.'!F20+'5.1.b. sz. mell.'!F20+'5.1.c. sz. mell.'!F20)</f>
        <v>0</v>
      </c>
      <c r="AA20" s="2217"/>
      <c r="AB20" s="1885">
        <f>SUM('5.1.a. sz. mell.'!H20+'5.1.b. sz. mell.'!H20+'5.1.c. sz. mell.'!H20)</f>
        <v>0</v>
      </c>
      <c r="AC20" s="1885"/>
      <c r="AD20" s="248">
        <f>SUM('5.1.a. sz. mell.'!J20+'5.1.b. sz. mell.'!J20+'5.1.c. sz. mell.'!J20)</f>
        <v>0</v>
      </c>
      <c r="AE20" s="1885"/>
      <c r="AF20" s="1871">
        <f>SUM('5.1.a. sz. mell.'!L20+'5.1.b. sz. mell.'!L20+'5.1.c. sz. mell.'!L20)</f>
        <v>0</v>
      </c>
      <c r="AG20" s="1903">
        <f>SUM('5.1.a. sz. mell.'!M20+'5.1.b. sz. mell.'!M20+'5.1.c. sz. mell.'!M20)</f>
        <v>0</v>
      </c>
    </row>
    <row r="21" spans="1:33" s="145" customFormat="1" ht="12.75" hidden="1" customHeight="1" x14ac:dyDescent="0.2">
      <c r="A21" s="142"/>
      <c r="B21" s="143"/>
      <c r="C21" s="251"/>
      <c r="D21" s="144"/>
      <c r="E21" s="144"/>
      <c r="F21" s="144"/>
      <c r="G21" s="1415"/>
      <c r="H21" s="144"/>
      <c r="I21" s="1376"/>
      <c r="J21" s="144"/>
      <c r="K21" s="1376"/>
      <c r="L21" s="144"/>
      <c r="M21" s="144"/>
      <c r="R21" s="1876">
        <f t="shared" si="3"/>
        <v>0</v>
      </c>
      <c r="S21" s="1876"/>
      <c r="T21" s="1885">
        <f t="shared" si="4"/>
        <v>0</v>
      </c>
      <c r="U21" s="1885"/>
      <c r="V21" s="248">
        <f t="shared" si="0"/>
        <v>0</v>
      </c>
      <c r="W21" s="248"/>
      <c r="X21" s="1871">
        <f t="shared" si="1"/>
        <v>0</v>
      </c>
      <c r="Y21" s="1903">
        <f t="shared" si="2"/>
        <v>0</v>
      </c>
      <c r="Z21" s="1952">
        <f>SUM('5.1.a. sz. mell.'!F21+'5.1.b. sz. mell.'!F21+'5.1.c. sz. mell.'!F21)</f>
        <v>0</v>
      </c>
      <c r="AA21" s="2217"/>
      <c r="AB21" s="1885">
        <f>SUM('5.1.a. sz. mell.'!H21+'5.1.b. sz. mell.'!H21+'5.1.c. sz. mell.'!H21)</f>
        <v>0</v>
      </c>
      <c r="AC21" s="1885"/>
      <c r="AD21" s="248">
        <f>SUM('5.1.a. sz. mell.'!J21+'5.1.b. sz. mell.'!J21+'5.1.c. sz. mell.'!J21)</f>
        <v>0</v>
      </c>
      <c r="AE21" s="1885"/>
      <c r="AF21" s="1871">
        <f>SUM('5.1.a. sz. mell.'!L21+'5.1.b. sz. mell.'!L21+'5.1.c. sz. mell.'!L21)</f>
        <v>0</v>
      </c>
      <c r="AG21" s="1903">
        <f>SUM('5.1.a. sz. mell.'!M21+'5.1.b. sz. mell.'!M21+'5.1.c. sz. mell.'!M21)</f>
        <v>0</v>
      </c>
    </row>
    <row r="22" spans="1:33" s="145" customFormat="1" ht="15" customHeight="1" x14ac:dyDescent="0.2">
      <c r="A22" s="142"/>
      <c r="B22" s="143" t="s">
        <v>421</v>
      </c>
      <c r="C22" s="55" t="s">
        <v>422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  <c r="R22" s="1876">
        <f t="shared" si="3"/>
        <v>0</v>
      </c>
      <c r="S22" s="1876"/>
      <c r="T22" s="1885">
        <f t="shared" si="4"/>
        <v>0</v>
      </c>
      <c r="U22" s="1885"/>
      <c r="V22" s="248">
        <f t="shared" si="0"/>
        <v>0</v>
      </c>
      <c r="W22" s="248"/>
      <c r="X22" s="1871">
        <f t="shared" si="1"/>
        <v>0</v>
      </c>
      <c r="Y22" s="1903">
        <f t="shared" si="2"/>
        <v>0</v>
      </c>
      <c r="Z22" s="1952">
        <f>SUM('5.1.a. sz. mell.'!F22+'5.1.b. sz. mell.'!F22+'5.1.c. sz. mell.'!F22)</f>
        <v>0</v>
      </c>
      <c r="AA22" s="2217"/>
      <c r="AB22" s="1885">
        <f>SUM('5.1.a. sz. mell.'!H22+'5.1.b. sz. mell.'!H22+'5.1.c. sz. mell.'!H22)</f>
        <v>0</v>
      </c>
      <c r="AC22" s="1885"/>
      <c r="AD22" s="248">
        <f>SUM('5.1.a. sz. mell.'!J22+'5.1.b. sz. mell.'!J22+'5.1.c. sz. mell.'!J22)</f>
        <v>0</v>
      </c>
      <c r="AE22" s="1885"/>
      <c r="AF22" s="1871">
        <f>SUM('5.1.a. sz. mell.'!L22+'5.1.b. sz. mell.'!L22+'5.1.c. sz. mell.'!L22)</f>
        <v>0</v>
      </c>
      <c r="AG22" s="1903">
        <f>SUM('5.1.a. sz. mell.'!M22+'5.1.b. sz. mell.'!M22+'5.1.c. sz. mell.'!M22)</f>
        <v>0</v>
      </c>
    </row>
    <row r="23" spans="1:33" s="145" customFormat="1" ht="15" customHeight="1" x14ac:dyDescent="0.2">
      <c r="A23" s="142"/>
      <c r="B23" s="143" t="s">
        <v>360</v>
      </c>
      <c r="C23" s="55" t="s">
        <v>1430</v>
      </c>
      <c r="D23" s="144">
        <v>0</v>
      </c>
      <c r="E23" s="144">
        <v>0</v>
      </c>
      <c r="F23" s="144"/>
      <c r="G23" s="1415"/>
      <c r="H23" s="144"/>
      <c r="I23" s="1376"/>
      <c r="J23" s="144"/>
      <c r="K23" s="1376"/>
      <c r="L23" s="144"/>
      <c r="M23" s="144"/>
      <c r="R23" s="1876">
        <f t="shared" si="3"/>
        <v>0</v>
      </c>
      <c r="S23" s="1876"/>
      <c r="T23" s="1885">
        <f t="shared" si="4"/>
        <v>0</v>
      </c>
      <c r="U23" s="1885"/>
      <c r="V23" s="248">
        <f t="shared" si="0"/>
        <v>0</v>
      </c>
      <c r="W23" s="248"/>
      <c r="X23" s="1871">
        <f t="shared" si="1"/>
        <v>0</v>
      </c>
      <c r="Y23" s="1903">
        <f t="shared" si="2"/>
        <v>0</v>
      </c>
      <c r="Z23" s="1952">
        <f>SUM('5.1.a. sz. mell.'!F23+'5.1.b. sz. mell.'!F23+'5.1.c. sz. mell.'!F23)</f>
        <v>0</v>
      </c>
      <c r="AA23" s="2217"/>
      <c r="AB23" s="1885">
        <f>SUM('5.1.a. sz. mell.'!H23+'5.1.b. sz. mell.'!H23+'5.1.c. sz. mell.'!H23)</f>
        <v>0</v>
      </c>
      <c r="AC23" s="1885"/>
      <c r="AD23" s="248">
        <f>SUM('5.1.a. sz. mell.'!J23+'5.1.b. sz. mell.'!J23+'5.1.c. sz. mell.'!J23)</f>
        <v>0</v>
      </c>
      <c r="AE23" s="1885"/>
      <c r="AF23" s="1871">
        <f>SUM('5.1.a. sz. mell.'!L23+'5.1.b. sz. mell.'!L23+'5.1.c. sz. mell.'!L23)</f>
        <v>0</v>
      </c>
      <c r="AG23" s="1903">
        <f>SUM('5.1.a. sz. mell.'!M23+'5.1.b. sz. mell.'!M23+'5.1.c. sz. mell.'!M23)</f>
        <v>0</v>
      </c>
    </row>
    <row r="24" spans="1:33" s="141" customFormat="1" ht="15" customHeight="1" x14ac:dyDescent="0.2">
      <c r="A24" s="142"/>
      <c r="B24" s="143" t="s">
        <v>357</v>
      </c>
      <c r="C24" s="55" t="s">
        <v>424</v>
      </c>
      <c r="D24" s="144">
        <v>0</v>
      </c>
      <c r="E24" s="144">
        <v>0</v>
      </c>
      <c r="F24" s="144">
        <v>0</v>
      </c>
      <c r="G24" s="1415"/>
      <c r="H24" s="144"/>
      <c r="I24" s="1376"/>
      <c r="J24" s="144"/>
      <c r="K24" s="1376"/>
      <c r="L24" s="144"/>
      <c r="M24" s="144"/>
      <c r="R24" s="1876">
        <f t="shared" si="3"/>
        <v>0</v>
      </c>
      <c r="S24" s="1876"/>
      <c r="T24" s="1885">
        <f t="shared" si="4"/>
        <v>0</v>
      </c>
      <c r="U24" s="1885"/>
      <c r="V24" s="248">
        <f t="shared" si="0"/>
        <v>0</v>
      </c>
      <c r="W24" s="248"/>
      <c r="X24" s="1871">
        <f t="shared" si="1"/>
        <v>0</v>
      </c>
      <c r="Y24" s="1903">
        <f t="shared" si="2"/>
        <v>0</v>
      </c>
      <c r="Z24" s="1952">
        <f>SUM('5.1.a. sz. mell.'!F24+'5.1.b. sz. mell.'!F24+'5.1.c. sz. mell.'!F24)</f>
        <v>0</v>
      </c>
      <c r="AA24" s="2217"/>
      <c r="AB24" s="1885">
        <f>SUM('5.1.a. sz. mell.'!H24+'5.1.b. sz. mell.'!H24+'5.1.c. sz. mell.'!H24)</f>
        <v>0</v>
      </c>
      <c r="AC24" s="1885"/>
      <c r="AD24" s="248">
        <f>SUM('5.1.a. sz. mell.'!J24+'5.1.b. sz. mell.'!J24+'5.1.c. sz. mell.'!J24)</f>
        <v>0</v>
      </c>
      <c r="AE24" s="1885"/>
      <c r="AF24" s="1871">
        <f>SUM('5.1.a. sz. mell.'!L24+'5.1.b. sz. mell.'!L24+'5.1.c. sz. mell.'!L24)</f>
        <v>0</v>
      </c>
      <c r="AG24" s="1903">
        <f>SUM('5.1.a. sz. mell.'!M24+'5.1.b. sz. mell.'!M24+'5.1.c. sz. mell.'!M24)</f>
        <v>0</v>
      </c>
    </row>
    <row r="25" spans="1:33" s="141" customFormat="1" ht="15" customHeight="1" x14ac:dyDescent="0.2">
      <c r="A25" s="142"/>
      <c r="B25" s="143" t="s">
        <v>7</v>
      </c>
      <c r="C25" s="55" t="s">
        <v>6</v>
      </c>
      <c r="D25" s="144"/>
      <c r="E25" s="144"/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  <c r="R25" s="1876">
        <f t="shared" si="3"/>
        <v>0</v>
      </c>
      <c r="S25" s="1876"/>
      <c r="T25" s="1885">
        <f t="shared" si="4"/>
        <v>0</v>
      </c>
      <c r="U25" s="1885"/>
      <c r="V25" s="248">
        <f t="shared" si="0"/>
        <v>0</v>
      </c>
      <c r="W25" s="248"/>
      <c r="X25" s="1871">
        <f t="shared" si="1"/>
        <v>0</v>
      </c>
      <c r="Y25" s="1903">
        <f t="shared" si="2"/>
        <v>0</v>
      </c>
      <c r="Z25" s="1952">
        <f>SUM('5.1.a. sz. mell.'!F25+'5.1.b. sz. mell.'!F25+'5.1.c. sz. mell.'!F25)</f>
        <v>0</v>
      </c>
      <c r="AA25" s="2217"/>
      <c r="AB25" s="1885">
        <f>SUM('5.1.a. sz. mell.'!H25+'5.1.b. sz. mell.'!H25+'5.1.c. sz. mell.'!H25)</f>
        <v>0</v>
      </c>
      <c r="AC25" s="1885"/>
      <c r="AD25" s="248">
        <f>SUM('5.1.a. sz. mell.'!J25+'5.1.b. sz. mell.'!J25+'5.1.c. sz. mell.'!J25)</f>
        <v>0</v>
      </c>
      <c r="AE25" s="1885"/>
      <c r="AF25" s="1871">
        <f>SUM('5.1.a. sz. mell.'!L25+'5.1.b. sz. mell.'!L25+'5.1.c. sz. mell.'!L25)</f>
        <v>0</v>
      </c>
      <c r="AG25" s="1903">
        <f>SUM('5.1.a. sz. mell.'!M25+'5.1.b. sz. mell.'!M25+'5.1.c. sz. mell.'!M25)</f>
        <v>0</v>
      </c>
    </row>
    <row r="26" spans="1:33" s="141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144">
        <v>0</v>
      </c>
      <c r="F26" s="144">
        <v>0</v>
      </c>
      <c r="G26" s="1415"/>
      <c r="H26" s="144">
        <v>0</v>
      </c>
      <c r="I26" s="1376"/>
      <c r="J26" s="144">
        <v>0</v>
      </c>
      <c r="K26" s="1376"/>
      <c r="L26" s="144">
        <v>0</v>
      </c>
      <c r="M26" s="144">
        <v>0</v>
      </c>
      <c r="R26" s="1876">
        <f t="shared" si="3"/>
        <v>0</v>
      </c>
      <c r="S26" s="1876"/>
      <c r="T26" s="1885">
        <f t="shared" si="4"/>
        <v>0</v>
      </c>
      <c r="U26" s="1885"/>
      <c r="V26" s="248">
        <f t="shared" si="0"/>
        <v>0</v>
      </c>
      <c r="W26" s="248"/>
      <c r="X26" s="1871">
        <f t="shared" si="1"/>
        <v>0</v>
      </c>
      <c r="Y26" s="1903">
        <f t="shared" si="2"/>
        <v>0</v>
      </c>
      <c r="Z26" s="1952">
        <f>SUM('5.1.a. sz. mell.'!F26+'5.1.b. sz. mell.'!F26+'5.1.c. sz. mell.'!F26)</f>
        <v>0</v>
      </c>
      <c r="AA26" s="2217"/>
      <c r="AB26" s="1885">
        <f>SUM('5.1.a. sz. mell.'!H26+'5.1.b. sz. mell.'!H26+'5.1.c. sz. mell.'!H26)</f>
        <v>0</v>
      </c>
      <c r="AC26" s="1885"/>
      <c r="AD26" s="248">
        <f>SUM('5.1.a. sz. mell.'!J26+'5.1.b. sz. mell.'!J26+'5.1.c. sz. mell.'!J26)</f>
        <v>0</v>
      </c>
      <c r="AE26" s="1885"/>
      <c r="AF26" s="1871">
        <f>SUM('5.1.a. sz. mell.'!L26+'5.1.b. sz. mell.'!L26+'5.1.c. sz. mell.'!L26)</f>
        <v>0</v>
      </c>
      <c r="AG26" s="1903">
        <f>SUM('5.1.a. sz. mell.'!M26+'5.1.b. sz. mell.'!M26+'5.1.c. sz. mell.'!M26)</f>
        <v>0</v>
      </c>
    </row>
    <row r="27" spans="1:33" s="141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155">
        <v>0</v>
      </c>
      <c r="F27" s="155">
        <v>0</v>
      </c>
      <c r="G27" s="1381"/>
      <c r="H27" s="155">
        <v>0</v>
      </c>
      <c r="I27" s="1380"/>
      <c r="J27" s="155">
        <v>0</v>
      </c>
      <c r="K27" s="1380"/>
      <c r="L27" s="155">
        <v>0</v>
      </c>
      <c r="M27" s="155">
        <v>0</v>
      </c>
      <c r="R27" s="1876">
        <f t="shared" si="3"/>
        <v>0</v>
      </c>
      <c r="S27" s="1876"/>
      <c r="T27" s="1885">
        <f t="shared" si="4"/>
        <v>0</v>
      </c>
      <c r="U27" s="1885"/>
      <c r="V27" s="248">
        <f t="shared" si="0"/>
        <v>0</v>
      </c>
      <c r="W27" s="248"/>
      <c r="X27" s="1871">
        <f t="shared" si="1"/>
        <v>0</v>
      </c>
      <c r="Y27" s="1903">
        <f t="shared" si="2"/>
        <v>0</v>
      </c>
      <c r="Z27" s="1952">
        <f>SUM('5.1.a. sz. mell.'!F27+'5.1.b. sz. mell.'!F27+'5.1.c. sz. mell.'!F27)</f>
        <v>0</v>
      </c>
      <c r="AA27" s="2217"/>
      <c r="AB27" s="1885">
        <f>SUM('5.1.a. sz. mell.'!H27+'5.1.b. sz. mell.'!H27+'5.1.c. sz. mell.'!H27)</f>
        <v>0</v>
      </c>
      <c r="AC27" s="1885"/>
      <c r="AD27" s="248">
        <f>SUM('5.1.a. sz. mell.'!J27+'5.1.b. sz. mell.'!J27+'5.1.c. sz. mell.'!J27)</f>
        <v>0</v>
      </c>
      <c r="AE27" s="1885"/>
      <c r="AF27" s="1871">
        <f>SUM('5.1.a. sz. mell.'!L27+'5.1.b. sz. mell.'!L27+'5.1.c. sz. mell.'!L27)</f>
        <v>0</v>
      </c>
      <c r="AG27" s="1903">
        <f>SUM('5.1.a. sz. mell.'!M27+'5.1.b. sz. mell.'!M27+'5.1.c. sz. mell.'!M27)</f>
        <v>0</v>
      </c>
    </row>
    <row r="28" spans="1:33" s="145" customFormat="1" ht="15" customHeight="1" thickBot="1" x14ac:dyDescent="0.25">
      <c r="A28" s="134"/>
      <c r="B28" s="143" t="s">
        <v>19</v>
      </c>
      <c r="C28" s="55" t="s">
        <v>427</v>
      </c>
      <c r="D28" s="155"/>
      <c r="E28" s="155"/>
      <c r="F28" s="252">
        <v>0</v>
      </c>
      <c r="G28" s="1509"/>
      <c r="H28" s="252">
        <v>0</v>
      </c>
      <c r="I28" s="1436"/>
      <c r="J28" s="252">
        <v>0</v>
      </c>
      <c r="K28" s="1436"/>
      <c r="L28" s="252">
        <v>0</v>
      </c>
      <c r="M28" s="252">
        <v>0</v>
      </c>
      <c r="R28" s="1876">
        <f t="shared" si="3"/>
        <v>0</v>
      </c>
      <c r="S28" s="1876"/>
      <c r="T28" s="1885">
        <f t="shared" si="4"/>
        <v>0</v>
      </c>
      <c r="U28" s="1885"/>
      <c r="V28" s="248">
        <f t="shared" si="0"/>
        <v>0</v>
      </c>
      <c r="W28" s="248"/>
      <c r="X28" s="1871">
        <f t="shared" si="1"/>
        <v>0</v>
      </c>
      <c r="Y28" s="1903">
        <f t="shared" si="2"/>
        <v>0</v>
      </c>
      <c r="Z28" s="1952">
        <f>SUM('5.1.a. sz. mell.'!F28+'5.1.b. sz. mell.'!F28+'5.1.c. sz. mell.'!F28)</f>
        <v>0</v>
      </c>
      <c r="AA28" s="2217"/>
      <c r="AB28" s="1885">
        <f>SUM('5.1.a. sz. mell.'!H28+'5.1.b. sz. mell.'!H28+'5.1.c. sz. mell.'!H28)</f>
        <v>0</v>
      </c>
      <c r="AC28" s="1885"/>
      <c r="AD28" s="248">
        <f>SUM('5.1.a. sz. mell.'!J28+'5.1.b. sz. mell.'!J28+'5.1.c. sz. mell.'!J28)</f>
        <v>0</v>
      </c>
      <c r="AE28" s="1885"/>
      <c r="AF28" s="1871">
        <f>SUM('5.1.a. sz. mell.'!L28+'5.1.b. sz. mell.'!L28+'5.1.c. sz. mell.'!L28)</f>
        <v>0</v>
      </c>
      <c r="AG28" s="1903">
        <f>SUM('5.1.a. sz. mell.'!M28+'5.1.b. sz. mell.'!M28+'5.1.c. sz. mell.'!M28)</f>
        <v>0</v>
      </c>
    </row>
    <row r="29" spans="1:33" s="145" customFormat="1" ht="15" customHeight="1" thickBot="1" x14ac:dyDescent="0.25">
      <c r="A29" s="134" t="s">
        <v>45</v>
      </c>
      <c r="B29" s="148"/>
      <c r="C29" s="170" t="s">
        <v>428</v>
      </c>
      <c r="D29" s="155">
        <v>0</v>
      </c>
      <c r="E29" s="155">
        <v>0</v>
      </c>
      <c r="F29" s="155">
        <v>0</v>
      </c>
      <c r="G29" s="1381"/>
      <c r="H29" s="155">
        <v>0</v>
      </c>
      <c r="I29" s="1380"/>
      <c r="J29" s="155">
        <v>0</v>
      </c>
      <c r="K29" s="1380"/>
      <c r="L29" s="155">
        <v>0</v>
      </c>
      <c r="M29" s="155">
        <v>0</v>
      </c>
      <c r="R29" s="1876">
        <f t="shared" si="3"/>
        <v>0</v>
      </c>
      <c r="S29" s="1876"/>
      <c r="T29" s="1885">
        <f t="shared" si="4"/>
        <v>0</v>
      </c>
      <c r="U29" s="1885"/>
      <c r="V29" s="248">
        <f t="shared" si="0"/>
        <v>0</v>
      </c>
      <c r="W29" s="248"/>
      <c r="X29" s="1871">
        <f t="shared" si="1"/>
        <v>0</v>
      </c>
      <c r="Y29" s="1903">
        <f t="shared" si="2"/>
        <v>0</v>
      </c>
      <c r="Z29" s="1952">
        <f>SUM('5.1.a. sz. mell.'!F29+'5.1.b. sz. mell.'!F29+'5.1.c. sz. mell.'!F29)</f>
        <v>0</v>
      </c>
      <c r="AA29" s="2217"/>
      <c r="AB29" s="1885">
        <f>SUM('5.1.a. sz. mell.'!H29+'5.1.b. sz. mell.'!H29+'5.1.c. sz. mell.'!H29)</f>
        <v>0</v>
      </c>
      <c r="AC29" s="1885"/>
      <c r="AD29" s="248">
        <f>SUM('5.1.a. sz. mell.'!J29+'5.1.b. sz. mell.'!J29+'5.1.c. sz. mell.'!J29)</f>
        <v>0</v>
      </c>
      <c r="AE29" s="1885"/>
      <c r="AF29" s="1871">
        <f>SUM('5.1.a. sz. mell.'!L29+'5.1.b. sz. mell.'!L29+'5.1.c. sz. mell.'!L29)</f>
        <v>0</v>
      </c>
      <c r="AG29" s="1903">
        <f>SUM('5.1.a. sz. mell.'!M29+'5.1.b. sz. mell.'!M29+'5.1.c. sz. mell.'!M29)</f>
        <v>0</v>
      </c>
    </row>
    <row r="30" spans="1:33" s="145" customFormat="1" ht="15" customHeight="1" thickBot="1" x14ac:dyDescent="0.25">
      <c r="A30" s="142"/>
      <c r="B30" s="253" t="s">
        <v>33</v>
      </c>
      <c r="C30" s="55" t="s">
        <v>359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  <c r="R30" s="1876">
        <f t="shared" si="3"/>
        <v>0</v>
      </c>
      <c r="S30" s="1876"/>
      <c r="T30" s="1885">
        <f t="shared" si="4"/>
        <v>0</v>
      </c>
      <c r="U30" s="1885"/>
      <c r="V30" s="248">
        <f t="shared" si="0"/>
        <v>0</v>
      </c>
      <c r="W30" s="248"/>
      <c r="X30" s="1871">
        <f t="shared" si="1"/>
        <v>0</v>
      </c>
      <c r="Y30" s="1903">
        <f t="shared" si="2"/>
        <v>0</v>
      </c>
      <c r="Z30" s="1952">
        <f>SUM('5.1.a. sz. mell.'!F30+'5.1.b. sz. mell.'!F30+'5.1.c. sz. mell.'!F30)</f>
        <v>0</v>
      </c>
      <c r="AA30" s="2217"/>
      <c r="AB30" s="1885">
        <f>SUM('5.1.a. sz. mell.'!H30+'5.1.b. sz. mell.'!H30+'5.1.c. sz. mell.'!H30)</f>
        <v>0</v>
      </c>
      <c r="AC30" s="1885"/>
      <c r="AD30" s="248">
        <f>SUM('5.1.a. sz. mell.'!J30+'5.1.b. sz. mell.'!J30+'5.1.c. sz. mell.'!J30)</f>
        <v>0</v>
      </c>
      <c r="AE30" s="1885"/>
      <c r="AF30" s="1871">
        <f>SUM('5.1.a. sz. mell.'!L30+'5.1.b. sz. mell.'!L30+'5.1.c. sz. mell.'!L30)</f>
        <v>0</v>
      </c>
      <c r="AG30" s="1903">
        <f>SUM('5.1.a. sz. mell.'!M30+'5.1.b. sz. mell.'!M30+'5.1.c. sz. mell.'!M30)</f>
        <v>0</v>
      </c>
    </row>
    <row r="31" spans="1:33" s="145" customFormat="1" ht="15" customHeight="1" thickBot="1" x14ac:dyDescent="0.25">
      <c r="A31" s="142"/>
      <c r="B31" s="253" t="s">
        <v>39</v>
      </c>
      <c r="C31" s="55" t="s">
        <v>72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  <c r="R31" s="1876">
        <f t="shared" si="3"/>
        <v>0</v>
      </c>
      <c r="S31" s="1876"/>
      <c r="T31" s="1885">
        <f t="shared" si="4"/>
        <v>0</v>
      </c>
      <c r="U31" s="1885"/>
      <c r="V31" s="248">
        <f t="shared" si="0"/>
        <v>0</v>
      </c>
      <c r="W31" s="248"/>
      <c r="X31" s="1871">
        <f t="shared" si="1"/>
        <v>0</v>
      </c>
      <c r="Y31" s="1903">
        <f t="shared" si="2"/>
        <v>0</v>
      </c>
      <c r="Z31" s="1952">
        <f>SUM('5.1.a. sz. mell.'!F31+'5.1.b. sz. mell.'!F31+'5.1.c. sz. mell.'!F31)</f>
        <v>0</v>
      </c>
      <c r="AA31" s="2217"/>
      <c r="AB31" s="1885">
        <f>SUM('5.1.a. sz. mell.'!H31+'5.1.b. sz. mell.'!H31+'5.1.c. sz. mell.'!H31)</f>
        <v>0</v>
      </c>
      <c r="AC31" s="1885"/>
      <c r="AD31" s="248">
        <f>SUM('5.1.a. sz. mell.'!J31+'5.1.b. sz. mell.'!J31+'5.1.c. sz. mell.'!J31)</f>
        <v>0</v>
      </c>
      <c r="AE31" s="1885"/>
      <c r="AF31" s="1871">
        <f>SUM('5.1.a. sz. mell.'!L31+'5.1.b. sz. mell.'!L31+'5.1.c. sz. mell.'!L31)</f>
        <v>0</v>
      </c>
      <c r="AG31" s="1903">
        <f>SUM('5.1.a. sz. mell.'!M31+'5.1.b. sz. mell.'!M31+'5.1.c. sz. mell.'!M31)</f>
        <v>0</v>
      </c>
    </row>
    <row r="32" spans="1:33" s="305" customFormat="1" ht="15" customHeight="1" thickBot="1" x14ac:dyDescent="0.25">
      <c r="A32" s="142"/>
      <c r="B32" s="253" t="s">
        <v>41</v>
      </c>
      <c r="C32" s="55" t="s">
        <v>74</v>
      </c>
      <c r="D32" s="295"/>
      <c r="E32" s="295"/>
      <c r="F32" s="144">
        <v>0</v>
      </c>
      <c r="G32" s="1415"/>
      <c r="H32" s="144">
        <v>0</v>
      </c>
      <c r="I32" s="1376"/>
      <c r="J32" s="144">
        <v>0</v>
      </c>
      <c r="K32" s="1376"/>
      <c r="L32" s="144">
        <v>0</v>
      </c>
      <c r="M32" s="144">
        <v>0</v>
      </c>
      <c r="R32" s="1876">
        <f t="shared" si="3"/>
        <v>0</v>
      </c>
      <c r="S32" s="1876"/>
      <c r="T32" s="1885">
        <f t="shared" si="4"/>
        <v>0</v>
      </c>
      <c r="U32" s="1885"/>
      <c r="V32" s="248">
        <f t="shared" si="0"/>
        <v>0</v>
      </c>
      <c r="W32" s="248"/>
      <c r="X32" s="1871">
        <f t="shared" si="1"/>
        <v>0</v>
      </c>
      <c r="Y32" s="1903">
        <f t="shared" si="2"/>
        <v>0</v>
      </c>
      <c r="Z32" s="1952">
        <f>SUM('5.1.a. sz. mell.'!F32+'5.1.b. sz. mell.'!F32+'5.1.c. sz. mell.'!F32)</f>
        <v>0</v>
      </c>
      <c r="AA32" s="2217"/>
      <c r="AB32" s="1885">
        <f>SUM('5.1.a. sz. mell.'!H32+'5.1.b. sz. mell.'!H32+'5.1.c. sz. mell.'!H32)</f>
        <v>0</v>
      </c>
      <c r="AC32" s="1885"/>
      <c r="AD32" s="248">
        <f>SUM('5.1.a. sz. mell.'!J32+'5.1.b. sz. mell.'!J32+'5.1.c. sz. mell.'!J32)</f>
        <v>0</v>
      </c>
      <c r="AE32" s="1885"/>
      <c r="AF32" s="1871">
        <f>SUM('5.1.a. sz. mell.'!L32+'5.1.b. sz. mell.'!L32+'5.1.c. sz. mell.'!L32)</f>
        <v>0</v>
      </c>
      <c r="AG32" s="1903">
        <f>SUM('5.1.a. sz. mell.'!M32+'5.1.b. sz. mell.'!M32+'5.1.c. sz. mell.'!M32)</f>
        <v>0</v>
      </c>
    </row>
    <row r="33" spans="1:33" s="141" customFormat="1" ht="30.75" customHeight="1" thickBot="1" x14ac:dyDescent="0.25">
      <c r="A33" s="134" t="s">
        <v>67</v>
      </c>
      <c r="B33" s="254"/>
      <c r="C33" s="170" t="s">
        <v>429</v>
      </c>
      <c r="D33" s="285">
        <f>+D34+D35</f>
        <v>0</v>
      </c>
      <c r="E33" s="285">
        <f>+E34+E35</f>
        <v>127</v>
      </c>
      <c r="F33" s="285">
        <f>+F34+F35</f>
        <v>0</v>
      </c>
      <c r="G33" s="1382"/>
      <c r="H33" s="285">
        <f>+H34+H35</f>
        <v>0</v>
      </c>
      <c r="I33" s="1382"/>
      <c r="J33" s="285">
        <f>+J34+J35</f>
        <v>0</v>
      </c>
      <c r="K33" s="1382"/>
      <c r="L33" s="285">
        <f>+L34+L35</f>
        <v>0</v>
      </c>
      <c r="M33" s="285">
        <f>+M34+M35</f>
        <v>0</v>
      </c>
      <c r="R33" s="1876">
        <f t="shared" si="3"/>
        <v>0</v>
      </c>
      <c r="S33" s="1876"/>
      <c r="T33" s="1885">
        <f t="shared" si="4"/>
        <v>0</v>
      </c>
      <c r="U33" s="1885"/>
      <c r="V33" s="248">
        <f t="shared" si="0"/>
        <v>0</v>
      </c>
      <c r="W33" s="248"/>
      <c r="X33" s="1871">
        <f t="shared" si="1"/>
        <v>0</v>
      </c>
      <c r="Y33" s="1903">
        <f t="shared" si="2"/>
        <v>0</v>
      </c>
      <c r="Z33" s="1952">
        <f>SUM('5.1.a. sz. mell.'!F33+'5.1.b. sz. mell.'!F33+'5.1.c. sz. mell.'!F33)</f>
        <v>0</v>
      </c>
      <c r="AA33" s="2217"/>
      <c r="AB33" s="1885">
        <f>SUM('5.1.a. sz. mell.'!H33+'5.1.b. sz. mell.'!H33+'5.1.c. sz. mell.'!H33)</f>
        <v>0</v>
      </c>
      <c r="AC33" s="1885"/>
      <c r="AD33" s="248">
        <f>SUM('5.1.a. sz. mell.'!J33+'5.1.b. sz. mell.'!J33+'5.1.c. sz. mell.'!J33)</f>
        <v>0</v>
      </c>
      <c r="AE33" s="1885"/>
      <c r="AF33" s="1871">
        <f>SUM('5.1.a. sz. mell.'!L33+'5.1.b. sz. mell.'!L33+'5.1.c. sz. mell.'!L33)</f>
        <v>0</v>
      </c>
      <c r="AG33" s="1903">
        <f>SUM('5.1.a. sz. mell.'!M33+'5.1.b. sz. mell.'!M33+'5.1.c. sz. mell.'!M33)</f>
        <v>0</v>
      </c>
    </row>
    <row r="34" spans="1:33" s="145" customFormat="1" ht="29.25" customHeight="1" thickBot="1" x14ac:dyDescent="0.25">
      <c r="A34" s="149"/>
      <c r="B34" s="255" t="s">
        <v>47</v>
      </c>
      <c r="C34" s="251" t="s">
        <v>430</v>
      </c>
      <c r="D34" s="306">
        <v>0</v>
      </c>
      <c r="E34" s="306">
        <v>127</v>
      </c>
      <c r="F34" s="306">
        <v>0</v>
      </c>
      <c r="G34" s="1383"/>
      <c r="H34" s="306">
        <v>0</v>
      </c>
      <c r="I34" s="1383"/>
      <c r="J34" s="306">
        <v>0</v>
      </c>
      <c r="K34" s="1383"/>
      <c r="L34" s="306">
        <v>0</v>
      </c>
      <c r="M34" s="306">
        <v>0</v>
      </c>
      <c r="R34" s="1876">
        <f t="shared" si="3"/>
        <v>0</v>
      </c>
      <c r="S34" s="1876"/>
      <c r="T34" s="1885">
        <f t="shared" si="4"/>
        <v>0</v>
      </c>
      <c r="U34" s="1885"/>
      <c r="V34" s="248">
        <f t="shared" si="0"/>
        <v>0</v>
      </c>
      <c r="W34" s="248"/>
      <c r="X34" s="1871">
        <f t="shared" si="1"/>
        <v>0</v>
      </c>
      <c r="Y34" s="1903">
        <f t="shared" si="2"/>
        <v>0</v>
      </c>
      <c r="Z34" s="1952">
        <f>SUM('5.1.a. sz. mell.'!F34+'5.1.b. sz. mell.'!F34+'5.1.c. sz. mell.'!F34)</f>
        <v>0</v>
      </c>
      <c r="AA34" s="2217"/>
      <c r="AB34" s="1885">
        <f>SUM('5.1.a. sz. mell.'!H34+'5.1.b. sz. mell.'!H34+'5.1.c. sz. mell.'!H34)</f>
        <v>0</v>
      </c>
      <c r="AC34" s="1885"/>
      <c r="AD34" s="248">
        <f>SUM('5.1.a. sz. mell.'!J34+'5.1.b. sz. mell.'!J34+'5.1.c. sz. mell.'!J34)</f>
        <v>0</v>
      </c>
      <c r="AE34" s="1885"/>
      <c r="AF34" s="1871">
        <f>SUM('5.1.a. sz. mell.'!L34+'5.1.b. sz. mell.'!L34+'5.1.c. sz. mell.'!L34)</f>
        <v>0</v>
      </c>
      <c r="AG34" s="1903">
        <f>SUM('5.1.a. sz. mell.'!M34+'5.1.b. sz. mell.'!M34+'5.1.c. sz. mell.'!M34)</f>
        <v>0</v>
      </c>
    </row>
    <row r="35" spans="1:33" s="145" customFormat="1" ht="12.75" hidden="1" customHeight="1" x14ac:dyDescent="0.2">
      <c r="A35" s="178"/>
      <c r="B35" s="307"/>
      <c r="C35" s="308"/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>
        <v>0</v>
      </c>
      <c r="K35" s="1384"/>
      <c r="L35" s="294">
        <v>0</v>
      </c>
      <c r="M35" s="294">
        <v>0</v>
      </c>
      <c r="R35" s="1876">
        <f t="shared" si="3"/>
        <v>0</v>
      </c>
      <c r="S35" s="1876"/>
      <c r="T35" s="1885">
        <f t="shared" si="4"/>
        <v>0</v>
      </c>
      <c r="U35" s="1885"/>
      <c r="V35" s="248">
        <f t="shared" si="0"/>
        <v>0</v>
      </c>
      <c r="W35" s="248"/>
      <c r="X35" s="1871">
        <f t="shared" si="1"/>
        <v>0</v>
      </c>
      <c r="Y35" s="1903">
        <f t="shared" si="2"/>
        <v>0</v>
      </c>
      <c r="Z35" s="1952">
        <f>SUM('5.1.a. sz. mell.'!F35+'5.1.b. sz. mell.'!F35+'5.1.c. sz. mell.'!F35)</f>
        <v>0</v>
      </c>
      <c r="AA35" s="2217"/>
      <c r="AB35" s="1885">
        <f>SUM('5.1.a. sz. mell.'!H35+'5.1.b. sz. mell.'!H35+'5.1.c. sz. mell.'!H35)</f>
        <v>0</v>
      </c>
      <c r="AC35" s="1885"/>
      <c r="AD35" s="248">
        <f>SUM('5.1.a. sz. mell.'!J35+'5.1.b. sz. mell.'!J35+'5.1.c. sz. mell.'!J35)</f>
        <v>0</v>
      </c>
      <c r="AE35" s="1885"/>
      <c r="AF35" s="1871">
        <f>SUM('5.1.a. sz. mell.'!L35+'5.1.b. sz. mell.'!L35+'5.1.c. sz. mell.'!L35)</f>
        <v>0</v>
      </c>
      <c r="AG35" s="1903">
        <f>SUM('5.1.a. sz. mell.'!M35+'5.1.b. sz. mell.'!M35+'5.1.c. sz. mell.'!M35)</f>
        <v>0</v>
      </c>
    </row>
    <row r="36" spans="1:33" s="145" customFormat="1" ht="15" customHeight="1" thickBot="1" x14ac:dyDescent="0.3">
      <c r="A36" s="258" t="s">
        <v>79</v>
      </c>
      <c r="B36" s="256"/>
      <c r="C36" s="247" t="s">
        <v>431</v>
      </c>
      <c r="D36" s="155">
        <v>4766</v>
      </c>
      <c r="E36" s="155">
        <v>6405</v>
      </c>
      <c r="F36" s="155">
        <v>0</v>
      </c>
      <c r="G36" s="1381"/>
      <c r="H36" s="155">
        <v>0</v>
      </c>
      <c r="I36" s="1380"/>
      <c r="J36" s="155">
        <v>0</v>
      </c>
      <c r="K36" s="1380"/>
      <c r="L36" s="155">
        <v>0</v>
      </c>
      <c r="M36" s="155">
        <v>0</v>
      </c>
      <c r="R36" s="1876">
        <f t="shared" si="3"/>
        <v>0</v>
      </c>
      <c r="S36" s="1876"/>
      <c r="T36" s="1885">
        <f t="shared" si="4"/>
        <v>0</v>
      </c>
      <c r="U36" s="1885"/>
      <c r="V36" s="248">
        <f t="shared" si="0"/>
        <v>0</v>
      </c>
      <c r="W36" s="248"/>
      <c r="X36" s="1871">
        <f t="shared" si="1"/>
        <v>0</v>
      </c>
      <c r="Y36" s="1903">
        <f t="shared" si="2"/>
        <v>0</v>
      </c>
      <c r="Z36" s="1952">
        <f>SUM('5.1.a. sz. mell.'!F36+'5.1.b. sz. mell.'!F36+'5.1.c. sz. mell.'!F36)</f>
        <v>0</v>
      </c>
      <c r="AA36" s="2217"/>
      <c r="AB36" s="1885">
        <f>SUM('5.1.a. sz. mell.'!H36+'5.1.b. sz. mell.'!H36+'5.1.c. sz. mell.'!H36)</f>
        <v>0</v>
      </c>
      <c r="AC36" s="1885"/>
      <c r="AD36" s="248">
        <f>SUM('5.1.a. sz. mell.'!J36+'5.1.b. sz. mell.'!J36+'5.1.c. sz. mell.'!J36)</f>
        <v>0</v>
      </c>
      <c r="AE36" s="1885"/>
      <c r="AF36" s="1871">
        <f>SUM('5.1.a. sz. mell.'!L36+'5.1.b. sz. mell.'!L36+'5.1.c. sz. mell.'!L36)</f>
        <v>0</v>
      </c>
      <c r="AG36" s="1903">
        <f>SUM('5.1.a. sz. mell.'!M36+'5.1.b. sz. mell.'!M36+'5.1.c. sz. mell.'!M36)</f>
        <v>0</v>
      </c>
    </row>
    <row r="37" spans="1:33" s="145" customFormat="1" ht="29.25" customHeight="1" thickBot="1" x14ac:dyDescent="0.25">
      <c r="A37" s="258"/>
      <c r="B37" s="257" t="s">
        <v>69</v>
      </c>
      <c r="C37" s="55" t="s">
        <v>432</v>
      </c>
      <c r="D37" s="155"/>
      <c r="E37" s="155"/>
      <c r="F37" s="252">
        <v>0</v>
      </c>
      <c r="G37" s="1509"/>
      <c r="H37" s="252">
        <v>0</v>
      </c>
      <c r="I37" s="1436"/>
      <c r="J37" s="252">
        <v>0</v>
      </c>
      <c r="K37" s="1436"/>
      <c r="L37" s="252">
        <v>0</v>
      </c>
      <c r="M37" s="252">
        <v>0</v>
      </c>
      <c r="R37" s="1876">
        <f t="shared" si="3"/>
        <v>0</v>
      </c>
      <c r="S37" s="1876"/>
      <c r="T37" s="1885">
        <f t="shared" si="4"/>
        <v>0</v>
      </c>
      <c r="U37" s="1885"/>
      <c r="V37" s="248">
        <f t="shared" si="0"/>
        <v>0</v>
      </c>
      <c r="W37" s="248"/>
      <c r="X37" s="1871">
        <f t="shared" si="1"/>
        <v>0</v>
      </c>
      <c r="Y37" s="1903">
        <f t="shared" si="2"/>
        <v>0</v>
      </c>
      <c r="Z37" s="1952">
        <f>SUM('5.1.a. sz. mell.'!F37+'5.1.b. sz. mell.'!F37+'5.1.c. sz. mell.'!F37)</f>
        <v>0</v>
      </c>
      <c r="AA37" s="2217"/>
      <c r="AB37" s="1885">
        <f>SUM('5.1.a. sz. mell.'!H37+'5.1.b. sz. mell.'!H37+'5.1.c. sz. mell.'!H37)</f>
        <v>0</v>
      </c>
      <c r="AC37" s="1885"/>
      <c r="AD37" s="248">
        <f>SUM('5.1.a. sz. mell.'!J37+'5.1.b. sz. mell.'!J37+'5.1.c. sz. mell.'!J37)</f>
        <v>0</v>
      </c>
      <c r="AE37" s="1885"/>
      <c r="AF37" s="1871">
        <f>SUM('5.1.a. sz. mell.'!L37+'5.1.b. sz. mell.'!L37+'5.1.c. sz. mell.'!L37)</f>
        <v>0</v>
      </c>
      <c r="AG37" s="1903">
        <f>SUM('5.1.a. sz. mell.'!M37+'5.1.b. sz. mell.'!M37+'5.1.c. sz. mell.'!M37)</f>
        <v>0</v>
      </c>
    </row>
    <row r="38" spans="1:33" s="145" customFormat="1" ht="15" customHeight="1" thickBot="1" x14ac:dyDescent="0.3">
      <c r="A38" s="258" t="s">
        <v>89</v>
      </c>
      <c r="B38" s="256"/>
      <c r="C38" s="170" t="s">
        <v>433</v>
      </c>
      <c r="D38" s="155"/>
      <c r="E38" s="155"/>
      <c r="F38" s="155">
        <f>SUM(F39:F41)</f>
        <v>89827568</v>
      </c>
      <c r="G38" s="1381">
        <f>SUM(H38-F38)</f>
        <v>687260</v>
      </c>
      <c r="H38" s="155">
        <f>SUM(H39:H41)</f>
        <v>90514828</v>
      </c>
      <c r="I38" s="1380">
        <f>SUM(J38-H38)</f>
        <v>1485814</v>
      </c>
      <c r="J38" s="155">
        <f>SUM(J39:J41)</f>
        <v>92000642</v>
      </c>
      <c r="K38" s="1380">
        <f>SUM(L38-J38)</f>
        <v>0</v>
      </c>
      <c r="L38" s="155">
        <f>SUM(L39:L41)</f>
        <v>92000642</v>
      </c>
      <c r="M38" s="155">
        <f>SUM(M39:M41)</f>
        <v>92000642</v>
      </c>
      <c r="O38" s="155"/>
      <c r="R38" s="1876">
        <f t="shared" si="3"/>
        <v>0</v>
      </c>
      <c r="S38" s="1876"/>
      <c r="T38" s="1885">
        <f t="shared" si="4"/>
        <v>0</v>
      </c>
      <c r="U38" s="1885"/>
      <c r="V38" s="248">
        <f t="shared" si="0"/>
        <v>0</v>
      </c>
      <c r="W38" s="248"/>
      <c r="X38" s="1871">
        <f t="shared" si="1"/>
        <v>0</v>
      </c>
      <c r="Y38" s="1903">
        <f t="shared" si="2"/>
        <v>0</v>
      </c>
      <c r="Z38" s="1952">
        <f>SUM('5.1.a. sz. mell.'!F38+'5.1.b. sz. mell.'!F38+'5.1.c. sz. mell.'!F38)</f>
        <v>89827568</v>
      </c>
      <c r="AA38" s="2217"/>
      <c r="AB38" s="1885">
        <f>SUM('5.1.a. sz. mell.'!H38+'5.1.b. sz. mell.'!H38+'5.1.c. sz. mell.'!H38)</f>
        <v>90514828</v>
      </c>
      <c r="AC38" s="1885"/>
      <c r="AD38" s="248">
        <f>SUM('5.1.a. sz. mell.'!J38+'5.1.b. sz. mell.'!J38+'5.1.c. sz. mell.'!J38)</f>
        <v>92000642</v>
      </c>
      <c r="AE38" s="1885"/>
      <c r="AF38" s="1871">
        <f>SUM('5.1.a. sz. mell.'!L38+'5.1.b. sz. mell.'!L38+'5.1.c. sz. mell.'!L38)</f>
        <v>92000642</v>
      </c>
      <c r="AG38" s="1903">
        <f>SUM('5.1.a. sz. mell.'!M38+'5.1.b. sz. mell.'!M38+'5.1.c. sz. mell.'!M38)</f>
        <v>92000642</v>
      </c>
    </row>
    <row r="39" spans="1:33" s="145" customFormat="1" ht="15" customHeight="1" thickBot="1" x14ac:dyDescent="0.25">
      <c r="A39" s="142"/>
      <c r="B39" s="253" t="s">
        <v>81</v>
      </c>
      <c r="C39" s="55" t="s">
        <v>434</v>
      </c>
      <c r="D39" s="155"/>
      <c r="E39" s="155"/>
      <c r="F39" s="144">
        <v>0</v>
      </c>
      <c r="G39" s="1415">
        <f t="shared" ref="G39:K44" si="5">SUM(H39-F39)</f>
        <v>148333</v>
      </c>
      <c r="H39" s="144">
        <v>148333</v>
      </c>
      <c r="I39" s="1376">
        <f t="shared" si="5"/>
        <v>0</v>
      </c>
      <c r="J39" s="144">
        <v>148333</v>
      </c>
      <c r="K39" s="1376">
        <f t="shared" si="5"/>
        <v>0</v>
      </c>
      <c r="L39" s="144">
        <v>148333</v>
      </c>
      <c r="M39" s="144">
        <v>148333</v>
      </c>
      <c r="R39" s="1876">
        <f t="shared" si="3"/>
        <v>0</v>
      </c>
      <c r="S39" s="1876"/>
      <c r="T39" s="1885">
        <f t="shared" si="4"/>
        <v>0</v>
      </c>
      <c r="U39" s="1885"/>
      <c r="V39" s="248">
        <f t="shared" si="0"/>
        <v>0</v>
      </c>
      <c r="W39" s="248"/>
      <c r="X39" s="1871">
        <f t="shared" si="1"/>
        <v>0</v>
      </c>
      <c r="Y39" s="1903">
        <f t="shared" si="2"/>
        <v>0</v>
      </c>
      <c r="Z39" s="1952">
        <f>SUM('5.1.a. sz. mell.'!F39+'5.1.b. sz. mell.'!F39+'5.1.c. sz. mell.'!F39)</f>
        <v>0</v>
      </c>
      <c r="AA39" s="2217"/>
      <c r="AB39" s="1885">
        <f>SUM('5.1.a. sz. mell.'!H39+'5.1.b. sz. mell.'!H39+'5.1.c. sz. mell.'!H39)</f>
        <v>148333</v>
      </c>
      <c r="AC39" s="1885"/>
      <c r="AD39" s="248">
        <f>SUM('5.1.a. sz. mell.'!J39+'5.1.b. sz. mell.'!J39+'5.1.c. sz. mell.'!J39)</f>
        <v>148333</v>
      </c>
      <c r="AE39" s="1885"/>
      <c r="AF39" s="1871">
        <f>SUM('5.1.a. sz. mell.'!L39+'5.1.b. sz. mell.'!L39+'5.1.c. sz. mell.'!L39)</f>
        <v>148333</v>
      </c>
      <c r="AG39" s="1903">
        <f>SUM('5.1.a. sz. mell.'!M39+'5.1.b. sz. mell.'!M39+'5.1.c. sz. mell.'!M39)</f>
        <v>148333</v>
      </c>
    </row>
    <row r="40" spans="1:33" s="145" customFormat="1" ht="15" customHeight="1" thickBot="1" x14ac:dyDescent="0.25">
      <c r="A40" s="142"/>
      <c r="B40" s="253" t="s">
        <v>83</v>
      </c>
      <c r="C40" s="55" t="s">
        <v>435</v>
      </c>
      <c r="D40" s="155"/>
      <c r="E40" s="155"/>
      <c r="F40" s="144">
        <v>0</v>
      </c>
      <c r="G40" s="1415">
        <f t="shared" si="5"/>
        <v>0</v>
      </c>
      <c r="H40" s="144">
        <v>0</v>
      </c>
      <c r="I40" s="1376">
        <f t="shared" si="5"/>
        <v>0</v>
      </c>
      <c r="J40" s="144"/>
      <c r="K40" s="1376">
        <f t="shared" si="5"/>
        <v>0</v>
      </c>
      <c r="L40" s="144"/>
      <c r="M40" s="144">
        <v>0</v>
      </c>
      <c r="R40" s="1876">
        <f t="shared" si="3"/>
        <v>0</v>
      </c>
      <c r="S40" s="1876"/>
      <c r="T40" s="1885">
        <f t="shared" si="4"/>
        <v>0</v>
      </c>
      <c r="U40" s="1885"/>
      <c r="V40" s="248">
        <f t="shared" ref="V40:V63" si="6">SUM(J40-AD40)</f>
        <v>0</v>
      </c>
      <c r="W40" s="248"/>
      <c r="X40" s="1871">
        <f t="shared" ref="X40:X64" si="7">SUM(L40-AF40)</f>
        <v>0</v>
      </c>
      <c r="Y40" s="1903">
        <f t="shared" ref="Y40:Y64" si="8">SUM(M40-AG40)</f>
        <v>0</v>
      </c>
      <c r="Z40" s="1952">
        <f>SUM('5.1.a. sz. mell.'!F40+'5.1.b. sz. mell.'!F40+'5.1.c. sz. mell.'!F40)</f>
        <v>0</v>
      </c>
      <c r="AA40" s="2217"/>
      <c r="AB40" s="1885">
        <f>SUM('5.1.a. sz. mell.'!H40+'5.1.b. sz. mell.'!H40+'5.1.c. sz. mell.'!H40)</f>
        <v>0</v>
      </c>
      <c r="AC40" s="1885"/>
      <c r="AD40" s="248">
        <f>SUM('5.1.a. sz. mell.'!J40+'5.1.b. sz. mell.'!J40+'5.1.c. sz. mell.'!J40)</f>
        <v>0</v>
      </c>
      <c r="AE40" s="1885"/>
      <c r="AF40" s="1871">
        <f>SUM('5.1.a. sz. mell.'!L40+'5.1.b. sz. mell.'!L40+'5.1.c. sz. mell.'!L40)</f>
        <v>0</v>
      </c>
      <c r="AG40" s="1903">
        <f>SUM('5.1.a. sz. mell.'!M40+'5.1.b. sz. mell.'!M40+'5.1.c. sz. mell.'!M40)</f>
        <v>0</v>
      </c>
    </row>
    <row r="41" spans="1:33" s="145" customFormat="1" ht="15" customHeight="1" thickBot="1" x14ac:dyDescent="0.25">
      <c r="A41" s="142"/>
      <c r="B41" s="253" t="s">
        <v>85</v>
      </c>
      <c r="C41" s="55" t="s">
        <v>436</v>
      </c>
      <c r="D41" s="155"/>
      <c r="E41" s="155"/>
      <c r="F41" s="144">
        <f>SUM(F42:F43)</f>
        <v>89827568</v>
      </c>
      <c r="G41" s="1415">
        <f t="shared" si="5"/>
        <v>538927</v>
      </c>
      <c r="H41" s="144">
        <f>SUM(H42:H43)</f>
        <v>90366495</v>
      </c>
      <c r="I41" s="1376">
        <f t="shared" si="5"/>
        <v>1485814</v>
      </c>
      <c r="J41" s="144">
        <f>SUM(J42:J43)</f>
        <v>91852309</v>
      </c>
      <c r="K41" s="1376">
        <f t="shared" si="5"/>
        <v>0</v>
      </c>
      <c r="L41" s="144">
        <f>SUM(L42:L43)</f>
        <v>91852309</v>
      </c>
      <c r="M41" s="144">
        <f>SUM(M42:M43)</f>
        <v>91852309</v>
      </c>
      <c r="P41" s="145">
        <v>0</v>
      </c>
      <c r="R41" s="1876">
        <f t="shared" si="3"/>
        <v>0</v>
      </c>
      <c r="S41" s="1876"/>
      <c r="T41" s="1885">
        <f t="shared" si="4"/>
        <v>0</v>
      </c>
      <c r="U41" s="1885"/>
      <c r="V41" s="248">
        <f t="shared" si="6"/>
        <v>0</v>
      </c>
      <c r="W41" s="248"/>
      <c r="X41" s="1871">
        <f t="shared" si="7"/>
        <v>0</v>
      </c>
      <c r="Y41" s="1903">
        <f t="shared" si="8"/>
        <v>0</v>
      </c>
      <c r="Z41" s="1952">
        <f>SUM('5.1.a. sz. mell.'!F41+'5.1.b. sz. mell.'!F41+'5.1.c. sz. mell.'!F41)</f>
        <v>89827568</v>
      </c>
      <c r="AA41" s="2217"/>
      <c r="AB41" s="1885">
        <f>SUM('5.1.a. sz. mell.'!H41+'5.1.b. sz. mell.'!H41+'5.1.c. sz. mell.'!H41)</f>
        <v>90366495</v>
      </c>
      <c r="AC41" s="1885"/>
      <c r="AD41" s="248">
        <f>SUM('5.1.a. sz. mell.'!J41+'5.1.b. sz. mell.'!J41+'5.1.c. sz. mell.'!J41)</f>
        <v>91852309</v>
      </c>
      <c r="AE41" s="1885"/>
      <c r="AF41" s="1871">
        <f>SUM('5.1.a. sz. mell.'!L41+'5.1.b. sz. mell.'!L41+'5.1.c. sz. mell.'!L41)</f>
        <v>91852309</v>
      </c>
      <c r="AG41" s="1903">
        <f>SUM('5.1.a. sz. mell.'!M41+'5.1.b. sz. mell.'!M41+'5.1.c. sz. mell.'!M41)</f>
        <v>91852309</v>
      </c>
    </row>
    <row r="42" spans="1:33" s="145" customFormat="1" ht="15" customHeight="1" thickBot="1" x14ac:dyDescent="0.25">
      <c r="A42" s="146"/>
      <c r="B42" s="260" t="s">
        <v>437</v>
      </c>
      <c r="C42" s="261" t="s">
        <v>891</v>
      </c>
      <c r="D42" s="155"/>
      <c r="E42" s="155"/>
      <c r="F42" s="302">
        <v>85097217</v>
      </c>
      <c r="G42" s="1534">
        <f t="shared" si="5"/>
        <v>744327</v>
      </c>
      <c r="H42" s="302">
        <v>85841544</v>
      </c>
      <c r="I42" s="1492">
        <f t="shared" si="5"/>
        <v>271329</v>
      </c>
      <c r="J42" s="302">
        <v>86112873</v>
      </c>
      <c r="K42" s="1492">
        <f t="shared" si="5"/>
        <v>0</v>
      </c>
      <c r="L42" s="302">
        <v>86112873</v>
      </c>
      <c r="M42" s="302">
        <v>86112873</v>
      </c>
      <c r="R42" s="1876">
        <f t="shared" si="3"/>
        <v>0</v>
      </c>
      <c r="S42" s="1876"/>
      <c r="T42" s="1885">
        <f t="shared" si="4"/>
        <v>0</v>
      </c>
      <c r="U42" s="1885"/>
      <c r="V42" s="248">
        <f t="shared" si="6"/>
        <v>0</v>
      </c>
      <c r="W42" s="248"/>
      <c r="X42" s="1871">
        <f t="shared" si="7"/>
        <v>0</v>
      </c>
      <c r="Y42" s="1903">
        <f t="shared" si="8"/>
        <v>0</v>
      </c>
      <c r="Z42" s="1952">
        <f>SUM('5.1.a. sz. mell.'!F42+'5.1.b. sz. mell.'!F42+'5.1.c. sz. mell.'!F42)</f>
        <v>85097217</v>
      </c>
      <c r="AA42" s="2217"/>
      <c r="AB42" s="1885">
        <f>SUM('5.1.a. sz. mell.'!H42+'5.1.b. sz. mell.'!H42+'5.1.c. sz. mell.'!H42)</f>
        <v>85841544</v>
      </c>
      <c r="AC42" s="1885"/>
      <c r="AD42" s="248">
        <f>SUM('5.1.a. sz. mell.'!J42+'5.1.b. sz. mell.'!J42+'5.1.c. sz. mell.'!J42)</f>
        <v>86112873</v>
      </c>
      <c r="AE42" s="1885"/>
      <c r="AF42" s="1871">
        <f>SUM('5.1.a. sz. mell.'!L42+'5.1.b. sz. mell.'!L42+'5.1.c. sz. mell.'!L42)</f>
        <v>86112873</v>
      </c>
      <c r="AG42" s="1903">
        <f>SUM('5.1.a. sz. mell.'!M42+'5.1.b. sz. mell.'!M42+'5.1.c. sz. mell.'!M42)</f>
        <v>86112873</v>
      </c>
    </row>
    <row r="43" spans="1:33" s="145" customFormat="1" ht="15" customHeight="1" thickBot="1" x14ac:dyDescent="0.25">
      <c r="A43" s="146"/>
      <c r="B43" s="263" t="s">
        <v>439</v>
      </c>
      <c r="C43" s="264" t="s">
        <v>532</v>
      </c>
      <c r="D43" s="155"/>
      <c r="E43" s="155"/>
      <c r="F43" s="302">
        <v>4730351</v>
      </c>
      <c r="G43" s="1534">
        <f t="shared" si="5"/>
        <v>-205400</v>
      </c>
      <c r="H43" s="302">
        <v>4524951</v>
      </c>
      <c r="I43" s="1492">
        <f t="shared" si="5"/>
        <v>1214485</v>
      </c>
      <c r="J43" s="302">
        <v>5739436</v>
      </c>
      <c r="K43" s="1492">
        <f t="shared" si="5"/>
        <v>0</v>
      </c>
      <c r="L43" s="302">
        <v>5739436</v>
      </c>
      <c r="M43" s="302">
        <v>5739436</v>
      </c>
      <c r="O43" s="205">
        <f>SUM(F63-F41)</f>
        <v>0</v>
      </c>
      <c r="P43" s="205">
        <f>SUM(P41-M41)</f>
        <v>-91852309</v>
      </c>
      <c r="R43" s="1876">
        <f t="shared" si="3"/>
        <v>0</v>
      </c>
      <c r="S43" s="1876"/>
      <c r="T43" s="1885">
        <f t="shared" si="4"/>
        <v>0</v>
      </c>
      <c r="U43" s="1885"/>
      <c r="V43" s="248">
        <f t="shared" si="6"/>
        <v>0</v>
      </c>
      <c r="W43" s="248"/>
      <c r="X43" s="1871">
        <f t="shared" si="7"/>
        <v>0</v>
      </c>
      <c r="Y43" s="1903">
        <f t="shared" si="8"/>
        <v>0</v>
      </c>
      <c r="Z43" s="1952">
        <f>SUM('5.1.a. sz. mell.'!F43+'5.1.b. sz. mell.'!F43+'5.1.c. sz. mell.'!F43)</f>
        <v>4730351</v>
      </c>
      <c r="AA43" s="2217"/>
      <c r="AB43" s="1885">
        <f>SUM('5.1.a. sz. mell.'!H43+'5.1.b. sz. mell.'!H43+'5.1.c. sz. mell.'!H43)</f>
        <v>4524951</v>
      </c>
      <c r="AC43" s="1885"/>
      <c r="AD43" s="248">
        <f>SUM('5.1.a. sz. mell.'!J43+'5.1.b. sz. mell.'!J43+'5.1.c. sz. mell.'!J43)</f>
        <v>5739436</v>
      </c>
      <c r="AE43" s="1885"/>
      <c r="AF43" s="1871">
        <f>SUM('5.1.a. sz. mell.'!L43+'5.1.b. sz. mell.'!L43+'5.1.c. sz. mell.'!L43)</f>
        <v>5739436</v>
      </c>
      <c r="AG43" s="1903">
        <f>SUM('5.1.a. sz. mell.'!M43+'5.1.b. sz. mell.'!M43+'5.1.c. sz. mell.'!M43)</f>
        <v>5739436</v>
      </c>
    </row>
    <row r="44" spans="1:33" s="145" customFormat="1" ht="15" customHeight="1" thickBot="1" x14ac:dyDescent="0.25">
      <c r="A44" s="192" t="s">
        <v>99</v>
      </c>
      <c r="B44" s="160"/>
      <c r="C44" s="274" t="s">
        <v>441</v>
      </c>
      <c r="D44" s="162">
        <f>SUM(D8,D19,D27,D29,D33,D36)</f>
        <v>58011</v>
      </c>
      <c r="E44" s="162">
        <f>SUM(E8,E19,E27,E29,E33,E36)</f>
        <v>61008</v>
      </c>
      <c r="F44" s="162">
        <f>SUM(F8,F19,F27,F29,F33,F36,F38)</f>
        <v>89827568</v>
      </c>
      <c r="G44" s="1437">
        <f t="shared" si="5"/>
        <v>687260</v>
      </c>
      <c r="H44" s="162">
        <f>SUM(H8,H19,H27,H29,H33,H36,H38)</f>
        <v>90514828</v>
      </c>
      <c r="I44" s="1373">
        <f t="shared" si="5"/>
        <v>1540687</v>
      </c>
      <c r="J44" s="162">
        <f>SUM(J8,J19,J27,J29,J33,J36,J38)</f>
        <v>92055515</v>
      </c>
      <c r="K44" s="1373">
        <f t="shared" si="5"/>
        <v>0</v>
      </c>
      <c r="L44" s="162">
        <f>SUM(L8,L19,L27,L29,L33,L36,L38)</f>
        <v>92055515</v>
      </c>
      <c r="M44" s="162">
        <f>SUM(M8,M19,M27,M29,M33,M36,M38)</f>
        <v>92055515</v>
      </c>
      <c r="N44" s="205">
        <f>SUM(F63-F44)</f>
        <v>0</v>
      </c>
      <c r="O44" s="205"/>
      <c r="R44" s="1876">
        <f t="shared" si="3"/>
        <v>0</v>
      </c>
      <c r="S44" s="1876"/>
      <c r="T44" s="1885">
        <f t="shared" si="4"/>
        <v>0</v>
      </c>
      <c r="U44" s="1885"/>
      <c r="V44" s="248">
        <f t="shared" si="6"/>
        <v>0</v>
      </c>
      <c r="W44" s="248"/>
      <c r="X44" s="1871">
        <f t="shared" si="7"/>
        <v>0</v>
      </c>
      <c r="Y44" s="1903">
        <f t="shared" si="8"/>
        <v>0</v>
      </c>
      <c r="Z44" s="1952">
        <f>SUM('5.1.a. sz. mell.'!F44+'5.1.b. sz. mell.'!F44+'5.1.c. sz. mell.'!F44)</f>
        <v>89827568</v>
      </c>
      <c r="AA44" s="2217"/>
      <c r="AB44" s="1885">
        <f>SUM('5.1.a. sz. mell.'!H44+'5.1.b. sz. mell.'!H44+'5.1.c. sz. mell.'!H44)</f>
        <v>90514828</v>
      </c>
      <c r="AC44" s="1885"/>
      <c r="AD44" s="248">
        <f>SUM('5.1.a. sz. mell.'!J44+'5.1.b. sz. mell.'!J44+'5.1.c. sz. mell.'!J44)</f>
        <v>92055515</v>
      </c>
      <c r="AE44" s="1885"/>
      <c r="AF44" s="1871">
        <f>SUM('5.1.a. sz. mell.'!L44+'5.1.b. sz. mell.'!L44+'5.1.c. sz. mell.'!L44)</f>
        <v>92055515</v>
      </c>
      <c r="AG44" s="1903">
        <f>SUM('5.1.a. sz. mell.'!M44+'5.1.b. sz. mell.'!M44+'5.1.c. sz. mell.'!M44)</f>
        <v>92055515</v>
      </c>
    </row>
    <row r="45" spans="1:33" s="141" customFormat="1" ht="15" customHeight="1" thickBot="1" x14ac:dyDescent="0.25">
      <c r="A45" s="1303"/>
      <c r="B45" s="886"/>
      <c r="C45" s="886"/>
      <c r="D45" s="2145"/>
      <c r="E45" s="2145"/>
      <c r="F45" s="2741"/>
      <c r="G45" s="1512"/>
      <c r="H45" s="1512"/>
      <c r="I45" s="1512"/>
      <c r="J45" s="1512"/>
      <c r="K45" s="1512"/>
      <c r="L45" s="1512"/>
      <c r="M45" s="2131"/>
      <c r="R45" s="1876">
        <f t="shared" si="3"/>
        <v>0</v>
      </c>
      <c r="S45" s="1876"/>
      <c r="T45" s="1885">
        <f t="shared" si="4"/>
        <v>0</v>
      </c>
      <c r="U45" s="1885"/>
      <c r="V45" s="248">
        <f t="shared" si="6"/>
        <v>0</v>
      </c>
      <c r="W45" s="248"/>
      <c r="X45" s="1871">
        <f t="shared" si="7"/>
        <v>0</v>
      </c>
      <c r="Y45" s="1903">
        <f t="shared" si="8"/>
        <v>0</v>
      </c>
      <c r="Z45" s="1952">
        <f>SUM('5.1.a. sz. mell.'!F45+'5.1.b. sz. mell.'!F45+'5.1.c. sz. mell.'!F45)</f>
        <v>0</v>
      </c>
      <c r="AA45" s="2217"/>
      <c r="AB45" s="1885">
        <f>SUM('5.1.a. sz. mell.'!H45+'5.1.b. sz. mell.'!H45+'5.1.c. sz. mell.'!H45)</f>
        <v>0</v>
      </c>
      <c r="AC45" s="1885"/>
      <c r="AD45" s="248">
        <f>SUM('5.1.a. sz. mell.'!J45+'5.1.b. sz. mell.'!J45+'5.1.c. sz. mell.'!J45)</f>
        <v>0</v>
      </c>
      <c r="AE45" s="1885"/>
      <c r="AF45" s="1871">
        <f>SUM('5.1.a. sz. mell.'!L45+'5.1.b. sz. mell.'!L45+'5.1.c. sz. mell.'!L45)</f>
        <v>0</v>
      </c>
      <c r="AG45" s="1903">
        <f>SUM('5.1.a. sz. mell.'!M45+'5.1.b. sz. mell.'!M45+'5.1.c. sz. mell.'!M45)</f>
        <v>0</v>
      </c>
    </row>
    <row r="46" spans="1:33" s="145" customFormat="1" ht="16.5" thickBot="1" x14ac:dyDescent="0.25">
      <c r="A46" s="192"/>
      <c r="B46" s="160"/>
      <c r="C46" s="282" t="s">
        <v>231</v>
      </c>
      <c r="D46" s="162"/>
      <c r="E46" s="162"/>
      <c r="F46" s="162"/>
      <c r="G46" s="1437"/>
      <c r="H46" s="162"/>
      <c r="I46" s="1373"/>
      <c r="J46" s="162"/>
      <c r="K46" s="1373"/>
      <c r="L46" s="162"/>
      <c r="M46" s="162"/>
      <c r="R46" s="1876">
        <f t="shared" si="3"/>
        <v>0</v>
      </c>
      <c r="S46" s="1876"/>
      <c r="T46" s="1885">
        <f t="shared" si="4"/>
        <v>0</v>
      </c>
      <c r="U46" s="1885"/>
      <c r="V46" s="248">
        <f t="shared" si="6"/>
        <v>0</v>
      </c>
      <c r="W46" s="248"/>
      <c r="X46" s="1871">
        <f t="shared" si="7"/>
        <v>0</v>
      </c>
      <c r="Y46" s="1903">
        <f t="shared" si="8"/>
        <v>0</v>
      </c>
      <c r="Z46" s="1952">
        <f>SUM('5.1.a. sz. mell.'!F46+'5.1.b. sz. mell.'!F46+'5.1.c. sz. mell.'!F46)</f>
        <v>0</v>
      </c>
      <c r="AA46" s="2217"/>
      <c r="AB46" s="1885">
        <f>SUM('5.1.a. sz. mell.'!H46+'5.1.b. sz. mell.'!H46+'5.1.c. sz. mell.'!H46)</f>
        <v>0</v>
      </c>
      <c r="AC46" s="1885"/>
      <c r="AD46" s="248">
        <f>SUM('5.1.a. sz. mell.'!J46+'5.1.b. sz. mell.'!J46+'5.1.c. sz. mell.'!J46)</f>
        <v>0</v>
      </c>
      <c r="AE46" s="1885"/>
      <c r="AF46" s="1871">
        <f>SUM('5.1.a. sz. mell.'!L46+'5.1.b. sz. mell.'!L46+'5.1.c. sz. mell.'!L46)</f>
        <v>0</v>
      </c>
      <c r="AG46" s="1903">
        <f>SUM('5.1.a. sz. mell.'!M46+'5.1.b. sz. mell.'!M46+'5.1.c. sz. mell.'!M46)</f>
        <v>0</v>
      </c>
    </row>
    <row r="47" spans="1:33" s="145" customFormat="1" ht="15.75" thickBot="1" x14ac:dyDescent="0.25">
      <c r="A47" s="134" t="s">
        <v>3</v>
      </c>
      <c r="B47" s="170"/>
      <c r="C47" s="171" t="s">
        <v>442</v>
      </c>
      <c r="D47" s="137">
        <f>SUM(D48+D50+D52)</f>
        <v>58011</v>
      </c>
      <c r="E47" s="137">
        <f>SUM(E48+E50+E52)</f>
        <v>61008</v>
      </c>
      <c r="F47" s="137">
        <f>SUM(F48:F55)</f>
        <v>89471968</v>
      </c>
      <c r="G47" s="1381">
        <f t="shared" ref="G47:K52" si="9">SUM(H47-F47)</f>
        <v>687260</v>
      </c>
      <c r="H47" s="137">
        <f>SUM(H48:H55)</f>
        <v>90159228</v>
      </c>
      <c r="I47" s="1380">
        <f t="shared" si="9"/>
        <v>1572827</v>
      </c>
      <c r="J47" s="137">
        <f>SUM(J48:J55)</f>
        <v>91732055</v>
      </c>
      <c r="K47" s="1380">
        <f t="shared" si="9"/>
        <v>0</v>
      </c>
      <c r="L47" s="137">
        <f>SUM(L48:L55)</f>
        <v>91732055</v>
      </c>
      <c r="M47" s="137">
        <f>SUM(M48:M55)</f>
        <v>91250283</v>
      </c>
      <c r="R47" s="1876">
        <f t="shared" si="3"/>
        <v>0</v>
      </c>
      <c r="S47" s="1876"/>
      <c r="T47" s="1885">
        <f t="shared" si="4"/>
        <v>0</v>
      </c>
      <c r="U47" s="1885"/>
      <c r="V47" s="248">
        <f t="shared" si="6"/>
        <v>0</v>
      </c>
      <c r="W47" s="248"/>
      <c r="X47" s="1871">
        <f t="shared" si="7"/>
        <v>0</v>
      </c>
      <c r="Y47" s="1903">
        <f t="shared" si="8"/>
        <v>0</v>
      </c>
      <c r="Z47" s="1952">
        <f>SUM('5.1.a. sz. mell.'!F47+'5.1.b. sz. mell.'!F47+'5.1.c. sz. mell.'!F47)</f>
        <v>89471968</v>
      </c>
      <c r="AA47" s="2217"/>
      <c r="AB47" s="1885">
        <f>SUM('5.1.a. sz. mell.'!H47+'5.1.b. sz. mell.'!H47+'5.1.c. sz. mell.'!H47)</f>
        <v>90159228</v>
      </c>
      <c r="AC47" s="1885"/>
      <c r="AD47" s="248">
        <f>SUM('5.1.a. sz. mell.'!J47+'5.1.b. sz. mell.'!J47+'5.1.c. sz. mell.'!J47)</f>
        <v>91732055</v>
      </c>
      <c r="AE47" s="1885"/>
      <c r="AF47" s="1871">
        <f>SUM('5.1.a. sz. mell.'!L47+'5.1.b. sz. mell.'!L47+'5.1.c. sz. mell.'!L47)</f>
        <v>91732055</v>
      </c>
      <c r="AG47" s="1903">
        <f>SUM('5.1.a. sz. mell.'!M47+'5.1.b. sz. mell.'!M47+'5.1.c. sz. mell.'!M47)</f>
        <v>91250283</v>
      </c>
    </row>
    <row r="48" spans="1:33" s="145" customFormat="1" ht="15" x14ac:dyDescent="0.2">
      <c r="A48" s="173"/>
      <c r="B48" s="267" t="s">
        <v>152</v>
      </c>
      <c r="C48" s="251" t="s">
        <v>153</v>
      </c>
      <c r="D48" s="175">
        <v>39072</v>
      </c>
      <c r="E48" s="175">
        <v>41332</v>
      </c>
      <c r="F48" s="175">
        <v>67356000</v>
      </c>
      <c r="G48" s="1415">
        <f t="shared" si="9"/>
        <v>76985</v>
      </c>
      <c r="H48" s="175">
        <v>67432985</v>
      </c>
      <c r="I48" s="1376">
        <f t="shared" si="9"/>
        <v>2231403</v>
      </c>
      <c r="J48" s="175">
        <v>69664388</v>
      </c>
      <c r="K48" s="1376">
        <f t="shared" si="9"/>
        <v>0</v>
      </c>
      <c r="L48" s="175">
        <v>69664388</v>
      </c>
      <c r="M48" s="175">
        <v>69542683</v>
      </c>
      <c r="R48" s="1876">
        <f t="shared" si="3"/>
        <v>0</v>
      </c>
      <c r="S48" s="1876"/>
      <c r="T48" s="1885">
        <f t="shared" si="4"/>
        <v>0</v>
      </c>
      <c r="U48" s="1885"/>
      <c r="V48" s="248">
        <f t="shared" si="6"/>
        <v>0</v>
      </c>
      <c r="W48" s="248"/>
      <c r="X48" s="1871">
        <f t="shared" si="7"/>
        <v>0</v>
      </c>
      <c r="Y48" s="1903">
        <f t="shared" si="8"/>
        <v>0</v>
      </c>
      <c r="Z48" s="1952">
        <f>SUM('5.1.a. sz. mell.'!F48+'5.1.b. sz. mell.'!F48+'5.1.c. sz. mell.'!F48)</f>
        <v>67356000</v>
      </c>
      <c r="AA48" s="2217"/>
      <c r="AB48" s="1885">
        <f>SUM('5.1.a. sz. mell.'!H48+'5.1.b. sz. mell.'!H48+'5.1.c. sz. mell.'!H48)</f>
        <v>67432985</v>
      </c>
      <c r="AC48" s="1885"/>
      <c r="AD48" s="248">
        <f>SUM('5.1.a. sz. mell.'!J48+'5.1.b. sz. mell.'!J48+'5.1.c. sz. mell.'!J48)</f>
        <v>69664388</v>
      </c>
      <c r="AE48" s="1885"/>
      <c r="AF48" s="1871">
        <f>SUM('5.1.a. sz. mell.'!L48+'5.1.b. sz. mell.'!L48+'5.1.c. sz. mell.'!L48)</f>
        <v>69664388</v>
      </c>
      <c r="AG48" s="1903">
        <f>SUM('5.1.a. sz. mell.'!M48+'5.1.b. sz. mell.'!M48+'5.1.c. sz. mell.'!M48)</f>
        <v>69542683</v>
      </c>
    </row>
    <row r="49" spans="1:33" s="145" customFormat="1" ht="12.75" hidden="1" customHeight="1" x14ac:dyDescent="0.2">
      <c r="A49" s="173"/>
      <c r="B49" s="267"/>
      <c r="C49" s="309" t="s">
        <v>463</v>
      </c>
      <c r="D49" s="302"/>
      <c r="E49" s="302"/>
      <c r="F49" s="302"/>
      <c r="G49" s="1415">
        <f t="shared" si="9"/>
        <v>0</v>
      </c>
      <c r="H49" s="302"/>
      <c r="I49" s="1376">
        <f t="shared" si="9"/>
        <v>0</v>
      </c>
      <c r="J49" s="302"/>
      <c r="K49" s="1376">
        <f t="shared" si="9"/>
        <v>0</v>
      </c>
      <c r="L49" s="302"/>
      <c r="M49" s="302"/>
      <c r="R49" s="1876">
        <f t="shared" si="3"/>
        <v>0</v>
      </c>
      <c r="S49" s="1876"/>
      <c r="T49" s="1885">
        <f t="shared" si="4"/>
        <v>0</v>
      </c>
      <c r="U49" s="1885"/>
      <c r="V49" s="248">
        <f t="shared" si="6"/>
        <v>0</v>
      </c>
      <c r="W49" s="248"/>
      <c r="X49" s="1871">
        <f t="shared" si="7"/>
        <v>0</v>
      </c>
      <c r="Y49" s="1903">
        <f t="shared" si="8"/>
        <v>0</v>
      </c>
      <c r="Z49" s="1952">
        <f>SUM('5.1.a. sz. mell.'!F49+'5.1.b. sz. mell.'!F49+'5.1.c. sz. mell.'!F49)</f>
        <v>0</v>
      </c>
      <c r="AA49" s="2217"/>
      <c r="AB49" s="1885">
        <f>SUM('5.1.a. sz. mell.'!H49+'5.1.b. sz. mell.'!H49+'5.1.c. sz. mell.'!H49)</f>
        <v>0</v>
      </c>
      <c r="AC49" s="1885"/>
      <c r="AD49" s="248">
        <f>SUM('5.1.a. sz. mell.'!J49+'5.1.b. sz. mell.'!J49+'5.1.c. sz. mell.'!J49)</f>
        <v>0</v>
      </c>
      <c r="AE49" s="1885"/>
      <c r="AF49" s="1871">
        <f>SUM('5.1.a. sz. mell.'!L49+'5.1.b. sz. mell.'!L49+'5.1.c. sz. mell.'!L49)</f>
        <v>0</v>
      </c>
      <c r="AG49" s="1903">
        <f>SUM('5.1.a. sz. mell.'!M49+'5.1.b. sz. mell.'!M49+'5.1.c. sz. mell.'!M49)</f>
        <v>0</v>
      </c>
    </row>
    <row r="50" spans="1:33" s="145" customFormat="1" ht="15" customHeight="1" x14ac:dyDescent="0.2">
      <c r="A50" s="142"/>
      <c r="B50" s="253" t="s">
        <v>154</v>
      </c>
      <c r="C50" s="55" t="s">
        <v>155</v>
      </c>
      <c r="D50" s="144">
        <v>10526</v>
      </c>
      <c r="E50" s="144">
        <v>11133</v>
      </c>
      <c r="F50" s="144">
        <v>13718568</v>
      </c>
      <c r="G50" s="1415">
        <f t="shared" si="9"/>
        <v>15119</v>
      </c>
      <c r="H50" s="144">
        <v>13733687</v>
      </c>
      <c r="I50" s="1376">
        <f t="shared" si="9"/>
        <v>480604</v>
      </c>
      <c r="J50" s="144">
        <v>14214291</v>
      </c>
      <c r="K50" s="1376">
        <f t="shared" si="9"/>
        <v>0</v>
      </c>
      <c r="L50" s="144">
        <v>14214291</v>
      </c>
      <c r="M50" s="144">
        <v>14190067</v>
      </c>
      <c r="R50" s="1876">
        <f t="shared" si="3"/>
        <v>0</v>
      </c>
      <c r="S50" s="1876"/>
      <c r="T50" s="1885">
        <f t="shared" si="4"/>
        <v>0</v>
      </c>
      <c r="U50" s="1885"/>
      <c r="V50" s="248">
        <f t="shared" si="6"/>
        <v>0</v>
      </c>
      <c r="W50" s="248"/>
      <c r="X50" s="1871">
        <f t="shared" si="7"/>
        <v>0</v>
      </c>
      <c r="Y50" s="1903">
        <f t="shared" si="8"/>
        <v>0</v>
      </c>
      <c r="Z50" s="1952">
        <f>SUM('5.1.a. sz. mell.'!F50+'5.1.b. sz. mell.'!F50+'5.1.c. sz. mell.'!F50)</f>
        <v>13718568</v>
      </c>
      <c r="AA50" s="2217"/>
      <c r="AB50" s="1885">
        <f>SUM('5.1.a. sz. mell.'!H50+'5.1.b. sz. mell.'!H50+'5.1.c. sz. mell.'!H50)</f>
        <v>13733687</v>
      </c>
      <c r="AC50" s="1885"/>
      <c r="AD50" s="248">
        <f>SUM('5.1.a. sz. mell.'!J50+'5.1.b. sz. mell.'!J50+'5.1.c. sz. mell.'!J50)</f>
        <v>14214291</v>
      </c>
      <c r="AE50" s="1885"/>
      <c r="AF50" s="1871">
        <f>SUM('5.1.a. sz. mell.'!L50+'5.1.b. sz. mell.'!L50+'5.1.c. sz. mell.'!L50)</f>
        <v>14214291</v>
      </c>
      <c r="AG50" s="1903">
        <f>SUM('5.1.a. sz. mell.'!M50+'5.1.b. sz. mell.'!M50+'5.1.c. sz. mell.'!M50)</f>
        <v>14190067</v>
      </c>
    </row>
    <row r="51" spans="1:33" s="145" customFormat="1" ht="12.75" hidden="1" customHeight="1" x14ac:dyDescent="0.2">
      <c r="A51" s="142"/>
      <c r="B51" s="253"/>
      <c r="C51" s="309" t="s">
        <v>463</v>
      </c>
      <c r="D51" s="302"/>
      <c r="E51" s="302"/>
      <c r="F51" s="302"/>
      <c r="G51" s="1415">
        <f t="shared" si="9"/>
        <v>0</v>
      </c>
      <c r="H51" s="302"/>
      <c r="I51" s="1376">
        <f t="shared" si="9"/>
        <v>0</v>
      </c>
      <c r="J51" s="302"/>
      <c r="K51" s="1376">
        <f t="shared" si="9"/>
        <v>0</v>
      </c>
      <c r="L51" s="302"/>
      <c r="M51" s="302"/>
      <c r="R51" s="1876">
        <f t="shared" si="3"/>
        <v>0</v>
      </c>
      <c r="S51" s="1876"/>
      <c r="T51" s="1885">
        <f t="shared" si="4"/>
        <v>0</v>
      </c>
      <c r="U51" s="1885"/>
      <c r="V51" s="248">
        <f t="shared" si="6"/>
        <v>0</v>
      </c>
      <c r="W51" s="248"/>
      <c r="X51" s="1871">
        <f t="shared" si="7"/>
        <v>0</v>
      </c>
      <c r="Y51" s="1903">
        <f t="shared" si="8"/>
        <v>0</v>
      </c>
      <c r="Z51" s="1952">
        <f>SUM('5.1.a. sz. mell.'!F51+'5.1.b. sz. mell.'!F51+'5.1.c. sz. mell.'!F51)</f>
        <v>0</v>
      </c>
      <c r="AA51" s="2217"/>
      <c r="AB51" s="1885">
        <f>SUM('5.1.a. sz. mell.'!H51+'5.1.b. sz. mell.'!H51+'5.1.c. sz. mell.'!H51)</f>
        <v>0</v>
      </c>
      <c r="AC51" s="1885"/>
      <c r="AD51" s="248">
        <f>SUM('5.1.a. sz. mell.'!J51+'5.1.b. sz. mell.'!J51+'5.1.c. sz. mell.'!J51)</f>
        <v>0</v>
      </c>
      <c r="AE51" s="1885"/>
      <c r="AF51" s="1871">
        <f>SUM('5.1.a. sz. mell.'!L51+'5.1.b. sz. mell.'!L51+'5.1.c. sz. mell.'!L51)</f>
        <v>0</v>
      </c>
      <c r="AG51" s="1903">
        <f>SUM('5.1.a. sz. mell.'!M51+'5.1.b. sz. mell.'!M51+'5.1.c. sz. mell.'!M51)</f>
        <v>0</v>
      </c>
    </row>
    <row r="52" spans="1:33" s="145" customFormat="1" ht="15" customHeight="1" x14ac:dyDescent="0.2">
      <c r="A52" s="142"/>
      <c r="B52" s="253" t="s">
        <v>156</v>
      </c>
      <c r="C52" s="55" t="s">
        <v>157</v>
      </c>
      <c r="D52" s="144">
        <v>8413</v>
      </c>
      <c r="E52" s="144">
        <v>8543</v>
      </c>
      <c r="F52" s="144">
        <v>8397400</v>
      </c>
      <c r="G52" s="1415">
        <f t="shared" si="9"/>
        <v>595156</v>
      </c>
      <c r="H52" s="144">
        <v>8992556</v>
      </c>
      <c r="I52" s="1376">
        <f t="shared" si="9"/>
        <v>-1139180</v>
      </c>
      <c r="J52" s="144">
        <v>7853376</v>
      </c>
      <c r="K52" s="1376">
        <f t="shared" si="9"/>
        <v>0</v>
      </c>
      <c r="L52" s="144">
        <v>7853376</v>
      </c>
      <c r="M52" s="144">
        <v>7517533</v>
      </c>
      <c r="R52" s="1876">
        <f t="shared" si="3"/>
        <v>0</v>
      </c>
      <c r="S52" s="1876"/>
      <c r="T52" s="1885">
        <f t="shared" si="4"/>
        <v>0</v>
      </c>
      <c r="U52" s="1885"/>
      <c r="V52" s="248">
        <f t="shared" si="6"/>
        <v>0</v>
      </c>
      <c r="W52" s="248"/>
      <c r="X52" s="1871">
        <f t="shared" si="7"/>
        <v>0</v>
      </c>
      <c r="Y52" s="1903">
        <f t="shared" si="8"/>
        <v>0</v>
      </c>
      <c r="Z52" s="1952">
        <f>SUM('5.1.a. sz. mell.'!F52+'5.1.b. sz. mell.'!F52+'5.1.c. sz. mell.'!F52)</f>
        <v>8397400</v>
      </c>
      <c r="AA52" s="2217"/>
      <c r="AB52" s="1885">
        <f>SUM('5.1.a. sz. mell.'!H52+'5.1.b. sz. mell.'!H52+'5.1.c. sz. mell.'!H52)</f>
        <v>8992556</v>
      </c>
      <c r="AC52" s="1885"/>
      <c r="AD52" s="248">
        <f>SUM('5.1.a. sz. mell.'!J52+'5.1.b. sz. mell.'!J52+'5.1.c. sz. mell.'!J52)</f>
        <v>7853376</v>
      </c>
      <c r="AE52" s="1885"/>
      <c r="AF52" s="1871">
        <f>SUM('5.1.a. sz. mell.'!L52+'5.1.b. sz. mell.'!L52+'5.1.c. sz. mell.'!L52)</f>
        <v>7853376</v>
      </c>
      <c r="AG52" s="1903">
        <f>SUM('5.1.a. sz. mell.'!M52+'5.1.b. sz. mell.'!M52+'5.1.c. sz. mell.'!M52)</f>
        <v>7517533</v>
      </c>
    </row>
    <row r="53" spans="1:33" s="145" customFormat="1" ht="12.75" hidden="1" customHeight="1" x14ac:dyDescent="0.2">
      <c r="A53" s="142"/>
      <c r="B53" s="253"/>
      <c r="C53" s="309" t="s">
        <v>463</v>
      </c>
      <c r="D53" s="302"/>
      <c r="E53" s="302"/>
      <c r="F53" s="302"/>
      <c r="G53" s="2740"/>
      <c r="H53" s="302"/>
      <c r="I53" s="1510"/>
      <c r="J53" s="302"/>
      <c r="K53" s="1510"/>
      <c r="L53" s="302"/>
      <c r="M53" s="302"/>
      <c r="R53" s="1876">
        <f t="shared" si="3"/>
        <v>0</v>
      </c>
      <c r="S53" s="1876"/>
      <c r="T53" s="1885">
        <f t="shared" si="4"/>
        <v>0</v>
      </c>
      <c r="U53" s="1885"/>
      <c r="V53" s="248">
        <f t="shared" si="6"/>
        <v>0</v>
      </c>
      <c r="W53" s="248"/>
      <c r="X53" s="1871">
        <f t="shared" si="7"/>
        <v>0</v>
      </c>
      <c r="Y53" s="1903">
        <f t="shared" si="8"/>
        <v>0</v>
      </c>
      <c r="Z53" s="1952">
        <f>SUM('5.1.a. sz. mell.'!F53+'5.1.b. sz. mell.'!F53+'5.1.c. sz. mell.'!F53)</f>
        <v>0</v>
      </c>
      <c r="AA53" s="2217"/>
      <c r="AB53" s="1885">
        <f>SUM('5.1.a. sz. mell.'!H53+'5.1.b. sz. mell.'!H53+'5.1.c. sz. mell.'!H53)</f>
        <v>0</v>
      </c>
      <c r="AC53" s="1885"/>
      <c r="AD53" s="248">
        <f>SUM('5.1.a. sz. mell.'!J53+'5.1.b. sz. mell.'!J53+'5.1.c. sz. mell.'!J53)</f>
        <v>0</v>
      </c>
      <c r="AE53" s="1885"/>
      <c r="AF53" s="1871">
        <f>SUM('5.1.a. sz. mell.'!L53+'5.1.b. sz. mell.'!L53+'5.1.c. sz. mell.'!L53)</f>
        <v>0</v>
      </c>
      <c r="AG53" s="1903">
        <f>SUM('5.1.a. sz. mell.'!M53+'5.1.b. sz. mell.'!M53+'5.1.c. sz. mell.'!M53)</f>
        <v>0</v>
      </c>
    </row>
    <row r="54" spans="1:33" s="145" customFormat="1" ht="15" customHeight="1" x14ac:dyDescent="0.2">
      <c r="A54" s="142"/>
      <c r="B54" s="253" t="s">
        <v>158</v>
      </c>
      <c r="C54" s="55" t="s">
        <v>159</v>
      </c>
      <c r="D54" s="144"/>
      <c r="E54" s="144"/>
      <c r="F54" s="144"/>
      <c r="G54" s="1415"/>
      <c r="H54" s="144"/>
      <c r="I54" s="1376"/>
      <c r="J54" s="144"/>
      <c r="K54" s="1376"/>
      <c r="L54" s="144"/>
      <c r="M54" s="144"/>
      <c r="R54" s="1876">
        <f t="shared" si="3"/>
        <v>0</v>
      </c>
      <c r="S54" s="1876"/>
      <c r="T54" s="1885">
        <f t="shared" si="4"/>
        <v>0</v>
      </c>
      <c r="U54" s="1885"/>
      <c r="V54" s="248">
        <f t="shared" si="6"/>
        <v>0</v>
      </c>
      <c r="W54" s="248"/>
      <c r="X54" s="1871">
        <f t="shared" si="7"/>
        <v>0</v>
      </c>
      <c r="Y54" s="1903">
        <f t="shared" si="8"/>
        <v>0</v>
      </c>
      <c r="Z54" s="1952">
        <f>SUM('5.1.a. sz. mell.'!F54+'5.1.b. sz. mell.'!F54+'5.1.c. sz. mell.'!F54)</f>
        <v>0</v>
      </c>
      <c r="AA54" s="2217"/>
      <c r="AB54" s="1885">
        <f>SUM('5.1.a. sz. mell.'!H54+'5.1.b. sz. mell.'!H54+'5.1.c. sz. mell.'!H54)</f>
        <v>0</v>
      </c>
      <c r="AC54" s="1885"/>
      <c r="AD54" s="248">
        <f>SUM('5.1.a. sz. mell.'!J54+'5.1.b. sz. mell.'!J54+'5.1.c. sz. mell.'!J54)</f>
        <v>0</v>
      </c>
      <c r="AE54" s="1885"/>
      <c r="AF54" s="1871">
        <f>SUM('5.1.a. sz. mell.'!L54+'5.1.b. sz. mell.'!L54+'5.1.c. sz. mell.'!L54)</f>
        <v>0</v>
      </c>
      <c r="AG54" s="1903">
        <f>SUM('5.1.a. sz. mell.'!M54+'5.1.b. sz. mell.'!M54+'5.1.c. sz. mell.'!M54)</f>
        <v>0</v>
      </c>
    </row>
    <row r="55" spans="1:33" ht="15.75" thickBot="1" x14ac:dyDescent="0.25">
      <c r="A55" s="142"/>
      <c r="B55" s="253" t="s">
        <v>375</v>
      </c>
      <c r="C55" s="55" t="s">
        <v>161</v>
      </c>
      <c r="D55" s="144">
        <v>0</v>
      </c>
      <c r="E55" s="144">
        <v>0</v>
      </c>
      <c r="F55" s="144"/>
      <c r="G55" s="1415"/>
      <c r="H55" s="144"/>
      <c r="I55" s="1376"/>
      <c r="J55" s="144"/>
      <c r="K55" s="1376"/>
      <c r="L55" s="144"/>
      <c r="M55" s="144"/>
      <c r="R55" s="1876">
        <f t="shared" si="3"/>
        <v>0</v>
      </c>
      <c r="S55" s="1876"/>
      <c r="T55" s="1885">
        <f t="shared" si="4"/>
        <v>0</v>
      </c>
      <c r="U55" s="1885"/>
      <c r="V55" s="248">
        <f t="shared" si="6"/>
        <v>0</v>
      </c>
      <c r="W55" s="248"/>
      <c r="X55" s="1871">
        <f t="shared" si="7"/>
        <v>0</v>
      </c>
      <c r="Y55" s="1903">
        <f t="shared" si="8"/>
        <v>0</v>
      </c>
      <c r="Z55" s="1952">
        <f>SUM('5.1.a. sz. mell.'!F55+'5.1.b. sz. mell.'!F55+'5.1.c. sz. mell.'!F55)</f>
        <v>0</v>
      </c>
      <c r="AA55" s="2217"/>
      <c r="AB55" s="1885">
        <f>SUM('5.1.a. sz. mell.'!H55+'5.1.b. sz. mell.'!H55+'5.1.c. sz. mell.'!H55)</f>
        <v>0</v>
      </c>
      <c r="AC55" s="1885"/>
      <c r="AD55" s="248">
        <f>SUM('5.1.a. sz. mell.'!J55+'5.1.b. sz. mell.'!J55+'5.1.c. sz. mell.'!J55)</f>
        <v>0</v>
      </c>
      <c r="AE55" s="1885"/>
      <c r="AF55" s="1871">
        <f>SUM('5.1.a. sz. mell.'!L55+'5.1.b. sz. mell.'!L55+'5.1.c. sz. mell.'!L55)</f>
        <v>0</v>
      </c>
      <c r="AG55" s="1903">
        <f>SUM('5.1.a. sz. mell.'!M55+'5.1.b. sz. mell.'!M55+'5.1.c. sz. mell.'!M55)</f>
        <v>0</v>
      </c>
    </row>
    <row r="56" spans="1:33" ht="15.75" thickBot="1" x14ac:dyDescent="0.25">
      <c r="A56" s="134" t="s">
        <v>17</v>
      </c>
      <c r="B56" s="170"/>
      <c r="C56" s="170" t="s">
        <v>464</v>
      </c>
      <c r="D56" s="137">
        <f>SUM(D57:D60)</f>
        <v>0</v>
      </c>
      <c r="E56" s="137">
        <f>SUM(E57:E60)</f>
        <v>0</v>
      </c>
      <c r="F56" s="137">
        <f>SUM(F57:F60)</f>
        <v>355600</v>
      </c>
      <c r="G56" s="1381">
        <f>SUM(H56-F56)</f>
        <v>0</v>
      </c>
      <c r="H56" s="137">
        <f>SUM(H57:H60)</f>
        <v>355600</v>
      </c>
      <c r="I56" s="1380">
        <f>SUM(J56-H56)</f>
        <v>-32140</v>
      </c>
      <c r="J56" s="137">
        <f>SUM(J57:J60)</f>
        <v>323460</v>
      </c>
      <c r="K56" s="1380">
        <f>SUM(L56-J56)</f>
        <v>0</v>
      </c>
      <c r="L56" s="137">
        <f>SUM(L57:L60)</f>
        <v>323460</v>
      </c>
      <c r="M56" s="137">
        <f>SUM(M57:M60)</f>
        <v>323460</v>
      </c>
      <c r="R56" s="1876">
        <f t="shared" si="3"/>
        <v>0</v>
      </c>
      <c r="S56" s="1876"/>
      <c r="T56" s="1885">
        <f t="shared" si="4"/>
        <v>0</v>
      </c>
      <c r="U56" s="1885"/>
      <c r="V56" s="248">
        <f t="shared" si="6"/>
        <v>0</v>
      </c>
      <c r="W56" s="248"/>
      <c r="X56" s="1871">
        <f t="shared" si="7"/>
        <v>0</v>
      </c>
      <c r="Y56" s="1903">
        <f t="shared" si="8"/>
        <v>0</v>
      </c>
      <c r="Z56" s="1952">
        <f>SUM('5.1.a. sz. mell.'!F56+'5.1.b. sz. mell.'!F56+'5.1.c. sz. mell.'!F56)</f>
        <v>355600</v>
      </c>
      <c r="AA56" s="2217"/>
      <c r="AB56" s="1885">
        <f>SUM('5.1.a. sz. mell.'!H56+'5.1.b. sz. mell.'!H56+'5.1.c. sz. mell.'!H56)</f>
        <v>355600</v>
      </c>
      <c r="AC56" s="1885"/>
      <c r="AD56" s="248">
        <f>SUM('5.1.a. sz. mell.'!J56+'5.1.b. sz. mell.'!J56+'5.1.c. sz. mell.'!J56)</f>
        <v>323460</v>
      </c>
      <c r="AE56" s="1885"/>
      <c r="AF56" s="1871">
        <f>SUM('5.1.a. sz. mell.'!L56+'5.1.b. sz. mell.'!L56+'5.1.c. sz. mell.'!L56)</f>
        <v>323460</v>
      </c>
      <c r="AG56" s="1903">
        <f>SUM('5.1.a. sz. mell.'!M56+'5.1.b. sz. mell.'!M56+'5.1.c. sz. mell.'!M56)</f>
        <v>323460</v>
      </c>
    </row>
    <row r="57" spans="1:33" ht="15" x14ac:dyDescent="0.2">
      <c r="A57" s="173"/>
      <c r="B57" s="267" t="s">
        <v>5</v>
      </c>
      <c r="C57" s="251" t="s">
        <v>183</v>
      </c>
      <c r="D57" s="175">
        <v>0</v>
      </c>
      <c r="E57" s="175">
        <v>0</v>
      </c>
      <c r="F57" s="175">
        <v>355600</v>
      </c>
      <c r="G57" s="1415">
        <f t="shared" ref="G57:K64" si="10">SUM(H57-F57)</f>
        <v>0</v>
      </c>
      <c r="H57" s="175">
        <v>355600</v>
      </c>
      <c r="I57" s="1376">
        <f t="shared" si="10"/>
        <v>-32140</v>
      </c>
      <c r="J57" s="175">
        <v>323460</v>
      </c>
      <c r="K57" s="1376">
        <f t="shared" si="10"/>
        <v>0</v>
      </c>
      <c r="L57" s="175">
        <v>323460</v>
      </c>
      <c r="M57" s="175">
        <v>323460</v>
      </c>
      <c r="R57" s="1876">
        <f t="shared" si="3"/>
        <v>0</v>
      </c>
      <c r="S57" s="1876"/>
      <c r="T57" s="1885">
        <f t="shared" si="4"/>
        <v>0</v>
      </c>
      <c r="U57" s="1885"/>
      <c r="V57" s="248">
        <f t="shared" si="6"/>
        <v>0</v>
      </c>
      <c r="W57" s="248"/>
      <c r="X57" s="1871">
        <f t="shared" si="7"/>
        <v>0</v>
      </c>
      <c r="Y57" s="1903">
        <f t="shared" si="8"/>
        <v>0</v>
      </c>
      <c r="Z57" s="1952">
        <f>SUM('5.1.a. sz. mell.'!F57+'5.1.b. sz. mell.'!F57+'5.1.c. sz. mell.'!F57)</f>
        <v>355600</v>
      </c>
      <c r="AA57" s="2217"/>
      <c r="AB57" s="1885">
        <f>SUM('5.1.a. sz. mell.'!H57+'5.1.b. sz. mell.'!H57+'5.1.c. sz. mell.'!H57)</f>
        <v>355600</v>
      </c>
      <c r="AC57" s="1885"/>
      <c r="AD57" s="248">
        <f>SUM('5.1.a. sz. mell.'!J57+'5.1.b. sz. mell.'!J57+'5.1.c. sz. mell.'!J57)</f>
        <v>323460</v>
      </c>
      <c r="AE57" s="1885"/>
      <c r="AF57" s="1871">
        <f>SUM('5.1.a. sz. mell.'!L57+'5.1.b. sz. mell.'!L57+'5.1.c. sz. mell.'!L57)</f>
        <v>323460</v>
      </c>
      <c r="AG57" s="1903">
        <f>SUM('5.1.a. sz. mell.'!M57+'5.1.b. sz. mell.'!M57+'5.1.c. sz. mell.'!M57)</f>
        <v>323460</v>
      </c>
    </row>
    <row r="58" spans="1:33" ht="15" x14ac:dyDescent="0.2">
      <c r="A58" s="142"/>
      <c r="B58" s="253" t="s">
        <v>7</v>
      </c>
      <c r="C58" s="55" t="s">
        <v>185</v>
      </c>
      <c r="D58" s="144">
        <v>0</v>
      </c>
      <c r="E58" s="144">
        <v>0</v>
      </c>
      <c r="F58" s="144"/>
      <c r="G58" s="1415">
        <f t="shared" si="10"/>
        <v>0</v>
      </c>
      <c r="H58" s="144"/>
      <c r="I58" s="1376">
        <f t="shared" si="10"/>
        <v>0</v>
      </c>
      <c r="J58" s="144"/>
      <c r="K58" s="1376">
        <f t="shared" si="10"/>
        <v>0</v>
      </c>
      <c r="L58" s="144"/>
      <c r="M58" s="144">
        <v>0</v>
      </c>
      <c r="R58" s="1876">
        <f t="shared" si="3"/>
        <v>0</v>
      </c>
      <c r="S58" s="1876"/>
      <c r="T58" s="1885">
        <f t="shared" si="4"/>
        <v>0</v>
      </c>
      <c r="U58" s="1885"/>
      <c r="V58" s="248">
        <f t="shared" si="6"/>
        <v>0</v>
      </c>
      <c r="W58" s="248"/>
      <c r="X58" s="1871">
        <f t="shared" si="7"/>
        <v>0</v>
      </c>
      <c r="Y58" s="1903">
        <f t="shared" si="8"/>
        <v>0</v>
      </c>
      <c r="Z58" s="1952">
        <f>SUM('5.1.a. sz. mell.'!F58+'5.1.b. sz. mell.'!F58+'5.1.c. sz. mell.'!F58)</f>
        <v>0</v>
      </c>
      <c r="AA58" s="2217"/>
      <c r="AB58" s="1885">
        <f>SUM('5.1.a. sz. mell.'!H58+'5.1.b. sz. mell.'!H58+'5.1.c. sz. mell.'!H58)</f>
        <v>0</v>
      </c>
      <c r="AC58" s="1885"/>
      <c r="AD58" s="248">
        <f>SUM('5.1.a. sz. mell.'!J58+'5.1.b. sz. mell.'!J58+'5.1.c. sz. mell.'!J58)</f>
        <v>0</v>
      </c>
      <c r="AE58" s="1885"/>
      <c r="AF58" s="1871">
        <f>SUM('5.1.a. sz. mell.'!L58+'5.1.b. sz. mell.'!L58+'5.1.c. sz. mell.'!L58)</f>
        <v>0</v>
      </c>
      <c r="AG58" s="1903">
        <f>SUM('5.1.a. sz. mell.'!M58+'5.1.b. sz. mell.'!M58+'5.1.c. sz. mell.'!M58)</f>
        <v>0</v>
      </c>
    </row>
    <row r="59" spans="1:33" ht="15.75" thickBot="1" x14ac:dyDescent="0.25">
      <c r="A59" s="142"/>
      <c r="B59" s="253" t="s">
        <v>9</v>
      </c>
      <c r="C59" s="55" t="s">
        <v>444</v>
      </c>
      <c r="D59" s="144">
        <v>0</v>
      </c>
      <c r="E59" s="144">
        <v>0</v>
      </c>
      <c r="F59" s="144">
        <v>0</v>
      </c>
      <c r="G59" s="1415">
        <f t="shared" si="10"/>
        <v>0</v>
      </c>
      <c r="H59" s="144">
        <v>0</v>
      </c>
      <c r="I59" s="1376">
        <f t="shared" si="10"/>
        <v>0</v>
      </c>
      <c r="J59" s="144"/>
      <c r="K59" s="1376">
        <f t="shared" si="10"/>
        <v>0</v>
      </c>
      <c r="L59" s="144"/>
      <c r="M59" s="144">
        <v>0</v>
      </c>
      <c r="R59" s="1876">
        <f t="shared" si="3"/>
        <v>0</v>
      </c>
      <c r="S59" s="1876"/>
      <c r="T59" s="1885">
        <f t="shared" si="4"/>
        <v>0</v>
      </c>
      <c r="U59" s="1885"/>
      <c r="V59" s="248">
        <f t="shared" si="6"/>
        <v>0</v>
      </c>
      <c r="W59" s="248"/>
      <c r="X59" s="1871">
        <f t="shared" si="7"/>
        <v>0</v>
      </c>
      <c r="Y59" s="1903">
        <f t="shared" si="8"/>
        <v>0</v>
      </c>
      <c r="Z59" s="1952">
        <f>SUM('5.1.a. sz. mell.'!F59+'5.1.b. sz. mell.'!F59+'5.1.c. sz. mell.'!F59)</f>
        <v>0</v>
      </c>
      <c r="AA59" s="2217"/>
      <c r="AB59" s="1885">
        <f>SUM('5.1.a. sz. mell.'!H59+'5.1.b. sz. mell.'!H59+'5.1.c. sz. mell.'!H59)</f>
        <v>0</v>
      </c>
      <c r="AC59" s="1885"/>
      <c r="AD59" s="248">
        <f>SUM('5.1.a. sz. mell.'!J59+'5.1.b. sz. mell.'!J59+'5.1.c. sz. mell.'!J59)</f>
        <v>0</v>
      </c>
      <c r="AE59" s="1885"/>
      <c r="AF59" s="1871">
        <f>SUM('5.1.a. sz. mell.'!L59+'5.1.b. sz. mell.'!L59+'5.1.c. sz. mell.'!L59)</f>
        <v>0</v>
      </c>
      <c r="AG59" s="1903">
        <f>SUM('5.1.a. sz. mell.'!M59+'5.1.b. sz. mell.'!M59+'5.1.c. sz. mell.'!M59)</f>
        <v>0</v>
      </c>
    </row>
    <row r="60" spans="1:33" ht="15.75" hidden="1" thickBot="1" x14ac:dyDescent="0.25">
      <c r="A60" s="142"/>
      <c r="B60" s="253"/>
      <c r="C60" s="55"/>
      <c r="D60" s="144">
        <v>0</v>
      </c>
      <c r="E60" s="144">
        <v>0</v>
      </c>
      <c r="F60" s="144">
        <v>0</v>
      </c>
      <c r="G60" s="1415">
        <f t="shared" si="10"/>
        <v>0</v>
      </c>
      <c r="H60" s="144">
        <v>0</v>
      </c>
      <c r="I60" s="1376">
        <f t="shared" si="10"/>
        <v>0</v>
      </c>
      <c r="J60" s="144">
        <v>0</v>
      </c>
      <c r="K60" s="1376">
        <f t="shared" si="10"/>
        <v>0</v>
      </c>
      <c r="L60" s="144">
        <v>0</v>
      </c>
      <c r="M60" s="144">
        <v>0</v>
      </c>
      <c r="R60" s="1876">
        <f t="shared" si="3"/>
        <v>0</v>
      </c>
      <c r="S60" s="1876"/>
      <c r="T60" s="1885">
        <f t="shared" si="4"/>
        <v>0</v>
      </c>
      <c r="U60" s="1885"/>
      <c r="V60" s="248">
        <f t="shared" si="6"/>
        <v>0</v>
      </c>
      <c r="W60" s="248"/>
      <c r="X60" s="1871">
        <f t="shared" si="7"/>
        <v>0</v>
      </c>
      <c r="Y60" s="1903">
        <f t="shared" si="8"/>
        <v>0</v>
      </c>
      <c r="Z60" s="1952">
        <f>SUM('5.1.a. sz. mell.'!F60+'5.1.b. sz. mell.'!F60+'5.1.c. sz. mell.'!F60)</f>
        <v>0</v>
      </c>
      <c r="AA60" s="2217"/>
      <c r="AB60" s="1885">
        <f>SUM('5.1.a. sz. mell.'!H60+'5.1.b. sz. mell.'!H60+'5.1.c. sz. mell.'!H60)</f>
        <v>0</v>
      </c>
      <c r="AC60" s="1885"/>
      <c r="AD60" s="248">
        <f>SUM('5.1.a. sz. mell.'!J60+'5.1.b. sz. mell.'!J60+'5.1.c. sz. mell.'!J60)</f>
        <v>0</v>
      </c>
      <c r="AE60" s="1885"/>
      <c r="AF60" s="1871">
        <f>SUM('5.1.a. sz. mell.'!L60+'5.1.b. sz. mell.'!L60+'5.1.c. sz. mell.'!L60)</f>
        <v>0</v>
      </c>
      <c r="AG60" s="1903">
        <f>SUM('5.1.a. sz. mell.'!M60+'5.1.b. sz. mell.'!M60+'5.1.c. sz. mell.'!M60)</f>
        <v>0</v>
      </c>
    </row>
    <row r="61" spans="1:33" ht="15.75" hidden="1" thickBot="1" x14ac:dyDescent="0.25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415">
        <f t="shared" si="10"/>
        <v>0</v>
      </c>
      <c r="H61" s="155">
        <v>0</v>
      </c>
      <c r="I61" s="1376">
        <f t="shared" si="10"/>
        <v>0</v>
      </c>
      <c r="J61" s="155">
        <v>0</v>
      </c>
      <c r="K61" s="1376">
        <f t="shared" si="10"/>
        <v>0</v>
      </c>
      <c r="L61" s="155">
        <v>0</v>
      </c>
      <c r="M61" s="155">
        <v>0</v>
      </c>
      <c r="R61" s="1876">
        <f t="shared" si="3"/>
        <v>0</v>
      </c>
      <c r="S61" s="1876"/>
      <c r="T61" s="1885">
        <f t="shared" si="4"/>
        <v>0</v>
      </c>
      <c r="U61" s="1885"/>
      <c r="V61" s="248">
        <f t="shared" si="6"/>
        <v>0</v>
      </c>
      <c r="W61" s="248"/>
      <c r="X61" s="1871">
        <f t="shared" si="7"/>
        <v>0</v>
      </c>
      <c r="Y61" s="1903">
        <f t="shared" si="8"/>
        <v>0</v>
      </c>
      <c r="Z61" s="1952">
        <f>SUM('5.1.a. sz. mell.'!F61+'5.1.b. sz. mell.'!F61+'5.1.c. sz. mell.'!F61)</f>
        <v>0</v>
      </c>
      <c r="AA61" s="2217"/>
      <c r="AB61" s="1885">
        <f>SUM('5.1.a. sz. mell.'!H61+'5.1.b. sz. mell.'!H61+'5.1.c. sz. mell.'!H61)</f>
        <v>0</v>
      </c>
      <c r="AC61" s="1885"/>
      <c r="AD61" s="248">
        <f>SUM('5.1.a. sz. mell.'!J61+'5.1.b. sz. mell.'!J61+'5.1.c. sz. mell.'!J61)</f>
        <v>0</v>
      </c>
      <c r="AE61" s="1885"/>
      <c r="AF61" s="1871">
        <f>SUM('5.1.a. sz. mell.'!L61+'5.1.b. sz. mell.'!L61+'5.1.c. sz. mell.'!L61)</f>
        <v>0</v>
      </c>
      <c r="AG61" s="1903">
        <f>SUM('5.1.a. sz. mell.'!M61+'5.1.b. sz. mell.'!M61+'5.1.c. sz. mell.'!M61)</f>
        <v>0</v>
      </c>
    </row>
    <row r="62" spans="1:33" ht="15.75" hidden="1" thickBot="1" x14ac:dyDescent="0.25">
      <c r="A62" s="134"/>
      <c r="B62" s="170"/>
      <c r="C62" s="171" t="s">
        <v>459</v>
      </c>
      <c r="D62" s="155"/>
      <c r="E62" s="155"/>
      <c r="F62" s="155"/>
      <c r="G62" s="1415">
        <f t="shared" si="10"/>
        <v>0</v>
      </c>
      <c r="H62" s="155"/>
      <c r="I62" s="1376">
        <f t="shared" si="10"/>
        <v>0</v>
      </c>
      <c r="J62" s="155"/>
      <c r="K62" s="1376">
        <f t="shared" si="10"/>
        <v>0</v>
      </c>
      <c r="L62" s="155"/>
      <c r="M62" s="155"/>
      <c r="R62" s="1876">
        <f t="shared" si="3"/>
        <v>0</v>
      </c>
      <c r="S62" s="1876"/>
      <c r="T62" s="1885">
        <f t="shared" si="4"/>
        <v>0</v>
      </c>
      <c r="U62" s="1885"/>
      <c r="V62" s="248">
        <f t="shared" si="6"/>
        <v>0</v>
      </c>
      <c r="W62" s="248"/>
      <c r="X62" s="1871">
        <f t="shared" si="7"/>
        <v>0</v>
      </c>
      <c r="Y62" s="1903">
        <f t="shared" si="8"/>
        <v>0</v>
      </c>
      <c r="Z62" s="1952">
        <f>SUM('5.1.a. sz. mell.'!F62+'5.1.b. sz. mell.'!F62+'5.1.c. sz. mell.'!F62)</f>
        <v>0</v>
      </c>
      <c r="AA62" s="2217"/>
      <c r="AB62" s="1885">
        <f>SUM('5.1.a. sz. mell.'!H62+'5.1.b. sz. mell.'!H62+'5.1.c. sz. mell.'!H62)</f>
        <v>0</v>
      </c>
      <c r="AC62" s="1885"/>
      <c r="AD62" s="248">
        <f>SUM('5.1.a. sz. mell.'!J62+'5.1.b. sz. mell.'!J62+'5.1.c. sz. mell.'!J62)</f>
        <v>0</v>
      </c>
      <c r="AE62" s="1885"/>
      <c r="AF62" s="1871">
        <f>SUM('5.1.a. sz. mell.'!L62+'5.1.b. sz. mell.'!L62+'5.1.c. sz. mell.'!L62)</f>
        <v>0</v>
      </c>
      <c r="AG62" s="1903">
        <f>SUM('5.1.a. sz. mell.'!M62+'5.1.b. sz. mell.'!M62+'5.1.c. sz. mell.'!M62)</f>
        <v>0</v>
      </c>
    </row>
    <row r="63" spans="1:33" ht="16.5" thickBot="1" x14ac:dyDescent="0.25">
      <c r="A63" s="192" t="s">
        <v>31</v>
      </c>
      <c r="B63" s="160"/>
      <c r="C63" s="274" t="s">
        <v>465</v>
      </c>
      <c r="D63" s="162">
        <f>+D47+D56+D61</f>
        <v>58011</v>
      </c>
      <c r="E63" s="162">
        <f>+E47+E56+E61</f>
        <v>61008</v>
      </c>
      <c r="F63" s="162">
        <f>+F47+F56+F61</f>
        <v>89827568</v>
      </c>
      <c r="G63" s="1437">
        <f t="shared" si="10"/>
        <v>687260</v>
      </c>
      <c r="H63" s="162">
        <f>+H47+H56+H61</f>
        <v>90514828</v>
      </c>
      <c r="I63" s="1373">
        <f t="shared" si="10"/>
        <v>1540687</v>
      </c>
      <c r="J63" s="162">
        <f>+J47+J56+J61</f>
        <v>92055515</v>
      </c>
      <c r="K63" s="1373">
        <f t="shared" si="10"/>
        <v>0</v>
      </c>
      <c r="L63" s="162">
        <f>+L47+L56+L61</f>
        <v>92055515</v>
      </c>
      <c r="M63" s="162">
        <f>+M47+M56+M61</f>
        <v>91573743</v>
      </c>
      <c r="R63" s="1876">
        <f t="shared" si="3"/>
        <v>0</v>
      </c>
      <c r="S63" s="1876"/>
      <c r="T63" s="1885">
        <f t="shared" si="4"/>
        <v>0</v>
      </c>
      <c r="U63" s="1885"/>
      <c r="V63" s="248">
        <f t="shared" si="6"/>
        <v>0</v>
      </c>
      <c r="W63" s="248"/>
      <c r="X63" s="1871">
        <f t="shared" si="7"/>
        <v>0</v>
      </c>
      <c r="Y63" s="1903">
        <f t="shared" si="8"/>
        <v>0</v>
      </c>
      <c r="Z63" s="1952">
        <f>SUM('5.1.a. sz. mell.'!F63+'5.1.b. sz. mell.'!F63+'5.1.c. sz. mell.'!F63)</f>
        <v>89827568</v>
      </c>
      <c r="AA63" s="2217"/>
      <c r="AB63" s="1885">
        <f>SUM('5.1.a. sz. mell.'!H63+'5.1.b. sz. mell.'!H63+'5.1.c. sz. mell.'!H63)</f>
        <v>90514828</v>
      </c>
      <c r="AC63" s="1885"/>
      <c r="AD63" s="248">
        <f>SUM('5.1.a. sz. mell.'!J63+'5.1.b. sz. mell.'!J63+'5.1.c. sz. mell.'!J63)</f>
        <v>92055515</v>
      </c>
      <c r="AE63" s="1885"/>
      <c r="AF63" s="1871">
        <f>SUM('5.1.a. sz. mell.'!L63+'5.1.b. sz. mell.'!L63+'5.1.c. sz. mell.'!L63)</f>
        <v>92055515</v>
      </c>
      <c r="AG63" s="1903">
        <f>SUM('5.1.a. sz. mell.'!M63+'5.1.b. sz. mell.'!M63+'5.1.c. sz. mell.'!M63)</f>
        <v>91573743</v>
      </c>
    </row>
    <row r="64" spans="1:33" ht="16.5" thickBot="1" x14ac:dyDescent="0.25">
      <c r="A64" s="276" t="s">
        <v>324</v>
      </c>
      <c r="B64" s="277"/>
      <c r="C64" s="278"/>
      <c r="D64" s="279">
        <v>18</v>
      </c>
      <c r="E64" s="279">
        <v>18</v>
      </c>
      <c r="F64" s="200">
        <v>20</v>
      </c>
      <c r="G64" s="1559">
        <f>SUM(H64-F64)</f>
        <v>0</v>
      </c>
      <c r="H64" s="200">
        <v>20</v>
      </c>
      <c r="I64" s="1373">
        <f t="shared" si="10"/>
        <v>1</v>
      </c>
      <c r="J64" s="200">
        <v>21</v>
      </c>
      <c r="K64" s="3511">
        <f t="shared" si="10"/>
        <v>0</v>
      </c>
      <c r="L64" s="200">
        <v>21</v>
      </c>
      <c r="M64" s="200">
        <v>21</v>
      </c>
      <c r="R64" s="1876">
        <f>SUM(F64-Z64)</f>
        <v>0</v>
      </c>
      <c r="S64" s="1876"/>
      <c r="T64" s="1885">
        <f>SUM(H64-AB64)</f>
        <v>0</v>
      </c>
      <c r="U64" s="1885"/>
      <c r="V64" s="248">
        <f>SUM(J658-AD65)</f>
        <v>0</v>
      </c>
      <c r="W64" s="248"/>
      <c r="X64" s="1871">
        <f t="shared" si="7"/>
        <v>0</v>
      </c>
      <c r="Y64" s="1903">
        <f t="shared" si="8"/>
        <v>0</v>
      </c>
      <c r="Z64" s="1952">
        <f>SUM('5.1.a. sz. mell.'!F64+'5.1.b. sz. mell.'!F65+'5.1.c. sz. mell.'!F65)</f>
        <v>20</v>
      </c>
      <c r="AA64" s="2217"/>
      <c r="AB64" s="1885">
        <f>SUM('5.1.a. sz. mell.'!H64+'5.1.b. sz. mell.'!H65+'5.1.c. sz. mell.'!H65)</f>
        <v>20</v>
      </c>
      <c r="AC64" s="1885"/>
      <c r="AD64" s="248">
        <f>SUM('5.1.a. sz. mell.'!J64+'5.1.b. sz. mell.'!J65+'5.1.c. sz. mell.'!J65)</f>
        <v>21</v>
      </c>
      <c r="AE64" s="1885"/>
      <c r="AF64" s="1871">
        <f>SUM('5.1.a. sz. mell.'!L64+'5.1.b. sz. mell.'!L65+'5.1.c. sz. mell.'!L65)</f>
        <v>21</v>
      </c>
      <c r="AG64" s="1903">
        <f>SUM('5.1.a. sz. mell.'!M64+'5.1.b. sz. mell.'!M65+'5.1.c. sz. mell.'!M65)</f>
        <v>21</v>
      </c>
    </row>
    <row r="65" spans="1:27" ht="15.75" thickBot="1" x14ac:dyDescent="0.25">
      <c r="A65" s="276" t="s">
        <v>325</v>
      </c>
      <c r="B65" s="277"/>
      <c r="C65" s="278"/>
      <c r="D65" s="279"/>
      <c r="E65" s="279"/>
      <c r="F65" s="279"/>
      <c r="G65" s="1560"/>
      <c r="H65" s="279"/>
      <c r="I65" s="1389"/>
      <c r="J65" s="279"/>
      <c r="K65" s="1389"/>
      <c r="L65" s="279"/>
      <c r="M65" s="279"/>
      <c r="R65" s="1876"/>
      <c r="S65" s="1876"/>
      <c r="T65" s="1885"/>
      <c r="U65" s="1885"/>
      <c r="V65" s="248"/>
      <c r="W65" s="248"/>
      <c r="X65" s="1871"/>
      <c r="Y65" s="1903"/>
      <c r="Z65" s="1953"/>
      <c r="AA65" s="2342"/>
    </row>
    <row r="71" spans="1:27" ht="20.45" customHeight="1" x14ac:dyDescent="0.2">
      <c r="C71" s="116" t="s">
        <v>945</v>
      </c>
      <c r="D71" s="116"/>
      <c r="E71" s="116"/>
      <c r="F71" s="116"/>
      <c r="G71" s="1416"/>
      <c r="H71" s="116"/>
      <c r="I71" s="1416"/>
      <c r="J71" s="116"/>
      <c r="K71" s="1416"/>
      <c r="L71" s="116"/>
      <c r="M71" s="116"/>
    </row>
    <row r="72" spans="1:27" ht="20.45" customHeight="1" x14ac:dyDescent="0.2">
      <c r="C72" s="116" t="s">
        <v>942</v>
      </c>
      <c r="D72" s="116"/>
      <c r="E72" s="116"/>
      <c r="F72" s="116"/>
      <c r="G72" s="1416"/>
      <c r="H72" s="203">
        <v>90514828</v>
      </c>
      <c r="I72" s="1470"/>
      <c r="J72" s="203">
        <v>92055515</v>
      </c>
      <c r="K72" s="1470"/>
      <c r="L72" s="203">
        <v>92055515</v>
      </c>
      <c r="M72" s="203">
        <v>91573743</v>
      </c>
    </row>
    <row r="73" spans="1:27" ht="20.45" customHeight="1" x14ac:dyDescent="0.2">
      <c r="C73" s="116" t="s">
        <v>943</v>
      </c>
      <c r="D73" s="116"/>
      <c r="E73" s="116"/>
      <c r="F73" s="116"/>
      <c r="G73" s="1416"/>
      <c r="H73" s="116">
        <v>0</v>
      </c>
      <c r="I73" s="1416"/>
      <c r="J73" s="116"/>
      <c r="K73" s="1416"/>
      <c r="L73" s="116"/>
      <c r="M73" s="116"/>
    </row>
    <row r="74" spans="1:27" ht="20.45" customHeight="1" x14ac:dyDescent="0.2">
      <c r="C74" s="1710" t="s">
        <v>944</v>
      </c>
      <c r="D74" s="116"/>
      <c r="E74" s="116"/>
      <c r="F74" s="116"/>
      <c r="G74" s="1416"/>
      <c r="H74" s="203">
        <f>SUM(H72:H73)</f>
        <v>90514828</v>
      </c>
      <c r="I74" s="203">
        <v>0</v>
      </c>
      <c r="J74" s="482">
        <f>SUM(J72:J73)</f>
        <v>92055515</v>
      </c>
      <c r="K74" s="482">
        <f>SUM(K72:K73)</f>
        <v>0</v>
      </c>
      <c r="L74" s="482">
        <f>SUM(L72:L73)</f>
        <v>92055515</v>
      </c>
      <c r="M74" s="482">
        <f>SUM(M72:M73)</f>
        <v>91573743</v>
      </c>
      <c r="N74" s="1714"/>
    </row>
    <row r="75" spans="1:27" ht="20.45" customHeight="1" x14ac:dyDescent="0.2">
      <c r="C75" s="116"/>
      <c r="D75" s="116"/>
      <c r="E75" s="116"/>
      <c r="F75" s="116"/>
      <c r="G75" s="1416"/>
      <c r="H75" s="116"/>
      <c r="I75" s="1416"/>
      <c r="J75" s="116"/>
      <c r="K75" s="116"/>
      <c r="L75" s="116"/>
      <c r="M75" s="116"/>
    </row>
    <row r="76" spans="1:27" ht="20.45" customHeight="1" x14ac:dyDescent="0.2">
      <c r="C76" s="1126" t="s">
        <v>893</v>
      </c>
      <c r="D76" s="116"/>
      <c r="E76" s="116"/>
      <c r="F76" s="116"/>
      <c r="G76" s="1416"/>
      <c r="H76" s="1711">
        <f>SUM(H63-H74)</f>
        <v>0</v>
      </c>
      <c r="I76" s="482"/>
      <c r="J76" s="1711">
        <f>SUM(J63-J74)</f>
        <v>0</v>
      </c>
      <c r="K76" s="1711"/>
      <c r="L76" s="1711">
        <f>SUM(L63-L74)</f>
        <v>0</v>
      </c>
      <c r="M76" s="1711">
        <f>SUM(M63-M74)</f>
        <v>0</v>
      </c>
      <c r="N76" s="1398"/>
    </row>
    <row r="77" spans="1:27" ht="20.45" customHeight="1" x14ac:dyDescent="0.2">
      <c r="C77" s="116"/>
      <c r="D77" s="116"/>
      <c r="E77" s="116"/>
      <c r="F77" s="116"/>
      <c r="G77" s="1416"/>
      <c r="H77" s="116"/>
      <c r="I77" s="1416"/>
      <c r="J77" s="116"/>
      <c r="K77" s="1416"/>
      <c r="L77" s="116"/>
      <c r="M77" s="116"/>
    </row>
    <row r="78" spans="1:27" ht="20.45" customHeight="1" x14ac:dyDescent="0.2">
      <c r="C78" s="116" t="s">
        <v>946</v>
      </c>
      <c r="D78" s="116"/>
      <c r="E78" s="116"/>
      <c r="F78" s="116"/>
      <c r="G78" s="1416"/>
      <c r="H78" s="116"/>
      <c r="I78" s="1416"/>
      <c r="J78" s="116"/>
      <c r="K78" s="1416"/>
      <c r="L78" s="116"/>
      <c r="M78" s="116"/>
    </row>
    <row r="79" spans="1:27" ht="20.45" customHeight="1" x14ac:dyDescent="0.2">
      <c r="C79" s="116"/>
      <c r="D79" s="116"/>
      <c r="E79" s="116"/>
      <c r="F79" s="116"/>
      <c r="G79" s="1416"/>
      <c r="H79" s="116"/>
      <c r="I79" s="1416"/>
      <c r="J79" s="116"/>
      <c r="K79" s="1416"/>
      <c r="L79" s="116"/>
      <c r="M79" s="116"/>
    </row>
    <row r="80" spans="1:27" ht="20.45" customHeight="1" x14ac:dyDescent="0.2">
      <c r="C80" s="116" t="s">
        <v>947</v>
      </c>
      <c r="D80" s="116"/>
      <c r="E80" s="116"/>
      <c r="F80" s="116"/>
      <c r="G80" s="1416"/>
      <c r="H80" s="116"/>
      <c r="I80" s="1416"/>
      <c r="J80" s="203">
        <v>54873</v>
      </c>
      <c r="K80" s="1416"/>
      <c r="L80" s="203">
        <v>54873</v>
      </c>
      <c r="M80" s="203">
        <v>54873</v>
      </c>
      <c r="N80" s="92"/>
    </row>
    <row r="81" spans="3:14" ht="20.45" customHeight="1" x14ac:dyDescent="0.2">
      <c r="C81" s="782" t="s">
        <v>948</v>
      </c>
      <c r="D81" s="116"/>
      <c r="E81" s="116"/>
      <c r="F81" s="116"/>
      <c r="G81" s="1416"/>
      <c r="H81" s="116">
        <v>90514828</v>
      </c>
      <c r="I81" s="1416"/>
      <c r="J81" s="203">
        <v>92000642</v>
      </c>
      <c r="K81" s="1416"/>
      <c r="L81" s="203">
        <v>92000642</v>
      </c>
      <c r="M81" s="203">
        <v>92000642</v>
      </c>
      <c r="N81" s="92"/>
    </row>
    <row r="82" spans="3:14" ht="20.45" customHeight="1" x14ac:dyDescent="0.2">
      <c r="C82" s="1710" t="s">
        <v>944</v>
      </c>
      <c r="D82" s="116"/>
      <c r="E82" s="116"/>
      <c r="F82" s="116"/>
      <c r="G82" s="1416"/>
      <c r="H82" s="780">
        <f>SUM(H80:H81)</f>
        <v>90514828</v>
      </c>
      <c r="I82" s="780"/>
      <c r="J82" s="780">
        <f>SUM(J80:J81)</f>
        <v>92055515</v>
      </c>
      <c r="K82" s="780">
        <f>SUM(K80:K81)</f>
        <v>0</v>
      </c>
      <c r="L82" s="482">
        <f>SUM(L80:L81)</f>
        <v>92055515</v>
      </c>
      <c r="M82" s="482">
        <f>SUM(M80:M81)</f>
        <v>92055515</v>
      </c>
      <c r="N82" s="3297"/>
    </row>
    <row r="83" spans="3:14" ht="20.45" customHeight="1" x14ac:dyDescent="0.2">
      <c r="C83" s="116"/>
      <c r="D83" s="116"/>
      <c r="E83" s="116"/>
      <c r="F83" s="116"/>
      <c r="G83" s="1416"/>
      <c r="H83" s="116"/>
      <c r="I83" s="1416"/>
      <c r="J83" s="116"/>
      <c r="K83" s="116"/>
      <c r="L83" s="116"/>
      <c r="M83" s="116"/>
    </row>
    <row r="84" spans="3:14" ht="20.45" customHeight="1" x14ac:dyDescent="0.2">
      <c r="C84" s="1126" t="s">
        <v>279</v>
      </c>
      <c r="D84" s="116"/>
      <c r="E84" s="116"/>
      <c r="F84" s="116"/>
      <c r="G84" s="1416"/>
      <c r="H84" s="1711">
        <f>SUM(H44-H82)</f>
        <v>0</v>
      </c>
      <c r="I84" s="1711"/>
      <c r="J84" s="1711">
        <f>SUM(J44-J82)</f>
        <v>0</v>
      </c>
      <c r="K84" s="1711"/>
      <c r="L84" s="1711">
        <f>SUM(L44-L82)</f>
        <v>0</v>
      </c>
      <c r="M84" s="1711">
        <f>SUM(M44-M82)</f>
        <v>0</v>
      </c>
    </row>
    <row r="85" spans="3:14" ht="15.75" x14ac:dyDescent="0.2">
      <c r="C85" s="116"/>
      <c r="D85" s="116"/>
      <c r="E85" s="116"/>
      <c r="F85" s="116"/>
      <c r="G85" s="1416"/>
      <c r="H85" s="116"/>
      <c r="I85" s="1416"/>
      <c r="J85" s="116"/>
      <c r="K85" s="1416"/>
      <c r="L85" s="116"/>
      <c r="M85" s="116"/>
    </row>
  </sheetData>
  <mergeCells count="20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  <mergeCell ref="AF3:AF4"/>
    <mergeCell ref="T3:T4"/>
    <mergeCell ref="AB3:AB4"/>
    <mergeCell ref="V3:V4"/>
    <mergeCell ref="X3:X4"/>
    <mergeCell ref="AD3:AD4"/>
  </mergeCells>
  <printOptions horizontalCentered="1"/>
  <pageMargins left="0.27559055118110237" right="0.27559055118110237" top="0.31496062992125984" bottom="0.19685039370078741" header="0.51181102362204722" footer="0.15748031496062992"/>
  <pageSetup paperSize="9" scale="72" firstPageNumber="44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65"/>
  <sheetViews>
    <sheetView view="pageBreakPreview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4" style="115" customWidth="1"/>
    <col min="4" max="5" width="9.33203125" style="115" hidden="1" customWidth="1"/>
    <col min="6" max="6" width="13.33203125" style="115" customWidth="1"/>
    <col min="7" max="7" width="15.6640625" style="1390" hidden="1" customWidth="1"/>
    <col min="8" max="8" width="13.1640625" style="115" hidden="1" customWidth="1"/>
    <col min="9" max="9" width="14.5" style="1390" hidden="1" customWidth="1"/>
    <col min="10" max="10" width="13.1640625" style="115" customWidth="1"/>
    <col min="11" max="11" width="13.33203125" style="1390" customWidth="1"/>
    <col min="12" max="12" width="14.5" style="115" customWidth="1"/>
    <col min="13" max="13" width="14.332031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717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51" customHeight="1" thickBot="1" x14ac:dyDescent="0.25">
      <c r="A2" s="4516" t="s">
        <v>411</v>
      </c>
      <c r="B2" s="4516"/>
      <c r="C2" s="117" t="s">
        <v>1000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25" t="s">
        <v>283</v>
      </c>
      <c r="B3" s="4525"/>
      <c r="C3" s="304" t="s">
        <v>478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45"/>
      <c r="I4" s="1445"/>
      <c r="J4" s="1445"/>
      <c r="K4" s="1445"/>
      <c r="L4" s="1445"/>
      <c r="M4" s="1508" t="s">
        <v>935</v>
      </c>
    </row>
    <row r="5" spans="1:13" s="145" customFormat="1" ht="25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>
        <v>1</v>
      </c>
      <c r="B6" s="127">
        <v>2</v>
      </c>
      <c r="C6" s="127">
        <v>3</v>
      </c>
      <c r="D6" s="128">
        <v>4</v>
      </c>
      <c r="E6" s="128">
        <v>5</v>
      </c>
      <c r="F6" s="128">
        <v>4</v>
      </c>
      <c r="G6" s="2455"/>
      <c r="H6" s="128">
        <v>5</v>
      </c>
      <c r="I6" s="1372"/>
      <c r="J6" s="128"/>
      <c r="K6" s="1372"/>
      <c r="L6" s="128"/>
      <c r="M6" s="128">
        <v>6</v>
      </c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515">
        <f>SUM(E9:E18)</f>
        <v>0</v>
      </c>
      <c r="F8" s="137">
        <f>SUM(F9:F18)</f>
        <v>0</v>
      </c>
      <c r="G8" s="1516"/>
      <c r="H8" s="845">
        <f>SUM(H9:H18)</f>
        <v>0</v>
      </c>
      <c r="I8" s="1517"/>
      <c r="J8" s="845">
        <f>SUM(J9:J18)</f>
        <v>54873</v>
      </c>
      <c r="K8" s="1517">
        <f>SUM(L8-J8)</f>
        <v>0</v>
      </c>
      <c r="L8" s="845">
        <f>SUM(L9:L18)</f>
        <v>54873</v>
      </c>
      <c r="M8" s="845">
        <f>SUM(M9:M18)</f>
        <v>54873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691">
        <v>0</v>
      </c>
      <c r="F9" s="175">
        <v>0</v>
      </c>
      <c r="G9" s="1415"/>
      <c r="H9" s="144">
        <f>SUM('5.1. sz. mell. '!H9)</f>
        <v>0</v>
      </c>
      <c r="I9" s="1376"/>
      <c r="J9" s="144">
        <f>SUM('5.1. sz. mell. '!J9)</f>
        <v>0</v>
      </c>
      <c r="K9" s="1376"/>
      <c r="L9" s="144">
        <f>SUM('5.1. sz. mell. '!L9)</f>
        <v>0</v>
      </c>
      <c r="M9" s="144">
        <f>SUM('5.1. sz. mell. '!M9)</f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670">
        <v>0</v>
      </c>
      <c r="F10" s="144">
        <v>0</v>
      </c>
      <c r="G10" s="1415"/>
      <c r="H10" s="144">
        <f>SUM('5.1. sz. mell. '!H10)</f>
        <v>0</v>
      </c>
      <c r="I10" s="1376"/>
      <c r="J10" s="144">
        <f>SUM('5.1. sz. mell. '!J10)</f>
        <v>0</v>
      </c>
      <c r="K10" s="1376"/>
      <c r="L10" s="144">
        <f>SUM('5.1. sz. mell. '!L10)</f>
        <v>0</v>
      </c>
      <c r="M10" s="144">
        <f>SUM('5.1. sz. mell. '!M10)</f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670">
        <v>0</v>
      </c>
      <c r="F11" s="144">
        <v>0</v>
      </c>
      <c r="G11" s="1415"/>
      <c r="H11" s="144">
        <f>SUM('5.1. sz. mell. '!H11)</f>
        <v>0</v>
      </c>
      <c r="I11" s="1376"/>
      <c r="J11" s="144">
        <f>SUM('5.1. sz. mell. '!J11)</f>
        <v>0</v>
      </c>
      <c r="K11" s="1376"/>
      <c r="L11" s="144">
        <f>SUM('5.1. sz. mell. '!L11)</f>
        <v>0</v>
      </c>
      <c r="M11" s="144">
        <f>SUM('5.1. sz. mell. '!M11)</f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670">
        <v>0</v>
      </c>
      <c r="F12" s="144">
        <v>0</v>
      </c>
      <c r="G12" s="1415"/>
      <c r="H12" s="144">
        <f>SUM('5.1. sz. mell. '!H12)</f>
        <v>0</v>
      </c>
      <c r="I12" s="1376"/>
      <c r="J12" s="144">
        <f>SUM('5.1. sz. mell. '!J12)</f>
        <v>0</v>
      </c>
      <c r="K12" s="1376"/>
      <c r="L12" s="144">
        <f>SUM('5.1. sz. mell. '!L12)</f>
        <v>0</v>
      </c>
      <c r="M12" s="144">
        <f>SUM('5.1. sz. mell. '!M12)</f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670">
        <v>0</v>
      </c>
      <c r="F13" s="144">
        <v>0</v>
      </c>
      <c r="G13" s="1415"/>
      <c r="H13" s="144">
        <f>SUM('5.1. sz. mell. '!H13)</f>
        <v>0</v>
      </c>
      <c r="I13" s="1376"/>
      <c r="J13" s="144">
        <f>SUM('5.1. sz. mell. '!J13)</f>
        <v>0</v>
      </c>
      <c r="K13" s="1376"/>
      <c r="L13" s="144">
        <f>SUM('5.1. sz. mell. '!L13)</f>
        <v>0</v>
      </c>
      <c r="M13" s="144">
        <f>SUM('5.1. sz. mell. '!M13)</f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498">
        <v>0</v>
      </c>
      <c r="F14" s="144">
        <v>0</v>
      </c>
      <c r="G14" s="1415"/>
      <c r="H14" s="144">
        <f>SUM('5.1. sz. mell. '!H14)</f>
        <v>0</v>
      </c>
      <c r="I14" s="1376"/>
      <c r="J14" s="144">
        <f>SUM('5.1. sz. mell. '!J14)</f>
        <v>0</v>
      </c>
      <c r="K14" s="1376"/>
      <c r="L14" s="144">
        <f>SUM('5.1. sz. mell. '!L14)</f>
        <v>0</v>
      </c>
      <c r="M14" s="144">
        <f>SUM('5.1. sz. mell. '!M14)</f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498"/>
      <c r="F15" s="144">
        <v>0</v>
      </c>
      <c r="G15" s="1415"/>
      <c r="H15" s="144">
        <f>SUM('5.1. sz. mell. '!H15)</f>
        <v>0</v>
      </c>
      <c r="I15" s="1376"/>
      <c r="J15" s="144">
        <f>SUM('5.1. sz. mell. '!J15)</f>
        <v>0</v>
      </c>
      <c r="K15" s="1376"/>
      <c r="L15" s="144">
        <f>SUM('5.1. sz. mell. '!L15)</f>
        <v>0</v>
      </c>
      <c r="M15" s="144">
        <f>SUM('5.1. sz. mell. '!M15)</f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670">
        <v>0</v>
      </c>
      <c r="F16" s="144">
        <v>0</v>
      </c>
      <c r="G16" s="1415"/>
      <c r="H16" s="483">
        <v>0</v>
      </c>
      <c r="I16" s="1415"/>
      <c r="J16" s="144">
        <f>SUM('5.1. sz. mell. '!J16)</f>
        <v>0</v>
      </c>
      <c r="K16" s="1415"/>
      <c r="L16" s="483">
        <v>0</v>
      </c>
      <c r="M16" s="144">
        <f>SUM('5.1. sz. mell. '!M16)</f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666"/>
      <c r="F17" s="144">
        <v>0</v>
      </c>
      <c r="G17" s="1415"/>
      <c r="H17" s="144">
        <f>SUM('5.1. sz. mell. '!H17)</f>
        <v>0</v>
      </c>
      <c r="I17" s="1376"/>
      <c r="J17" s="144">
        <f>SUM('5.1. sz. mell. '!J17)</f>
        <v>0</v>
      </c>
      <c r="K17" s="1376"/>
      <c r="L17" s="144">
        <f>SUM('5.1. sz. mell. '!L17)</f>
        <v>0</v>
      </c>
      <c r="M17" s="144">
        <f>SUM('5.1. sz. mell. '!M17)</f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666">
        <v>0</v>
      </c>
      <c r="F18" s="294">
        <v>0</v>
      </c>
      <c r="G18" s="2667"/>
      <c r="H18" s="829">
        <v>0</v>
      </c>
      <c r="I18" s="1518"/>
      <c r="J18" s="144">
        <f>SUM('5.1. sz. mell. '!J18)</f>
        <v>54873</v>
      </c>
      <c r="K18" s="1518">
        <f>SUM(L18-J18)</f>
        <v>0</v>
      </c>
      <c r="L18" s="144">
        <f>SUM('5.1. sz. mell. '!L18)</f>
        <v>54873</v>
      </c>
      <c r="M18" s="144">
        <f>SUM('5.1. sz. mell. '!M18)</f>
        <v>54873</v>
      </c>
    </row>
    <row r="19" spans="1:13" s="141" customFormat="1" ht="36" customHeight="1" thickBot="1" x14ac:dyDescent="0.25">
      <c r="A19" s="134" t="s">
        <v>17</v>
      </c>
      <c r="B19" s="148"/>
      <c r="C19" s="247" t="s">
        <v>419</v>
      </c>
      <c r="D19" s="137">
        <f>SUM(D20:D26)-D22</f>
        <v>53245</v>
      </c>
      <c r="E19" s="137">
        <f>SUM(E20:E26)-E22</f>
        <v>54476</v>
      </c>
      <c r="F19" s="137">
        <f>SUM(F20:F26)-F21</f>
        <v>0</v>
      </c>
      <c r="G19" s="1382"/>
      <c r="H19" s="137">
        <f>SUM(H20+H25+H26)</f>
        <v>0</v>
      </c>
      <c r="I19" s="1374"/>
      <c r="J19" s="137">
        <f>SUM(J20+J25+J26)</f>
        <v>0</v>
      </c>
      <c r="K19" s="1374"/>
      <c r="L19" s="137">
        <f>SUM(L20+L25+L26)</f>
        <v>0</v>
      </c>
      <c r="M19" s="137">
        <f>SUM(M20+M25+M26)</f>
        <v>0</v>
      </c>
    </row>
    <row r="20" spans="1:13" s="145" customFormat="1" ht="30.75" customHeight="1" x14ac:dyDescent="0.2">
      <c r="A20" s="142"/>
      <c r="B20" s="143" t="s">
        <v>5</v>
      </c>
      <c r="C20" s="251" t="s">
        <v>420</v>
      </c>
      <c r="D20" s="144">
        <v>53245</v>
      </c>
      <c r="E20" s="144">
        <v>54476</v>
      </c>
      <c r="F20" s="144"/>
      <c r="G20" s="1415"/>
      <c r="H20" s="144">
        <f>SUM(H22:H24)</f>
        <v>0</v>
      </c>
      <c r="I20" s="1376"/>
      <c r="J20" s="144">
        <f>SUM(J22:J24)</f>
        <v>0</v>
      </c>
      <c r="K20" s="1376"/>
      <c r="L20" s="144">
        <f>SUM(L22:L24)</f>
        <v>0</v>
      </c>
      <c r="M20" s="144">
        <f>SUM(M22:M24)</f>
        <v>0</v>
      </c>
    </row>
    <row r="21" spans="1:13" s="145" customFormat="1" ht="15" hidden="1" x14ac:dyDescent="0.2">
      <c r="A21" s="142"/>
      <c r="B21" s="143"/>
      <c r="C21" s="251"/>
      <c r="D21" s="144"/>
      <c r="E21" s="144"/>
      <c r="F21" s="144"/>
      <c r="G21" s="1415"/>
      <c r="H21" s="144"/>
      <c r="I21" s="1376"/>
      <c r="J21" s="144"/>
      <c r="K21" s="1376"/>
      <c r="L21" s="144"/>
      <c r="M21" s="144"/>
    </row>
    <row r="22" spans="1:13" s="145" customFormat="1" ht="15" customHeight="1" x14ac:dyDescent="0.2">
      <c r="A22" s="142"/>
      <c r="B22" s="143" t="s">
        <v>421</v>
      </c>
      <c r="C22" s="55" t="s">
        <v>422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360</v>
      </c>
      <c r="C23" s="55" t="s">
        <v>1429</v>
      </c>
      <c r="D23" s="144">
        <v>0</v>
      </c>
      <c r="E23" s="144">
        <v>0</v>
      </c>
      <c r="F23" s="144">
        <v>0</v>
      </c>
      <c r="G23" s="1415"/>
      <c r="H23" s="144">
        <f>SUM('5.1. sz. mell. '!H23)</f>
        <v>0</v>
      </c>
      <c r="I23" s="1376"/>
      <c r="J23" s="144">
        <f>SUM('5.1. sz. mell. '!J23)</f>
        <v>0</v>
      </c>
      <c r="K23" s="1376"/>
      <c r="L23" s="144">
        <f>SUM('5.1. sz. mell. '!L23)</f>
        <v>0</v>
      </c>
      <c r="M23" s="144">
        <f>SUM('5.1. sz. mell. '!M23)</f>
        <v>0</v>
      </c>
    </row>
    <row r="24" spans="1:13" s="145" customFormat="1" ht="15" customHeight="1" x14ac:dyDescent="0.2">
      <c r="A24" s="142"/>
      <c r="B24" s="143" t="s">
        <v>357</v>
      </c>
      <c r="C24" s="55" t="s">
        <v>424</v>
      </c>
      <c r="D24" s="144">
        <v>0</v>
      </c>
      <c r="E24" s="144">
        <v>0</v>
      </c>
      <c r="F24" s="144">
        <v>0</v>
      </c>
      <c r="G24" s="1415"/>
      <c r="H24" s="144">
        <f>SUM('5.1. sz. mell. '!H24)</f>
        <v>0</v>
      </c>
      <c r="I24" s="1376"/>
      <c r="J24" s="144">
        <f>SUM('5.1. sz. mell. '!J24)</f>
        <v>0</v>
      </c>
      <c r="K24" s="1376"/>
      <c r="L24" s="144">
        <f>SUM('5.1. sz. mell. '!L24)</f>
        <v>0</v>
      </c>
      <c r="M24" s="144">
        <f>SUM('5.1. sz. mell. '!M24)</f>
        <v>0</v>
      </c>
    </row>
    <row r="25" spans="1:13" s="145" customFormat="1" ht="15" customHeight="1" x14ac:dyDescent="0.2">
      <c r="A25" s="142"/>
      <c r="B25" s="143" t="s">
        <v>7</v>
      </c>
      <c r="C25" s="55" t="s">
        <v>6</v>
      </c>
      <c r="D25" s="144"/>
      <c r="E25" s="144"/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144">
        <v>0</v>
      </c>
      <c r="F26" s="144">
        <v>0</v>
      </c>
      <c r="G26" s="1415"/>
      <c r="H26" s="144">
        <v>0</v>
      </c>
      <c r="I26" s="1376"/>
      <c r="J26" s="144">
        <v>0</v>
      </c>
      <c r="K26" s="1376"/>
      <c r="L26" s="144">
        <v>0</v>
      </c>
      <c r="M26" s="144">
        <v>0</v>
      </c>
    </row>
    <row r="27" spans="1:13" s="145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155">
        <v>0</v>
      </c>
      <c r="F27" s="155">
        <v>0</v>
      </c>
      <c r="G27" s="1381"/>
      <c r="H27" s="155">
        <v>0</v>
      </c>
      <c r="I27" s="1380"/>
      <c r="J27" s="155">
        <v>0</v>
      </c>
      <c r="K27" s="1380"/>
      <c r="L27" s="155">
        <v>0</v>
      </c>
      <c r="M27" s="155">
        <v>0</v>
      </c>
    </row>
    <row r="28" spans="1:13" s="145" customFormat="1" ht="30.75" customHeight="1" thickBot="1" x14ac:dyDescent="0.25">
      <c r="A28" s="134"/>
      <c r="B28" s="143" t="s">
        <v>19</v>
      </c>
      <c r="C28" s="55" t="s">
        <v>427</v>
      </c>
      <c r="D28" s="155"/>
      <c r="E28" s="155"/>
      <c r="F28" s="252">
        <v>0</v>
      </c>
      <c r="G28" s="1509"/>
      <c r="H28" s="252">
        <v>0</v>
      </c>
      <c r="I28" s="1436"/>
      <c r="J28" s="252">
        <v>0</v>
      </c>
      <c r="K28" s="1436"/>
      <c r="L28" s="252">
        <v>0</v>
      </c>
      <c r="M28" s="252">
        <v>0</v>
      </c>
    </row>
    <row r="29" spans="1:13" s="141" customFormat="1" ht="15" customHeight="1" thickBot="1" x14ac:dyDescent="0.25">
      <c r="A29" s="134" t="s">
        <v>45</v>
      </c>
      <c r="B29" s="148"/>
      <c r="C29" s="170" t="s">
        <v>428</v>
      </c>
      <c r="D29" s="155">
        <v>0</v>
      </c>
      <c r="E29" s="155">
        <v>0</v>
      </c>
      <c r="F29" s="155">
        <v>0</v>
      </c>
      <c r="G29" s="1381"/>
      <c r="H29" s="155">
        <v>0</v>
      </c>
      <c r="I29" s="1380"/>
      <c r="J29" s="155">
        <v>0</v>
      </c>
      <c r="K29" s="1380"/>
      <c r="L29" s="155">
        <v>0</v>
      </c>
      <c r="M29" s="155">
        <v>0</v>
      </c>
    </row>
    <row r="30" spans="1:13" s="141" customFormat="1" ht="15" customHeight="1" thickBot="1" x14ac:dyDescent="0.25">
      <c r="A30" s="142"/>
      <c r="B30" s="253" t="s">
        <v>33</v>
      </c>
      <c r="C30" s="55" t="s">
        <v>359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42"/>
      <c r="B31" s="253" t="s">
        <v>39</v>
      </c>
      <c r="C31" s="55" t="s">
        <v>72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15" customHeight="1" thickBot="1" x14ac:dyDescent="0.25">
      <c r="A32" s="142"/>
      <c r="B32" s="253" t="s">
        <v>41</v>
      </c>
      <c r="C32" s="55" t="s">
        <v>74</v>
      </c>
      <c r="D32" s="295"/>
      <c r="E32" s="295"/>
      <c r="F32" s="144">
        <v>0</v>
      </c>
      <c r="G32" s="1415"/>
      <c r="H32" s="144">
        <v>0</v>
      </c>
      <c r="I32" s="1376"/>
      <c r="J32" s="144">
        <v>0</v>
      </c>
      <c r="K32" s="1376"/>
      <c r="L32" s="144">
        <v>0</v>
      </c>
      <c r="M32" s="144">
        <v>0</v>
      </c>
    </row>
    <row r="33" spans="1:15" s="141" customFormat="1" ht="29.25" customHeight="1" thickBot="1" x14ac:dyDescent="0.25">
      <c r="A33" s="134" t="s">
        <v>67</v>
      </c>
      <c r="B33" s="254"/>
      <c r="C33" s="170" t="s">
        <v>429</v>
      </c>
      <c r="D33" s="285">
        <f>+D34+D35</f>
        <v>0</v>
      </c>
      <c r="E33" s="285">
        <f>+E34+E35</f>
        <v>127</v>
      </c>
      <c r="F33" s="285">
        <f>+F34+F35</f>
        <v>0</v>
      </c>
      <c r="G33" s="1382"/>
      <c r="H33" s="285">
        <f>+H34+H35</f>
        <v>0</v>
      </c>
      <c r="I33" s="1382"/>
      <c r="J33" s="285">
        <f>+J34+J35</f>
        <v>0</v>
      </c>
      <c r="K33" s="1382"/>
      <c r="L33" s="285">
        <f>+L34+L35</f>
        <v>0</v>
      </c>
      <c r="M33" s="285">
        <f>+M34+M35</f>
        <v>0</v>
      </c>
    </row>
    <row r="34" spans="1:15" s="141" customFormat="1" ht="29.25" customHeight="1" thickBot="1" x14ac:dyDescent="0.25">
      <c r="A34" s="149"/>
      <c r="B34" s="255" t="s">
        <v>47</v>
      </c>
      <c r="C34" s="251" t="s">
        <v>430</v>
      </c>
      <c r="D34" s="306">
        <v>0</v>
      </c>
      <c r="E34" s="306">
        <v>127</v>
      </c>
      <c r="F34" s="306">
        <v>0</v>
      </c>
      <c r="G34" s="1383"/>
      <c r="H34" s="306">
        <v>0</v>
      </c>
      <c r="I34" s="1383"/>
      <c r="J34" s="306">
        <v>0</v>
      </c>
      <c r="K34" s="1383"/>
      <c r="L34" s="306">
        <v>0</v>
      </c>
      <c r="M34" s="306">
        <v>0</v>
      </c>
    </row>
    <row r="35" spans="1:15" s="141" customFormat="1" ht="12.75" hidden="1" customHeight="1" x14ac:dyDescent="0.2">
      <c r="A35" s="178"/>
      <c r="B35" s="307"/>
      <c r="C35" s="308"/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>
        <v>0</v>
      </c>
      <c r="K35" s="1384"/>
      <c r="L35" s="294">
        <v>0</v>
      </c>
      <c r="M35" s="294">
        <v>0</v>
      </c>
    </row>
    <row r="36" spans="1:15" s="145" customFormat="1" ht="15" customHeight="1" thickBot="1" x14ac:dyDescent="0.3">
      <c r="A36" s="258" t="s">
        <v>79</v>
      </c>
      <c r="B36" s="256"/>
      <c r="C36" s="247" t="s">
        <v>431</v>
      </c>
      <c r="D36" s="155">
        <v>4766</v>
      </c>
      <c r="E36" s="155">
        <v>6405</v>
      </c>
      <c r="F36" s="155">
        <v>0</v>
      </c>
      <c r="G36" s="1381"/>
      <c r="H36" s="155">
        <v>0</v>
      </c>
      <c r="I36" s="1380"/>
      <c r="J36" s="155">
        <v>0</v>
      </c>
      <c r="K36" s="1380"/>
      <c r="L36" s="155">
        <v>0</v>
      </c>
      <c r="M36" s="155">
        <v>0</v>
      </c>
    </row>
    <row r="37" spans="1:15" s="145" customFormat="1" ht="29.25" customHeight="1" thickBot="1" x14ac:dyDescent="0.25">
      <c r="A37" s="258"/>
      <c r="B37" s="257" t="s">
        <v>69</v>
      </c>
      <c r="C37" s="55" t="s">
        <v>432</v>
      </c>
      <c r="D37" s="155"/>
      <c r="E37" s="155"/>
      <c r="F37" s="252">
        <v>0</v>
      </c>
      <c r="G37" s="1509"/>
      <c r="H37" s="252">
        <v>0</v>
      </c>
      <c r="I37" s="1436"/>
      <c r="J37" s="252">
        <v>0</v>
      </c>
      <c r="K37" s="1436"/>
      <c r="L37" s="252">
        <v>0</v>
      </c>
      <c r="M37" s="252">
        <v>0</v>
      </c>
    </row>
    <row r="38" spans="1:15" s="145" customFormat="1" ht="15" customHeight="1" thickBot="1" x14ac:dyDescent="0.3">
      <c r="A38" s="258" t="s">
        <v>89</v>
      </c>
      <c r="B38" s="256"/>
      <c r="C38" s="170" t="s">
        <v>433</v>
      </c>
      <c r="D38" s="155"/>
      <c r="E38" s="155"/>
      <c r="F38" s="155">
        <f>SUM(F39:F41)</f>
        <v>89827568</v>
      </c>
      <c r="G38" s="1382">
        <f>SUM(H38-F38)</f>
        <v>687260</v>
      </c>
      <c r="H38" s="155">
        <f>SUM(H39:H41)</f>
        <v>90514828</v>
      </c>
      <c r="I38" s="1374">
        <f>SUM(J38-H38)</f>
        <v>1485814</v>
      </c>
      <c r="J38" s="155">
        <f>SUM(J39:J41)</f>
        <v>92000642</v>
      </c>
      <c r="K38" s="1374">
        <f>SUM(L38-J38)</f>
        <v>0</v>
      </c>
      <c r="L38" s="155">
        <f>SUM(L39:L41)</f>
        <v>92000642</v>
      </c>
      <c r="M38" s="155">
        <f>SUM(M39:M41)</f>
        <v>92000642</v>
      </c>
    </row>
    <row r="39" spans="1:15" s="145" customFormat="1" ht="15" customHeight="1" thickBot="1" x14ac:dyDescent="0.25">
      <c r="A39" s="142"/>
      <c r="B39" s="253" t="s">
        <v>81</v>
      </c>
      <c r="C39" s="55" t="s">
        <v>434</v>
      </c>
      <c r="D39" s="155"/>
      <c r="E39" s="155"/>
      <c r="F39" s="144">
        <v>0</v>
      </c>
      <c r="G39" s="1415"/>
      <c r="H39" s="144">
        <f>SUM('5.1. sz. mell. '!H39)</f>
        <v>148333</v>
      </c>
      <c r="I39" s="1376"/>
      <c r="J39" s="144">
        <f>SUM('5.1. sz. mell. '!J39)</f>
        <v>148333</v>
      </c>
      <c r="K39" s="1376">
        <f t="shared" ref="K39:K40" si="0">SUM(L39-J39)</f>
        <v>0</v>
      </c>
      <c r="L39" s="144">
        <f>SUM('5.1. sz. mell. '!L39)</f>
        <v>148333</v>
      </c>
      <c r="M39" s="144">
        <f>SUM('5.1. sz. mell. '!M39)</f>
        <v>148333</v>
      </c>
    </row>
    <row r="40" spans="1:15" s="145" customFormat="1" ht="15" customHeight="1" thickBot="1" x14ac:dyDescent="0.25">
      <c r="A40" s="142"/>
      <c r="B40" s="253" t="s">
        <v>83</v>
      </c>
      <c r="C40" s="55" t="s">
        <v>435</v>
      </c>
      <c r="D40" s="155"/>
      <c r="E40" s="155"/>
      <c r="F40" s="144">
        <v>0</v>
      </c>
      <c r="G40" s="1415"/>
      <c r="H40" s="144">
        <v>0</v>
      </c>
      <c r="I40" s="1376"/>
      <c r="J40" s="144">
        <v>0</v>
      </c>
      <c r="K40" s="1376">
        <f t="shared" si="0"/>
        <v>0</v>
      </c>
      <c r="L40" s="144">
        <v>0</v>
      </c>
      <c r="M40" s="144">
        <v>0</v>
      </c>
    </row>
    <row r="41" spans="1:15" s="145" customFormat="1" ht="15" customHeight="1" thickBot="1" x14ac:dyDescent="0.25">
      <c r="A41" s="142"/>
      <c r="B41" s="253" t="s">
        <v>85</v>
      </c>
      <c r="C41" s="55" t="s">
        <v>1433</v>
      </c>
      <c r="D41" s="155"/>
      <c r="E41" s="155"/>
      <c r="F41" s="144">
        <f>SUM(F42:F43)</f>
        <v>89827568</v>
      </c>
      <c r="G41" s="1415">
        <f>SUM(H41-F41)</f>
        <v>538927</v>
      </c>
      <c r="H41" s="144">
        <f>SUM(H42:H43)</f>
        <v>90366495</v>
      </c>
      <c r="I41" s="1376">
        <f>SUM(J41-H41)</f>
        <v>1485814</v>
      </c>
      <c r="J41" s="144">
        <f>SUM(J42:J43)</f>
        <v>91852309</v>
      </c>
      <c r="K41" s="1376">
        <f>SUM(L41-J41)</f>
        <v>0</v>
      </c>
      <c r="L41" s="144">
        <f>SUM(L42:L43)</f>
        <v>91852309</v>
      </c>
      <c r="M41" s="144">
        <f>SUM(M42:M43)</f>
        <v>91852309</v>
      </c>
    </row>
    <row r="42" spans="1:15" s="145" customFormat="1" ht="15" customHeight="1" thickBot="1" x14ac:dyDescent="0.25">
      <c r="A42" s="146"/>
      <c r="B42" s="260" t="s">
        <v>437</v>
      </c>
      <c r="C42" s="261" t="s">
        <v>891</v>
      </c>
      <c r="D42" s="155"/>
      <c r="E42" s="155"/>
      <c r="F42" s="302">
        <f>SUM('5.1. sz. mell. '!F42)</f>
        <v>85097217</v>
      </c>
      <c r="G42" s="1534">
        <f>SUM(H42-F42)</f>
        <v>744327</v>
      </c>
      <c r="H42" s="302">
        <f>SUM('5.1. sz. mell. '!H42)</f>
        <v>85841544</v>
      </c>
      <c r="I42" s="1492">
        <f>SUM(J42-H42)</f>
        <v>271329</v>
      </c>
      <c r="J42" s="302">
        <f>SUM('5.1. sz. mell. '!J42)</f>
        <v>86112873</v>
      </c>
      <c r="K42" s="1492">
        <f>SUM(L42-J42)</f>
        <v>0</v>
      </c>
      <c r="L42" s="302">
        <f>SUM('5.1. sz. mell. '!L42)</f>
        <v>86112873</v>
      </c>
      <c r="M42" s="302">
        <f>SUM('5.1. sz. mell. '!M42)</f>
        <v>86112873</v>
      </c>
    </row>
    <row r="43" spans="1:15" s="145" customFormat="1" ht="15" customHeight="1" thickBot="1" x14ac:dyDescent="0.25">
      <c r="A43" s="146"/>
      <c r="B43" s="263" t="s">
        <v>439</v>
      </c>
      <c r="C43" s="264" t="s">
        <v>532</v>
      </c>
      <c r="D43" s="155"/>
      <c r="E43" s="155"/>
      <c r="F43" s="302">
        <f>SUM('5.1. sz. mell. '!F43)</f>
        <v>4730351</v>
      </c>
      <c r="G43" s="1534">
        <f>SUM(H43-F43)</f>
        <v>-205400</v>
      </c>
      <c r="H43" s="302">
        <f>SUM('5.1. sz. mell. '!H43)</f>
        <v>4524951</v>
      </c>
      <c r="I43" s="1492">
        <f>SUM(J43-H43)</f>
        <v>1214485</v>
      </c>
      <c r="J43" s="302">
        <f>SUM('5.1. sz. mell. '!J43)</f>
        <v>5739436</v>
      </c>
      <c r="K43" s="1492">
        <f>SUM(L43-J43)</f>
        <v>0</v>
      </c>
      <c r="L43" s="302">
        <f>SUM('5.1. sz. mell. '!L43)</f>
        <v>5739436</v>
      </c>
      <c r="M43" s="302">
        <f>SUM('5.1. sz. mell. '!M43)</f>
        <v>5739436</v>
      </c>
    </row>
    <row r="44" spans="1:15" s="145" customFormat="1" ht="15" customHeight="1" thickBot="1" x14ac:dyDescent="0.25">
      <c r="A44" s="192" t="s">
        <v>99</v>
      </c>
      <c r="B44" s="160"/>
      <c r="C44" s="274" t="s">
        <v>441</v>
      </c>
      <c r="D44" s="162">
        <f>SUM(D8,D19,D27,D29,D33,D36)</f>
        <v>58011</v>
      </c>
      <c r="E44" s="162">
        <f>SUM(E8,E19,E27,E29,E33,E36)</f>
        <v>61008</v>
      </c>
      <c r="F44" s="162">
        <f>SUM(F8,F19,F27,F29,F33,F36,F38)</f>
        <v>89827568</v>
      </c>
      <c r="G44" s="1437">
        <f>SUM(H44-F44)</f>
        <v>687260</v>
      </c>
      <c r="H44" s="162">
        <f>SUM(H8,H19,H27,H29,H33,H36,H38)</f>
        <v>90514828</v>
      </c>
      <c r="I44" s="1373">
        <f>SUM(J44-H44)</f>
        <v>1540687</v>
      </c>
      <c r="J44" s="162">
        <f>SUM(J8,J19,J27,J29,J33,J36,J38)</f>
        <v>92055515</v>
      </c>
      <c r="K44" s="1373">
        <f>SUM(L44-J44)</f>
        <v>0</v>
      </c>
      <c r="L44" s="162">
        <f>SUM(L8,L19,L27,L29,L33,L36,L38)</f>
        <v>92055515</v>
      </c>
      <c r="M44" s="162">
        <f>SUM(M8,M19,M27,M29,M33,M36,M38)</f>
        <v>92055515</v>
      </c>
      <c r="O44" s="205">
        <f>SUM(H63-H44)</f>
        <v>0</v>
      </c>
    </row>
    <row r="45" spans="1:15" s="145" customFormat="1" ht="15" customHeight="1" thickBot="1" x14ac:dyDescent="0.25">
      <c r="A45" s="1303"/>
      <c r="B45" s="886"/>
      <c r="C45" s="886"/>
      <c r="D45" s="2145"/>
      <c r="E45" s="2145"/>
      <c r="F45" s="2741"/>
      <c r="G45" s="1512"/>
      <c r="H45" s="1512"/>
      <c r="I45" s="1512"/>
      <c r="J45" s="1512"/>
      <c r="K45" s="1512"/>
      <c r="L45" s="1512"/>
      <c r="M45" s="2131"/>
    </row>
    <row r="46" spans="1:15" s="305" customFormat="1" ht="15" customHeight="1" thickBot="1" x14ac:dyDescent="0.25">
      <c r="A46" s="192"/>
      <c r="B46" s="160"/>
      <c r="C46" s="282" t="s">
        <v>231</v>
      </c>
      <c r="D46" s="162"/>
      <c r="E46" s="162"/>
      <c r="F46" s="162"/>
      <c r="G46" s="1437"/>
      <c r="H46" s="162"/>
      <c r="I46" s="1373"/>
      <c r="J46" s="162"/>
      <c r="K46" s="1373"/>
      <c r="L46" s="162"/>
      <c r="M46" s="162"/>
    </row>
    <row r="47" spans="1:15" s="141" customFormat="1" ht="15" customHeight="1" thickBot="1" x14ac:dyDescent="0.25">
      <c r="A47" s="134" t="s">
        <v>3</v>
      </c>
      <c r="B47" s="170"/>
      <c r="C47" s="170" t="s">
        <v>466</v>
      </c>
      <c r="D47" s="137">
        <f>SUM(D48+D50+D52)</f>
        <v>58011</v>
      </c>
      <c r="E47" s="137">
        <f>SUM(E48+E50+E52)</f>
        <v>61008</v>
      </c>
      <c r="F47" s="137">
        <f>SUM(F48+F50+F52)</f>
        <v>89471968</v>
      </c>
      <c r="G47" s="1382">
        <f>SUM(H47-F47)</f>
        <v>687260</v>
      </c>
      <c r="H47" s="137">
        <f>SUM(H48+H50+H52)+H54+H55</f>
        <v>90159228</v>
      </c>
      <c r="I47" s="1374">
        <f>SUM(J47-H47)</f>
        <v>1572827</v>
      </c>
      <c r="J47" s="137">
        <f>SUM(J48+J50+J52)+J54+J55</f>
        <v>91732055</v>
      </c>
      <c r="K47" s="1374">
        <f>SUM(L47-J47)</f>
        <v>0</v>
      </c>
      <c r="L47" s="137">
        <f>SUM(L48+L50+L52)+L54+L55</f>
        <v>91732055</v>
      </c>
      <c r="M47" s="137">
        <f>SUM(M48+M50+M52)+M54+M55</f>
        <v>91250283</v>
      </c>
    </row>
    <row r="48" spans="1:15" s="145" customFormat="1" ht="15" customHeight="1" x14ac:dyDescent="0.2">
      <c r="A48" s="173"/>
      <c r="B48" s="267" t="s">
        <v>152</v>
      </c>
      <c r="C48" s="251" t="s">
        <v>153</v>
      </c>
      <c r="D48" s="175">
        <v>39072</v>
      </c>
      <c r="E48" s="175">
        <v>41332</v>
      </c>
      <c r="F48" s="175">
        <f>SUM('5.1. sz. mell. '!F48)</f>
        <v>67356000</v>
      </c>
      <c r="G48" s="1415">
        <f t="shared" ref="G48:K55" si="1">SUM(H48-F48)</f>
        <v>76985</v>
      </c>
      <c r="H48" s="175">
        <f>SUM('5.1. sz. mell. '!H48)</f>
        <v>67432985</v>
      </c>
      <c r="I48" s="1376">
        <f t="shared" si="1"/>
        <v>2231403</v>
      </c>
      <c r="J48" s="175">
        <f>SUM('5.1. sz. mell. '!J48)</f>
        <v>69664388</v>
      </c>
      <c r="K48" s="1376">
        <f t="shared" si="1"/>
        <v>0</v>
      </c>
      <c r="L48" s="175">
        <f>SUM('5.1. sz. mell. '!L48)</f>
        <v>69664388</v>
      </c>
      <c r="M48" s="175">
        <f>SUM('5.1. sz. mell. '!M48)</f>
        <v>69542683</v>
      </c>
    </row>
    <row r="49" spans="1:13" s="145" customFormat="1" ht="12.75" hidden="1" customHeight="1" x14ac:dyDescent="0.2">
      <c r="A49" s="173"/>
      <c r="B49" s="267"/>
      <c r="C49" s="309" t="s">
        <v>463</v>
      </c>
      <c r="D49" s="302"/>
      <c r="E49" s="302"/>
      <c r="F49" s="175">
        <f>SUM('5.1. sz. mell. '!F49)</f>
        <v>0</v>
      </c>
      <c r="G49" s="1415">
        <f t="shared" si="1"/>
        <v>0</v>
      </c>
      <c r="H49" s="175"/>
      <c r="I49" s="1376">
        <f t="shared" si="1"/>
        <v>0</v>
      </c>
      <c r="J49" s="175"/>
      <c r="K49" s="1376">
        <f t="shared" si="1"/>
        <v>0</v>
      </c>
      <c r="L49" s="175"/>
      <c r="M49" s="175"/>
    </row>
    <row r="50" spans="1:13" s="145" customFormat="1" ht="15" customHeight="1" x14ac:dyDescent="0.2">
      <c r="A50" s="142"/>
      <c r="B50" s="253" t="s">
        <v>154</v>
      </c>
      <c r="C50" s="55" t="s">
        <v>155</v>
      </c>
      <c r="D50" s="144">
        <v>10526</v>
      </c>
      <c r="E50" s="144">
        <v>11133</v>
      </c>
      <c r="F50" s="175">
        <f>SUM('5.1. sz. mell. '!F50)</f>
        <v>13718568</v>
      </c>
      <c r="G50" s="1415">
        <f t="shared" si="1"/>
        <v>15119</v>
      </c>
      <c r="H50" s="175">
        <f>SUM('5.1. sz. mell. '!H50)</f>
        <v>13733687</v>
      </c>
      <c r="I50" s="1376">
        <f t="shared" si="1"/>
        <v>480604</v>
      </c>
      <c r="J50" s="175">
        <f>SUM('5.1. sz. mell. '!J50)</f>
        <v>14214291</v>
      </c>
      <c r="K50" s="1376">
        <f t="shared" si="1"/>
        <v>0</v>
      </c>
      <c r="L50" s="175">
        <f>SUM('5.1. sz. mell. '!L50)</f>
        <v>14214291</v>
      </c>
      <c r="M50" s="175">
        <f>SUM('5.1. sz. mell. '!M50)</f>
        <v>14190067</v>
      </c>
    </row>
    <row r="51" spans="1:13" s="145" customFormat="1" ht="12.75" hidden="1" customHeight="1" x14ac:dyDescent="0.2">
      <c r="A51" s="142"/>
      <c r="B51" s="253"/>
      <c r="C51" s="309" t="s">
        <v>463</v>
      </c>
      <c r="D51" s="302"/>
      <c r="E51" s="302"/>
      <c r="F51" s="175">
        <f>SUM('5.1. sz. mell. '!F51)</f>
        <v>0</v>
      </c>
      <c r="G51" s="1415">
        <f t="shared" si="1"/>
        <v>0</v>
      </c>
      <c r="H51" s="175"/>
      <c r="I51" s="1376">
        <f t="shared" si="1"/>
        <v>0</v>
      </c>
      <c r="J51" s="175"/>
      <c r="K51" s="1376">
        <f t="shared" si="1"/>
        <v>0</v>
      </c>
      <c r="L51" s="175"/>
      <c r="M51" s="175"/>
    </row>
    <row r="52" spans="1:13" s="145" customFormat="1" ht="15" customHeight="1" x14ac:dyDescent="0.2">
      <c r="A52" s="142"/>
      <c r="B52" s="253" t="s">
        <v>156</v>
      </c>
      <c r="C52" s="55" t="s">
        <v>157</v>
      </c>
      <c r="D52" s="144">
        <v>8413</v>
      </c>
      <c r="E52" s="144">
        <v>8543</v>
      </c>
      <c r="F52" s="175">
        <f>SUM('5.1. sz. mell. '!F52)</f>
        <v>8397400</v>
      </c>
      <c r="G52" s="1415">
        <f t="shared" si="1"/>
        <v>595156</v>
      </c>
      <c r="H52" s="175">
        <f>SUM('5.1. sz. mell. '!H52)</f>
        <v>8992556</v>
      </c>
      <c r="I52" s="1376">
        <f t="shared" si="1"/>
        <v>-1139180</v>
      </c>
      <c r="J52" s="175">
        <f>SUM('5.1. sz. mell. '!J52)</f>
        <v>7853376</v>
      </c>
      <c r="K52" s="1376">
        <f t="shared" si="1"/>
        <v>0</v>
      </c>
      <c r="L52" s="175">
        <f>SUM('5.1. sz. mell. '!L52)</f>
        <v>7853376</v>
      </c>
      <c r="M52" s="175">
        <f>SUM('5.1. sz. mell. '!M52)</f>
        <v>7517533</v>
      </c>
    </row>
    <row r="53" spans="1:13" s="145" customFormat="1" ht="12.75" hidden="1" customHeight="1" x14ac:dyDescent="0.2">
      <c r="A53" s="142"/>
      <c r="B53" s="253"/>
      <c r="C53" s="309" t="s">
        <v>463</v>
      </c>
      <c r="D53" s="302"/>
      <c r="E53" s="302"/>
      <c r="F53" s="302"/>
      <c r="G53" s="1415">
        <f t="shared" si="1"/>
        <v>0</v>
      </c>
      <c r="H53" s="302"/>
      <c r="I53" s="1376">
        <f t="shared" si="1"/>
        <v>0</v>
      </c>
      <c r="J53" s="302"/>
      <c r="K53" s="1376">
        <f t="shared" si="1"/>
        <v>0</v>
      </c>
      <c r="L53" s="302"/>
      <c r="M53" s="302"/>
    </row>
    <row r="54" spans="1:13" s="145" customFormat="1" ht="15" customHeight="1" x14ac:dyDescent="0.2">
      <c r="A54" s="142"/>
      <c r="B54" s="253" t="s">
        <v>158</v>
      </c>
      <c r="C54" s="55" t="s">
        <v>159</v>
      </c>
      <c r="D54" s="144"/>
      <c r="E54" s="144"/>
      <c r="F54" s="144">
        <v>0</v>
      </c>
      <c r="G54" s="1415">
        <f t="shared" si="1"/>
        <v>0</v>
      </c>
      <c r="H54" s="144">
        <v>0</v>
      </c>
      <c r="I54" s="1376">
        <f t="shared" si="1"/>
        <v>0</v>
      </c>
      <c r="J54" s="144">
        <v>0</v>
      </c>
      <c r="K54" s="1376">
        <f t="shared" si="1"/>
        <v>0</v>
      </c>
      <c r="L54" s="144">
        <v>0</v>
      </c>
      <c r="M54" s="144">
        <v>0</v>
      </c>
    </row>
    <row r="55" spans="1:13" s="145" customFormat="1" ht="15" customHeight="1" thickBot="1" x14ac:dyDescent="0.25">
      <c r="A55" s="142"/>
      <c r="B55" s="253" t="s">
        <v>375</v>
      </c>
      <c r="C55" s="55" t="s">
        <v>161</v>
      </c>
      <c r="D55" s="144">
        <v>0</v>
      </c>
      <c r="E55" s="144">
        <v>0</v>
      </c>
      <c r="F55" s="144">
        <v>0</v>
      </c>
      <c r="G55" s="1415">
        <f t="shared" si="1"/>
        <v>0</v>
      </c>
      <c r="H55" s="144">
        <f>SUM('5.1. sz. mell. '!H55)</f>
        <v>0</v>
      </c>
      <c r="I55" s="1376">
        <f t="shared" si="1"/>
        <v>0</v>
      </c>
      <c r="J55" s="144">
        <f>SUM('5.1. sz. mell. '!J55)</f>
        <v>0</v>
      </c>
      <c r="K55" s="1376">
        <f t="shared" si="1"/>
        <v>0</v>
      </c>
      <c r="L55" s="144">
        <f>SUM('5.1. sz. mell. '!L55)</f>
        <v>0</v>
      </c>
      <c r="M55" s="144">
        <f>SUM('5.1. sz. mell. '!M55)</f>
        <v>0</v>
      </c>
    </row>
    <row r="56" spans="1:13" s="145" customFormat="1" ht="15" customHeight="1" thickBot="1" x14ac:dyDescent="0.25">
      <c r="A56" s="134" t="s">
        <v>17</v>
      </c>
      <c r="B56" s="170"/>
      <c r="C56" s="170" t="s">
        <v>467</v>
      </c>
      <c r="D56" s="137">
        <f>SUM(D57:D60)</f>
        <v>0</v>
      </c>
      <c r="E56" s="137">
        <f>SUM(E57:E60)</f>
        <v>0</v>
      </c>
      <c r="F56" s="137">
        <f>SUM(F57:F60)</f>
        <v>355600</v>
      </c>
      <c r="G56" s="1382">
        <f>SUM(H56-F56)</f>
        <v>0</v>
      </c>
      <c r="H56" s="137">
        <f>SUM(H57:H60)</f>
        <v>355600</v>
      </c>
      <c r="I56" s="1374">
        <f>SUM(J56-H56)</f>
        <v>-32140</v>
      </c>
      <c r="J56" s="137">
        <f>SUM(J57:J60)</f>
        <v>323460</v>
      </c>
      <c r="K56" s="1374">
        <f>SUM(L56-J56)</f>
        <v>0</v>
      </c>
      <c r="L56" s="137">
        <f>SUM(L57:L60)</f>
        <v>323460</v>
      </c>
      <c r="M56" s="137">
        <f>SUM(M57:M60)</f>
        <v>323460</v>
      </c>
    </row>
    <row r="57" spans="1:13" s="141" customFormat="1" ht="15" customHeight="1" x14ac:dyDescent="0.2">
      <c r="A57" s="173"/>
      <c r="B57" s="267" t="s">
        <v>5</v>
      </c>
      <c r="C57" s="251" t="s">
        <v>183</v>
      </c>
      <c r="D57" s="175">
        <v>0</v>
      </c>
      <c r="E57" s="175">
        <v>0</v>
      </c>
      <c r="F57" s="175">
        <f>SUM('5.1. sz. mell. '!F57)</f>
        <v>355600</v>
      </c>
      <c r="G57" s="1415">
        <f>SUM(H57-F57)</f>
        <v>0</v>
      </c>
      <c r="H57" s="175">
        <f>SUM('5.1. sz. mell. '!H57)</f>
        <v>355600</v>
      </c>
      <c r="I57" s="1376">
        <f>SUM(J57-H57)</f>
        <v>-32140</v>
      </c>
      <c r="J57" s="175">
        <f>SUM('5.1. sz. mell. '!J57)</f>
        <v>323460</v>
      </c>
      <c r="K57" s="1376">
        <f>SUM(L57-J57)</f>
        <v>0</v>
      </c>
      <c r="L57" s="175">
        <f>SUM('5.1. sz. mell. '!L57)</f>
        <v>323460</v>
      </c>
      <c r="M57" s="175">
        <f>SUM('5.1. sz. mell. '!M57)</f>
        <v>323460</v>
      </c>
    </row>
    <row r="58" spans="1:13" s="145" customFormat="1" ht="15" customHeight="1" x14ac:dyDescent="0.2">
      <c r="A58" s="142"/>
      <c r="B58" s="253" t="s">
        <v>7</v>
      </c>
      <c r="C58" s="55" t="s">
        <v>185</v>
      </c>
      <c r="D58" s="144">
        <v>0</v>
      </c>
      <c r="E58" s="144">
        <v>0</v>
      </c>
      <c r="F58" s="175">
        <f>SUM('5.1. sz. mell. '!F58)</f>
        <v>0</v>
      </c>
      <c r="G58" s="1415">
        <f>SUM(H58-F58)</f>
        <v>0</v>
      </c>
      <c r="H58" s="175">
        <f>SUM('5.1. sz. mell. '!H58)</f>
        <v>0</v>
      </c>
      <c r="I58" s="1376">
        <f>SUM(J58-H58)</f>
        <v>0</v>
      </c>
      <c r="J58" s="175">
        <f>SUM('5.1. sz. mell. '!J58)</f>
        <v>0</v>
      </c>
      <c r="K58" s="1376">
        <f>SUM(L58-J58)</f>
        <v>0</v>
      </c>
      <c r="L58" s="175">
        <f>SUM('5.1. sz. mell. '!L58)</f>
        <v>0</v>
      </c>
      <c r="M58" s="175">
        <f>SUM('5.1. sz. mell. '!M58)</f>
        <v>0</v>
      </c>
    </row>
    <row r="59" spans="1:13" s="145" customFormat="1" ht="15.75" thickBot="1" x14ac:dyDescent="0.25">
      <c r="A59" s="142"/>
      <c r="B59" s="253" t="s">
        <v>9</v>
      </c>
      <c r="C59" s="55" t="s">
        <v>444</v>
      </c>
      <c r="D59" s="144">
        <v>0</v>
      </c>
      <c r="E59" s="144">
        <v>0</v>
      </c>
      <c r="F59" s="175">
        <f>SUM('5.1. sz. mell. '!F59)</f>
        <v>0</v>
      </c>
      <c r="G59" s="1415">
        <f>SUM(H59-F59)</f>
        <v>0</v>
      </c>
      <c r="H59" s="175">
        <f>SUM('5.1. sz. mell. '!H59)</f>
        <v>0</v>
      </c>
      <c r="I59" s="1376">
        <f>SUM(J59-H59)</f>
        <v>0</v>
      </c>
      <c r="J59" s="175">
        <f>SUM('5.1. sz. mell. '!J59)</f>
        <v>0</v>
      </c>
      <c r="K59" s="1376">
        <f>SUM(L59-J59)</f>
        <v>0</v>
      </c>
      <c r="L59" s="175">
        <f>SUM('5.1. sz. mell. '!L59)</f>
        <v>0</v>
      </c>
      <c r="M59" s="175">
        <f>SUM('5.1. sz. mell. '!M59)</f>
        <v>0</v>
      </c>
    </row>
    <row r="60" spans="1:13" s="145" customFormat="1" ht="12.75" hidden="1" customHeight="1" x14ac:dyDescent="0.2">
      <c r="A60" s="142"/>
      <c r="B60" s="253"/>
      <c r="C60" s="55"/>
      <c r="D60" s="144">
        <v>0</v>
      </c>
      <c r="E60" s="144">
        <v>0</v>
      </c>
      <c r="F60" s="144">
        <v>0</v>
      </c>
      <c r="G60" s="1415"/>
      <c r="H60" s="144">
        <v>0</v>
      </c>
      <c r="I60" s="1376"/>
      <c r="J60" s="144">
        <v>0</v>
      </c>
      <c r="K60" s="1376"/>
      <c r="L60" s="144">
        <v>0</v>
      </c>
      <c r="M60" s="144">
        <v>0</v>
      </c>
    </row>
    <row r="61" spans="1:13" s="145" customFormat="1" ht="12.75" hidden="1" customHeight="1" x14ac:dyDescent="0.2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381"/>
      <c r="H61" s="155">
        <v>0</v>
      </c>
      <c r="I61" s="1380"/>
      <c r="J61" s="155">
        <v>0</v>
      </c>
      <c r="K61" s="1380"/>
      <c r="L61" s="155">
        <v>0</v>
      </c>
      <c r="M61" s="155">
        <v>0</v>
      </c>
    </row>
    <row r="62" spans="1:13" s="145" customFormat="1" ht="12.75" hidden="1" customHeight="1" x14ac:dyDescent="0.2">
      <c r="A62" s="134"/>
      <c r="B62" s="170"/>
      <c r="C62" s="171" t="s">
        <v>459</v>
      </c>
      <c r="D62" s="155"/>
      <c r="E62" s="155"/>
      <c r="F62" s="155"/>
      <c r="G62" s="1381"/>
      <c r="H62" s="155"/>
      <c r="I62" s="1380"/>
      <c r="J62" s="155"/>
      <c r="K62" s="1380"/>
      <c r="L62" s="155"/>
      <c r="M62" s="155"/>
    </row>
    <row r="63" spans="1:13" s="145" customFormat="1" ht="15" customHeight="1" thickBot="1" x14ac:dyDescent="0.25">
      <c r="A63" s="192" t="s">
        <v>31</v>
      </c>
      <c r="B63" s="160"/>
      <c r="C63" s="274" t="s">
        <v>465</v>
      </c>
      <c r="D63" s="162">
        <f>+D47+D56+D61</f>
        <v>58011</v>
      </c>
      <c r="E63" s="162">
        <f>+E47+E56+E61</f>
        <v>61008</v>
      </c>
      <c r="F63" s="162">
        <f>+F47+F56+F61</f>
        <v>89827568</v>
      </c>
      <c r="G63" s="1437">
        <f>SUM(H63-F63)</f>
        <v>687260</v>
      </c>
      <c r="H63" s="162">
        <f>+H47+H56+H61</f>
        <v>90514828</v>
      </c>
      <c r="I63" s="1373">
        <f>SUM(J63-H63)</f>
        <v>1540687</v>
      </c>
      <c r="J63" s="162">
        <f>+J47+J56+J61</f>
        <v>92055515</v>
      </c>
      <c r="K63" s="1373">
        <f>SUM(L63-J63)</f>
        <v>0</v>
      </c>
      <c r="L63" s="162">
        <f>+L47+L56+L61</f>
        <v>92055515</v>
      </c>
      <c r="M63" s="162">
        <f>+M47+M56+M61</f>
        <v>91573743</v>
      </c>
    </row>
    <row r="64" spans="1:13" s="145" customFormat="1" ht="15" customHeight="1" thickBot="1" x14ac:dyDescent="0.25">
      <c r="A64" s="276" t="s">
        <v>324</v>
      </c>
      <c r="B64" s="277"/>
      <c r="C64" s="278"/>
      <c r="D64" s="279">
        <v>18</v>
      </c>
      <c r="E64" s="279">
        <v>18</v>
      </c>
      <c r="F64" s="200">
        <f>SUM('5.1. sz. mell. '!F64)</f>
        <v>20</v>
      </c>
      <c r="G64" s="1559">
        <f>SUM(H64-F64)</f>
        <v>0</v>
      </c>
      <c r="H64" s="200">
        <f>SUM('5.1. sz. mell. '!H64)</f>
        <v>20</v>
      </c>
      <c r="I64" s="1388"/>
      <c r="J64" s="200">
        <f>SUM('5.1. sz. mell. '!J64)</f>
        <v>21</v>
      </c>
      <c r="K64" s="1373">
        <f>SUM(L64-J64)</f>
        <v>0</v>
      </c>
      <c r="L64" s="200">
        <f>SUM('5.1. sz. mell. '!L64)</f>
        <v>21</v>
      </c>
      <c r="M64" s="200">
        <f>SUM('5.1. sz. mell. '!M64)</f>
        <v>21</v>
      </c>
    </row>
    <row r="65" spans="1:13" s="145" customFormat="1" ht="15" customHeight="1" thickBot="1" x14ac:dyDescent="0.25">
      <c r="A65" s="276" t="s">
        <v>325</v>
      </c>
      <c r="B65" s="277"/>
      <c r="C65" s="278"/>
      <c r="D65" s="279"/>
      <c r="E65" s="279"/>
      <c r="F65" s="279"/>
      <c r="G65" s="1560"/>
      <c r="H65" s="279"/>
      <c r="I65" s="1389"/>
      <c r="J65" s="279"/>
      <c r="K65" s="1389"/>
      <c r="L65" s="279"/>
      <c r="M65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7559055118110237" right="0.27559055118110237" top="0.31496062992125984" bottom="0.19685039370078741" header="0.51181102362204722" footer="0.15748031496062992"/>
  <pageSetup paperSize="9" scale="73" firstPageNumber="45" orientation="portrait" useFirstPageNumber="1" r:id="rId1"/>
  <headerFooter>
    <oddFooter>&amp;C- &amp;P -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M64"/>
  <sheetViews>
    <sheetView view="pageBreakPreview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4" style="115" customWidth="1"/>
    <col min="4" max="5" width="9.33203125" style="115" hidden="1" customWidth="1"/>
    <col min="6" max="6" width="10.33203125" style="115" customWidth="1"/>
    <col min="7" max="7" width="14.5" style="1390" hidden="1" customWidth="1"/>
    <col min="8" max="8" width="12.1640625" style="115" hidden="1" customWidth="1"/>
    <col min="9" max="9" width="10.6640625" style="1390" hidden="1" customWidth="1"/>
    <col min="10" max="10" width="12.6640625" style="115" customWidth="1"/>
    <col min="11" max="11" width="12.33203125" style="1390" customWidth="1"/>
    <col min="12" max="12" width="13.83203125" style="115" customWidth="1"/>
    <col min="13" max="13" width="15.16406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718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54" customHeight="1" thickBot="1" x14ac:dyDescent="0.25">
      <c r="A2" s="4516" t="s">
        <v>411</v>
      </c>
      <c r="B2" s="4516"/>
      <c r="C2" s="117" t="s">
        <v>1000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4.5" customHeight="1" thickBot="1" x14ac:dyDescent="0.25">
      <c r="A3" s="4525" t="s">
        <v>283</v>
      </c>
      <c r="B3" s="4525"/>
      <c r="C3" s="304" t="s">
        <v>1436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64"/>
      <c r="E4" s="4464"/>
      <c r="F4" s="4465"/>
      <c r="G4" s="1440"/>
      <c r="H4" s="1445"/>
      <c r="I4" s="1445"/>
      <c r="J4" s="1445"/>
      <c r="K4" s="1445"/>
      <c r="L4" s="1445"/>
      <c r="M4" s="1508" t="s">
        <v>935</v>
      </c>
    </row>
    <row r="5" spans="1:13" s="145" customFormat="1" ht="21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807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843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2710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515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691">
        <v>0</v>
      </c>
      <c r="F9" s="150">
        <v>0</v>
      </c>
      <c r="G9" s="1533"/>
      <c r="H9" s="150">
        <v>0</v>
      </c>
      <c r="I9" s="1375"/>
      <c r="J9" s="150">
        <v>0</v>
      </c>
      <c r="K9" s="1375"/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670">
        <v>0</v>
      </c>
      <c r="F10" s="144">
        <v>0</v>
      </c>
      <c r="G10" s="1415"/>
      <c r="H10" s="144">
        <v>0</v>
      </c>
      <c r="I10" s="1376"/>
      <c r="J10" s="144">
        <v>0</v>
      </c>
      <c r="K10" s="1376"/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670">
        <v>0</v>
      </c>
      <c r="F11" s="144">
        <v>0</v>
      </c>
      <c r="G11" s="1415"/>
      <c r="H11" s="144">
        <v>0</v>
      </c>
      <c r="I11" s="1376"/>
      <c r="J11" s="144">
        <v>0</v>
      </c>
      <c r="K11" s="1376"/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670">
        <v>0</v>
      </c>
      <c r="F12" s="144">
        <v>0</v>
      </c>
      <c r="G12" s="1415"/>
      <c r="H12" s="144">
        <v>0</v>
      </c>
      <c r="I12" s="1376"/>
      <c r="J12" s="144">
        <v>0</v>
      </c>
      <c r="K12" s="1376"/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670">
        <v>0</v>
      </c>
      <c r="F13" s="144">
        <v>0</v>
      </c>
      <c r="G13" s="1415"/>
      <c r="H13" s="144">
        <v>0</v>
      </c>
      <c r="I13" s="1376"/>
      <c r="J13" s="144">
        <v>0</v>
      </c>
      <c r="K13" s="1376"/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498">
        <v>0</v>
      </c>
      <c r="F14" s="144">
        <v>0</v>
      </c>
      <c r="G14" s="1415"/>
      <c r="H14" s="144">
        <v>0</v>
      </c>
      <c r="I14" s="1376"/>
      <c r="J14" s="144">
        <v>0</v>
      </c>
      <c r="K14" s="1376"/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498"/>
      <c r="F15" s="147">
        <v>0</v>
      </c>
      <c r="G15" s="1519"/>
      <c r="H15" s="147">
        <v>0</v>
      </c>
      <c r="I15" s="1377"/>
      <c r="J15" s="147">
        <v>0</v>
      </c>
      <c r="K15" s="1377"/>
      <c r="L15" s="147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670">
        <v>0</v>
      </c>
      <c r="F16" s="144">
        <v>0</v>
      </c>
      <c r="G16" s="1415"/>
      <c r="H16" s="144">
        <v>0</v>
      </c>
      <c r="I16" s="1376"/>
      <c r="J16" s="144">
        <v>0</v>
      </c>
      <c r="K16" s="1376"/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666"/>
      <c r="F17" s="153">
        <v>0</v>
      </c>
      <c r="G17" s="1518"/>
      <c r="H17" s="153">
        <v>0</v>
      </c>
      <c r="I17" s="1378"/>
      <c r="J17" s="153">
        <v>0</v>
      </c>
      <c r="K17" s="1378"/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666">
        <v>0</v>
      </c>
      <c r="F18" s="153">
        <v>0</v>
      </c>
      <c r="G18" s="1518"/>
      <c r="H18" s="153">
        <v>0</v>
      </c>
      <c r="I18" s="1378"/>
      <c r="J18" s="153">
        <v>0</v>
      </c>
      <c r="K18" s="1378"/>
      <c r="L18" s="153">
        <v>0</v>
      </c>
      <c r="M18" s="153">
        <v>0</v>
      </c>
    </row>
    <row r="19" spans="1:13" s="141" customFormat="1" ht="35.25" customHeight="1" thickBot="1" x14ac:dyDescent="0.25">
      <c r="A19" s="134" t="s">
        <v>17</v>
      </c>
      <c r="B19" s="148"/>
      <c r="C19" s="247" t="s">
        <v>419</v>
      </c>
      <c r="D19" s="137">
        <f>SUM(D20:D26)-D22</f>
        <v>53245</v>
      </c>
      <c r="E19" s="1515">
        <f>SUM(E20:E26)-E22</f>
        <v>54476</v>
      </c>
      <c r="F19" s="137">
        <f>SUM(F20:F26)-F21</f>
        <v>0</v>
      </c>
      <c r="G19" s="1382"/>
      <c r="H19" s="137">
        <f>SUM(H20:H26)-H21</f>
        <v>0</v>
      </c>
      <c r="I19" s="1374"/>
      <c r="J19" s="137">
        <f>SUM(J20:J26)-J21</f>
        <v>0</v>
      </c>
      <c r="K19" s="1374"/>
      <c r="L19" s="137">
        <f>SUM(L20:L26)-L21</f>
        <v>0</v>
      </c>
      <c r="M19" s="137">
        <f>SUM(M20:M26)-M21</f>
        <v>0</v>
      </c>
    </row>
    <row r="20" spans="1:13" s="145" customFormat="1" ht="35.25" customHeight="1" x14ac:dyDescent="0.2">
      <c r="A20" s="142"/>
      <c r="B20" s="143" t="s">
        <v>5</v>
      </c>
      <c r="C20" s="251" t="s">
        <v>420</v>
      </c>
      <c r="D20" s="144">
        <v>53245</v>
      </c>
      <c r="E20" s="670">
        <v>54476</v>
      </c>
      <c r="F20" s="144">
        <v>0</v>
      </c>
      <c r="G20" s="1415"/>
      <c r="H20" s="144">
        <v>0</v>
      </c>
      <c r="I20" s="1376"/>
      <c r="J20" s="144">
        <v>0</v>
      </c>
      <c r="K20" s="1376"/>
      <c r="L20" s="144">
        <v>0</v>
      </c>
      <c r="M20" s="144">
        <v>0</v>
      </c>
    </row>
    <row r="21" spans="1:13" s="145" customFormat="1" ht="12.75" hidden="1" customHeight="1" x14ac:dyDescent="0.2">
      <c r="A21" s="142"/>
      <c r="B21" s="143"/>
      <c r="C21" s="251"/>
      <c r="D21" s="144"/>
      <c r="E21" s="670"/>
      <c r="F21" s="144"/>
      <c r="G21" s="1415"/>
      <c r="H21" s="144"/>
      <c r="I21" s="1376"/>
      <c r="J21" s="144"/>
      <c r="K21" s="1376"/>
      <c r="L21" s="144"/>
      <c r="M21" s="144"/>
    </row>
    <row r="22" spans="1:13" s="145" customFormat="1" ht="15" customHeight="1" x14ac:dyDescent="0.2">
      <c r="A22" s="142"/>
      <c r="B22" s="143" t="s">
        <v>421</v>
      </c>
      <c r="C22" s="55" t="s">
        <v>422</v>
      </c>
      <c r="D22" s="144"/>
      <c r="E22" s="670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360</v>
      </c>
      <c r="C23" s="55" t="s">
        <v>1430</v>
      </c>
      <c r="D23" s="144">
        <v>0</v>
      </c>
      <c r="E23" s="670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357</v>
      </c>
      <c r="C24" s="55" t="s">
        <v>424</v>
      </c>
      <c r="D24" s="144">
        <v>0</v>
      </c>
      <c r="E24" s="670">
        <v>0</v>
      </c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x14ac:dyDescent="0.2">
      <c r="A25" s="142"/>
      <c r="B25" s="143" t="s">
        <v>7</v>
      </c>
      <c r="C25" s="55" t="s">
        <v>6</v>
      </c>
      <c r="D25" s="144"/>
      <c r="E25" s="670"/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670">
        <v>0</v>
      </c>
      <c r="F26" s="144">
        <v>0</v>
      </c>
      <c r="G26" s="1415"/>
      <c r="H26" s="144">
        <v>0</v>
      </c>
      <c r="I26" s="1376"/>
      <c r="J26" s="144">
        <v>0</v>
      </c>
      <c r="K26" s="1376"/>
      <c r="L26" s="144">
        <v>0</v>
      </c>
      <c r="M26" s="144">
        <v>0</v>
      </c>
    </row>
    <row r="27" spans="1:13" s="145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668">
        <v>0</v>
      </c>
      <c r="F27" s="155">
        <v>0</v>
      </c>
      <c r="G27" s="1381"/>
      <c r="H27" s="155">
        <v>0</v>
      </c>
      <c r="I27" s="1380"/>
      <c r="J27" s="155">
        <v>0</v>
      </c>
      <c r="K27" s="1380"/>
      <c r="L27" s="155">
        <v>0</v>
      </c>
      <c r="M27" s="155">
        <v>0</v>
      </c>
    </row>
    <row r="28" spans="1:13" s="141" customFormat="1" ht="15" customHeight="1" thickBot="1" x14ac:dyDescent="0.25">
      <c r="A28" s="134"/>
      <c r="B28" s="143" t="s">
        <v>19</v>
      </c>
      <c r="C28" s="55" t="s">
        <v>427</v>
      </c>
      <c r="D28" s="155">
        <v>0</v>
      </c>
      <c r="E28" s="668">
        <v>0</v>
      </c>
      <c r="F28" s="252">
        <v>0</v>
      </c>
      <c r="G28" s="1509"/>
      <c r="H28" s="252">
        <v>0</v>
      </c>
      <c r="I28" s="1436"/>
      <c r="J28" s="252">
        <v>0</v>
      </c>
      <c r="K28" s="1436"/>
      <c r="L28" s="252">
        <v>0</v>
      </c>
      <c r="M28" s="252">
        <v>0</v>
      </c>
    </row>
    <row r="29" spans="1:13" s="141" customFormat="1" ht="15" customHeight="1" thickBot="1" x14ac:dyDescent="0.25">
      <c r="A29" s="134" t="s">
        <v>45</v>
      </c>
      <c r="B29" s="148"/>
      <c r="C29" s="170" t="s">
        <v>428</v>
      </c>
      <c r="D29" s="285">
        <f>+D30+D32</f>
        <v>0</v>
      </c>
      <c r="E29" s="839">
        <f>+E30+E32</f>
        <v>127</v>
      </c>
      <c r="F29" s="137">
        <f>+F30+F32</f>
        <v>0</v>
      </c>
      <c r="G29" s="1382"/>
      <c r="H29" s="285">
        <f>+H30+H32</f>
        <v>0</v>
      </c>
      <c r="I29" s="1382"/>
      <c r="J29" s="285">
        <f>+J30+J32</f>
        <v>0</v>
      </c>
      <c r="K29" s="1382"/>
      <c r="L29" s="285">
        <f>+L30+L32</f>
        <v>0</v>
      </c>
      <c r="M29" s="285">
        <f>+M30+M32</f>
        <v>0</v>
      </c>
    </row>
    <row r="30" spans="1:13" s="141" customFormat="1" ht="15" customHeight="1" x14ac:dyDescent="0.2">
      <c r="A30" s="149"/>
      <c r="B30" s="253" t="s">
        <v>33</v>
      </c>
      <c r="C30" s="55" t="s">
        <v>359</v>
      </c>
      <c r="D30" s="306">
        <v>0</v>
      </c>
      <c r="E30" s="1325">
        <v>127</v>
      </c>
      <c r="F30" s="150">
        <v>0</v>
      </c>
      <c r="G30" s="1533"/>
      <c r="H30" s="310">
        <v>0</v>
      </c>
      <c r="I30" s="1403"/>
      <c r="J30" s="310">
        <v>0</v>
      </c>
      <c r="K30" s="1403"/>
      <c r="L30" s="310">
        <v>0</v>
      </c>
      <c r="M30" s="310">
        <v>0</v>
      </c>
    </row>
    <row r="31" spans="1:13" s="141" customFormat="1" ht="15" customHeight="1" x14ac:dyDescent="0.2">
      <c r="A31" s="146"/>
      <c r="B31" s="253" t="s">
        <v>39</v>
      </c>
      <c r="C31" s="55" t="s">
        <v>72</v>
      </c>
      <c r="D31" s="284"/>
      <c r="E31" s="463"/>
      <c r="F31" s="147">
        <v>0</v>
      </c>
      <c r="G31" s="1519"/>
      <c r="H31" s="284">
        <v>0</v>
      </c>
      <c r="I31" s="1519"/>
      <c r="J31" s="284">
        <v>0</v>
      </c>
      <c r="K31" s="1519"/>
      <c r="L31" s="284">
        <v>0</v>
      </c>
      <c r="M31" s="284">
        <v>0</v>
      </c>
    </row>
    <row r="32" spans="1:13" s="141" customFormat="1" ht="15" customHeight="1" thickBot="1" x14ac:dyDescent="0.25">
      <c r="A32" s="178"/>
      <c r="B32" s="253" t="s">
        <v>41</v>
      </c>
      <c r="C32" s="55" t="s">
        <v>74</v>
      </c>
      <c r="D32" s="294">
        <v>0</v>
      </c>
      <c r="E32" s="692">
        <v>0</v>
      </c>
      <c r="F32" s="294">
        <v>0</v>
      </c>
      <c r="G32" s="2667"/>
      <c r="H32" s="294">
        <v>0</v>
      </c>
      <c r="I32" s="1384"/>
      <c r="J32" s="294">
        <v>0</v>
      </c>
      <c r="K32" s="1384"/>
      <c r="L32" s="294">
        <v>0</v>
      </c>
      <c r="M32" s="294">
        <v>0</v>
      </c>
    </row>
    <row r="33" spans="1:13" s="145" customFormat="1" ht="28.5" customHeight="1" thickBot="1" x14ac:dyDescent="0.25">
      <c r="A33" s="134" t="s">
        <v>67</v>
      </c>
      <c r="B33" s="254"/>
      <c r="C33" s="170" t="s">
        <v>429</v>
      </c>
      <c r="D33" s="155">
        <v>4766</v>
      </c>
      <c r="E33" s="668">
        <v>6405</v>
      </c>
      <c r="F33" s="155">
        <v>0</v>
      </c>
      <c r="G33" s="1381"/>
      <c r="H33" s="155">
        <v>0</v>
      </c>
      <c r="I33" s="1380"/>
      <c r="J33" s="155">
        <v>0</v>
      </c>
      <c r="K33" s="1380"/>
      <c r="L33" s="155">
        <v>0</v>
      </c>
      <c r="M33" s="155">
        <v>0</v>
      </c>
    </row>
    <row r="34" spans="1:13" s="145" customFormat="1" ht="28.5" customHeight="1" thickBot="1" x14ac:dyDescent="0.25">
      <c r="A34" s="134"/>
      <c r="B34" s="255" t="s">
        <v>47</v>
      </c>
      <c r="C34" s="251" t="s">
        <v>430</v>
      </c>
      <c r="D34" s="155"/>
      <c r="E34" s="668"/>
      <c r="F34" s="252">
        <v>0</v>
      </c>
      <c r="G34" s="1509"/>
      <c r="H34" s="252">
        <v>0</v>
      </c>
      <c r="I34" s="1436"/>
      <c r="J34" s="252">
        <v>0</v>
      </c>
      <c r="K34" s="1436"/>
      <c r="L34" s="252">
        <v>0</v>
      </c>
      <c r="M34" s="252">
        <v>0</v>
      </c>
    </row>
    <row r="35" spans="1:13" s="145" customFormat="1" ht="12.75" hidden="1" customHeight="1" x14ac:dyDescent="0.2">
      <c r="A35" s="134"/>
      <c r="B35" s="311"/>
      <c r="C35" s="250"/>
      <c r="D35" s="155"/>
      <c r="E35" s="668"/>
      <c r="F35" s="155"/>
      <c r="G35" s="1381"/>
      <c r="H35" s="155"/>
      <c r="I35" s="1380"/>
      <c r="J35" s="155"/>
      <c r="K35" s="1380"/>
      <c r="L35" s="155"/>
      <c r="M35" s="155"/>
    </row>
    <row r="36" spans="1:13" s="145" customFormat="1" ht="15.75" thickBot="1" x14ac:dyDescent="0.3">
      <c r="A36" s="258" t="s">
        <v>79</v>
      </c>
      <c r="B36" s="256"/>
      <c r="C36" s="247" t="s">
        <v>431</v>
      </c>
      <c r="D36" s="155"/>
      <c r="E36" s="668"/>
      <c r="F36" s="155">
        <v>0</v>
      </c>
      <c r="G36" s="1381"/>
      <c r="H36" s="155">
        <v>0</v>
      </c>
      <c r="I36" s="1380"/>
      <c r="J36" s="155">
        <v>0</v>
      </c>
      <c r="K36" s="1380"/>
      <c r="L36" s="155">
        <v>0</v>
      </c>
      <c r="M36" s="155">
        <v>0</v>
      </c>
    </row>
    <row r="37" spans="1:13" s="145" customFormat="1" ht="30.75" thickBot="1" x14ac:dyDescent="0.25">
      <c r="A37" s="258"/>
      <c r="B37" s="257" t="s">
        <v>69</v>
      </c>
      <c r="C37" s="55" t="s">
        <v>432</v>
      </c>
      <c r="D37" s="155"/>
      <c r="E37" s="668"/>
      <c r="F37" s="252">
        <v>0</v>
      </c>
      <c r="G37" s="1509"/>
      <c r="H37" s="252">
        <v>0</v>
      </c>
      <c r="I37" s="1436"/>
      <c r="J37" s="252">
        <v>0</v>
      </c>
      <c r="K37" s="1436"/>
      <c r="L37" s="252">
        <v>0</v>
      </c>
      <c r="M37" s="252">
        <v>0</v>
      </c>
    </row>
    <row r="38" spans="1:13" s="145" customFormat="1" ht="15" customHeight="1" thickBot="1" x14ac:dyDescent="0.3">
      <c r="A38" s="258" t="s">
        <v>89</v>
      </c>
      <c r="B38" s="256"/>
      <c r="C38" s="170" t="s">
        <v>433</v>
      </c>
      <c r="D38" s="155"/>
      <c r="E38" s="668"/>
      <c r="F38" s="155">
        <f>SUM(F39:F41)</f>
        <v>0</v>
      </c>
      <c r="G38" s="1381"/>
      <c r="H38" s="155">
        <f>SUM(H39:H41)</f>
        <v>0</v>
      </c>
      <c r="I38" s="1380"/>
      <c r="J38" s="155">
        <f>SUM(J39:J41)</f>
        <v>0</v>
      </c>
      <c r="K38" s="1380"/>
      <c r="L38" s="155">
        <f>SUM(L39:L41)</f>
        <v>0</v>
      </c>
      <c r="M38" s="155">
        <f>SUM(M39:M41)</f>
        <v>0</v>
      </c>
    </row>
    <row r="39" spans="1:13" s="145" customFormat="1" ht="15" customHeight="1" thickBot="1" x14ac:dyDescent="0.25">
      <c r="A39" s="149"/>
      <c r="B39" s="253" t="s">
        <v>81</v>
      </c>
      <c r="C39" s="55" t="s">
        <v>434</v>
      </c>
      <c r="D39" s="155"/>
      <c r="E39" s="668"/>
      <c r="F39" s="150">
        <v>0</v>
      </c>
      <c r="G39" s="1533"/>
      <c r="H39" s="310">
        <v>0</v>
      </c>
      <c r="I39" s="1403"/>
      <c r="J39" s="310">
        <v>0</v>
      </c>
      <c r="K39" s="1403"/>
      <c r="L39" s="310">
        <v>0</v>
      </c>
      <c r="M39" s="310">
        <v>0</v>
      </c>
    </row>
    <row r="40" spans="1:13" s="145" customFormat="1" ht="15" customHeight="1" thickBot="1" x14ac:dyDescent="0.25">
      <c r="A40" s="146"/>
      <c r="B40" s="253" t="s">
        <v>83</v>
      </c>
      <c r="C40" s="55" t="s">
        <v>435</v>
      </c>
      <c r="D40" s="155"/>
      <c r="E40" s="668"/>
      <c r="F40" s="147">
        <v>0</v>
      </c>
      <c r="G40" s="1519"/>
      <c r="H40" s="284">
        <v>0</v>
      </c>
      <c r="I40" s="1519"/>
      <c r="J40" s="284">
        <v>0</v>
      </c>
      <c r="K40" s="1519"/>
      <c r="L40" s="284">
        <v>0</v>
      </c>
      <c r="M40" s="284">
        <v>0</v>
      </c>
    </row>
    <row r="41" spans="1:13" s="145" customFormat="1" ht="15" customHeight="1" thickBot="1" x14ac:dyDescent="0.25">
      <c r="A41" s="178"/>
      <c r="B41" s="253" t="s">
        <v>85</v>
      </c>
      <c r="C41" s="55" t="s">
        <v>1434</v>
      </c>
      <c r="D41" s="155"/>
      <c r="E41" s="668"/>
      <c r="F41" s="294">
        <v>0</v>
      </c>
      <c r="G41" s="2667"/>
      <c r="H41" s="294">
        <v>0</v>
      </c>
      <c r="I41" s="1384"/>
      <c r="J41" s="294">
        <v>0</v>
      </c>
      <c r="K41" s="1384"/>
      <c r="L41" s="294">
        <v>0</v>
      </c>
      <c r="M41" s="294">
        <v>0</v>
      </c>
    </row>
    <row r="42" spans="1:13" s="145" customFormat="1" ht="15" customHeight="1" thickBot="1" x14ac:dyDescent="0.25">
      <c r="A42" s="192" t="s">
        <v>99</v>
      </c>
      <c r="B42" s="160"/>
      <c r="C42" s="274" t="s">
        <v>441</v>
      </c>
      <c r="D42" s="162">
        <f>SUM(D8,D19,D27,D28,D29,D33)</f>
        <v>58011</v>
      </c>
      <c r="E42" s="2710">
        <f>SUM(E8,E19,E27,E28,E29,E33)</f>
        <v>61008</v>
      </c>
      <c r="F42" s="162">
        <f>SUM(F8,F19,F27,F28,F29,F33)</f>
        <v>0</v>
      </c>
      <c r="G42" s="1437"/>
      <c r="H42" s="162">
        <f>SUM(H8,H19,H27,H28,H29,H33)</f>
        <v>0</v>
      </c>
      <c r="I42" s="1373"/>
      <c r="J42" s="162">
        <f>SUM(J8,J19,J27,J28,J29,J33)</f>
        <v>0</v>
      </c>
      <c r="K42" s="1373"/>
      <c r="L42" s="162">
        <f>SUM(L8,L19,L27,L28,L29,L33)</f>
        <v>0</v>
      </c>
      <c r="M42" s="162">
        <f>SUM(M8,M19,M27,M28,M29,M33)</f>
        <v>0</v>
      </c>
    </row>
    <row r="43" spans="1:13" s="145" customFormat="1" ht="15" customHeight="1" thickBot="1" x14ac:dyDescent="0.25">
      <c r="A43" s="1303"/>
      <c r="B43" s="886"/>
      <c r="C43" s="886"/>
      <c r="D43" s="2145"/>
      <c r="E43" s="2145"/>
      <c r="F43" s="2741"/>
      <c r="G43" s="1512"/>
      <c r="H43" s="1512"/>
      <c r="I43" s="1512"/>
      <c r="J43" s="1512"/>
      <c r="K43" s="1512"/>
      <c r="L43" s="1512"/>
      <c r="M43" s="2131"/>
    </row>
    <row r="44" spans="1:13" s="305" customFormat="1" ht="15" customHeight="1" thickBot="1" x14ac:dyDescent="0.25">
      <c r="A44" s="192"/>
      <c r="B44" s="160"/>
      <c r="C44" s="282" t="s">
        <v>231</v>
      </c>
      <c r="D44" s="162"/>
      <c r="E44" s="2710"/>
      <c r="F44" s="162"/>
      <c r="G44" s="1437"/>
      <c r="H44" s="162"/>
      <c r="I44" s="1373"/>
      <c r="J44" s="162"/>
      <c r="K44" s="1373"/>
      <c r="L44" s="162"/>
      <c r="M44" s="162"/>
    </row>
    <row r="45" spans="1:13" s="141" customFormat="1" ht="15" customHeight="1" thickBot="1" x14ac:dyDescent="0.25">
      <c r="A45" s="134" t="s">
        <v>3</v>
      </c>
      <c r="B45" s="170"/>
      <c r="C45" s="170" t="s">
        <v>442</v>
      </c>
      <c r="D45" s="137">
        <f>SUM(D46+D48+D50)</f>
        <v>58011</v>
      </c>
      <c r="E45" s="1515">
        <f>SUM(E46+E48+E50)</f>
        <v>61008</v>
      </c>
      <c r="F45" s="137">
        <f>SUM(F46+F48+F50)</f>
        <v>0</v>
      </c>
      <c r="G45" s="1382"/>
      <c r="H45" s="137">
        <f>SUM(H46+H48+H50)</f>
        <v>0</v>
      </c>
      <c r="I45" s="1374"/>
      <c r="J45" s="137">
        <f>SUM(J46+J48+J50)</f>
        <v>0</v>
      </c>
      <c r="K45" s="1374"/>
      <c r="L45" s="137">
        <f>SUM(L46+L48+L50)</f>
        <v>0</v>
      </c>
      <c r="M45" s="137">
        <f>SUM(M46+M48+M50)</f>
        <v>0</v>
      </c>
    </row>
    <row r="46" spans="1:13" s="145" customFormat="1" ht="15" customHeight="1" x14ac:dyDescent="0.2">
      <c r="A46" s="173"/>
      <c r="B46" s="267" t="s">
        <v>152</v>
      </c>
      <c r="C46" s="251" t="s">
        <v>153</v>
      </c>
      <c r="D46" s="175">
        <v>39072</v>
      </c>
      <c r="E46" s="2743">
        <v>41332</v>
      </c>
      <c r="F46" s="175">
        <v>0</v>
      </c>
      <c r="G46" s="1432"/>
      <c r="H46" s="175">
        <v>0</v>
      </c>
      <c r="I46" s="1386"/>
      <c r="J46" s="175">
        <v>0</v>
      </c>
      <c r="K46" s="1386"/>
      <c r="L46" s="175">
        <v>0</v>
      </c>
      <c r="M46" s="175">
        <v>0</v>
      </c>
    </row>
    <row r="47" spans="1:13" s="145" customFormat="1" ht="12.75" hidden="1" customHeight="1" x14ac:dyDescent="0.2">
      <c r="A47" s="173"/>
      <c r="B47" s="267"/>
      <c r="C47" s="309" t="s">
        <v>463</v>
      </c>
      <c r="D47" s="302"/>
      <c r="E47" s="2744"/>
      <c r="F47" s="302"/>
      <c r="G47" s="2740"/>
      <c r="H47" s="302"/>
      <c r="I47" s="1510"/>
      <c r="J47" s="302"/>
      <c r="K47" s="1510"/>
      <c r="L47" s="302"/>
      <c r="M47" s="302"/>
    </row>
    <row r="48" spans="1:13" s="145" customFormat="1" ht="15" customHeight="1" x14ac:dyDescent="0.2">
      <c r="A48" s="142"/>
      <c r="B48" s="253" t="s">
        <v>154</v>
      </c>
      <c r="C48" s="55" t="s">
        <v>155</v>
      </c>
      <c r="D48" s="144">
        <v>10526</v>
      </c>
      <c r="E48" s="670">
        <v>11133</v>
      </c>
      <c r="F48" s="144">
        <v>0</v>
      </c>
      <c r="G48" s="1415"/>
      <c r="H48" s="144">
        <v>0</v>
      </c>
      <c r="I48" s="1376"/>
      <c r="J48" s="144">
        <v>0</v>
      </c>
      <c r="K48" s="1376"/>
      <c r="L48" s="144">
        <v>0</v>
      </c>
      <c r="M48" s="144">
        <v>0</v>
      </c>
    </row>
    <row r="49" spans="1:13" s="145" customFormat="1" ht="12.75" hidden="1" customHeight="1" x14ac:dyDescent="0.2">
      <c r="A49" s="142"/>
      <c r="B49" s="253"/>
      <c r="C49" s="309" t="s">
        <v>463</v>
      </c>
      <c r="D49" s="302"/>
      <c r="E49" s="2744"/>
      <c r="F49" s="302"/>
      <c r="G49" s="2740"/>
      <c r="H49" s="302"/>
      <c r="I49" s="1510"/>
      <c r="J49" s="302"/>
      <c r="K49" s="1510"/>
      <c r="L49" s="302"/>
      <c r="M49" s="302"/>
    </row>
    <row r="50" spans="1:13" s="145" customFormat="1" ht="15" customHeight="1" x14ac:dyDescent="0.2">
      <c r="A50" s="142"/>
      <c r="B50" s="253" t="s">
        <v>156</v>
      </c>
      <c r="C50" s="55" t="s">
        <v>157</v>
      </c>
      <c r="D50" s="144">
        <v>8413</v>
      </c>
      <c r="E50" s="670">
        <v>8543</v>
      </c>
      <c r="F50" s="144">
        <v>0</v>
      </c>
      <c r="G50" s="1415"/>
      <c r="H50" s="144">
        <v>0</v>
      </c>
      <c r="I50" s="1376"/>
      <c r="J50" s="144">
        <v>0</v>
      </c>
      <c r="K50" s="1376"/>
      <c r="L50" s="144">
        <v>0</v>
      </c>
      <c r="M50" s="144">
        <v>0</v>
      </c>
    </row>
    <row r="51" spans="1:13" s="145" customFormat="1" ht="12.75" hidden="1" customHeight="1" x14ac:dyDescent="0.2">
      <c r="A51" s="142"/>
      <c r="B51" s="253"/>
      <c r="C51" s="309" t="s">
        <v>463</v>
      </c>
      <c r="D51" s="302"/>
      <c r="E51" s="2744"/>
      <c r="F51" s="302"/>
      <c r="G51" s="2740"/>
      <c r="H51" s="302"/>
      <c r="I51" s="1510"/>
      <c r="J51" s="302"/>
      <c r="K51" s="1510"/>
      <c r="L51" s="302"/>
      <c r="M51" s="302"/>
    </row>
    <row r="52" spans="1:13" s="145" customFormat="1" ht="15" customHeight="1" x14ac:dyDescent="0.2">
      <c r="A52" s="142"/>
      <c r="B52" s="253" t="s">
        <v>158</v>
      </c>
      <c r="C52" s="55" t="s">
        <v>159</v>
      </c>
      <c r="D52" s="144"/>
      <c r="E52" s="670"/>
      <c r="F52" s="144">
        <v>0</v>
      </c>
      <c r="G52" s="1415"/>
      <c r="H52" s="144">
        <v>0</v>
      </c>
      <c r="I52" s="1376"/>
      <c r="J52" s="144">
        <v>0</v>
      </c>
      <c r="K52" s="1376"/>
      <c r="L52" s="144">
        <v>0</v>
      </c>
      <c r="M52" s="144">
        <v>0</v>
      </c>
    </row>
    <row r="53" spans="1:13" s="145" customFormat="1" ht="15" customHeight="1" thickBot="1" x14ac:dyDescent="0.25">
      <c r="A53" s="142"/>
      <c r="B53" s="253" t="s">
        <v>375</v>
      </c>
      <c r="C53" s="55" t="s">
        <v>161</v>
      </c>
      <c r="D53" s="144">
        <v>0</v>
      </c>
      <c r="E53" s="670">
        <v>0</v>
      </c>
      <c r="F53" s="144">
        <v>0</v>
      </c>
      <c r="G53" s="1415"/>
      <c r="H53" s="144">
        <v>0</v>
      </c>
      <c r="I53" s="1376"/>
      <c r="J53" s="144">
        <v>0</v>
      </c>
      <c r="K53" s="1376"/>
      <c r="L53" s="144">
        <v>0</v>
      </c>
      <c r="M53" s="144">
        <v>0</v>
      </c>
    </row>
    <row r="54" spans="1:13" s="145" customFormat="1" ht="15" customHeight="1" thickBot="1" x14ac:dyDescent="0.25">
      <c r="A54" s="134" t="s">
        <v>17</v>
      </c>
      <c r="B54" s="170"/>
      <c r="C54" s="170" t="s">
        <v>468</v>
      </c>
      <c r="D54" s="137">
        <f>SUM(D55:D58)</f>
        <v>0</v>
      </c>
      <c r="E54" s="1515">
        <f>SUM(E55:E58)</f>
        <v>0</v>
      </c>
      <c r="F54" s="137">
        <f>SUM(F55:F58)</f>
        <v>0</v>
      </c>
      <c r="G54" s="1382"/>
      <c r="H54" s="137">
        <f>SUM(H55:H58)</f>
        <v>0</v>
      </c>
      <c r="I54" s="1374"/>
      <c r="J54" s="137">
        <f>SUM(J55:J58)</f>
        <v>0</v>
      </c>
      <c r="K54" s="1374"/>
      <c r="L54" s="137">
        <f>SUM(L55:L58)</f>
        <v>0</v>
      </c>
      <c r="M54" s="137">
        <f>SUM(M55:M58)</f>
        <v>0</v>
      </c>
    </row>
    <row r="55" spans="1:13" s="141" customFormat="1" ht="15" customHeight="1" x14ac:dyDescent="0.2">
      <c r="A55" s="173"/>
      <c r="B55" s="267" t="s">
        <v>5</v>
      </c>
      <c r="C55" s="251" t="s">
        <v>183</v>
      </c>
      <c r="D55" s="175">
        <v>0</v>
      </c>
      <c r="E55" s="2743">
        <v>0</v>
      </c>
      <c r="F55" s="175">
        <v>0</v>
      </c>
      <c r="G55" s="1432"/>
      <c r="H55" s="175">
        <v>0</v>
      </c>
      <c r="I55" s="1386"/>
      <c r="J55" s="175">
        <v>0</v>
      </c>
      <c r="K55" s="1386"/>
      <c r="L55" s="175">
        <v>0</v>
      </c>
      <c r="M55" s="175">
        <v>0</v>
      </c>
    </row>
    <row r="56" spans="1:13" s="145" customFormat="1" ht="15" customHeight="1" x14ac:dyDescent="0.2">
      <c r="A56" s="142"/>
      <c r="B56" s="253" t="s">
        <v>7</v>
      </c>
      <c r="C56" s="55" t="s">
        <v>185</v>
      </c>
      <c r="D56" s="144">
        <v>0</v>
      </c>
      <c r="E56" s="670">
        <v>0</v>
      </c>
      <c r="F56" s="144">
        <v>0</v>
      </c>
      <c r="G56" s="1415"/>
      <c r="H56" s="144">
        <v>0</v>
      </c>
      <c r="I56" s="1376"/>
      <c r="J56" s="144">
        <v>0</v>
      </c>
      <c r="K56" s="1376"/>
      <c r="L56" s="144">
        <v>0</v>
      </c>
      <c r="M56" s="144">
        <v>0</v>
      </c>
    </row>
    <row r="57" spans="1:13" s="145" customFormat="1" ht="15.75" thickBot="1" x14ac:dyDescent="0.25">
      <c r="A57" s="142"/>
      <c r="B57" s="253" t="s">
        <v>9</v>
      </c>
      <c r="C57" s="55" t="s">
        <v>444</v>
      </c>
      <c r="D57" s="144">
        <v>0</v>
      </c>
      <c r="E57" s="670">
        <v>0</v>
      </c>
      <c r="F57" s="144">
        <v>0</v>
      </c>
      <c r="G57" s="1415"/>
      <c r="H57" s="144">
        <v>0</v>
      </c>
      <c r="I57" s="1376"/>
      <c r="J57" s="144">
        <v>0</v>
      </c>
      <c r="K57" s="1376"/>
      <c r="L57" s="144">
        <v>0</v>
      </c>
      <c r="M57" s="144">
        <v>0</v>
      </c>
    </row>
    <row r="58" spans="1:13" s="145" customFormat="1" ht="12.75" hidden="1" customHeight="1" x14ac:dyDescent="0.2">
      <c r="A58" s="142"/>
      <c r="B58" s="176" t="s">
        <v>189</v>
      </c>
      <c r="C58" s="55" t="s">
        <v>448</v>
      </c>
      <c r="D58" s="144">
        <v>0</v>
      </c>
      <c r="E58" s="670">
        <v>0</v>
      </c>
      <c r="F58" s="144">
        <v>0</v>
      </c>
      <c r="G58" s="1415"/>
      <c r="H58" s="144">
        <v>0</v>
      </c>
      <c r="I58" s="1376"/>
      <c r="J58" s="144">
        <v>0</v>
      </c>
      <c r="K58" s="1376"/>
      <c r="L58" s="144">
        <v>0</v>
      </c>
      <c r="M58" s="144">
        <v>0</v>
      </c>
    </row>
    <row r="59" spans="1:13" s="145" customFormat="1" ht="12.75" hidden="1" customHeight="1" x14ac:dyDescent="0.2">
      <c r="A59" s="134" t="s">
        <v>31</v>
      </c>
      <c r="B59" s="170"/>
      <c r="C59" s="171" t="s">
        <v>445</v>
      </c>
      <c r="D59" s="155">
        <v>0</v>
      </c>
      <c r="E59" s="668">
        <v>0</v>
      </c>
      <c r="F59" s="155">
        <v>0</v>
      </c>
      <c r="G59" s="1381"/>
      <c r="H59" s="155">
        <v>0</v>
      </c>
      <c r="I59" s="1380"/>
      <c r="J59" s="155">
        <v>0</v>
      </c>
      <c r="K59" s="1380"/>
      <c r="L59" s="155">
        <v>0</v>
      </c>
      <c r="M59" s="155">
        <v>0</v>
      </c>
    </row>
    <row r="60" spans="1:13" s="145" customFormat="1" ht="12.75" hidden="1" customHeight="1" x14ac:dyDescent="0.2">
      <c r="A60" s="134"/>
      <c r="B60" s="170"/>
      <c r="C60" s="171" t="s">
        <v>459</v>
      </c>
      <c r="D60" s="155"/>
      <c r="E60" s="668"/>
      <c r="F60" s="155"/>
      <c r="G60" s="1381"/>
      <c r="H60" s="155"/>
      <c r="I60" s="1380"/>
      <c r="J60" s="155"/>
      <c r="K60" s="1380"/>
      <c r="L60" s="155"/>
      <c r="M60" s="155"/>
    </row>
    <row r="61" spans="1:13" s="145" customFormat="1" ht="15" customHeight="1" thickBot="1" x14ac:dyDescent="0.25">
      <c r="A61" s="192" t="s">
        <v>31</v>
      </c>
      <c r="B61" s="160"/>
      <c r="C61" s="274" t="s">
        <v>465</v>
      </c>
      <c r="D61" s="162">
        <f>+D45+D54+D59</f>
        <v>58011</v>
      </c>
      <c r="E61" s="2710">
        <f>+E45+E54+E59</f>
        <v>61008</v>
      </c>
      <c r="F61" s="162">
        <f>F45+F54</f>
        <v>0</v>
      </c>
      <c r="G61" s="1437"/>
      <c r="H61" s="162">
        <f>H45+H54</f>
        <v>0</v>
      </c>
      <c r="I61" s="1373"/>
      <c r="J61" s="162">
        <f>J45+J54</f>
        <v>0</v>
      </c>
      <c r="K61" s="1373"/>
      <c r="L61" s="162">
        <f>L45+L54</f>
        <v>0</v>
      </c>
      <c r="M61" s="162">
        <f>M45+M54</f>
        <v>0</v>
      </c>
    </row>
    <row r="62" spans="1:13" s="145" customFormat="1" ht="15" customHeight="1" thickBot="1" x14ac:dyDescent="0.25">
      <c r="A62" s="2144"/>
      <c r="B62" s="266"/>
      <c r="C62" s="275"/>
      <c r="D62" s="286">
        <f>SUM(D47+D49+D51)</f>
        <v>0</v>
      </c>
      <c r="E62" s="286">
        <f>SUM(E47+E49+E51)</f>
        <v>0</v>
      </c>
      <c r="F62" s="285"/>
      <c r="G62" s="1385"/>
      <c r="H62" s="826">
        <f>SUM(H47+H49+H51)</f>
        <v>0</v>
      </c>
      <c r="I62" s="1385"/>
      <c r="J62" s="826">
        <f>SUM(J47+J49+J51)</f>
        <v>0</v>
      </c>
      <c r="K62" s="1385"/>
      <c r="L62" s="826">
        <f>SUM(L47+L49+L51)</f>
        <v>0</v>
      </c>
      <c r="M62" s="1458">
        <f>SUM(M47+M49+M51)</f>
        <v>0</v>
      </c>
    </row>
    <row r="63" spans="1:13" s="145" customFormat="1" ht="15" customHeight="1" thickBot="1" x14ac:dyDescent="0.25">
      <c r="A63" s="276" t="s">
        <v>324</v>
      </c>
      <c r="B63" s="277"/>
      <c r="C63" s="278"/>
      <c r="D63" s="279">
        <v>18</v>
      </c>
      <c r="E63" s="2745">
        <v>18</v>
      </c>
      <c r="F63" s="200"/>
      <c r="G63" s="1559"/>
      <c r="H63" s="200"/>
      <c r="I63" s="1388"/>
      <c r="J63" s="200"/>
      <c r="K63" s="1388"/>
      <c r="L63" s="200"/>
      <c r="M63" s="200"/>
    </row>
    <row r="64" spans="1:13" s="145" customFormat="1" ht="15" customHeight="1" thickBot="1" x14ac:dyDescent="0.25">
      <c r="A64" s="276" t="s">
        <v>325</v>
      </c>
      <c r="B64" s="277"/>
      <c r="C64" s="278"/>
      <c r="D64" s="279"/>
      <c r="E64" s="2745"/>
      <c r="F64" s="279"/>
      <c r="G64" s="1560"/>
      <c r="H64" s="279"/>
      <c r="I64" s="1389"/>
      <c r="J64" s="279"/>
      <c r="K64" s="1389"/>
      <c r="L64" s="279"/>
      <c r="M64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7559055118110237" right="0.27559055118110237" top="0.31496062992125984" bottom="0.19685039370078741" header="0.51181102362204722" footer="0.15748031496062992"/>
  <pageSetup paperSize="9" scale="75" firstPageNumber="46" orientation="portrait" useFirstPageNumber="1" r:id="rId1"/>
  <headerFooter>
    <oddFooter>&amp;C- &amp;P -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64"/>
  <sheetViews>
    <sheetView view="pageBreakPreview" topLeftCell="A28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4" style="115" customWidth="1"/>
    <col min="4" max="5" width="9.33203125" style="115" hidden="1" customWidth="1"/>
    <col min="6" max="6" width="9.83203125" style="115" customWidth="1"/>
    <col min="7" max="7" width="12.6640625" style="1390" hidden="1" customWidth="1"/>
    <col min="8" max="8" width="11.83203125" style="115" hidden="1" customWidth="1"/>
    <col min="9" max="9" width="11.5" style="1390" hidden="1" customWidth="1"/>
    <col min="10" max="10" width="12.1640625" style="115" customWidth="1"/>
    <col min="11" max="11" width="12.83203125" style="1390" customWidth="1"/>
    <col min="12" max="12" width="13.83203125" style="115" customWidth="1"/>
    <col min="13" max="13" width="14.66406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719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49.5" customHeight="1" thickBot="1" x14ac:dyDescent="0.25">
      <c r="A2" s="4516" t="s">
        <v>411</v>
      </c>
      <c r="B2" s="4516"/>
      <c r="C2" s="117" t="s">
        <v>1000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25" t="s">
        <v>283</v>
      </c>
      <c r="B3" s="4525"/>
      <c r="C3" s="304" t="s">
        <v>480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39.7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5"/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6"/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6"/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6"/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6"/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6"/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7"/>
      <c r="L15" s="147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0</v>
      </c>
      <c r="K16" s="1376"/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/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>
        <v>0</v>
      </c>
      <c r="K18" s="1378"/>
      <c r="L18" s="153">
        <v>0</v>
      </c>
      <c r="M18" s="153">
        <v>0</v>
      </c>
    </row>
    <row r="19" spans="1:13" s="141" customFormat="1" ht="29.25" customHeight="1" thickBot="1" x14ac:dyDescent="0.25">
      <c r="A19" s="134" t="s">
        <v>17</v>
      </c>
      <c r="B19" s="148"/>
      <c r="C19" s="247" t="s">
        <v>419</v>
      </c>
      <c r="D19" s="137">
        <f>SUM(D20:D26)-D21</f>
        <v>53245</v>
      </c>
      <c r="E19" s="137">
        <f>SUM(E20:E26)-E21</f>
        <v>54476</v>
      </c>
      <c r="F19" s="137">
        <f>SUM(F20:F26)-F21</f>
        <v>0</v>
      </c>
      <c r="G19" s="1382"/>
      <c r="H19" s="137">
        <f>SUM(H20:H26)-H21</f>
        <v>0</v>
      </c>
      <c r="I19" s="1374"/>
      <c r="J19" s="137">
        <f>SUM(J20:J26)-J21</f>
        <v>0</v>
      </c>
      <c r="K19" s="1374"/>
      <c r="L19" s="137">
        <f>SUM(L20:L26)-L21</f>
        <v>0</v>
      </c>
      <c r="M19" s="137">
        <f>SUM(M20:M26)-M21</f>
        <v>0</v>
      </c>
    </row>
    <row r="20" spans="1:13" s="145" customFormat="1" ht="33" customHeight="1" x14ac:dyDescent="0.2">
      <c r="A20" s="142"/>
      <c r="B20" s="143" t="s">
        <v>5</v>
      </c>
      <c r="C20" s="251" t="s">
        <v>420</v>
      </c>
      <c r="D20" s="144">
        <v>53245</v>
      </c>
      <c r="E20" s="144">
        <v>54476</v>
      </c>
      <c r="F20" s="144">
        <v>0</v>
      </c>
      <c r="G20" s="1415"/>
      <c r="H20" s="144">
        <v>0</v>
      </c>
      <c r="I20" s="1376"/>
      <c r="J20" s="144">
        <v>0</v>
      </c>
      <c r="K20" s="1376"/>
      <c r="L20" s="144">
        <v>0</v>
      </c>
      <c r="M20" s="144">
        <v>0</v>
      </c>
    </row>
    <row r="21" spans="1:13" s="145" customFormat="1" ht="12.75" hidden="1" customHeight="1" x14ac:dyDescent="0.2">
      <c r="A21" s="142"/>
      <c r="B21" s="143"/>
      <c r="C21" s="251"/>
      <c r="D21" s="144"/>
      <c r="E21" s="144"/>
      <c r="F21" s="144"/>
      <c r="G21" s="1415"/>
      <c r="H21" s="144"/>
      <c r="I21" s="1376"/>
      <c r="J21" s="144"/>
      <c r="K21" s="1376"/>
      <c r="L21" s="144"/>
      <c r="M21" s="144"/>
    </row>
    <row r="22" spans="1:13" s="145" customFormat="1" ht="15" customHeight="1" x14ac:dyDescent="0.2">
      <c r="A22" s="142"/>
      <c r="B22" s="143" t="s">
        <v>421</v>
      </c>
      <c r="C22" s="55" t="s">
        <v>422</v>
      </c>
      <c r="D22" s="144">
        <v>0</v>
      </c>
      <c r="E22" s="144">
        <v>0</v>
      </c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360</v>
      </c>
      <c r="C23" s="55" t="s">
        <v>1437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357</v>
      </c>
      <c r="C24" s="55" t="s">
        <v>424</v>
      </c>
      <c r="D24" s="144"/>
      <c r="E24" s="144"/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x14ac:dyDescent="0.2">
      <c r="A25" s="142"/>
      <c r="B25" s="143" t="s">
        <v>7</v>
      </c>
      <c r="C25" s="55" t="s">
        <v>6</v>
      </c>
      <c r="D25" s="144"/>
      <c r="E25" s="144"/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144">
        <v>0</v>
      </c>
      <c r="F26" s="144">
        <v>0</v>
      </c>
      <c r="G26" s="1415"/>
      <c r="H26" s="144">
        <v>0</v>
      </c>
      <c r="I26" s="1376"/>
      <c r="J26" s="144">
        <v>0</v>
      </c>
      <c r="K26" s="1376"/>
      <c r="L26" s="144">
        <v>0</v>
      </c>
      <c r="M26" s="144">
        <v>0</v>
      </c>
    </row>
    <row r="27" spans="1:13" s="145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155">
        <v>0</v>
      </c>
      <c r="F27" s="155">
        <v>0</v>
      </c>
      <c r="G27" s="1381"/>
      <c r="H27" s="155">
        <v>0</v>
      </c>
      <c r="I27" s="1380"/>
      <c r="J27" s="155">
        <v>0</v>
      </c>
      <c r="K27" s="1380"/>
      <c r="L27" s="155">
        <v>0</v>
      </c>
      <c r="M27" s="155">
        <v>0</v>
      </c>
    </row>
    <row r="28" spans="1:13" s="145" customFormat="1" ht="15" customHeight="1" thickBot="1" x14ac:dyDescent="0.25">
      <c r="A28" s="134"/>
      <c r="B28" s="143" t="s">
        <v>19</v>
      </c>
      <c r="C28" s="55" t="s">
        <v>427</v>
      </c>
      <c r="D28" s="155"/>
      <c r="E28" s="155"/>
      <c r="F28" s="252">
        <v>0</v>
      </c>
      <c r="G28" s="1509"/>
      <c r="H28" s="252">
        <v>0</v>
      </c>
      <c r="I28" s="1436"/>
      <c r="J28" s="252">
        <v>0</v>
      </c>
      <c r="K28" s="1436"/>
      <c r="L28" s="252">
        <v>0</v>
      </c>
      <c r="M28" s="252">
        <v>0</v>
      </c>
    </row>
    <row r="29" spans="1:13" s="141" customFormat="1" ht="15" customHeight="1" thickBot="1" x14ac:dyDescent="0.25">
      <c r="A29" s="134" t="s">
        <v>45</v>
      </c>
      <c r="B29" s="148"/>
      <c r="C29" s="170" t="s">
        <v>428</v>
      </c>
      <c r="D29" s="155">
        <v>0</v>
      </c>
      <c r="E29" s="155">
        <v>0</v>
      </c>
      <c r="F29" s="155">
        <v>0</v>
      </c>
      <c r="G29" s="1381"/>
      <c r="H29" s="155">
        <v>0</v>
      </c>
      <c r="I29" s="1380"/>
      <c r="J29" s="155">
        <v>0</v>
      </c>
      <c r="K29" s="1380"/>
      <c r="L29" s="155">
        <v>0</v>
      </c>
      <c r="M29" s="155">
        <v>0</v>
      </c>
    </row>
    <row r="30" spans="1:13" s="141" customFormat="1" ht="15" customHeight="1" thickBot="1" x14ac:dyDescent="0.25">
      <c r="A30" s="149"/>
      <c r="B30" s="253" t="s">
        <v>33</v>
      </c>
      <c r="C30" s="55" t="s">
        <v>359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46"/>
      <c r="B31" s="253" t="s">
        <v>39</v>
      </c>
      <c r="C31" s="55" t="s">
        <v>72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15" customHeight="1" thickBot="1" x14ac:dyDescent="0.25">
      <c r="A32" s="178"/>
      <c r="B32" s="253" t="s">
        <v>41</v>
      </c>
      <c r="C32" s="55" t="s">
        <v>74</v>
      </c>
      <c r="D32" s="295"/>
      <c r="E32" s="295"/>
      <c r="F32" s="144">
        <v>0</v>
      </c>
      <c r="G32" s="1415"/>
      <c r="H32" s="144">
        <v>0</v>
      </c>
      <c r="I32" s="1376"/>
      <c r="J32" s="144">
        <v>0</v>
      </c>
      <c r="K32" s="1376"/>
      <c r="L32" s="144">
        <v>0</v>
      </c>
      <c r="M32" s="144">
        <v>0</v>
      </c>
    </row>
    <row r="33" spans="1:13" s="141" customFormat="1" ht="31.5" customHeight="1" thickBot="1" x14ac:dyDescent="0.25">
      <c r="A33" s="134" t="s">
        <v>67</v>
      </c>
      <c r="B33" s="254"/>
      <c r="C33" s="170" t="s">
        <v>429</v>
      </c>
      <c r="D33" s="285">
        <f>+D36+D37</f>
        <v>0</v>
      </c>
      <c r="E33" s="285">
        <f>+E36+E37</f>
        <v>127</v>
      </c>
      <c r="F33" s="285">
        <f>+F36+F37</f>
        <v>0</v>
      </c>
      <c r="G33" s="1382"/>
      <c r="H33" s="285">
        <f>+H36+H37</f>
        <v>0</v>
      </c>
      <c r="I33" s="1382"/>
      <c r="J33" s="285">
        <f>+J36+J37</f>
        <v>0</v>
      </c>
      <c r="K33" s="1382"/>
      <c r="L33" s="285">
        <f>+L36+L37</f>
        <v>0</v>
      </c>
      <c r="M33" s="285">
        <f>+M36+M37</f>
        <v>0</v>
      </c>
    </row>
    <row r="34" spans="1:13" s="141" customFormat="1" ht="34.5" customHeight="1" thickBot="1" x14ac:dyDescent="0.25">
      <c r="A34" s="134"/>
      <c r="B34" s="255" t="s">
        <v>47</v>
      </c>
      <c r="C34" s="251" t="s">
        <v>430</v>
      </c>
      <c r="D34" s="312"/>
      <c r="E34" s="312"/>
      <c r="F34" s="313">
        <v>0</v>
      </c>
      <c r="G34" s="1520"/>
      <c r="H34" s="313">
        <v>0</v>
      </c>
      <c r="I34" s="1520"/>
      <c r="J34" s="313">
        <v>0</v>
      </c>
      <c r="K34" s="1520"/>
      <c r="L34" s="313">
        <v>0</v>
      </c>
      <c r="M34" s="313">
        <v>0</v>
      </c>
    </row>
    <row r="35" spans="1:13" s="141" customFormat="1" ht="12.75" hidden="1" customHeight="1" x14ac:dyDescent="0.2">
      <c r="A35" s="268"/>
      <c r="B35" s="255"/>
      <c r="C35" s="251"/>
      <c r="D35" s="312"/>
      <c r="E35" s="312"/>
      <c r="F35" s="312"/>
      <c r="G35" s="1491"/>
      <c r="H35" s="312"/>
      <c r="I35" s="1491"/>
      <c r="J35" s="312"/>
      <c r="K35" s="1491"/>
      <c r="L35" s="312"/>
      <c r="M35" s="312"/>
    </row>
    <row r="36" spans="1:13" s="141" customFormat="1" ht="15" customHeight="1" thickBot="1" x14ac:dyDescent="0.3">
      <c r="A36" s="258" t="s">
        <v>79</v>
      </c>
      <c r="B36" s="256"/>
      <c r="C36" s="247" t="s">
        <v>431</v>
      </c>
      <c r="D36" s="306">
        <v>0</v>
      </c>
      <c r="E36" s="306">
        <v>127</v>
      </c>
      <c r="F36" s="296">
        <v>0</v>
      </c>
      <c r="G36" s="1521"/>
      <c r="H36" s="296">
        <v>0</v>
      </c>
      <c r="I36" s="1521"/>
      <c r="J36" s="296">
        <v>0</v>
      </c>
      <c r="K36" s="1521"/>
      <c r="L36" s="296">
        <v>0</v>
      </c>
      <c r="M36" s="296">
        <v>0</v>
      </c>
    </row>
    <row r="37" spans="1:13" s="141" customFormat="1" ht="15" customHeight="1" thickBot="1" x14ac:dyDescent="0.25">
      <c r="A37" s="258"/>
      <c r="B37" s="257" t="s">
        <v>69</v>
      </c>
      <c r="C37" s="55" t="s">
        <v>432</v>
      </c>
      <c r="D37" s="294">
        <v>0</v>
      </c>
      <c r="E37" s="294">
        <v>0</v>
      </c>
      <c r="F37" s="313">
        <v>0</v>
      </c>
      <c r="G37" s="1520"/>
      <c r="H37" s="313">
        <v>0</v>
      </c>
      <c r="I37" s="1520"/>
      <c r="J37" s="313">
        <v>0</v>
      </c>
      <c r="K37" s="1520"/>
      <c r="L37" s="313">
        <v>0</v>
      </c>
      <c r="M37" s="313">
        <v>0</v>
      </c>
    </row>
    <row r="38" spans="1:13" s="145" customFormat="1" ht="15" customHeight="1" thickBot="1" x14ac:dyDescent="0.3">
      <c r="A38" s="258" t="s">
        <v>89</v>
      </c>
      <c r="B38" s="256"/>
      <c r="C38" s="170" t="s">
        <v>433</v>
      </c>
      <c r="D38" s="155">
        <v>4766</v>
      </c>
      <c r="E38" s="155">
        <v>6405</v>
      </c>
      <c r="F38" s="155">
        <f>SUM(F39:F41)</f>
        <v>0</v>
      </c>
      <c r="G38" s="1381"/>
      <c r="H38" s="155">
        <f>SUM(H39:H41)</f>
        <v>0</v>
      </c>
      <c r="I38" s="1380"/>
      <c r="J38" s="155">
        <f>SUM(J39:J41)</f>
        <v>0</v>
      </c>
      <c r="K38" s="1380"/>
      <c r="L38" s="155">
        <f>SUM(L39:L41)</f>
        <v>0</v>
      </c>
      <c r="M38" s="155">
        <f>SUM(M39:M41)</f>
        <v>0</v>
      </c>
    </row>
    <row r="39" spans="1:13" s="145" customFormat="1" ht="15" customHeight="1" thickBot="1" x14ac:dyDescent="0.25">
      <c r="A39" s="149"/>
      <c r="B39" s="253" t="s">
        <v>81</v>
      </c>
      <c r="C39" s="55" t="s">
        <v>434</v>
      </c>
      <c r="D39" s="155"/>
      <c r="E39" s="155"/>
      <c r="F39" s="144">
        <v>0</v>
      </c>
      <c r="G39" s="1415"/>
      <c r="H39" s="144">
        <v>0</v>
      </c>
      <c r="I39" s="1376"/>
      <c r="J39" s="144">
        <v>0</v>
      </c>
      <c r="K39" s="1376"/>
      <c r="L39" s="144">
        <v>0</v>
      </c>
      <c r="M39" s="144">
        <v>0</v>
      </c>
    </row>
    <row r="40" spans="1:13" s="145" customFormat="1" ht="15" customHeight="1" thickBot="1" x14ac:dyDescent="0.25">
      <c r="A40" s="146"/>
      <c r="B40" s="253" t="s">
        <v>83</v>
      </c>
      <c r="C40" s="55" t="s">
        <v>435</v>
      </c>
      <c r="D40" s="155"/>
      <c r="E40" s="155"/>
      <c r="F40" s="144">
        <v>0</v>
      </c>
      <c r="G40" s="1415"/>
      <c r="H40" s="144">
        <v>0</v>
      </c>
      <c r="I40" s="1376"/>
      <c r="J40" s="144">
        <v>0</v>
      </c>
      <c r="K40" s="1376"/>
      <c r="L40" s="144">
        <v>0</v>
      </c>
      <c r="M40" s="144">
        <v>0</v>
      </c>
    </row>
    <row r="41" spans="1:13" s="145" customFormat="1" ht="15" customHeight="1" thickBot="1" x14ac:dyDescent="0.25">
      <c r="A41" s="178"/>
      <c r="B41" s="253" t="s">
        <v>85</v>
      </c>
      <c r="C41" s="55" t="s">
        <v>1433</v>
      </c>
      <c r="D41" s="155"/>
      <c r="E41" s="155"/>
      <c r="F41" s="144">
        <v>0</v>
      </c>
      <c r="G41" s="1415"/>
      <c r="H41" s="144">
        <v>0</v>
      </c>
      <c r="I41" s="1376"/>
      <c r="J41" s="144">
        <v>0</v>
      </c>
      <c r="K41" s="1376"/>
      <c r="L41" s="144">
        <v>0</v>
      </c>
      <c r="M41" s="144">
        <v>0</v>
      </c>
    </row>
    <row r="42" spans="1:13" s="145" customFormat="1" ht="15" customHeight="1" thickBot="1" x14ac:dyDescent="0.25">
      <c r="A42" s="192" t="s">
        <v>99</v>
      </c>
      <c r="B42" s="160"/>
      <c r="C42" s="274" t="s">
        <v>441</v>
      </c>
      <c r="D42" s="162">
        <f>SUM(D8,D19,D27,D29,D33,D38)</f>
        <v>58011</v>
      </c>
      <c r="E42" s="162">
        <f>SUM(E8,E19,E27,E29,E33,E38)</f>
        <v>61008</v>
      </c>
      <c r="F42" s="162">
        <f>SUM(F8,F19,F27,F29,F33,F36,F38)</f>
        <v>0</v>
      </c>
      <c r="G42" s="1437"/>
      <c r="H42" s="162">
        <f>SUM(H8,H19,H27,H29,H33,H36,H38)</f>
        <v>0</v>
      </c>
      <c r="I42" s="1373"/>
      <c r="J42" s="162">
        <f>SUM(J8,J19,J27,J29,J33,J36,J38)</f>
        <v>0</v>
      </c>
      <c r="K42" s="1373"/>
      <c r="L42" s="162">
        <f>SUM(L8,L19,L27,L29,L33,L36,L38)</f>
        <v>0</v>
      </c>
      <c r="M42" s="162">
        <f>SUM(M8,M19,M27,M29,M33,M36,M38)</f>
        <v>0</v>
      </c>
    </row>
    <row r="43" spans="1:13" s="145" customFormat="1" ht="15" customHeight="1" thickBot="1" x14ac:dyDescent="0.25">
      <c r="A43" s="1303"/>
      <c r="B43" s="886"/>
      <c r="C43" s="886"/>
      <c r="D43" s="2145"/>
      <c r="E43" s="2145"/>
      <c r="F43" s="2741"/>
      <c r="G43" s="2146"/>
      <c r="H43" s="2146"/>
      <c r="I43" s="2146"/>
      <c r="J43" s="2146"/>
      <c r="K43" s="2146"/>
      <c r="L43" s="2146"/>
      <c r="M43" s="2131"/>
    </row>
    <row r="44" spans="1:13" s="305" customFormat="1" ht="15" customHeight="1" thickBot="1" x14ac:dyDescent="0.25">
      <c r="A44" s="192"/>
      <c r="B44" s="160"/>
      <c r="C44" s="282" t="s">
        <v>231</v>
      </c>
      <c r="D44" s="162"/>
      <c r="E44" s="162"/>
      <c r="F44" s="162"/>
      <c r="G44" s="1437"/>
      <c r="H44" s="162"/>
      <c r="I44" s="1373"/>
      <c r="J44" s="162"/>
      <c r="K44" s="1373"/>
      <c r="L44" s="162"/>
      <c r="M44" s="162"/>
    </row>
    <row r="45" spans="1:13" s="141" customFormat="1" ht="15" customHeight="1" thickBot="1" x14ac:dyDescent="0.25">
      <c r="A45" s="134" t="s">
        <v>3</v>
      </c>
      <c r="B45" s="170"/>
      <c r="C45" s="170" t="s">
        <v>442</v>
      </c>
      <c r="D45" s="137">
        <f>SUM(D46+D48+D50)</f>
        <v>58011</v>
      </c>
      <c r="E45" s="137">
        <f>SUM(E46+E48+E50)</f>
        <v>61008</v>
      </c>
      <c r="F45" s="137">
        <f>SUM(F46+F48+F50)</f>
        <v>0</v>
      </c>
      <c r="G45" s="1382"/>
      <c r="H45" s="137">
        <f>SUM(H46+H48+H50)</f>
        <v>0</v>
      </c>
      <c r="I45" s="1374"/>
      <c r="J45" s="137">
        <f>SUM(J46+J48+J50)</f>
        <v>0</v>
      </c>
      <c r="K45" s="1374"/>
      <c r="L45" s="137">
        <f>SUM(L46+L48+L50)</f>
        <v>0</v>
      </c>
      <c r="M45" s="137">
        <f>SUM(M46+M48+M50)</f>
        <v>0</v>
      </c>
    </row>
    <row r="46" spans="1:13" s="145" customFormat="1" ht="15" customHeight="1" x14ac:dyDescent="0.2">
      <c r="A46" s="173"/>
      <c r="B46" s="267" t="s">
        <v>152</v>
      </c>
      <c r="C46" s="251" t="s">
        <v>153</v>
      </c>
      <c r="D46" s="175">
        <v>39072</v>
      </c>
      <c r="E46" s="175">
        <v>41332</v>
      </c>
      <c r="F46" s="175">
        <v>0</v>
      </c>
      <c r="G46" s="1432"/>
      <c r="H46" s="175">
        <v>0</v>
      </c>
      <c r="I46" s="1386"/>
      <c r="J46" s="175">
        <v>0</v>
      </c>
      <c r="K46" s="1386"/>
      <c r="L46" s="175">
        <v>0</v>
      </c>
      <c r="M46" s="175">
        <v>0</v>
      </c>
    </row>
    <row r="47" spans="1:13" s="145" customFormat="1" ht="12.75" hidden="1" customHeight="1" x14ac:dyDescent="0.2">
      <c r="A47" s="173"/>
      <c r="B47" s="267"/>
      <c r="C47" s="309" t="s">
        <v>463</v>
      </c>
      <c r="D47" s="302"/>
      <c r="E47" s="302"/>
      <c r="F47" s="302"/>
      <c r="G47" s="2740"/>
      <c r="H47" s="302"/>
      <c r="I47" s="1510"/>
      <c r="J47" s="302"/>
      <c r="K47" s="1510"/>
      <c r="L47" s="302"/>
      <c r="M47" s="302"/>
    </row>
    <row r="48" spans="1:13" s="145" customFormat="1" ht="15" customHeight="1" x14ac:dyDescent="0.2">
      <c r="A48" s="142"/>
      <c r="B48" s="253" t="s">
        <v>154</v>
      </c>
      <c r="C48" s="55" t="s">
        <v>155</v>
      </c>
      <c r="D48" s="144">
        <v>10526</v>
      </c>
      <c r="E48" s="144">
        <v>11133</v>
      </c>
      <c r="F48" s="144">
        <v>0</v>
      </c>
      <c r="G48" s="1415"/>
      <c r="H48" s="144">
        <v>0</v>
      </c>
      <c r="I48" s="1376"/>
      <c r="J48" s="144">
        <v>0</v>
      </c>
      <c r="K48" s="1376"/>
      <c r="L48" s="144">
        <v>0</v>
      </c>
      <c r="M48" s="144">
        <v>0</v>
      </c>
    </row>
    <row r="49" spans="1:13" s="145" customFormat="1" ht="12.75" hidden="1" customHeight="1" x14ac:dyDescent="0.2">
      <c r="A49" s="142"/>
      <c r="B49" s="253"/>
      <c r="C49" s="309" t="s">
        <v>463</v>
      </c>
      <c r="D49" s="302"/>
      <c r="E49" s="302"/>
      <c r="F49" s="302"/>
      <c r="G49" s="2740"/>
      <c r="H49" s="302"/>
      <c r="I49" s="1510"/>
      <c r="J49" s="302"/>
      <c r="K49" s="1510"/>
      <c r="L49" s="302"/>
      <c r="M49" s="302"/>
    </row>
    <row r="50" spans="1:13" s="145" customFormat="1" ht="15" customHeight="1" x14ac:dyDescent="0.2">
      <c r="A50" s="142"/>
      <c r="B50" s="253" t="s">
        <v>156</v>
      </c>
      <c r="C50" s="55" t="s">
        <v>157</v>
      </c>
      <c r="D50" s="144">
        <v>8413</v>
      </c>
      <c r="E50" s="144">
        <v>8543</v>
      </c>
      <c r="F50" s="144">
        <v>0</v>
      </c>
      <c r="G50" s="1415"/>
      <c r="H50" s="144">
        <v>0</v>
      </c>
      <c r="I50" s="1376"/>
      <c r="J50" s="144">
        <v>0</v>
      </c>
      <c r="K50" s="1376"/>
      <c r="L50" s="144">
        <v>0</v>
      </c>
      <c r="M50" s="144">
        <v>0</v>
      </c>
    </row>
    <row r="51" spans="1:13" s="145" customFormat="1" ht="12.75" hidden="1" customHeight="1" x14ac:dyDescent="0.2">
      <c r="A51" s="142"/>
      <c r="B51" s="253"/>
      <c r="C51" s="309" t="s">
        <v>463</v>
      </c>
      <c r="D51" s="302"/>
      <c r="E51" s="302"/>
      <c r="F51" s="302"/>
      <c r="G51" s="2740"/>
      <c r="H51" s="302"/>
      <c r="I51" s="1510"/>
      <c r="J51" s="302"/>
      <c r="K51" s="1510"/>
      <c r="L51" s="302"/>
      <c r="M51" s="302"/>
    </row>
    <row r="52" spans="1:13" s="145" customFormat="1" ht="15" customHeight="1" x14ac:dyDescent="0.2">
      <c r="A52" s="142"/>
      <c r="B52" s="253" t="s">
        <v>158</v>
      </c>
      <c r="C52" s="55" t="s">
        <v>159</v>
      </c>
      <c r="D52" s="144"/>
      <c r="E52" s="144"/>
      <c r="F52" s="144">
        <v>0</v>
      </c>
      <c r="G52" s="1415"/>
      <c r="H52" s="144">
        <v>0</v>
      </c>
      <c r="I52" s="1376"/>
      <c r="J52" s="144">
        <v>0</v>
      </c>
      <c r="K52" s="1376"/>
      <c r="L52" s="144">
        <v>0</v>
      </c>
      <c r="M52" s="144">
        <v>0</v>
      </c>
    </row>
    <row r="53" spans="1:13" s="145" customFormat="1" ht="15" customHeight="1" thickBot="1" x14ac:dyDescent="0.25">
      <c r="A53" s="142"/>
      <c r="B53" s="253" t="s">
        <v>375</v>
      </c>
      <c r="C53" s="55" t="s">
        <v>161</v>
      </c>
      <c r="D53" s="144">
        <v>0</v>
      </c>
      <c r="E53" s="144">
        <v>0</v>
      </c>
      <c r="F53" s="144">
        <v>0</v>
      </c>
      <c r="G53" s="1415"/>
      <c r="H53" s="144">
        <v>0</v>
      </c>
      <c r="I53" s="1376"/>
      <c r="J53" s="144">
        <v>0</v>
      </c>
      <c r="K53" s="1376"/>
      <c r="L53" s="144">
        <v>0</v>
      </c>
      <c r="M53" s="144">
        <v>0</v>
      </c>
    </row>
    <row r="54" spans="1:13" s="145" customFormat="1" ht="15" customHeight="1" thickBot="1" x14ac:dyDescent="0.25">
      <c r="A54" s="134" t="s">
        <v>17</v>
      </c>
      <c r="B54" s="170"/>
      <c r="C54" s="170" t="s">
        <v>469</v>
      </c>
      <c r="D54" s="137">
        <f>SUM(D55:D58)</f>
        <v>0</v>
      </c>
      <c r="E54" s="137">
        <f>SUM(E55:E58)</f>
        <v>0</v>
      </c>
      <c r="F54" s="137">
        <f>SUM(F55:F58)</f>
        <v>0</v>
      </c>
      <c r="G54" s="1382"/>
      <c r="H54" s="137">
        <f>SUM(H55:H58)</f>
        <v>0</v>
      </c>
      <c r="I54" s="1374"/>
      <c r="J54" s="137">
        <f>SUM(J55:J58)</f>
        <v>0</v>
      </c>
      <c r="K54" s="1374"/>
      <c r="L54" s="137">
        <f>SUM(L55:L58)</f>
        <v>0</v>
      </c>
      <c r="M54" s="137">
        <f>SUM(M55:M58)</f>
        <v>0</v>
      </c>
    </row>
    <row r="55" spans="1:13" s="141" customFormat="1" ht="15" customHeight="1" x14ac:dyDescent="0.2">
      <c r="A55" s="173"/>
      <c r="B55" s="267" t="s">
        <v>5</v>
      </c>
      <c r="C55" s="251" t="s">
        <v>183</v>
      </c>
      <c r="D55" s="175">
        <v>0</v>
      </c>
      <c r="E55" s="175">
        <v>0</v>
      </c>
      <c r="F55" s="175">
        <v>0</v>
      </c>
      <c r="G55" s="1432"/>
      <c r="H55" s="175">
        <v>0</v>
      </c>
      <c r="I55" s="1386"/>
      <c r="J55" s="175">
        <v>0</v>
      </c>
      <c r="K55" s="1386"/>
      <c r="L55" s="175">
        <v>0</v>
      </c>
      <c r="M55" s="175">
        <v>0</v>
      </c>
    </row>
    <row r="56" spans="1:13" s="145" customFormat="1" ht="15" customHeight="1" x14ac:dyDescent="0.2">
      <c r="A56" s="142"/>
      <c r="B56" s="253" t="s">
        <v>7</v>
      </c>
      <c r="C56" s="55" t="s">
        <v>185</v>
      </c>
      <c r="D56" s="144">
        <v>0</v>
      </c>
      <c r="E56" s="144">
        <v>0</v>
      </c>
      <c r="F56" s="144">
        <v>0</v>
      </c>
      <c r="G56" s="1415"/>
      <c r="H56" s="144">
        <v>0</v>
      </c>
      <c r="I56" s="1376"/>
      <c r="J56" s="144">
        <v>0</v>
      </c>
      <c r="K56" s="1376"/>
      <c r="L56" s="144">
        <v>0</v>
      </c>
      <c r="M56" s="144">
        <v>0</v>
      </c>
    </row>
    <row r="57" spans="1:13" s="145" customFormat="1" ht="15.75" thickBot="1" x14ac:dyDescent="0.25">
      <c r="A57" s="142"/>
      <c r="B57" s="253" t="s">
        <v>9</v>
      </c>
      <c r="C57" s="55" t="s">
        <v>444</v>
      </c>
      <c r="D57" s="144">
        <v>0</v>
      </c>
      <c r="E57" s="144">
        <v>0</v>
      </c>
      <c r="F57" s="144">
        <v>0</v>
      </c>
      <c r="G57" s="1415"/>
      <c r="H57" s="144">
        <v>0</v>
      </c>
      <c r="I57" s="1376"/>
      <c r="J57" s="144">
        <v>0</v>
      </c>
      <c r="K57" s="1376"/>
      <c r="L57" s="144">
        <v>0</v>
      </c>
      <c r="M57" s="144">
        <v>0</v>
      </c>
    </row>
    <row r="58" spans="1:13" s="145" customFormat="1" ht="12.75" hidden="1" customHeight="1" x14ac:dyDescent="0.2">
      <c r="A58" s="142"/>
      <c r="B58" s="176" t="s">
        <v>189</v>
      </c>
      <c r="C58" s="55" t="s">
        <v>448</v>
      </c>
      <c r="D58" s="144">
        <v>0</v>
      </c>
      <c r="E58" s="144">
        <v>0</v>
      </c>
      <c r="F58" s="144">
        <v>0</v>
      </c>
      <c r="G58" s="1415"/>
      <c r="H58" s="144">
        <v>0</v>
      </c>
      <c r="I58" s="1376"/>
      <c r="J58" s="144">
        <v>0</v>
      </c>
      <c r="K58" s="1376"/>
      <c r="L58" s="144">
        <v>0</v>
      </c>
      <c r="M58" s="144">
        <v>0</v>
      </c>
    </row>
    <row r="59" spans="1:13" s="145" customFormat="1" ht="12.75" hidden="1" customHeight="1" x14ac:dyDescent="0.2">
      <c r="A59" s="134" t="s">
        <v>31</v>
      </c>
      <c r="B59" s="170"/>
      <c r="C59" s="171" t="s">
        <v>445</v>
      </c>
      <c r="D59" s="155">
        <v>0</v>
      </c>
      <c r="E59" s="155">
        <v>0</v>
      </c>
      <c r="F59" s="155">
        <v>0</v>
      </c>
      <c r="G59" s="1381"/>
      <c r="H59" s="155">
        <v>0</v>
      </c>
      <c r="I59" s="1380"/>
      <c r="J59" s="155">
        <v>0</v>
      </c>
      <c r="K59" s="1380"/>
      <c r="L59" s="155">
        <v>0</v>
      </c>
      <c r="M59" s="155">
        <v>0</v>
      </c>
    </row>
    <row r="60" spans="1:13" s="145" customFormat="1" ht="12.75" hidden="1" customHeight="1" x14ac:dyDescent="0.2">
      <c r="A60" s="134"/>
      <c r="B60" s="170"/>
      <c r="C60" s="171" t="s">
        <v>459</v>
      </c>
      <c r="D60" s="155"/>
      <c r="E60" s="155"/>
      <c r="F60" s="155"/>
      <c r="G60" s="1381"/>
      <c r="H60" s="155"/>
      <c r="I60" s="1380"/>
      <c r="J60" s="155"/>
      <c r="K60" s="1380"/>
      <c r="L60" s="155"/>
      <c r="M60" s="155"/>
    </row>
    <row r="61" spans="1:13" s="145" customFormat="1" ht="15" customHeight="1" thickBot="1" x14ac:dyDescent="0.25">
      <c r="A61" s="192" t="s">
        <v>31</v>
      </c>
      <c r="B61" s="160"/>
      <c r="C61" s="274" t="s">
        <v>465</v>
      </c>
      <c r="D61" s="162">
        <f>+D45+D54+D59</f>
        <v>58011</v>
      </c>
      <c r="E61" s="162">
        <f>+E45+E54+E59</f>
        <v>61008</v>
      </c>
      <c r="F61" s="162">
        <f>+F45+F54</f>
        <v>0</v>
      </c>
      <c r="G61" s="1437"/>
      <c r="H61" s="162">
        <f>+H45+H54</f>
        <v>0</v>
      </c>
      <c r="I61" s="1373"/>
      <c r="J61" s="162">
        <f>+J45+J54</f>
        <v>0</v>
      </c>
      <c r="K61" s="1373"/>
      <c r="L61" s="162">
        <f>+L45+L54</f>
        <v>0</v>
      </c>
      <c r="M61" s="162">
        <f>+M45+M54</f>
        <v>0</v>
      </c>
    </row>
    <row r="62" spans="1:13" s="145" customFormat="1" ht="15" customHeight="1" thickBot="1" x14ac:dyDescent="0.25">
      <c r="A62" s="2144"/>
      <c r="B62" s="266"/>
      <c r="C62" s="275"/>
      <c r="D62" s="286">
        <f>SUM(D47+D49+D51)</f>
        <v>0</v>
      </c>
      <c r="E62" s="286">
        <f>SUM(E47+E49+E51)</f>
        <v>0</v>
      </c>
      <c r="F62" s="285"/>
      <c r="G62" s="1385"/>
      <c r="H62" s="826">
        <f>SUM(H47+H49+H51)</f>
        <v>0</v>
      </c>
      <c r="I62" s="1385"/>
      <c r="J62" s="826">
        <f>SUM(J47+J49+J51)</f>
        <v>0</v>
      </c>
      <c r="K62" s="1385"/>
      <c r="L62" s="826">
        <f>SUM(L47+L49+L51)</f>
        <v>0</v>
      </c>
      <c r="M62" s="1458">
        <f>SUM(M47+M49+M51)</f>
        <v>0</v>
      </c>
    </row>
    <row r="63" spans="1:13" s="145" customFormat="1" ht="15" customHeight="1" thickBot="1" x14ac:dyDescent="0.25">
      <c r="A63" s="276" t="s">
        <v>324</v>
      </c>
      <c r="B63" s="277"/>
      <c r="C63" s="278"/>
      <c r="D63" s="279">
        <v>18</v>
      </c>
      <c r="E63" s="279">
        <v>18</v>
      </c>
      <c r="F63" s="200"/>
      <c r="G63" s="1559"/>
      <c r="H63" s="200"/>
      <c r="I63" s="1388"/>
      <c r="J63" s="200"/>
      <c r="K63" s="1388"/>
      <c r="L63" s="200"/>
      <c r="M63" s="200"/>
    </row>
    <row r="64" spans="1:13" s="145" customFormat="1" ht="15" customHeight="1" thickBot="1" x14ac:dyDescent="0.25">
      <c r="A64" s="276" t="s">
        <v>325</v>
      </c>
      <c r="B64" s="277"/>
      <c r="C64" s="278"/>
      <c r="D64" s="279"/>
      <c r="E64" s="279"/>
      <c r="F64" s="279"/>
      <c r="G64" s="1560"/>
      <c r="H64" s="279"/>
      <c r="I64" s="1389"/>
      <c r="J64" s="279"/>
      <c r="K64" s="1389"/>
      <c r="L64" s="279"/>
      <c r="M64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7559055118110237" right="0.27559055118110237" top="0.31496062992125984" bottom="0.19685039370078741" header="0.51181102362204722" footer="0.15748031496062992"/>
  <pageSetup paperSize="9" scale="76" firstPageNumber="47" orientation="portrait" useFirstPageNumber="1" r:id="rId1"/>
  <headerFooter>
    <oddFooter>&amp;C- &amp;P -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U48"/>
  <sheetViews>
    <sheetView view="pageBreakPreview" zoomScale="80" zoomScaleNormal="80" zoomScaleSheetLayoutView="80" zoomScalePageLayoutView="80" workbookViewId="0">
      <selection activeCell="S10" sqref="S10"/>
    </sheetView>
  </sheetViews>
  <sheetFormatPr defaultColWidth="9.33203125" defaultRowHeight="15" x14ac:dyDescent="0.25"/>
  <cols>
    <col min="1" max="1" width="15.33203125" style="621" customWidth="1"/>
    <col min="2" max="2" width="13.5" style="621" customWidth="1"/>
    <col min="3" max="3" width="14.83203125" style="621" customWidth="1"/>
    <col min="4" max="4" width="13.33203125" style="621" hidden="1" customWidth="1"/>
    <col min="5" max="5" width="17" style="621" hidden="1" customWidth="1"/>
    <col min="6" max="6" width="13.33203125" style="621" hidden="1" customWidth="1"/>
    <col min="7" max="7" width="15" style="621" hidden="1" customWidth="1"/>
    <col min="8" max="8" width="11.6640625" style="621" hidden="1" customWidth="1"/>
    <col min="9" max="9" width="15.6640625" style="621" customWidth="1"/>
    <col min="10" max="10" width="17.83203125" style="621" customWidth="1"/>
    <col min="11" max="11" width="14.6640625" style="621" customWidth="1"/>
    <col min="12" max="12" width="12.6640625" style="621" hidden="1" customWidth="1"/>
    <col min="13" max="13" width="16.1640625" style="621" hidden="1" customWidth="1"/>
    <col min="14" max="14" width="13" style="621" hidden="1" customWidth="1"/>
    <col min="15" max="15" width="14.6640625" style="621" hidden="1" customWidth="1"/>
    <col min="16" max="16" width="13" style="621" hidden="1" customWidth="1"/>
    <col min="17" max="17" width="14" style="621" customWidth="1"/>
    <col min="18" max="18" width="15.83203125" style="621" customWidth="1"/>
    <col min="19" max="19" width="12.83203125" style="621" customWidth="1"/>
    <col min="20" max="20" width="15.1640625" style="621" hidden="1" customWidth="1"/>
    <col min="21" max="21" width="17.5" style="621" hidden="1" customWidth="1"/>
    <col min="22" max="22" width="14" style="621" hidden="1" customWidth="1"/>
    <col min="23" max="23" width="14.33203125" style="621" hidden="1" customWidth="1"/>
    <col min="24" max="24" width="14" style="621" hidden="1" customWidth="1"/>
    <col min="25" max="25" width="14" style="621" customWidth="1"/>
    <col min="26" max="26" width="14.6640625" style="621" customWidth="1"/>
    <col min="27" max="27" width="12.5" style="621" customWidth="1"/>
    <col min="28" max="28" width="14.1640625" style="621" hidden="1" customWidth="1"/>
    <col min="29" max="32" width="13.83203125" style="621" hidden="1" customWidth="1"/>
    <col min="33" max="33" width="13.83203125" style="621" customWidth="1"/>
    <col min="34" max="34" width="13.33203125" style="621" customWidth="1"/>
    <col min="35" max="35" width="11.33203125" style="621" customWidth="1"/>
    <col min="36" max="36" width="13.83203125" style="621" hidden="1" customWidth="1"/>
    <col min="37" max="38" width="14.1640625" style="621" hidden="1" customWidth="1"/>
    <col min="39" max="39" width="11.1640625" style="621" hidden="1" customWidth="1"/>
    <col min="40" max="40" width="14.1640625" style="621" hidden="1" customWidth="1"/>
    <col min="41" max="41" width="14.1640625" style="621" customWidth="1"/>
    <col min="42" max="42" width="12" style="621" customWidth="1"/>
    <col min="43" max="45" width="12.5" style="621" customWidth="1"/>
    <col min="46" max="16384" width="9.33203125" style="619"/>
  </cols>
  <sheetData>
    <row r="1" spans="1:47" ht="21" x14ac:dyDescent="0.35">
      <c r="A1" s="4536" t="s">
        <v>1000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4536"/>
      <c r="AJ1" s="4536"/>
      <c r="AK1" s="4536"/>
      <c r="AL1" s="4536"/>
      <c r="AM1" s="4536"/>
      <c r="AN1" s="4536"/>
      <c r="AO1" s="4536"/>
      <c r="AP1" s="4536"/>
      <c r="AQ1" s="955"/>
      <c r="AR1" s="623"/>
      <c r="AS1" s="623"/>
      <c r="AT1" s="618"/>
      <c r="AU1" s="618"/>
    </row>
    <row r="2" spans="1:47" ht="21" x14ac:dyDescent="0.35">
      <c r="A2" s="4536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536"/>
      <c r="AI2" s="4536"/>
      <c r="AJ2" s="4536"/>
      <c r="AK2" s="4536"/>
      <c r="AL2" s="4536"/>
      <c r="AM2" s="4536"/>
      <c r="AN2" s="4536"/>
      <c r="AO2" s="4536"/>
      <c r="AP2" s="4536"/>
      <c r="AQ2" s="955"/>
      <c r="AR2" s="623"/>
      <c r="AS2" s="623"/>
      <c r="AT2" s="618"/>
      <c r="AU2" s="618"/>
    </row>
    <row r="3" spans="1:47" ht="21.75" thickBot="1" x14ac:dyDescent="0.4">
      <c r="A3" s="956"/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956"/>
      <c r="W3" s="956"/>
      <c r="X3" s="956"/>
      <c r="Y3" s="956"/>
      <c r="Z3" s="956"/>
      <c r="AA3" s="956"/>
      <c r="AB3" s="956"/>
      <c r="AC3" s="956"/>
      <c r="AD3" s="956"/>
      <c r="AE3" s="956"/>
      <c r="AF3" s="956"/>
      <c r="AG3" s="956"/>
      <c r="AH3" s="956"/>
      <c r="AI3" s="956"/>
      <c r="AJ3" s="956"/>
      <c r="AK3" s="956"/>
      <c r="AL3" s="956"/>
      <c r="AM3" s="956"/>
      <c r="AN3" s="956"/>
      <c r="AO3" s="956"/>
      <c r="AP3" s="956"/>
      <c r="AQ3" s="955"/>
      <c r="AR3" s="623"/>
      <c r="AS3" s="623"/>
      <c r="AT3" s="618"/>
      <c r="AU3" s="618"/>
    </row>
    <row r="4" spans="1:47" ht="33.75" customHeight="1" thickTop="1" thickBot="1" x14ac:dyDescent="0.3">
      <c r="A4" s="4533" t="s">
        <v>230</v>
      </c>
      <c r="B4" s="4534"/>
      <c r="C4" s="4534"/>
      <c r="D4" s="4534"/>
      <c r="E4" s="4534"/>
      <c r="F4" s="4534"/>
      <c r="G4" s="4534"/>
      <c r="H4" s="4534"/>
      <c r="I4" s="4534"/>
      <c r="J4" s="4534"/>
      <c r="K4" s="4534"/>
      <c r="L4" s="4534"/>
      <c r="M4" s="4534"/>
      <c r="N4" s="4534"/>
      <c r="O4" s="4534"/>
      <c r="P4" s="4534"/>
      <c r="Q4" s="4534"/>
      <c r="R4" s="4534"/>
      <c r="S4" s="4534"/>
      <c r="T4" s="4534"/>
      <c r="U4" s="4534"/>
      <c r="V4" s="4534"/>
      <c r="W4" s="4534"/>
      <c r="X4" s="4534"/>
      <c r="Y4" s="4534"/>
      <c r="Z4" s="4534"/>
      <c r="AA4" s="4534"/>
      <c r="AB4" s="4534"/>
      <c r="AC4" s="4534"/>
      <c r="AD4" s="4534"/>
      <c r="AE4" s="4534"/>
      <c r="AF4" s="4534"/>
      <c r="AG4" s="4534"/>
      <c r="AH4" s="4534"/>
      <c r="AI4" s="4534"/>
      <c r="AJ4" s="4534"/>
      <c r="AK4" s="4534"/>
      <c r="AL4" s="4534"/>
      <c r="AM4" s="4534"/>
      <c r="AN4" s="4534"/>
      <c r="AO4" s="4534"/>
      <c r="AP4" s="4535"/>
      <c r="AQ4" s="953"/>
      <c r="AR4" s="625"/>
      <c r="AS4" s="625"/>
      <c r="AT4" s="620"/>
      <c r="AU4" s="620"/>
    </row>
    <row r="5" spans="1:47" ht="66.75" customHeight="1" thickTop="1" thickBot="1" x14ac:dyDescent="0.3">
      <c r="A5" s="4537"/>
      <c r="B5" s="4538"/>
      <c r="C5" s="4541" t="s">
        <v>869</v>
      </c>
      <c r="D5" s="4542"/>
      <c r="E5" s="4542"/>
      <c r="F5" s="4542"/>
      <c r="G5" s="4542"/>
      <c r="H5" s="4542"/>
      <c r="I5" s="4542"/>
      <c r="J5" s="4545"/>
      <c r="K5" s="4541" t="s">
        <v>1450</v>
      </c>
      <c r="L5" s="4542"/>
      <c r="M5" s="4542"/>
      <c r="N5" s="4542"/>
      <c r="O5" s="4542"/>
      <c r="P5" s="4542"/>
      <c r="Q5" s="4542"/>
      <c r="R5" s="4545"/>
      <c r="S5" s="4541" t="s">
        <v>1838</v>
      </c>
      <c r="T5" s="4542"/>
      <c r="U5" s="4542"/>
      <c r="V5" s="4542"/>
      <c r="W5" s="4542"/>
      <c r="X5" s="4542"/>
      <c r="Y5" s="4542"/>
      <c r="Z5" s="4545"/>
      <c r="AA5" s="4541" t="s">
        <v>969</v>
      </c>
      <c r="AB5" s="4542"/>
      <c r="AC5" s="4542"/>
      <c r="AD5" s="4542"/>
      <c r="AE5" s="4542"/>
      <c r="AF5" s="4542"/>
      <c r="AG5" s="4542"/>
      <c r="AH5" s="4542"/>
      <c r="AI5" s="4541" t="s">
        <v>970</v>
      </c>
      <c r="AJ5" s="4542"/>
      <c r="AK5" s="4543"/>
      <c r="AL5" s="4543"/>
      <c r="AM5" s="4543"/>
      <c r="AN5" s="4543"/>
      <c r="AO5" s="4543"/>
      <c r="AP5" s="4544"/>
      <c r="AQ5" s="957"/>
      <c r="AR5" s="626"/>
      <c r="AS5" s="626"/>
    </row>
    <row r="6" spans="1:47" ht="51.75" customHeight="1" thickTop="1" thickBot="1" x14ac:dyDescent="0.3">
      <c r="A6" s="4539"/>
      <c r="B6" s="4540"/>
      <c r="C6" s="958" t="s">
        <v>867</v>
      </c>
      <c r="D6" s="1028"/>
      <c r="E6" s="959" t="s">
        <v>1070</v>
      </c>
      <c r="F6" s="959"/>
      <c r="G6" s="959" t="s">
        <v>1071</v>
      </c>
      <c r="H6" s="959"/>
      <c r="I6" s="959" t="s">
        <v>1072</v>
      </c>
      <c r="J6" s="958" t="s">
        <v>289</v>
      </c>
      <c r="K6" s="2074" t="s">
        <v>867</v>
      </c>
      <c r="L6" s="1028"/>
      <c r="M6" s="959" t="s">
        <v>1070</v>
      </c>
      <c r="N6" s="959"/>
      <c r="O6" s="959" t="s">
        <v>1071</v>
      </c>
      <c r="P6" s="959"/>
      <c r="Q6" s="959" t="s">
        <v>1072</v>
      </c>
      <c r="R6" s="959" t="s">
        <v>289</v>
      </c>
      <c r="S6" s="958" t="s">
        <v>867</v>
      </c>
      <c r="T6" s="1028"/>
      <c r="U6" s="959" t="s">
        <v>1070</v>
      </c>
      <c r="V6" s="959"/>
      <c r="W6" s="959" t="s">
        <v>1071</v>
      </c>
      <c r="X6" s="959"/>
      <c r="Y6" s="959" t="s">
        <v>1072</v>
      </c>
      <c r="Z6" s="959" t="s">
        <v>289</v>
      </c>
      <c r="AA6" s="958" t="s">
        <v>867</v>
      </c>
      <c r="AB6" s="1028"/>
      <c r="AC6" s="959" t="s">
        <v>1070</v>
      </c>
      <c r="AD6" s="959"/>
      <c r="AE6" s="959" t="s">
        <v>1071</v>
      </c>
      <c r="AF6" s="959"/>
      <c r="AG6" s="959" t="s">
        <v>1072</v>
      </c>
      <c r="AH6" s="959" t="s">
        <v>289</v>
      </c>
      <c r="AI6" s="958" t="s">
        <v>867</v>
      </c>
      <c r="AJ6" s="1028"/>
      <c r="AK6" s="959" t="s">
        <v>1070</v>
      </c>
      <c r="AL6" s="959"/>
      <c r="AM6" s="959" t="s">
        <v>1071</v>
      </c>
      <c r="AN6" s="959"/>
      <c r="AO6" s="959" t="s">
        <v>1072</v>
      </c>
      <c r="AP6" s="1027" t="s">
        <v>289</v>
      </c>
      <c r="AQ6" s="960"/>
      <c r="AR6" s="627"/>
      <c r="AS6" s="627"/>
    </row>
    <row r="7" spans="1:47" ht="20.25" customHeight="1" thickTop="1" x14ac:dyDescent="0.25">
      <c r="A7" s="4527" t="s">
        <v>837</v>
      </c>
      <c r="B7" s="4528"/>
      <c r="C7" s="1046">
        <f t="shared" ref="C7:C12" si="0">SUM(K7+S7+AA7+AI7)</f>
        <v>0</v>
      </c>
      <c r="D7" s="1041"/>
      <c r="E7" s="1035">
        <f t="shared" ref="E7:E12" si="1">SUM(M7+U7+AC7+AK7)</f>
        <v>0</v>
      </c>
      <c r="F7" s="1045"/>
      <c r="G7" s="1035">
        <f t="shared" ref="G7:G12" si="2">SUM(O7+W7+AE7+AM7)</f>
        <v>0</v>
      </c>
      <c r="H7" s="1045"/>
      <c r="I7" s="2314">
        <f>SUM(Q7+Y7+AG7+AO7)</f>
        <v>54873</v>
      </c>
      <c r="J7" s="2313">
        <f>SUM(R7+M7+Z7+AH7+AP7)</f>
        <v>54873</v>
      </c>
      <c r="K7" s="1046"/>
      <c r="L7" s="1041"/>
      <c r="M7" s="1044"/>
      <c r="N7" s="1045"/>
      <c r="O7" s="1044"/>
      <c r="P7" s="1045"/>
      <c r="Q7" s="1044"/>
      <c r="R7" s="1045">
        <v>0</v>
      </c>
      <c r="S7" s="1046"/>
      <c r="T7" s="1044"/>
      <c r="U7" s="1044"/>
      <c r="V7" s="1044"/>
      <c r="W7" s="1044"/>
      <c r="X7" s="1044"/>
      <c r="Y7" s="1044">
        <v>54873</v>
      </c>
      <c r="Z7" s="1045">
        <v>54873</v>
      </c>
      <c r="AA7" s="1046"/>
      <c r="AB7" s="1044"/>
      <c r="AC7" s="1044"/>
      <c r="AD7" s="1044"/>
      <c r="AE7" s="1044"/>
      <c r="AF7" s="1044"/>
      <c r="AG7" s="1044"/>
      <c r="AH7" s="1045"/>
      <c r="AI7" s="1060"/>
      <c r="AJ7" s="2247"/>
      <c r="AK7" s="2247"/>
      <c r="AL7" s="2247"/>
      <c r="AM7" s="2247"/>
      <c r="AN7" s="2247"/>
      <c r="AO7" s="2247"/>
      <c r="AP7" s="1048"/>
      <c r="AQ7" s="961"/>
      <c r="AR7" s="628"/>
      <c r="AS7" s="628"/>
    </row>
    <row r="8" spans="1:47" ht="20.25" customHeight="1" x14ac:dyDescent="0.25">
      <c r="A8" s="4529" t="s">
        <v>838</v>
      </c>
      <c r="B8" s="4530"/>
      <c r="C8" s="1072">
        <f t="shared" si="0"/>
        <v>89827568</v>
      </c>
      <c r="D8" s="1128"/>
      <c r="E8" s="1035">
        <f t="shared" si="1"/>
        <v>90514828</v>
      </c>
      <c r="F8" s="1065"/>
      <c r="G8" s="1035">
        <f t="shared" si="2"/>
        <v>91926141</v>
      </c>
      <c r="H8" s="1065"/>
      <c r="I8" s="2315">
        <f>SUM(Q8+Y8+AG8+AO8)</f>
        <v>92000642</v>
      </c>
      <c r="J8" s="2310">
        <f t="shared" ref="I8:J12" si="3">SUM(R8+Z8+AH8+AP8)</f>
        <v>92000642</v>
      </c>
      <c r="K8" s="969">
        <f>SUM(K9:L10)</f>
        <v>74637746</v>
      </c>
      <c r="L8" s="963"/>
      <c r="M8" s="964">
        <f>SUM(M9:M10)</f>
        <v>74545772</v>
      </c>
      <c r="N8" s="968"/>
      <c r="O8" s="964">
        <f>SUM(O9:O10)</f>
        <v>75752532</v>
      </c>
      <c r="P8" s="968"/>
      <c r="Q8" s="964">
        <f>SUM(Q9:Q10)</f>
        <v>76465174</v>
      </c>
      <c r="R8" s="1067">
        <f>SUM(R9:R10)</f>
        <v>76624540</v>
      </c>
      <c r="S8" s="1066">
        <f>SUM(S9:S10)</f>
        <v>9447594</v>
      </c>
      <c r="T8" s="972"/>
      <c r="U8" s="964">
        <f>SUM(U9:U10)</f>
        <v>10210146</v>
      </c>
      <c r="V8" s="964"/>
      <c r="W8" s="964">
        <f>SUM(W9:W10)</f>
        <v>10341432</v>
      </c>
      <c r="X8" s="964"/>
      <c r="Y8" s="964">
        <f>SUM(Y9:Y10)</f>
        <v>9251611</v>
      </c>
      <c r="Z8" s="1067">
        <f>SUM(Z9:Z10)</f>
        <v>9251611</v>
      </c>
      <c r="AA8" s="1066">
        <f>SUM(AA9:AA10)</f>
        <v>5114524</v>
      </c>
      <c r="AB8" s="972"/>
      <c r="AC8" s="964">
        <f>SUM(AC9:AC10)</f>
        <v>5129867</v>
      </c>
      <c r="AD8" s="964"/>
      <c r="AE8" s="964">
        <f>SUM(AE9:AE10)</f>
        <v>5202937</v>
      </c>
      <c r="AF8" s="964"/>
      <c r="AG8" s="964">
        <f>SUM(AG9:AG10)</f>
        <v>5670229</v>
      </c>
      <c r="AH8" s="1067">
        <f>SUM(AH9:AH10)</f>
        <v>5658475</v>
      </c>
      <c r="AI8" s="1066">
        <f>SUM(AI9:AI10)</f>
        <v>627704</v>
      </c>
      <c r="AJ8" s="972"/>
      <c r="AK8" s="964">
        <f>SUM(AK9:AK10)</f>
        <v>629043</v>
      </c>
      <c r="AL8" s="964"/>
      <c r="AM8" s="964">
        <f>SUM(AM9:AM10)</f>
        <v>629240</v>
      </c>
      <c r="AN8" s="964"/>
      <c r="AO8" s="964">
        <f>SUM(AO9:AO10)</f>
        <v>613628</v>
      </c>
      <c r="AP8" s="966">
        <f>SUM(AP9:AP10)</f>
        <v>466016</v>
      </c>
      <c r="AQ8" s="967"/>
      <c r="AR8" s="629"/>
      <c r="AS8" s="629"/>
    </row>
    <row r="9" spans="1:47" ht="20.25" customHeight="1" x14ac:dyDescent="0.25">
      <c r="A9" s="4531" t="s">
        <v>839</v>
      </c>
      <c r="B9" s="4532"/>
      <c r="C9" s="1072">
        <f t="shared" si="0"/>
        <v>85097217</v>
      </c>
      <c r="D9" s="1128"/>
      <c r="E9" s="1035">
        <f t="shared" si="1"/>
        <v>85841544</v>
      </c>
      <c r="F9" s="1065"/>
      <c r="G9" s="1035">
        <f>SUM(O9+W9+AE9+AM9)</f>
        <v>85889942</v>
      </c>
      <c r="H9" s="1065"/>
      <c r="I9" s="2315">
        <f>SUM(Q9+Y9+AG9+AO9)</f>
        <v>86112873</v>
      </c>
      <c r="J9" s="2310">
        <f t="shared" si="3"/>
        <v>86112873</v>
      </c>
      <c r="K9" s="969">
        <v>72599623</v>
      </c>
      <c r="L9" s="963"/>
      <c r="M9" s="964">
        <v>73286797</v>
      </c>
      <c r="N9" s="968"/>
      <c r="O9" s="964">
        <v>73301854</v>
      </c>
      <c r="P9" s="968"/>
      <c r="Q9" s="964">
        <v>73811262</v>
      </c>
      <c r="R9" s="968">
        <v>73811262</v>
      </c>
      <c r="S9" s="969">
        <v>9447594</v>
      </c>
      <c r="T9" s="964"/>
      <c r="U9" s="964">
        <v>9504747</v>
      </c>
      <c r="V9" s="964"/>
      <c r="W9" s="964">
        <v>9538088</v>
      </c>
      <c r="X9" s="964"/>
      <c r="Y9" s="964">
        <v>9251611</v>
      </c>
      <c r="Z9" s="968">
        <v>9251611</v>
      </c>
      <c r="AA9" s="969">
        <v>3050000</v>
      </c>
      <c r="AB9" s="964"/>
      <c r="AC9" s="964">
        <v>3050000</v>
      </c>
      <c r="AD9" s="964"/>
      <c r="AE9" s="964">
        <v>3050000</v>
      </c>
      <c r="AF9" s="964"/>
      <c r="AG9" s="964">
        <v>3050000</v>
      </c>
      <c r="AH9" s="968">
        <v>3050000</v>
      </c>
      <c r="AI9" s="1066"/>
      <c r="AJ9" s="972"/>
      <c r="AK9" s="972"/>
      <c r="AL9" s="972"/>
      <c r="AM9" s="972"/>
      <c r="AN9" s="972"/>
      <c r="AO9" s="972"/>
      <c r="AP9" s="966"/>
      <c r="AQ9" s="967"/>
      <c r="AR9" s="629"/>
      <c r="AS9" s="629"/>
    </row>
    <row r="10" spans="1:47" ht="20.25" customHeight="1" x14ac:dyDescent="0.25">
      <c r="A10" s="4531" t="s">
        <v>840</v>
      </c>
      <c r="B10" s="4532"/>
      <c r="C10" s="1072">
        <f t="shared" si="0"/>
        <v>4730351</v>
      </c>
      <c r="D10" s="1128"/>
      <c r="E10" s="1035">
        <f t="shared" si="1"/>
        <v>4673284</v>
      </c>
      <c r="F10" s="1065"/>
      <c r="G10" s="1035">
        <f>SUM(O10+W10+AE10+AM10)</f>
        <v>6036199</v>
      </c>
      <c r="H10" s="1065"/>
      <c r="I10" s="2315">
        <f>SUM(Q10+Y10+AG10+AO10)</f>
        <v>5887769</v>
      </c>
      <c r="J10" s="2310">
        <f>SUM(R10+Z10+AH10+AP10)</f>
        <v>5887769</v>
      </c>
      <c r="K10" s="969">
        <v>2038123</v>
      </c>
      <c r="L10" s="963"/>
      <c r="M10" s="972">
        <v>1258975</v>
      </c>
      <c r="N10" s="1067"/>
      <c r="O10" s="972">
        <v>2450678</v>
      </c>
      <c r="P10" s="1067"/>
      <c r="Q10" s="964">
        <v>2653912</v>
      </c>
      <c r="R10" s="968">
        <v>2813278</v>
      </c>
      <c r="S10" s="969"/>
      <c r="T10" s="964"/>
      <c r="U10" s="964">
        <v>705399</v>
      </c>
      <c r="V10" s="964"/>
      <c r="W10" s="964">
        <v>803344</v>
      </c>
      <c r="X10" s="964"/>
      <c r="Y10" s="964">
        <v>0</v>
      </c>
      <c r="Z10" s="968">
        <v>0</v>
      </c>
      <c r="AA10" s="969">
        <v>2064524</v>
      </c>
      <c r="AB10" s="964"/>
      <c r="AC10" s="964">
        <v>2079867</v>
      </c>
      <c r="AD10" s="964"/>
      <c r="AE10" s="964">
        <v>2152937</v>
      </c>
      <c r="AF10" s="964"/>
      <c r="AG10" s="964">
        <v>2620229</v>
      </c>
      <c r="AH10" s="968">
        <v>2608475</v>
      </c>
      <c r="AI10" s="969">
        <v>627704</v>
      </c>
      <c r="AJ10" s="964"/>
      <c r="AK10" s="964">
        <v>629043</v>
      </c>
      <c r="AL10" s="964"/>
      <c r="AM10" s="964">
        <v>629240</v>
      </c>
      <c r="AN10" s="964"/>
      <c r="AO10" s="964">
        <v>613628</v>
      </c>
      <c r="AP10" s="974">
        <v>466016</v>
      </c>
      <c r="AQ10" s="967"/>
      <c r="AR10" s="629"/>
      <c r="AS10" s="629"/>
    </row>
    <row r="11" spans="1:47" ht="20.25" customHeight="1" x14ac:dyDescent="0.25">
      <c r="A11" s="1110" t="s">
        <v>914</v>
      </c>
      <c r="B11" s="2268"/>
      <c r="C11" s="1072">
        <f t="shared" si="0"/>
        <v>0</v>
      </c>
      <c r="D11" s="1128"/>
      <c r="E11" s="1035">
        <f t="shared" si="1"/>
        <v>0</v>
      </c>
      <c r="F11" s="1065"/>
      <c r="G11" s="1035">
        <f t="shared" si="2"/>
        <v>0</v>
      </c>
      <c r="H11" s="1065"/>
      <c r="I11" s="2315">
        <f>SUM(Q11+Y11+AG11+AO11)</f>
        <v>0</v>
      </c>
      <c r="J11" s="2310">
        <f t="shared" si="3"/>
        <v>0</v>
      </c>
      <c r="K11" s="969"/>
      <c r="L11" s="963"/>
      <c r="M11" s="975"/>
      <c r="N11" s="2267"/>
      <c r="O11" s="975"/>
      <c r="P11" s="2267"/>
      <c r="Q11" s="975"/>
      <c r="R11" s="2267"/>
      <c r="S11" s="969"/>
      <c r="T11" s="964"/>
      <c r="U11" s="964"/>
      <c r="V11" s="964"/>
      <c r="W11" s="964"/>
      <c r="X11" s="964"/>
      <c r="Y11" s="964"/>
      <c r="Z11" s="968"/>
      <c r="AA11" s="969"/>
      <c r="AB11" s="964"/>
      <c r="AC11" s="964"/>
      <c r="AD11" s="964"/>
      <c r="AE11" s="964"/>
      <c r="AF11" s="964"/>
      <c r="AG11" s="964"/>
      <c r="AH11" s="968"/>
      <c r="AI11" s="969"/>
      <c r="AJ11" s="964"/>
      <c r="AK11" s="964"/>
      <c r="AL11" s="964"/>
      <c r="AM11" s="964"/>
      <c r="AN11" s="964"/>
      <c r="AO11" s="964"/>
      <c r="AP11" s="974"/>
      <c r="AQ11" s="967"/>
      <c r="AR11" s="629"/>
      <c r="AS11" s="629"/>
    </row>
    <row r="12" spans="1:47" s="659" customFormat="1" ht="24.75" customHeight="1" thickBot="1" x14ac:dyDescent="0.3">
      <c r="A12" s="4553" t="s">
        <v>299</v>
      </c>
      <c r="B12" s="4554"/>
      <c r="C12" s="2233">
        <f t="shared" si="0"/>
        <v>89827568</v>
      </c>
      <c r="D12" s="2228"/>
      <c r="E12" s="982">
        <f t="shared" si="1"/>
        <v>90514828</v>
      </c>
      <c r="F12" s="2263"/>
      <c r="G12" s="982">
        <f t="shared" si="2"/>
        <v>91926141</v>
      </c>
      <c r="H12" s="2263"/>
      <c r="I12" s="2333">
        <f t="shared" si="3"/>
        <v>92055515</v>
      </c>
      <c r="J12" s="2322">
        <f t="shared" si="3"/>
        <v>92055515</v>
      </c>
      <c r="K12" s="987">
        <f>SUM(K7+K9+K10)</f>
        <v>74637746</v>
      </c>
      <c r="L12" s="984">
        <f>SUM(L7+L9+L10)</f>
        <v>0</v>
      </c>
      <c r="M12" s="985">
        <f>SUM(M7+M9+M10)</f>
        <v>74545772</v>
      </c>
      <c r="N12" s="988"/>
      <c r="O12" s="985">
        <f>SUM(O7+O9+O10)</f>
        <v>75752532</v>
      </c>
      <c r="P12" s="988"/>
      <c r="Q12" s="985">
        <f>SUM(Q7+Q9+Q10)</f>
        <v>76465174</v>
      </c>
      <c r="R12" s="988">
        <f>SUM(R7+R9+R10)</f>
        <v>76624540</v>
      </c>
      <c r="S12" s="987">
        <f>SUM(S7+S9+S10)</f>
        <v>9447594</v>
      </c>
      <c r="T12" s="1002"/>
      <c r="U12" s="985">
        <f>SUM(U7+U9+U10)+U11</f>
        <v>10210146</v>
      </c>
      <c r="V12" s="985"/>
      <c r="W12" s="985">
        <f>SUM(W7+W9+W10)+W11</f>
        <v>10341432</v>
      </c>
      <c r="X12" s="985"/>
      <c r="Y12" s="985">
        <f>SUM(Y7+Y9+Y10)+Y11</f>
        <v>9306484</v>
      </c>
      <c r="Z12" s="988">
        <f>SUM(Z7+Z9+Z10)+Z11</f>
        <v>9306484</v>
      </c>
      <c r="AA12" s="987">
        <f>SUM(AA7+AA9+AA10)</f>
        <v>5114524</v>
      </c>
      <c r="AB12" s="1002"/>
      <c r="AC12" s="1002">
        <f>SUM(AC7+AC9+AC10)</f>
        <v>5129867</v>
      </c>
      <c r="AD12" s="1002"/>
      <c r="AE12" s="1002">
        <f>SUM(AE7+AE9+AE10)</f>
        <v>5202937</v>
      </c>
      <c r="AF12" s="1002"/>
      <c r="AG12" s="1002">
        <f>SUM(AG7+AG9+AG10)</f>
        <v>5670229</v>
      </c>
      <c r="AH12" s="988">
        <f>SUM(AH7+AH9+AH10)</f>
        <v>5658475</v>
      </c>
      <c r="AI12" s="987">
        <f>SUM(AI7+AI9+AI10)</f>
        <v>627704</v>
      </c>
      <c r="AJ12" s="1002"/>
      <c r="AK12" s="985">
        <f>SUM(AK7+AK9+AK10)</f>
        <v>629043</v>
      </c>
      <c r="AL12" s="985"/>
      <c r="AM12" s="985">
        <f>SUM(AM7+AM9+AM10)</f>
        <v>629240</v>
      </c>
      <c r="AN12" s="985"/>
      <c r="AO12" s="985">
        <f>SUM(AO7+AO9+AO10)</f>
        <v>613628</v>
      </c>
      <c r="AP12" s="990">
        <f>SUM(AP7+AP9+AP10)</f>
        <v>466016</v>
      </c>
      <c r="AQ12" s="991"/>
      <c r="AR12" s="661"/>
      <c r="AS12" s="661"/>
    </row>
    <row r="13" spans="1:47" ht="28.5" customHeight="1" thickTop="1" thickBot="1" x14ac:dyDescent="0.3">
      <c r="A13" s="2147"/>
      <c r="B13" s="953"/>
      <c r="C13" s="953"/>
      <c r="D13" s="953"/>
      <c r="E13" s="953"/>
      <c r="F13" s="953"/>
      <c r="G13" s="953"/>
      <c r="H13" s="953"/>
      <c r="I13" s="953"/>
      <c r="J13" s="953"/>
      <c r="K13" s="953"/>
      <c r="L13" s="953"/>
      <c r="M13" s="953"/>
      <c r="N13" s="953"/>
      <c r="O13" s="953"/>
      <c r="P13" s="953"/>
      <c r="Q13" s="953"/>
      <c r="R13" s="953"/>
      <c r="S13" s="953"/>
      <c r="T13" s="953"/>
      <c r="U13" s="953"/>
      <c r="V13" s="953"/>
      <c r="W13" s="953"/>
      <c r="X13" s="953"/>
      <c r="Y13" s="953"/>
      <c r="Z13" s="953"/>
      <c r="AA13" s="953"/>
      <c r="AB13" s="953"/>
      <c r="AC13" s="953"/>
      <c r="AD13" s="953"/>
      <c r="AE13" s="953"/>
      <c r="AF13" s="953"/>
      <c r="AG13" s="953"/>
      <c r="AH13" s="953"/>
      <c r="AI13" s="953"/>
      <c r="AJ13" s="953"/>
      <c r="AK13" s="953"/>
      <c r="AL13" s="953"/>
      <c r="AM13" s="953"/>
      <c r="AN13" s="953"/>
      <c r="AO13" s="953"/>
      <c r="AP13" s="2149"/>
      <c r="AQ13" s="992"/>
      <c r="AR13" s="624"/>
      <c r="AS13" s="624"/>
    </row>
    <row r="14" spans="1:47" ht="28.5" customHeight="1" thickTop="1" thickBot="1" x14ac:dyDescent="0.3">
      <c r="A14" s="4533" t="s">
        <v>841</v>
      </c>
      <c r="B14" s="4534"/>
      <c r="C14" s="4534"/>
      <c r="D14" s="4534"/>
      <c r="E14" s="4534"/>
      <c r="F14" s="4534"/>
      <c r="G14" s="4534"/>
      <c r="H14" s="4534"/>
      <c r="I14" s="4534"/>
      <c r="J14" s="4534"/>
      <c r="K14" s="4534"/>
      <c r="L14" s="4534"/>
      <c r="M14" s="4534"/>
      <c r="N14" s="4534"/>
      <c r="O14" s="4534"/>
      <c r="P14" s="4534"/>
      <c r="Q14" s="4534"/>
      <c r="R14" s="4534"/>
      <c r="S14" s="4534"/>
      <c r="T14" s="4534"/>
      <c r="U14" s="4534"/>
      <c r="V14" s="4534"/>
      <c r="W14" s="4534"/>
      <c r="X14" s="4534"/>
      <c r="Y14" s="4534"/>
      <c r="Z14" s="4534"/>
      <c r="AA14" s="4534"/>
      <c r="AB14" s="4534"/>
      <c r="AC14" s="4534"/>
      <c r="AD14" s="4534"/>
      <c r="AE14" s="4534"/>
      <c r="AF14" s="4534"/>
      <c r="AG14" s="4534"/>
      <c r="AH14" s="4534"/>
      <c r="AI14" s="4534"/>
      <c r="AJ14" s="4534"/>
      <c r="AK14" s="4534"/>
      <c r="AL14" s="4534"/>
      <c r="AM14" s="4534"/>
      <c r="AN14" s="4534"/>
      <c r="AO14" s="4534"/>
      <c r="AP14" s="4535"/>
      <c r="AQ14" s="953"/>
      <c r="AR14" s="625"/>
      <c r="AS14" s="625"/>
    </row>
    <row r="15" spans="1:47" ht="20.25" customHeight="1" thickTop="1" x14ac:dyDescent="0.25">
      <c r="A15" s="4527" t="s">
        <v>842</v>
      </c>
      <c r="B15" s="4555"/>
      <c r="C15" s="993">
        <f t="shared" ref="C15:C20" si="4">SUM(K15+S15+AA15+AI15)</f>
        <v>67356000</v>
      </c>
      <c r="D15" s="2265"/>
      <c r="E15" s="994">
        <f t="shared" ref="E15:E20" si="5">SUM(M15+U15+AC15+AK15)</f>
        <v>67432985</v>
      </c>
      <c r="F15" s="994">
        <f t="shared" ref="F15:I20" si="6">SUM(N15+V15+AD15+AL15)</f>
        <v>0</v>
      </c>
      <c r="G15" s="994">
        <f>SUM(O15+W15+AE15+AM15)</f>
        <v>68539385</v>
      </c>
      <c r="H15" s="1034">
        <f t="shared" si="6"/>
        <v>0</v>
      </c>
      <c r="I15" s="2320">
        <f>SUM(Q15+Y15+AG15+AO15)</f>
        <v>69664388</v>
      </c>
      <c r="J15" s="2265">
        <f>SUM(R15+Z15+AH15+AP15)</f>
        <v>69542683</v>
      </c>
      <c r="K15" s="997">
        <v>60778800</v>
      </c>
      <c r="L15" s="994"/>
      <c r="M15" s="994">
        <v>60802985</v>
      </c>
      <c r="N15" s="994"/>
      <c r="O15" s="994">
        <v>61791485</v>
      </c>
      <c r="P15" s="994"/>
      <c r="Q15" s="994">
        <v>62685328</v>
      </c>
      <c r="R15" s="1034">
        <v>62685328</v>
      </c>
      <c r="S15" s="997">
        <v>2233000</v>
      </c>
      <c r="T15" s="994"/>
      <c r="U15" s="994">
        <v>2280800</v>
      </c>
      <c r="V15" s="994"/>
      <c r="W15" s="994">
        <v>2338700</v>
      </c>
      <c r="X15" s="994"/>
      <c r="Y15" s="994">
        <v>2446004</v>
      </c>
      <c r="Z15" s="1034">
        <v>2446004</v>
      </c>
      <c r="AA15" s="997">
        <v>3867680</v>
      </c>
      <c r="AB15" s="994"/>
      <c r="AC15" s="994">
        <v>3872680</v>
      </c>
      <c r="AD15" s="994"/>
      <c r="AE15" s="994">
        <v>3932680</v>
      </c>
      <c r="AF15" s="994"/>
      <c r="AG15" s="994">
        <v>4148102</v>
      </c>
      <c r="AH15" s="1034">
        <v>4148102</v>
      </c>
      <c r="AI15" s="997">
        <v>476520</v>
      </c>
      <c r="AJ15" s="994"/>
      <c r="AK15" s="2264">
        <v>476520</v>
      </c>
      <c r="AL15" s="2264"/>
      <c r="AM15" s="2264">
        <v>476520</v>
      </c>
      <c r="AN15" s="2264"/>
      <c r="AO15" s="2264">
        <v>384954</v>
      </c>
      <c r="AP15" s="999">
        <v>263249</v>
      </c>
      <c r="AQ15" s="967"/>
      <c r="AR15" s="629"/>
      <c r="AS15" s="629"/>
    </row>
    <row r="16" spans="1:47" ht="20.25" customHeight="1" x14ac:dyDescent="0.25">
      <c r="A16" s="4531" t="s">
        <v>843</v>
      </c>
      <c r="B16" s="4552"/>
      <c r="C16" s="962">
        <f t="shared" si="4"/>
        <v>13718568</v>
      </c>
      <c r="D16" s="1050"/>
      <c r="E16" s="964">
        <f t="shared" si="5"/>
        <v>13733687</v>
      </c>
      <c r="F16" s="964">
        <f t="shared" si="6"/>
        <v>0</v>
      </c>
      <c r="G16" s="964">
        <f>SUM(O16+W16+AE16+AM16)</f>
        <v>13949433</v>
      </c>
      <c r="H16" s="968">
        <f t="shared" si="6"/>
        <v>0</v>
      </c>
      <c r="I16" s="2316">
        <f t="shared" si="6"/>
        <v>14214291</v>
      </c>
      <c r="J16" s="1050">
        <f>SUM(R16+Z16+AH16+AP16)</f>
        <v>14190067</v>
      </c>
      <c r="K16" s="969">
        <v>12371346</v>
      </c>
      <c r="L16" s="964"/>
      <c r="M16" s="1035">
        <v>12376137</v>
      </c>
      <c r="N16" s="1035"/>
      <c r="O16" s="1035">
        <v>12568895</v>
      </c>
      <c r="P16" s="1035"/>
      <c r="Q16" s="1035">
        <v>12752927</v>
      </c>
      <c r="R16" s="968">
        <v>12752927</v>
      </c>
      <c r="S16" s="969">
        <v>457194</v>
      </c>
      <c r="T16" s="964"/>
      <c r="U16" s="964">
        <v>466547</v>
      </c>
      <c r="V16" s="964"/>
      <c r="W16" s="964">
        <v>477835</v>
      </c>
      <c r="X16" s="964"/>
      <c r="Y16" s="964">
        <v>499279</v>
      </c>
      <c r="Z16" s="968">
        <v>499279</v>
      </c>
      <c r="AA16" s="969">
        <v>794724</v>
      </c>
      <c r="AB16" s="964"/>
      <c r="AC16" s="1035">
        <v>795699</v>
      </c>
      <c r="AD16" s="1035"/>
      <c r="AE16" s="1035">
        <v>807399</v>
      </c>
      <c r="AF16" s="1035"/>
      <c r="AG16" s="1035">
        <v>886529</v>
      </c>
      <c r="AH16" s="968">
        <v>886529</v>
      </c>
      <c r="AI16" s="969">
        <v>95304</v>
      </c>
      <c r="AJ16" s="964"/>
      <c r="AK16" s="1035">
        <v>95304</v>
      </c>
      <c r="AL16" s="1035"/>
      <c r="AM16" s="1035">
        <v>95304</v>
      </c>
      <c r="AN16" s="1035"/>
      <c r="AO16" s="1035">
        <v>75556</v>
      </c>
      <c r="AP16" s="1037">
        <v>51332</v>
      </c>
      <c r="AQ16" s="967"/>
      <c r="AR16" s="629"/>
      <c r="AS16" s="629"/>
    </row>
    <row r="17" spans="1:45" ht="20.25" customHeight="1" x14ac:dyDescent="0.25">
      <c r="A17" s="4546" t="s">
        <v>844</v>
      </c>
      <c r="B17" s="4547"/>
      <c r="C17" s="962">
        <f t="shared" si="4"/>
        <v>8397400</v>
      </c>
      <c r="D17" s="1050"/>
      <c r="E17" s="964">
        <f t="shared" si="5"/>
        <v>8992556</v>
      </c>
      <c r="F17" s="964">
        <f t="shared" si="6"/>
        <v>0</v>
      </c>
      <c r="G17" s="964">
        <f>SUM(O17+W17+AE17+AM17)</f>
        <v>9081723</v>
      </c>
      <c r="H17" s="968">
        <f t="shared" si="6"/>
        <v>0</v>
      </c>
      <c r="I17" s="2316">
        <f t="shared" si="6"/>
        <v>7853376</v>
      </c>
      <c r="J17" s="1050">
        <f>SUM(R17+Z17+AH17+AP17)</f>
        <v>7517533</v>
      </c>
      <c r="K17" s="969">
        <v>1259000</v>
      </c>
      <c r="L17" s="964"/>
      <c r="M17" s="1035">
        <v>1249000</v>
      </c>
      <c r="N17" s="1035"/>
      <c r="O17" s="1035">
        <v>1299000</v>
      </c>
      <c r="P17" s="1035"/>
      <c r="Q17" s="1035">
        <v>1026919</v>
      </c>
      <c r="R17" s="968">
        <v>1026919</v>
      </c>
      <c r="S17" s="969">
        <v>6630400</v>
      </c>
      <c r="T17" s="964"/>
      <c r="U17" s="1035">
        <v>7224849</v>
      </c>
      <c r="V17" s="1035"/>
      <c r="W17" s="1035">
        <v>7262449</v>
      </c>
      <c r="X17" s="1035"/>
      <c r="Y17" s="1035">
        <v>6037741</v>
      </c>
      <c r="Z17" s="968">
        <v>5715335</v>
      </c>
      <c r="AA17" s="969">
        <v>452120</v>
      </c>
      <c r="AB17" s="964"/>
      <c r="AC17" s="1035">
        <v>461488</v>
      </c>
      <c r="AD17" s="1035"/>
      <c r="AE17" s="1035">
        <v>462858</v>
      </c>
      <c r="AF17" s="1035"/>
      <c r="AG17" s="1035">
        <v>635598</v>
      </c>
      <c r="AH17" s="968">
        <v>623844</v>
      </c>
      <c r="AI17" s="969">
        <v>55880</v>
      </c>
      <c r="AJ17" s="964"/>
      <c r="AK17" s="1035">
        <v>57219</v>
      </c>
      <c r="AL17" s="1035"/>
      <c r="AM17" s="1035">
        <v>57416</v>
      </c>
      <c r="AN17" s="1035"/>
      <c r="AO17" s="1035">
        <v>153118</v>
      </c>
      <c r="AP17" s="1037">
        <v>151435</v>
      </c>
      <c r="AQ17" s="967"/>
      <c r="AR17" s="629"/>
      <c r="AS17" s="629"/>
    </row>
    <row r="18" spans="1:45" ht="20.25" customHeight="1" x14ac:dyDescent="0.25">
      <c r="A18" s="4546" t="s">
        <v>886</v>
      </c>
      <c r="B18" s="4547"/>
      <c r="C18" s="962">
        <f t="shared" si="4"/>
        <v>0</v>
      </c>
      <c r="D18" s="1050"/>
      <c r="E18" s="964">
        <f t="shared" si="5"/>
        <v>0</v>
      </c>
      <c r="F18" s="964">
        <f t="shared" si="6"/>
        <v>0</v>
      </c>
      <c r="G18" s="964">
        <f t="shared" si="6"/>
        <v>0</v>
      </c>
      <c r="H18" s="968">
        <f t="shared" si="6"/>
        <v>0</v>
      </c>
      <c r="I18" s="2316">
        <f t="shared" si="6"/>
        <v>0</v>
      </c>
      <c r="J18" s="1050">
        <f>SUM(R18+Z18+AH18+AP18)</f>
        <v>0</v>
      </c>
      <c r="K18" s="1252"/>
      <c r="L18" s="1255"/>
      <c r="M18" s="1035"/>
      <c r="N18" s="1035"/>
      <c r="O18" s="1035"/>
      <c r="P18" s="1035"/>
      <c r="Q18" s="1035"/>
      <c r="R18" s="968"/>
      <c r="S18" s="969"/>
      <c r="T18" s="964"/>
      <c r="U18" s="1035"/>
      <c r="V18" s="1035"/>
      <c r="W18" s="1035"/>
      <c r="X18" s="1035"/>
      <c r="Y18" s="1035"/>
      <c r="Z18" s="968"/>
      <c r="AA18" s="969"/>
      <c r="AB18" s="964"/>
      <c r="AC18" s="1035"/>
      <c r="AD18" s="1035"/>
      <c r="AE18" s="1035"/>
      <c r="AF18" s="1035"/>
      <c r="AG18" s="1035"/>
      <c r="AH18" s="968"/>
      <c r="AI18" s="969"/>
      <c r="AJ18" s="964"/>
      <c r="AK18" s="1035"/>
      <c r="AL18" s="1035"/>
      <c r="AM18" s="1035"/>
      <c r="AN18" s="1035"/>
      <c r="AO18" s="1035"/>
      <c r="AP18" s="1037"/>
      <c r="AQ18" s="967"/>
      <c r="AR18" s="629"/>
      <c r="AS18" s="629"/>
    </row>
    <row r="19" spans="1:45" ht="20.25" customHeight="1" x14ac:dyDescent="0.25">
      <c r="A19" s="4546" t="s">
        <v>887</v>
      </c>
      <c r="B19" s="4547"/>
      <c r="C19" s="962">
        <f t="shared" si="4"/>
        <v>355600</v>
      </c>
      <c r="D19" s="1050"/>
      <c r="E19" s="964">
        <f>SUM(M19+U19+AC19+AK19)</f>
        <v>355600</v>
      </c>
      <c r="F19" s="964">
        <f t="shared" si="6"/>
        <v>0</v>
      </c>
      <c r="G19" s="964">
        <f>SUM(O19+W19+AE19+AM19)</f>
        <v>355600</v>
      </c>
      <c r="H19" s="968">
        <f t="shared" si="6"/>
        <v>0</v>
      </c>
      <c r="I19" s="2316">
        <f t="shared" si="6"/>
        <v>323460</v>
      </c>
      <c r="J19" s="1050">
        <f>SUM(R19+Z19+AH19+AP19)</f>
        <v>323460</v>
      </c>
      <c r="K19" s="969">
        <v>228600</v>
      </c>
      <c r="L19" s="964"/>
      <c r="M19" s="1035">
        <v>117650</v>
      </c>
      <c r="N19" s="1035"/>
      <c r="O19" s="1035">
        <v>93152</v>
      </c>
      <c r="P19" s="1035"/>
      <c r="Q19" s="1035"/>
      <c r="R19" s="968"/>
      <c r="S19" s="969">
        <v>127000</v>
      </c>
      <c r="T19" s="964"/>
      <c r="U19" s="1035">
        <v>237950</v>
      </c>
      <c r="V19" s="1035"/>
      <c r="W19" s="1035">
        <v>262448</v>
      </c>
      <c r="X19" s="1035"/>
      <c r="Y19" s="1035">
        <v>323460</v>
      </c>
      <c r="Z19" s="968">
        <v>323460</v>
      </c>
      <c r="AA19" s="969"/>
      <c r="AB19" s="964"/>
      <c r="AC19" s="1035"/>
      <c r="AD19" s="1035"/>
      <c r="AE19" s="1035"/>
      <c r="AF19" s="1035"/>
      <c r="AG19" s="1035"/>
      <c r="AH19" s="968"/>
      <c r="AI19" s="969"/>
      <c r="AJ19" s="964"/>
      <c r="AK19" s="1035"/>
      <c r="AL19" s="1035"/>
      <c r="AM19" s="1035"/>
      <c r="AN19" s="1035"/>
      <c r="AO19" s="1035"/>
      <c r="AP19" s="1037"/>
      <c r="AQ19" s="967"/>
      <c r="AR19" s="629"/>
      <c r="AS19" s="629"/>
    </row>
    <row r="20" spans="1:45" ht="20.25" customHeight="1" x14ac:dyDescent="0.25">
      <c r="A20" s="1111" t="s">
        <v>950</v>
      </c>
      <c r="B20" s="1112"/>
      <c r="C20" s="962">
        <f t="shared" si="4"/>
        <v>0</v>
      </c>
      <c r="D20" s="980"/>
      <c r="E20" s="977">
        <f t="shared" si="5"/>
        <v>0</v>
      </c>
      <c r="F20" s="977">
        <f t="shared" si="6"/>
        <v>0</v>
      </c>
      <c r="G20" s="977">
        <f t="shared" si="6"/>
        <v>0</v>
      </c>
      <c r="H20" s="978">
        <f t="shared" si="6"/>
        <v>0</v>
      </c>
      <c r="I20" s="2317">
        <f t="shared" si="6"/>
        <v>0</v>
      </c>
      <c r="J20" s="980">
        <f>SUM(R20+Z20+AH20+AP20)</f>
        <v>0</v>
      </c>
      <c r="K20" s="969"/>
      <c r="L20" s="964"/>
      <c r="M20" s="1035"/>
      <c r="N20" s="1035"/>
      <c r="O20" s="1035"/>
      <c r="P20" s="1035"/>
      <c r="Q20" s="1035"/>
      <c r="R20" s="968"/>
      <c r="S20" s="969"/>
      <c r="T20" s="964"/>
      <c r="U20" s="1035"/>
      <c r="V20" s="1035"/>
      <c r="W20" s="1035"/>
      <c r="X20" s="1035"/>
      <c r="Y20" s="1035"/>
      <c r="Z20" s="968"/>
      <c r="AA20" s="969"/>
      <c r="AB20" s="964"/>
      <c r="AC20" s="1035"/>
      <c r="AD20" s="1035"/>
      <c r="AE20" s="1035"/>
      <c r="AF20" s="1035"/>
      <c r="AG20" s="1035"/>
      <c r="AH20" s="968"/>
      <c r="AI20" s="969"/>
      <c r="AJ20" s="964"/>
      <c r="AK20" s="1035"/>
      <c r="AL20" s="1035"/>
      <c r="AM20" s="1035"/>
      <c r="AN20" s="1035"/>
      <c r="AO20" s="1035"/>
      <c r="AP20" s="1037"/>
      <c r="AQ20" s="967"/>
      <c r="AR20" s="629"/>
      <c r="AS20" s="629"/>
    </row>
    <row r="21" spans="1:45" s="636" customFormat="1" ht="24.75" customHeight="1" thickBot="1" x14ac:dyDescent="0.3">
      <c r="A21" s="4550" t="s">
        <v>517</v>
      </c>
      <c r="B21" s="4551"/>
      <c r="C21" s="983">
        <f>SUM(C15:C20)</f>
        <v>89827568</v>
      </c>
      <c r="D21" s="1109"/>
      <c r="E21" s="1002">
        <f t="shared" ref="E21:J21" si="7">SUM(E15:E20)</f>
        <v>90514828</v>
      </c>
      <c r="F21" s="1002">
        <f t="shared" si="7"/>
        <v>0</v>
      </c>
      <c r="G21" s="1002">
        <f t="shared" si="7"/>
        <v>91926141</v>
      </c>
      <c r="H21" s="2266">
        <f t="shared" si="7"/>
        <v>0</v>
      </c>
      <c r="I21" s="2321">
        <f t="shared" si="7"/>
        <v>92055515</v>
      </c>
      <c r="J21" s="1109">
        <f t="shared" si="7"/>
        <v>91573743</v>
      </c>
      <c r="K21" s="987">
        <f>SUM(K15:K19)</f>
        <v>74637746</v>
      </c>
      <c r="L21" s="1002">
        <f>SUM(L15:L19)</f>
        <v>0</v>
      </c>
      <c r="M21" s="985">
        <f>SUM(M15:M20)</f>
        <v>74545772</v>
      </c>
      <c r="N21" s="985">
        <f>SUM(N15:N20)</f>
        <v>0</v>
      </c>
      <c r="O21" s="985">
        <f>SUM(O15:O20)</f>
        <v>75752532</v>
      </c>
      <c r="P21" s="985">
        <f>SUM(P15:P20)</f>
        <v>0</v>
      </c>
      <c r="Q21" s="985">
        <f>SUM(Q15:Q20)</f>
        <v>76465174</v>
      </c>
      <c r="R21" s="988">
        <f>SUM(R15:R19)</f>
        <v>76465174</v>
      </c>
      <c r="S21" s="987">
        <f>SUM(S15:S19)</f>
        <v>9447594</v>
      </c>
      <c r="T21" s="1002"/>
      <c r="U21" s="985">
        <f t="shared" ref="U21:Z21" si="8">SUM(U15:U20)</f>
        <v>10210146</v>
      </c>
      <c r="V21" s="985">
        <f t="shared" si="8"/>
        <v>0</v>
      </c>
      <c r="W21" s="985">
        <f t="shared" si="8"/>
        <v>10341432</v>
      </c>
      <c r="X21" s="985">
        <f t="shared" si="8"/>
        <v>0</v>
      </c>
      <c r="Y21" s="985">
        <f t="shared" si="8"/>
        <v>9306484</v>
      </c>
      <c r="Z21" s="2266">
        <f t="shared" si="8"/>
        <v>8984078</v>
      </c>
      <c r="AA21" s="987">
        <f>SUM(AA15:AA19)</f>
        <v>5114524</v>
      </c>
      <c r="AB21" s="1002"/>
      <c r="AC21" s="1002">
        <f t="shared" ref="AC21:AI21" si="9">SUM(AC15:AC19)</f>
        <v>5129867</v>
      </c>
      <c r="AD21" s="1002">
        <f t="shared" si="9"/>
        <v>0</v>
      </c>
      <c r="AE21" s="1002">
        <f t="shared" si="9"/>
        <v>5202937</v>
      </c>
      <c r="AF21" s="1002">
        <f t="shared" si="9"/>
        <v>0</v>
      </c>
      <c r="AG21" s="1002">
        <f t="shared" si="9"/>
        <v>5670229</v>
      </c>
      <c r="AH21" s="2266">
        <f t="shared" si="9"/>
        <v>5658475</v>
      </c>
      <c r="AI21" s="987">
        <f t="shared" si="9"/>
        <v>627704</v>
      </c>
      <c r="AJ21" s="1002"/>
      <c r="AK21" s="985">
        <f t="shared" ref="AK21:AP21" si="10">SUM(AK15:AK19)</f>
        <v>629043</v>
      </c>
      <c r="AL21" s="985">
        <f t="shared" si="10"/>
        <v>0</v>
      </c>
      <c r="AM21" s="985">
        <f t="shared" si="10"/>
        <v>629240</v>
      </c>
      <c r="AN21" s="985">
        <f t="shared" si="10"/>
        <v>0</v>
      </c>
      <c r="AO21" s="985">
        <f t="shared" si="10"/>
        <v>613628</v>
      </c>
      <c r="AP21" s="1004">
        <f t="shared" si="10"/>
        <v>466016</v>
      </c>
      <c r="AQ21" s="1005"/>
      <c r="AR21" s="660"/>
      <c r="AS21" s="660"/>
    </row>
    <row r="22" spans="1:45" ht="15.75" thickTop="1" x14ac:dyDescent="0.25">
      <c r="A22" s="992"/>
      <c r="B22" s="992"/>
      <c r="C22" s="992"/>
      <c r="D22" s="992"/>
      <c r="E22" s="992"/>
      <c r="F22" s="992"/>
      <c r="G22" s="992"/>
      <c r="H22" s="992"/>
      <c r="I22" s="992"/>
      <c r="J22" s="992"/>
      <c r="K22" s="992"/>
      <c r="L22" s="992"/>
      <c r="M22" s="992"/>
      <c r="N22" s="992"/>
      <c r="O22" s="992"/>
      <c r="P22" s="992"/>
      <c r="Q22" s="992"/>
      <c r="R22" s="992"/>
      <c r="S22" s="992"/>
      <c r="T22" s="992"/>
      <c r="U22" s="992"/>
      <c r="V22" s="992"/>
      <c r="W22" s="992"/>
      <c r="X22" s="992"/>
      <c r="Y22" s="992"/>
      <c r="Z22" s="992"/>
      <c r="AA22" s="992"/>
      <c r="AB22" s="992"/>
      <c r="AC22" s="992"/>
      <c r="AD22" s="992"/>
      <c r="AE22" s="992"/>
      <c r="AF22" s="992"/>
      <c r="AG22" s="992"/>
      <c r="AH22" s="992"/>
      <c r="AI22" s="992"/>
      <c r="AJ22" s="992"/>
      <c r="AK22" s="992"/>
      <c r="AL22" s="992"/>
      <c r="AM22" s="992"/>
      <c r="AN22" s="992"/>
      <c r="AO22" s="992"/>
      <c r="AP22" s="992"/>
      <c r="AQ22" s="992"/>
      <c r="AR22" s="624"/>
      <c r="AS22" s="624"/>
    </row>
    <row r="23" spans="1:45" ht="15.75" x14ac:dyDescent="0.25">
      <c r="A23" s="1006" t="s">
        <v>893</v>
      </c>
      <c r="B23" s="992"/>
      <c r="C23" s="1007">
        <f>SUM(C21-C12)</f>
        <v>0</v>
      </c>
      <c r="D23" s="1007"/>
      <c r="E23" s="1007">
        <f t="shared" ref="E23:AP23" si="11">SUM(E21-E12)</f>
        <v>0</v>
      </c>
      <c r="F23" s="1007">
        <f t="shared" si="11"/>
        <v>0</v>
      </c>
      <c r="G23" s="1007">
        <f t="shared" si="11"/>
        <v>0</v>
      </c>
      <c r="H23" s="1007">
        <f t="shared" si="11"/>
        <v>0</v>
      </c>
      <c r="I23" s="1007">
        <f t="shared" si="11"/>
        <v>0</v>
      </c>
      <c r="J23" s="1007">
        <f t="shared" si="11"/>
        <v>-481772</v>
      </c>
      <c r="K23" s="1007">
        <f t="shared" si="11"/>
        <v>0</v>
      </c>
      <c r="L23" s="1007">
        <f t="shared" si="11"/>
        <v>0</v>
      </c>
      <c r="M23" s="1007">
        <f t="shared" si="11"/>
        <v>0</v>
      </c>
      <c r="N23" s="1007">
        <f t="shared" si="11"/>
        <v>0</v>
      </c>
      <c r="O23" s="1007">
        <f t="shared" si="11"/>
        <v>0</v>
      </c>
      <c r="P23" s="1007">
        <f t="shared" si="11"/>
        <v>0</v>
      </c>
      <c r="Q23" s="1007">
        <f t="shared" si="11"/>
        <v>0</v>
      </c>
      <c r="R23" s="1007">
        <f t="shared" si="11"/>
        <v>-159366</v>
      </c>
      <c r="S23" s="1007">
        <f t="shared" si="11"/>
        <v>0</v>
      </c>
      <c r="T23" s="1007"/>
      <c r="U23" s="1007">
        <f t="shared" si="11"/>
        <v>0</v>
      </c>
      <c r="V23" s="1007">
        <f t="shared" si="11"/>
        <v>0</v>
      </c>
      <c r="W23" s="1007">
        <f t="shared" si="11"/>
        <v>0</v>
      </c>
      <c r="X23" s="1007">
        <f t="shared" si="11"/>
        <v>0</v>
      </c>
      <c r="Y23" s="1007">
        <f t="shared" si="11"/>
        <v>0</v>
      </c>
      <c r="Z23" s="1007">
        <f t="shared" si="11"/>
        <v>-322406</v>
      </c>
      <c r="AA23" s="1007">
        <f t="shared" si="11"/>
        <v>0</v>
      </c>
      <c r="AB23" s="1007"/>
      <c r="AC23" s="1007">
        <f t="shared" si="11"/>
        <v>0</v>
      </c>
      <c r="AD23" s="1007">
        <f t="shared" si="11"/>
        <v>0</v>
      </c>
      <c r="AE23" s="1007">
        <f t="shared" si="11"/>
        <v>0</v>
      </c>
      <c r="AF23" s="1007">
        <f t="shared" si="11"/>
        <v>0</v>
      </c>
      <c r="AG23" s="1007">
        <f t="shared" si="11"/>
        <v>0</v>
      </c>
      <c r="AH23" s="1007">
        <f t="shared" si="11"/>
        <v>0</v>
      </c>
      <c r="AI23" s="1007">
        <f t="shared" si="11"/>
        <v>0</v>
      </c>
      <c r="AJ23" s="1007"/>
      <c r="AK23" s="1007">
        <f t="shared" si="11"/>
        <v>0</v>
      </c>
      <c r="AL23" s="1007">
        <f t="shared" si="11"/>
        <v>0</v>
      </c>
      <c r="AM23" s="1007">
        <f t="shared" si="11"/>
        <v>0</v>
      </c>
      <c r="AN23" s="1007">
        <f t="shared" si="11"/>
        <v>0</v>
      </c>
      <c r="AO23" s="1007">
        <f t="shared" si="11"/>
        <v>0</v>
      </c>
      <c r="AP23" s="1007">
        <f t="shared" si="11"/>
        <v>0</v>
      </c>
      <c r="AQ23" s="992"/>
    </row>
    <row r="26" spans="1:45" ht="15.75" x14ac:dyDescent="0.25">
      <c r="A26" s="4558" t="s">
        <v>913</v>
      </c>
      <c r="B26" s="4558"/>
      <c r="C26" s="1008"/>
      <c r="D26" s="1008"/>
      <c r="E26" s="1008"/>
      <c r="F26" s="1008"/>
      <c r="G26" s="1008"/>
      <c r="H26" s="1008"/>
      <c r="I26" s="1008"/>
      <c r="J26" s="1008"/>
      <c r="K26" s="1008"/>
      <c r="L26" s="1008"/>
      <c r="M26" s="1008"/>
      <c r="N26" s="1008"/>
      <c r="O26" s="1008"/>
      <c r="P26" s="1008"/>
      <c r="Q26" s="1008"/>
      <c r="R26" s="1008"/>
      <c r="S26" s="1008"/>
      <c r="T26" s="1008"/>
      <c r="U26" s="1008"/>
      <c r="V26" s="1008"/>
      <c r="W26" s="1008"/>
      <c r="X26" s="1008"/>
      <c r="Y26" s="1008"/>
      <c r="Z26" s="992"/>
      <c r="AA26" s="992"/>
      <c r="AB26" s="992"/>
      <c r="AC26" s="992"/>
      <c r="AD26" s="992"/>
      <c r="AE26" s="992"/>
      <c r="AF26" s="992"/>
      <c r="AG26" s="992"/>
    </row>
    <row r="27" spans="1:45" ht="15.75" x14ac:dyDescent="0.25">
      <c r="A27" s="1009"/>
      <c r="B27" s="1009"/>
      <c r="C27" s="1009"/>
      <c r="D27" s="1009"/>
      <c r="E27" s="1009"/>
      <c r="F27" s="1009"/>
      <c r="G27" s="1009"/>
      <c r="H27" s="1009"/>
      <c r="I27" s="1009"/>
      <c r="J27" s="1009"/>
      <c r="K27" s="1008"/>
      <c r="L27" s="1008"/>
      <c r="M27" s="1008"/>
      <c r="N27" s="1008"/>
      <c r="O27" s="1008"/>
      <c r="P27" s="1008"/>
      <c r="Q27" s="1008"/>
      <c r="R27" s="1008"/>
      <c r="S27" s="1008"/>
      <c r="T27" s="1008"/>
      <c r="U27" s="1008"/>
      <c r="V27" s="1008"/>
      <c r="W27" s="1008"/>
      <c r="X27" s="1008"/>
      <c r="Y27" s="1008"/>
      <c r="Z27" s="992"/>
      <c r="AA27" s="992"/>
      <c r="AB27" s="992"/>
      <c r="AC27" s="992"/>
      <c r="AD27" s="992"/>
      <c r="AE27" s="992"/>
      <c r="AF27" s="992"/>
      <c r="AG27" s="992"/>
    </row>
    <row r="28" spans="1:45" ht="15.75" x14ac:dyDescent="0.25">
      <c r="A28" s="4548" t="s">
        <v>786</v>
      </c>
      <c r="B28" s="4548"/>
      <c r="C28" s="1007">
        <f>SUM('5.1. sz. mell. '!F8)</f>
        <v>0</v>
      </c>
      <c r="D28" s="1007">
        <f>SUM('5.1. sz. mell. '!G8)</f>
        <v>0</v>
      </c>
      <c r="E28" s="1007">
        <f>SUM('5.1. sz. mell. '!H8)</f>
        <v>0</v>
      </c>
      <c r="F28" s="1007">
        <f>SUM('5.1. sz. mell. '!I8)</f>
        <v>0</v>
      </c>
      <c r="G28" s="1007">
        <f>SUM('5.1. sz. mell. '!J8)</f>
        <v>54873</v>
      </c>
      <c r="H28" s="1007">
        <f>SUM('5.1. sz. mell. '!K8)</f>
        <v>0</v>
      </c>
      <c r="I28" s="1007">
        <f>SUM('5.1. sz. mell. '!L8)</f>
        <v>54873</v>
      </c>
      <c r="J28" s="1007">
        <f>SUM('5.1. sz. mell. '!M8)</f>
        <v>54873</v>
      </c>
      <c r="K28" s="992"/>
      <c r="L28" s="4548" t="s">
        <v>236</v>
      </c>
      <c r="M28" s="4548"/>
      <c r="N28" s="2255"/>
      <c r="O28" s="2255"/>
      <c r="P28" s="2255"/>
      <c r="Q28" s="2255"/>
      <c r="R28" s="2270">
        <f>SUM('5.1. sz. mell. '!F48)</f>
        <v>67356000</v>
      </c>
      <c r="S28" s="2270"/>
      <c r="T28" s="2270">
        <f>SUM('5.1. sz. mell. '!H48)</f>
        <v>67432985</v>
      </c>
      <c r="U28" s="2270">
        <f>SUM('5.1. sz. mell. '!H48)</f>
        <v>67432985</v>
      </c>
      <c r="V28" s="2270">
        <f>SUM('5.1. sz. mell. '!J48)</f>
        <v>69664388</v>
      </c>
      <c r="W28" s="2270">
        <f>SUM('5.1. sz. mell. '!J48)</f>
        <v>69664388</v>
      </c>
      <c r="X28" s="2270">
        <f>SUM('5.1. sz. mell. '!L48)</f>
        <v>69664388</v>
      </c>
      <c r="Y28" s="2270">
        <f>SUM('5.1. sz. mell. '!M48)</f>
        <v>69542683</v>
      </c>
      <c r="Z28" s="2270">
        <f>SUM('5.1. sz. mell. '!M48)</f>
        <v>69542683</v>
      </c>
      <c r="AA28" s="992"/>
      <c r="AB28" s="992"/>
      <c r="AC28" s="992"/>
      <c r="AD28" s="992"/>
      <c r="AE28" s="992"/>
      <c r="AF28" s="992"/>
      <c r="AG28" s="992"/>
    </row>
    <row r="29" spans="1:45" ht="15.75" x14ac:dyDescent="0.25">
      <c r="A29" s="1006" t="s">
        <v>893</v>
      </c>
      <c r="B29" s="1006"/>
      <c r="C29" s="1011">
        <f>SUM(C28-C7)</f>
        <v>0</v>
      </c>
      <c r="D29" s="1011">
        <f t="shared" ref="D29:J29" si="12">SUM(D28-D7)</f>
        <v>0</v>
      </c>
      <c r="E29" s="1011">
        <f t="shared" si="12"/>
        <v>0</v>
      </c>
      <c r="F29" s="1011">
        <f t="shared" si="12"/>
        <v>0</v>
      </c>
      <c r="G29" s="1011">
        <f t="shared" si="12"/>
        <v>54873</v>
      </c>
      <c r="H29" s="1011">
        <f t="shared" si="12"/>
        <v>0</v>
      </c>
      <c r="I29" s="1011">
        <f t="shared" si="12"/>
        <v>0</v>
      </c>
      <c r="J29" s="1011">
        <f t="shared" si="12"/>
        <v>0</v>
      </c>
      <c r="K29" s="992"/>
      <c r="L29" s="1006" t="s">
        <v>893</v>
      </c>
      <c r="M29" s="992"/>
      <c r="N29" s="992"/>
      <c r="O29" s="992"/>
      <c r="P29" s="992"/>
      <c r="Q29" s="992"/>
      <c r="R29" s="1012">
        <f>SUM(R28-C15)</f>
        <v>0</v>
      </c>
      <c r="S29" s="1012"/>
      <c r="T29" s="1012">
        <f t="shared" ref="T29:Y29" si="13">SUM(T28-E15)</f>
        <v>0</v>
      </c>
      <c r="U29" s="1012">
        <f>SUM(U28-E15)</f>
        <v>0</v>
      </c>
      <c r="V29" s="1012">
        <f t="shared" si="13"/>
        <v>1125003</v>
      </c>
      <c r="W29" s="1012">
        <f>SUM(W28-G15)</f>
        <v>1125003</v>
      </c>
      <c r="X29" s="1012">
        <f t="shared" si="13"/>
        <v>0</v>
      </c>
      <c r="Y29" s="1012">
        <f t="shared" si="13"/>
        <v>0</v>
      </c>
      <c r="Z29" s="1012">
        <f>SUM(Z28-J15)</f>
        <v>0</v>
      </c>
      <c r="AA29" s="992"/>
      <c r="AB29" s="992"/>
      <c r="AC29" s="992"/>
      <c r="AD29" s="992"/>
      <c r="AE29" s="992"/>
      <c r="AF29" s="992"/>
      <c r="AG29" s="992"/>
    </row>
    <row r="30" spans="1:45" ht="15.75" x14ac:dyDescent="0.25">
      <c r="A30" s="1008"/>
      <c r="B30" s="1008"/>
      <c r="C30" s="992"/>
      <c r="D30" s="992"/>
      <c r="E30" s="992"/>
      <c r="F30" s="992"/>
      <c r="G30" s="992"/>
      <c r="H30" s="992"/>
      <c r="I30" s="992"/>
      <c r="J30" s="992"/>
      <c r="K30" s="992"/>
      <c r="L30" s="992"/>
      <c r="M30" s="992"/>
      <c r="N30" s="992"/>
      <c r="O30" s="992"/>
      <c r="P30" s="992"/>
      <c r="Q30" s="992"/>
      <c r="R30" s="1008"/>
      <c r="S30" s="1008"/>
      <c r="T30" s="1008"/>
      <c r="U30" s="1008"/>
      <c r="V30" s="1008"/>
      <c r="W30" s="1008"/>
      <c r="X30" s="1008"/>
      <c r="Y30" s="1008"/>
      <c r="Z30" s="992"/>
      <c r="AA30" s="992"/>
      <c r="AB30" s="992"/>
      <c r="AC30" s="992"/>
      <c r="AD30" s="992"/>
      <c r="AE30" s="992"/>
      <c r="AF30" s="992"/>
      <c r="AG30" s="992"/>
    </row>
    <row r="31" spans="1:45" ht="15.75" x14ac:dyDescent="0.25">
      <c r="A31" s="4548" t="s">
        <v>892</v>
      </c>
      <c r="B31" s="4548"/>
      <c r="C31" s="1007">
        <f>SUM('5.1. sz. mell. '!F38)</f>
        <v>89827568</v>
      </c>
      <c r="D31" s="1007">
        <f>SUM('5.1. sz. mell. '!G38)</f>
        <v>687260</v>
      </c>
      <c r="E31" s="1007">
        <f>SUM('5.1. sz. mell. '!H38)</f>
        <v>90514828</v>
      </c>
      <c r="F31" s="1007">
        <f>SUM('5.1. sz. mell. '!I38)</f>
        <v>1485814</v>
      </c>
      <c r="G31" s="1007">
        <f>SUM('5.1. sz. mell. '!J38)</f>
        <v>92000642</v>
      </c>
      <c r="H31" s="1007">
        <f>SUM('5.1. sz. mell. '!K38)</f>
        <v>0</v>
      </c>
      <c r="I31" s="1007">
        <f>SUM('5.1. sz. mell. '!L38)</f>
        <v>92000642</v>
      </c>
      <c r="J31" s="1007">
        <f>SUM('5.1. sz. mell. '!M38)</f>
        <v>92000642</v>
      </c>
      <c r="K31" s="992"/>
      <c r="L31" s="4548" t="s">
        <v>895</v>
      </c>
      <c r="M31" s="4548"/>
      <c r="N31" s="2255"/>
      <c r="O31" s="2255"/>
      <c r="P31" s="2255"/>
      <c r="Q31" s="2255"/>
      <c r="R31" s="1010">
        <f>SUM('5.1. sz. mell. '!F50)</f>
        <v>13718568</v>
      </c>
      <c r="S31" s="1010"/>
      <c r="T31" s="1010">
        <f>SUM('5.1. sz. mell. '!H50)</f>
        <v>13733687</v>
      </c>
      <c r="U31" s="1010">
        <f>SUM('5.1. sz. mell. '!H50)</f>
        <v>13733687</v>
      </c>
      <c r="V31" s="1010">
        <f>SUM('5.1. sz. mell. '!I50)</f>
        <v>480604</v>
      </c>
      <c r="W31" s="1010">
        <f>SUM('5.1. sz. mell. '!J50)</f>
        <v>14214291</v>
      </c>
      <c r="X31" s="1010">
        <f>SUM('5.1. sz. mell. '!K50)</f>
        <v>0</v>
      </c>
      <c r="Y31" s="1010">
        <f>SUM('5.1. sz. mell. '!L50)</f>
        <v>14214291</v>
      </c>
      <c r="Z31" s="1010">
        <f>SUM('5.1. sz. mell. '!M50)</f>
        <v>14190067</v>
      </c>
      <c r="AA31" s="992"/>
      <c r="AB31" s="992"/>
      <c r="AC31" s="992"/>
      <c r="AD31" s="992"/>
      <c r="AE31" s="992"/>
      <c r="AF31" s="992"/>
      <c r="AG31" s="992"/>
    </row>
    <row r="32" spans="1:45" ht="15.75" x14ac:dyDescent="0.25">
      <c r="A32" s="1006" t="s">
        <v>893</v>
      </c>
      <c r="B32" s="1008"/>
      <c r="C32" s="1011">
        <f>SUM(C31-C8)</f>
        <v>0</v>
      </c>
      <c r="D32" s="1011"/>
      <c r="E32" s="1011">
        <f>SUM(E31-E8)</f>
        <v>0</v>
      </c>
      <c r="F32" s="1011"/>
      <c r="G32" s="1011">
        <f>SUM(G31-G8)</f>
        <v>74501</v>
      </c>
      <c r="H32" s="1011"/>
      <c r="I32" s="1011">
        <f>SUM(I31-I8)</f>
        <v>0</v>
      </c>
      <c r="J32" s="1011">
        <f>SUM(J31-J8)</f>
        <v>0</v>
      </c>
      <c r="K32" s="992"/>
      <c r="L32" s="1006" t="s">
        <v>893</v>
      </c>
      <c r="M32" s="992"/>
      <c r="N32" s="992"/>
      <c r="O32" s="992"/>
      <c r="P32" s="992"/>
      <c r="Q32" s="992"/>
      <c r="R32" s="1012">
        <f>SUM(R31-C16)</f>
        <v>0</v>
      </c>
      <c r="S32" s="1012"/>
      <c r="T32" s="1012">
        <f>SUM(T31-E16)</f>
        <v>0</v>
      </c>
      <c r="U32" s="1012">
        <f t="shared" ref="U32:Z32" si="14">SUM(U31-E16)</f>
        <v>0</v>
      </c>
      <c r="V32" s="1012">
        <f t="shared" si="14"/>
        <v>480604</v>
      </c>
      <c r="W32" s="1012">
        <f t="shared" si="14"/>
        <v>264858</v>
      </c>
      <c r="X32" s="1012">
        <f t="shared" si="14"/>
        <v>0</v>
      </c>
      <c r="Y32" s="1012">
        <f t="shared" si="14"/>
        <v>0</v>
      </c>
      <c r="Z32" s="1012">
        <f t="shared" si="14"/>
        <v>0</v>
      </c>
      <c r="AA32" s="1012"/>
      <c r="AB32" s="992"/>
      <c r="AC32" s="992"/>
      <c r="AD32" s="992"/>
      <c r="AE32" s="992"/>
      <c r="AF32" s="992"/>
      <c r="AG32" s="992"/>
    </row>
    <row r="33" spans="1:33" ht="15.75" x14ac:dyDescent="0.25">
      <c r="A33" s="1008"/>
      <c r="B33" s="1008"/>
      <c r="C33" s="992"/>
      <c r="D33" s="992"/>
      <c r="E33" s="992"/>
      <c r="F33" s="992"/>
      <c r="G33" s="992"/>
      <c r="H33" s="992"/>
      <c r="I33" s="992"/>
      <c r="J33" s="992"/>
      <c r="K33" s="992"/>
      <c r="L33" s="992"/>
      <c r="M33" s="992"/>
      <c r="N33" s="992"/>
      <c r="O33" s="992"/>
      <c r="P33" s="992"/>
      <c r="Q33" s="992"/>
      <c r="R33" s="1008"/>
      <c r="S33" s="1008"/>
      <c r="T33" s="1008"/>
      <c r="U33" s="1008"/>
      <c r="V33" s="1008"/>
      <c r="W33" s="1008"/>
      <c r="X33" s="1008"/>
      <c r="Y33" s="1008"/>
      <c r="Z33" s="992"/>
      <c r="AA33" s="992"/>
      <c r="AB33" s="992"/>
      <c r="AC33" s="992"/>
      <c r="AD33" s="992"/>
      <c r="AE33" s="992"/>
      <c r="AF33" s="992"/>
      <c r="AG33" s="992"/>
    </row>
    <row r="34" spans="1:33" ht="15.75" x14ac:dyDescent="0.25">
      <c r="A34" s="4548" t="s">
        <v>891</v>
      </c>
      <c r="B34" s="4548"/>
      <c r="C34" s="1007">
        <f>SUM('5.1. sz. mell. '!F42)</f>
        <v>85097217</v>
      </c>
      <c r="D34" s="1007">
        <f>SUM('5.1. sz. mell. '!G42)</f>
        <v>744327</v>
      </c>
      <c r="E34" s="1007">
        <f>SUM('5.1. sz. mell. '!H42)</f>
        <v>85841544</v>
      </c>
      <c r="F34" s="1007">
        <f>SUM('5.1. sz. mell. '!I42)</f>
        <v>271329</v>
      </c>
      <c r="G34" s="1007">
        <f>SUM('5.1. sz. mell. '!J42)</f>
        <v>86112873</v>
      </c>
      <c r="H34" s="1007">
        <f>SUM('5.1. sz. mell. '!K42)</f>
        <v>0</v>
      </c>
      <c r="I34" s="1007">
        <f>SUM('5.1. sz. mell. '!L42)</f>
        <v>86112873</v>
      </c>
      <c r="J34" s="1007">
        <f>SUM('5.1. sz. mell. '!M42)</f>
        <v>86112873</v>
      </c>
      <c r="K34" s="992"/>
      <c r="L34" s="4549" t="s">
        <v>896</v>
      </c>
      <c r="M34" s="4549"/>
      <c r="N34" s="2256"/>
      <c r="O34" s="2256"/>
      <c r="P34" s="2256"/>
      <c r="Q34" s="2256"/>
      <c r="R34" s="1010">
        <f>SUM('5.1. sz. mell. '!F52)</f>
        <v>8397400</v>
      </c>
      <c r="S34" s="1010"/>
      <c r="T34" s="1010">
        <f>SUM('5.1. sz. mell. '!H52)</f>
        <v>8992556</v>
      </c>
      <c r="U34" s="1010">
        <f>SUM('5.1. sz. mell. '!H52)</f>
        <v>8992556</v>
      </c>
      <c r="V34" s="1010">
        <f>SUM('5.1. sz. mell. '!I52)</f>
        <v>-1139180</v>
      </c>
      <c r="W34" s="1010">
        <f>SUM('5.1. sz. mell. '!J52)</f>
        <v>7853376</v>
      </c>
      <c r="X34" s="1010">
        <f>SUM('5.1. sz. mell. '!K52)</f>
        <v>0</v>
      </c>
      <c r="Y34" s="1010">
        <f>SUM('5.1. sz. mell. '!L52)</f>
        <v>7853376</v>
      </c>
      <c r="Z34" s="1010">
        <f>SUM('5.1. sz. mell. '!M52)</f>
        <v>7517533</v>
      </c>
      <c r="AA34" s="992"/>
      <c r="AB34" s="992"/>
      <c r="AC34" s="992"/>
      <c r="AD34" s="992"/>
      <c r="AE34" s="992"/>
      <c r="AF34" s="992"/>
      <c r="AG34" s="992"/>
    </row>
    <row r="35" spans="1:33" ht="15.75" x14ac:dyDescent="0.25">
      <c r="A35" s="1006" t="s">
        <v>893</v>
      </c>
      <c r="B35" s="1008"/>
      <c r="C35" s="1011">
        <f>SUM(C34-C9)</f>
        <v>0</v>
      </c>
      <c r="D35" s="1011">
        <f t="shared" ref="D35:J35" si="15">SUM(D34-D9)</f>
        <v>744327</v>
      </c>
      <c r="E35" s="1011">
        <f t="shared" si="15"/>
        <v>0</v>
      </c>
      <c r="F35" s="1011">
        <f t="shared" si="15"/>
        <v>271329</v>
      </c>
      <c r="G35" s="1011">
        <f t="shared" si="15"/>
        <v>222931</v>
      </c>
      <c r="H35" s="1011">
        <f t="shared" si="15"/>
        <v>0</v>
      </c>
      <c r="I35" s="1011">
        <f t="shared" si="15"/>
        <v>0</v>
      </c>
      <c r="J35" s="1011">
        <f t="shared" si="15"/>
        <v>0</v>
      </c>
      <c r="K35" s="992"/>
      <c r="L35" s="1006" t="s">
        <v>893</v>
      </c>
      <c r="M35" s="992"/>
      <c r="N35" s="992"/>
      <c r="O35" s="992"/>
      <c r="P35" s="992"/>
      <c r="Q35" s="992"/>
      <c r="R35" s="1012">
        <f>SUM(R34-C17)</f>
        <v>0</v>
      </c>
      <c r="S35" s="1012"/>
      <c r="T35" s="1012">
        <f>SUM(T34-E17)</f>
        <v>0</v>
      </c>
      <c r="U35" s="1012">
        <f t="shared" ref="U35:Z35" si="16">SUM(U34-E17)</f>
        <v>0</v>
      </c>
      <c r="V35" s="1012">
        <f t="shared" si="16"/>
        <v>-1139180</v>
      </c>
      <c r="W35" s="1012">
        <f t="shared" si="16"/>
        <v>-1228347</v>
      </c>
      <c r="X35" s="1012">
        <f t="shared" si="16"/>
        <v>0</v>
      </c>
      <c r="Y35" s="1012">
        <f t="shared" si="16"/>
        <v>0</v>
      </c>
      <c r="Z35" s="1012">
        <f t="shared" si="16"/>
        <v>0</v>
      </c>
      <c r="AA35" s="992"/>
      <c r="AB35" s="992"/>
      <c r="AC35" s="992"/>
      <c r="AD35" s="992"/>
      <c r="AE35" s="992"/>
      <c r="AF35" s="992"/>
      <c r="AG35" s="992"/>
    </row>
    <row r="36" spans="1:33" ht="15.75" x14ac:dyDescent="0.25">
      <c r="A36" s="1008"/>
      <c r="B36" s="1008"/>
      <c r="C36" s="992"/>
      <c r="D36" s="992"/>
      <c r="E36" s="992"/>
      <c r="F36" s="992"/>
      <c r="G36" s="992"/>
      <c r="H36" s="992"/>
      <c r="I36" s="992"/>
      <c r="J36" s="992"/>
      <c r="K36" s="992"/>
      <c r="L36" s="992"/>
      <c r="M36" s="992"/>
      <c r="N36" s="992"/>
      <c r="O36" s="992"/>
      <c r="P36" s="992"/>
      <c r="Q36" s="992"/>
      <c r="R36" s="1008"/>
      <c r="S36" s="1008"/>
      <c r="T36" s="1008"/>
      <c r="U36" s="1008"/>
      <c r="V36" s="1008"/>
      <c r="W36" s="1008"/>
      <c r="X36" s="1008"/>
      <c r="Y36" s="1008"/>
      <c r="Z36" s="992"/>
      <c r="AA36" s="992"/>
      <c r="AB36" s="992"/>
      <c r="AC36" s="992"/>
      <c r="AD36" s="992"/>
      <c r="AE36" s="992"/>
      <c r="AF36" s="992"/>
      <c r="AG36" s="992"/>
    </row>
    <row r="37" spans="1:33" ht="15.75" x14ac:dyDescent="0.25">
      <c r="A37" s="4548" t="s">
        <v>890</v>
      </c>
      <c r="B37" s="4548"/>
      <c r="C37" s="1007">
        <f>SUM('5.1. sz. mell. '!F43+'5.1. sz. mell. '!F39)</f>
        <v>4730351</v>
      </c>
      <c r="D37" s="1007">
        <f>SUM('5.1. sz. mell. '!G43+'5.1. sz. mell. '!G39)</f>
        <v>-57067</v>
      </c>
      <c r="E37" s="1007">
        <f>SUM('5.1. sz. mell. '!H43+'5.1. sz. mell. '!H39)</f>
        <v>4673284</v>
      </c>
      <c r="F37" s="1007">
        <f>SUM('5.1. sz. mell. '!I43+'5.1. sz. mell. '!I39)</f>
        <v>1214485</v>
      </c>
      <c r="G37" s="1007">
        <f>SUM('5.1. sz. mell. '!J43+'5.1. sz. mell. '!J39)</f>
        <v>5887769</v>
      </c>
      <c r="H37" s="1007">
        <f>SUM('5.1. sz. mell. '!K43+'5.1. sz. mell. '!K39)</f>
        <v>0</v>
      </c>
      <c r="I37" s="1007">
        <f>SUM('5.1. sz. mell. '!L43+'5.1. sz. mell. '!L39)</f>
        <v>5887769</v>
      </c>
      <c r="J37" s="1007">
        <f>SUM('5.1. sz. mell. '!M43+'5.1. sz. mell. '!M39)</f>
        <v>5887769</v>
      </c>
      <c r="K37" s="992"/>
      <c r="L37" s="4549" t="s">
        <v>897</v>
      </c>
      <c r="M37" s="4549"/>
      <c r="N37" s="2256"/>
      <c r="O37" s="2256"/>
      <c r="P37" s="2256"/>
      <c r="Q37" s="2256"/>
      <c r="R37" s="1010">
        <f>SUM('5.1. sz. mell. '!F55)</f>
        <v>0</v>
      </c>
      <c r="S37" s="1010"/>
      <c r="T37" s="1010">
        <f>SUM('5.1. sz. mell. '!H55)</f>
        <v>0</v>
      </c>
      <c r="U37" s="1010">
        <f>SUM('5.1. sz. mell. '!I55)</f>
        <v>0</v>
      </c>
      <c r="V37" s="1010">
        <f>SUM('5.1. sz. mell. '!J55)</f>
        <v>0</v>
      </c>
      <c r="W37" s="1010">
        <f>SUM('5.1. sz. mell. '!K55)</f>
        <v>0</v>
      </c>
      <c r="X37" s="1010">
        <f>SUM('5.1. sz. mell. '!L55)</f>
        <v>0</v>
      </c>
      <c r="Y37" s="1010">
        <f>SUM('5.1. sz. mell. '!M55)</f>
        <v>0</v>
      </c>
      <c r="Z37" s="1010">
        <f>SUM('5.1. sz. mell. '!N55)</f>
        <v>0</v>
      </c>
      <c r="AA37" s="992"/>
      <c r="AB37" s="992"/>
      <c r="AC37" s="992"/>
      <c r="AD37" s="992"/>
      <c r="AE37" s="992"/>
      <c r="AF37" s="992"/>
      <c r="AG37" s="992"/>
    </row>
    <row r="38" spans="1:33" ht="15.75" x14ac:dyDescent="0.25">
      <c r="A38" s="1006" t="s">
        <v>893</v>
      </c>
      <c r="B38" s="1008"/>
      <c r="C38" s="1011">
        <f>SUM(C37-C10)</f>
        <v>0</v>
      </c>
      <c r="D38" s="1011">
        <f t="shared" ref="D38:J38" si="17">SUM(D37-D10)</f>
        <v>-57067</v>
      </c>
      <c r="E38" s="1011">
        <f t="shared" si="17"/>
        <v>0</v>
      </c>
      <c r="F38" s="1011">
        <f t="shared" si="17"/>
        <v>1214485</v>
      </c>
      <c r="G38" s="1011">
        <f t="shared" si="17"/>
        <v>-148430</v>
      </c>
      <c r="H38" s="1011">
        <f t="shared" si="17"/>
        <v>0</v>
      </c>
      <c r="I38" s="1011">
        <f t="shared" si="17"/>
        <v>0</v>
      </c>
      <c r="J38" s="1011">
        <f t="shared" si="17"/>
        <v>0</v>
      </c>
      <c r="K38" s="992"/>
      <c r="L38" s="1006" t="s">
        <v>893</v>
      </c>
      <c r="M38" s="992"/>
      <c r="N38" s="992"/>
      <c r="O38" s="992"/>
      <c r="P38" s="992"/>
      <c r="Q38" s="992"/>
      <c r="R38" s="1012">
        <f>SUM(R37-C18)</f>
        <v>0</v>
      </c>
      <c r="S38" s="1012"/>
      <c r="T38" s="1012">
        <f t="shared" ref="T38:Z38" si="18">SUM(T37-E18)</f>
        <v>0</v>
      </c>
      <c r="U38" s="1012">
        <f t="shared" si="18"/>
        <v>0</v>
      </c>
      <c r="V38" s="1012">
        <f t="shared" si="18"/>
        <v>0</v>
      </c>
      <c r="W38" s="1012">
        <f t="shared" si="18"/>
        <v>0</v>
      </c>
      <c r="X38" s="1012">
        <f t="shared" si="18"/>
        <v>0</v>
      </c>
      <c r="Y38" s="1012">
        <f t="shared" si="18"/>
        <v>0</v>
      </c>
      <c r="Z38" s="1012">
        <f t="shared" si="18"/>
        <v>0</v>
      </c>
      <c r="AA38" s="992"/>
      <c r="AB38" s="992"/>
      <c r="AC38" s="992"/>
      <c r="AD38" s="992"/>
      <c r="AE38" s="992"/>
      <c r="AF38" s="992"/>
      <c r="AG38" s="992"/>
    </row>
    <row r="39" spans="1:33" ht="15.75" x14ac:dyDescent="0.25">
      <c r="A39" s="992"/>
      <c r="B39" s="992"/>
      <c r="C39" s="992"/>
      <c r="D39" s="992"/>
      <c r="E39" s="992"/>
      <c r="F39" s="992"/>
      <c r="G39" s="992"/>
      <c r="H39" s="992"/>
      <c r="I39" s="992"/>
      <c r="J39" s="992"/>
      <c r="K39" s="992"/>
      <c r="L39" s="992"/>
      <c r="M39" s="992"/>
      <c r="N39" s="992"/>
      <c r="O39" s="992"/>
      <c r="P39" s="992"/>
      <c r="Q39" s="992"/>
      <c r="R39" s="1008"/>
      <c r="S39" s="1008"/>
      <c r="T39" s="1008"/>
      <c r="U39" s="1008"/>
      <c r="V39" s="1008"/>
      <c r="W39" s="1008"/>
      <c r="X39" s="1008"/>
      <c r="Y39" s="1008"/>
      <c r="Z39" s="992"/>
      <c r="AA39" s="992"/>
      <c r="AB39" s="992"/>
      <c r="AC39" s="992"/>
      <c r="AD39" s="992"/>
      <c r="AE39" s="992"/>
      <c r="AF39" s="992"/>
      <c r="AG39" s="992"/>
    </row>
    <row r="40" spans="1:33" ht="15.75" x14ac:dyDescent="0.25">
      <c r="A40" s="952" t="s">
        <v>912</v>
      </c>
      <c r="B40" s="952"/>
      <c r="C40" s="1013">
        <f>SUM('5.1. sz. mell. '!F19)</f>
        <v>0</v>
      </c>
      <c r="D40" s="1013"/>
      <c r="E40" s="1013">
        <f>SUM('5.1. sz. mell. '!H19)</f>
        <v>0</v>
      </c>
      <c r="F40" s="1013"/>
      <c r="G40" s="1013">
        <f>SUM('5.1. sz. mell. '!J19)</f>
        <v>0</v>
      </c>
      <c r="H40" s="1013"/>
      <c r="I40" s="1013">
        <f>SUM('5.1. sz. mell. '!L19)</f>
        <v>0</v>
      </c>
      <c r="J40" s="1013">
        <f>SUM('5.1. sz. mell. '!M19)</f>
        <v>0</v>
      </c>
      <c r="K40" s="992"/>
      <c r="L40" s="4549" t="s">
        <v>898</v>
      </c>
      <c r="M40" s="4549"/>
      <c r="N40" s="2256"/>
      <c r="O40" s="2256"/>
      <c r="P40" s="2256"/>
      <c r="Q40" s="2256"/>
      <c r="R40" s="1010">
        <f>SUM('5.1. sz. mell. '!F56)</f>
        <v>355600</v>
      </c>
      <c r="S40" s="1010"/>
      <c r="T40" s="1010">
        <f>SUM('5.1. sz. mell. '!H56)</f>
        <v>355600</v>
      </c>
      <c r="U40" s="1010">
        <f>SUM('5.1. sz. mell. '!I56)</f>
        <v>-32140</v>
      </c>
      <c r="V40" s="1010">
        <f>SUM('5.1. sz. mell. '!J56)</f>
        <v>323460</v>
      </c>
      <c r="W40" s="1010">
        <f>SUM('5.1. sz. mell. '!J56)</f>
        <v>323460</v>
      </c>
      <c r="X40" s="1010">
        <f>SUM('5.1. sz. mell. '!L56)</f>
        <v>323460</v>
      </c>
      <c r="Y40" s="1010">
        <f>SUM('5.1. sz. mell. '!M56)</f>
        <v>323460</v>
      </c>
      <c r="Z40" s="1010">
        <f>SUM('5.1. sz. mell. '!M56)</f>
        <v>323460</v>
      </c>
      <c r="AA40" s="1010">
        <f>SUM('5.1. sz. mell. '!O56)</f>
        <v>0</v>
      </c>
      <c r="AB40" s="992"/>
      <c r="AC40" s="992"/>
      <c r="AD40" s="992"/>
      <c r="AE40" s="992"/>
      <c r="AF40" s="992"/>
      <c r="AG40" s="992"/>
    </row>
    <row r="41" spans="1:33" ht="15.75" x14ac:dyDescent="0.25">
      <c r="A41" s="1006" t="s">
        <v>893</v>
      </c>
      <c r="B41" s="952"/>
      <c r="C41" s="1013">
        <f>SUM(C40-C11)</f>
        <v>0</v>
      </c>
      <c r="D41" s="1013"/>
      <c r="E41" s="1013">
        <f>SUM(E40-E11)</f>
        <v>0</v>
      </c>
      <c r="F41" s="1013"/>
      <c r="G41" s="1013">
        <f>SUM(G40-G11)</f>
        <v>0</v>
      </c>
      <c r="H41" s="1013"/>
      <c r="I41" s="1013">
        <f>SUM(I40-I11)</f>
        <v>0</v>
      </c>
      <c r="J41" s="1013">
        <f>SUM(J40-J11)</f>
        <v>0</v>
      </c>
      <c r="K41" s="992"/>
      <c r="L41" s="1006" t="s">
        <v>893</v>
      </c>
      <c r="M41" s="992"/>
      <c r="N41" s="992"/>
      <c r="O41" s="992"/>
      <c r="P41" s="992"/>
      <c r="Q41" s="992"/>
      <c r="R41" s="1012">
        <f>SUM(R40-C19)</f>
        <v>0</v>
      </c>
      <c r="S41" s="1012"/>
      <c r="T41" s="1012">
        <f>SUM(T40-E19)</f>
        <v>0</v>
      </c>
      <c r="U41" s="1012">
        <f>SUM(U40-F19)</f>
        <v>-32140</v>
      </c>
      <c r="V41" s="1012">
        <f>SUM(V40-G19)</f>
        <v>-32140</v>
      </c>
      <c r="W41" s="1012">
        <f>SUM(W40-G19)</f>
        <v>-32140</v>
      </c>
      <c r="X41" s="1012">
        <f>SUM(X40-H19)</f>
        <v>323460</v>
      </c>
      <c r="Y41" s="1012">
        <f>SUM(Y40-I19)</f>
        <v>0</v>
      </c>
      <c r="Z41" s="1012">
        <f>SUM(Z40-J19)</f>
        <v>0</v>
      </c>
      <c r="AA41" s="1012"/>
      <c r="AB41" s="992"/>
      <c r="AC41" s="992"/>
      <c r="AD41" s="992"/>
      <c r="AE41" s="992"/>
      <c r="AF41" s="992"/>
      <c r="AG41" s="992"/>
    </row>
    <row r="42" spans="1:33" ht="16.5" thickBot="1" x14ac:dyDescent="0.3">
      <c r="A42" s="992"/>
      <c r="B42" s="992"/>
      <c r="C42" s="992"/>
      <c r="D42" s="992"/>
      <c r="E42" s="992"/>
      <c r="F42" s="992"/>
      <c r="G42" s="992"/>
      <c r="H42" s="992"/>
      <c r="I42" s="992"/>
      <c r="J42" s="992"/>
      <c r="K42" s="992"/>
      <c r="L42" s="992"/>
      <c r="M42" s="992"/>
      <c r="N42" s="992"/>
      <c r="O42" s="992"/>
      <c r="P42" s="992"/>
      <c r="Q42" s="992"/>
      <c r="R42" s="1008"/>
      <c r="S42" s="1008"/>
      <c r="T42" s="1008"/>
      <c r="U42" s="1008"/>
      <c r="V42" s="1008"/>
      <c r="W42" s="1008"/>
      <c r="X42" s="1008"/>
      <c r="Y42" s="1008"/>
      <c r="Z42" s="992"/>
      <c r="AA42" s="992"/>
      <c r="AB42" s="992"/>
      <c r="AC42" s="992"/>
      <c r="AD42" s="992"/>
      <c r="AE42" s="992"/>
      <c r="AF42" s="992"/>
      <c r="AG42" s="992"/>
    </row>
    <row r="43" spans="1:33" ht="16.5" thickTop="1" x14ac:dyDescent="0.25">
      <c r="A43" s="4556" t="s">
        <v>889</v>
      </c>
      <c r="B43" s="4557"/>
      <c r="C43" s="1015">
        <f>SUM('5.1. sz. mell. '!F44)</f>
        <v>89827568</v>
      </c>
      <c r="D43" s="1015"/>
      <c r="E43" s="1015">
        <f>SUM('5.1. sz. mell. '!H44)</f>
        <v>90514828</v>
      </c>
      <c r="F43" s="1015">
        <f>SUM('5.1. sz. mell. '!I44)</f>
        <v>1540687</v>
      </c>
      <c r="G43" s="1015">
        <f>SUM('5.1. sz. mell. '!J44)</f>
        <v>92055515</v>
      </c>
      <c r="H43" s="1015">
        <f>SUM('5.1. sz. mell. '!K44)</f>
        <v>0</v>
      </c>
      <c r="I43" s="1015">
        <f>SUM('5.1. sz. mell. '!L44)</f>
        <v>92055515</v>
      </c>
      <c r="J43" s="1016">
        <f>SUM('5.1. sz. mell. '!M44)</f>
        <v>92055515</v>
      </c>
      <c r="K43" s="992"/>
      <c r="L43" s="1014" t="s">
        <v>899</v>
      </c>
      <c r="M43" s="1017"/>
      <c r="N43" s="1017"/>
      <c r="O43" s="1017"/>
      <c r="P43" s="1017"/>
      <c r="Q43" s="2164"/>
      <c r="R43" s="1018">
        <f>SUM('5.1. sz. mell. '!F63)</f>
        <v>89827568</v>
      </c>
      <c r="S43" s="1018"/>
      <c r="T43" s="1018">
        <f>SUM('5.1. sz. mell. '!H63)</f>
        <v>90514828</v>
      </c>
      <c r="U43" s="1018">
        <f>SUM('5.1. sz. mell. '!H63)</f>
        <v>90514828</v>
      </c>
      <c r="V43" s="1018">
        <f>SUM('5.1. sz. mell. '!J63)</f>
        <v>92055515</v>
      </c>
      <c r="W43" s="1018">
        <f>SUM('5.1. sz. mell. '!J63)</f>
        <v>92055515</v>
      </c>
      <c r="X43" s="1018">
        <f>SUM('5.1. sz. mell. '!L63)</f>
        <v>92055515</v>
      </c>
      <c r="Y43" s="1018">
        <f>SUM('5.1. sz. mell. '!M63)</f>
        <v>91573743</v>
      </c>
      <c r="Z43" s="1018">
        <f>SUM('5.1. sz. mell. '!M63)</f>
        <v>91573743</v>
      </c>
      <c r="AA43" s="992"/>
      <c r="AB43" s="992"/>
      <c r="AC43" s="992"/>
      <c r="AD43" s="992"/>
      <c r="AE43" s="992"/>
      <c r="AF43" s="992"/>
      <c r="AG43" s="992"/>
    </row>
    <row r="44" spans="1:33" ht="16.5" thickBot="1" x14ac:dyDescent="0.3">
      <c r="A44" s="1020" t="s">
        <v>958</v>
      </c>
      <c r="B44" s="1021"/>
      <c r="C44" s="1022">
        <f>SUM(C43-C12)</f>
        <v>0</v>
      </c>
      <c r="D44" s="1022"/>
      <c r="E44" s="1022">
        <f>SUM(E43-E12)</f>
        <v>0</v>
      </c>
      <c r="F44" s="1022"/>
      <c r="G44" s="1022">
        <f>SUM(G43-G12)</f>
        <v>129374</v>
      </c>
      <c r="H44" s="1022"/>
      <c r="I44" s="1022">
        <f>SUM(I43-I12)</f>
        <v>0</v>
      </c>
      <c r="J44" s="1023">
        <f>SUM(J43-J12)</f>
        <v>0</v>
      </c>
      <c r="K44" s="992"/>
      <c r="L44" s="1020" t="s">
        <v>893</v>
      </c>
      <c r="M44" s="1024"/>
      <c r="N44" s="1024"/>
      <c r="O44" s="1024"/>
      <c r="P44" s="1024"/>
      <c r="Q44" s="2148"/>
      <c r="R44" s="1025">
        <f>SUM(R43-C21)</f>
        <v>0</v>
      </c>
      <c r="S44" s="1025"/>
      <c r="T44" s="1025">
        <f>SUM(T43-E21)</f>
        <v>0</v>
      </c>
      <c r="U44" s="1025">
        <f>SUM(U43-E21)</f>
        <v>0</v>
      </c>
      <c r="V44" s="1025">
        <f>SUM(V43-G21)</f>
        <v>129374</v>
      </c>
      <c r="W44" s="1025">
        <f>SUM(W43-G21)</f>
        <v>129374</v>
      </c>
      <c r="X44" s="1025">
        <f>SUM(X43-I21)</f>
        <v>0</v>
      </c>
      <c r="Y44" s="1025">
        <f>SUM(Y43-J21)</f>
        <v>0</v>
      </c>
      <c r="Z44" s="1026">
        <f>SUM(Z43-J21)</f>
        <v>0</v>
      </c>
      <c r="AA44" s="992"/>
      <c r="AB44" s="992"/>
      <c r="AC44" s="992"/>
      <c r="AD44" s="992"/>
      <c r="AE44" s="992"/>
      <c r="AF44" s="992"/>
      <c r="AG44" s="992"/>
    </row>
    <row r="45" spans="1:33" ht="15.75" thickTop="1" x14ac:dyDescent="0.25">
      <c r="A45" s="992"/>
      <c r="B45" s="992"/>
      <c r="C45" s="992"/>
      <c r="D45" s="992"/>
      <c r="E45" s="992"/>
      <c r="F45" s="992"/>
      <c r="G45" s="992"/>
      <c r="H45" s="992"/>
      <c r="I45" s="992"/>
      <c r="J45" s="992"/>
      <c r="K45" s="992"/>
      <c r="L45" s="992"/>
      <c r="M45" s="992"/>
      <c r="N45" s="992"/>
      <c r="O45" s="992"/>
      <c r="P45" s="992"/>
      <c r="Q45" s="992"/>
      <c r="R45" s="992"/>
      <c r="S45" s="992"/>
      <c r="T45" s="992"/>
      <c r="U45" s="992"/>
      <c r="V45" s="992"/>
      <c r="W45" s="992"/>
      <c r="X45" s="992"/>
      <c r="Y45" s="992"/>
      <c r="Z45" s="992"/>
      <c r="AA45" s="992"/>
      <c r="AB45" s="992"/>
      <c r="AC45" s="992"/>
      <c r="AD45" s="992"/>
      <c r="AE45" s="992"/>
      <c r="AF45" s="992"/>
      <c r="AG45" s="992"/>
    </row>
    <row r="46" spans="1:33" x14ac:dyDescent="0.25">
      <c r="A46" s="992"/>
      <c r="B46" s="992"/>
      <c r="C46" s="992"/>
      <c r="D46" s="992"/>
      <c r="E46" s="992"/>
      <c r="F46" s="992"/>
      <c r="G46" s="992"/>
      <c r="H46" s="992"/>
      <c r="I46" s="992"/>
      <c r="J46" s="992"/>
      <c r="K46" s="992"/>
      <c r="L46" s="992"/>
      <c r="M46" s="992"/>
      <c r="N46" s="992"/>
      <c r="O46" s="992"/>
      <c r="P46" s="992"/>
      <c r="Q46" s="992"/>
      <c r="R46" s="992"/>
      <c r="S46" s="992"/>
      <c r="T46" s="992"/>
      <c r="U46" s="992"/>
      <c r="V46" s="992"/>
      <c r="W46" s="992"/>
      <c r="X46" s="992"/>
      <c r="Y46" s="992"/>
      <c r="Z46" s="992"/>
      <c r="AA46" s="992"/>
      <c r="AB46" s="992"/>
      <c r="AC46" s="992"/>
      <c r="AD46" s="992"/>
      <c r="AE46" s="992"/>
      <c r="AF46" s="992"/>
      <c r="AG46" s="992"/>
    </row>
    <row r="47" spans="1:33" x14ac:dyDescent="0.25">
      <c r="A47" s="992"/>
      <c r="B47" s="992"/>
      <c r="C47" s="992"/>
      <c r="D47" s="992"/>
      <c r="E47" s="992"/>
      <c r="F47" s="992"/>
      <c r="G47" s="992"/>
      <c r="H47" s="992"/>
      <c r="I47" s="992"/>
      <c r="J47" s="992"/>
      <c r="K47" s="992"/>
      <c r="L47" s="992"/>
      <c r="M47" s="992"/>
      <c r="N47" s="992"/>
      <c r="O47" s="992"/>
      <c r="P47" s="992"/>
      <c r="Q47" s="992"/>
      <c r="R47" s="992"/>
      <c r="S47" s="992"/>
      <c r="T47" s="992"/>
      <c r="U47" s="992"/>
      <c r="V47" s="992"/>
      <c r="W47" s="992"/>
      <c r="X47" s="992"/>
      <c r="Y47" s="992"/>
      <c r="Z47" s="992"/>
      <c r="AA47" s="992"/>
      <c r="AB47" s="992"/>
      <c r="AC47" s="992"/>
      <c r="AD47" s="992"/>
      <c r="AE47" s="992"/>
      <c r="AF47" s="992"/>
      <c r="AG47" s="992"/>
    </row>
    <row r="48" spans="1:33" x14ac:dyDescent="0.25">
      <c r="A48" s="992"/>
      <c r="B48" s="992"/>
      <c r="C48" s="992"/>
      <c r="D48" s="992"/>
      <c r="E48" s="992"/>
      <c r="F48" s="992"/>
      <c r="G48" s="992"/>
      <c r="H48" s="992"/>
      <c r="I48" s="992"/>
      <c r="J48" s="992"/>
      <c r="K48" s="992"/>
      <c r="L48" s="992"/>
      <c r="M48" s="992"/>
      <c r="N48" s="992"/>
      <c r="O48" s="992"/>
      <c r="P48" s="992"/>
      <c r="Q48" s="992"/>
      <c r="R48" s="992"/>
      <c r="S48" s="992"/>
      <c r="T48" s="992"/>
      <c r="U48" s="992"/>
      <c r="V48" s="992"/>
      <c r="W48" s="992"/>
      <c r="X48" s="992"/>
      <c r="Y48" s="992"/>
      <c r="Z48" s="992"/>
      <c r="AA48" s="992"/>
      <c r="AB48" s="992"/>
      <c r="AC48" s="992"/>
      <c r="AD48" s="992"/>
      <c r="AE48" s="992"/>
      <c r="AF48" s="992"/>
      <c r="AG48" s="992"/>
    </row>
  </sheetData>
  <mergeCells count="32">
    <mergeCell ref="A43:B43"/>
    <mergeCell ref="A26:B26"/>
    <mergeCell ref="A28:B28"/>
    <mergeCell ref="L28:M28"/>
    <mergeCell ref="A31:B31"/>
    <mergeCell ref="L31:M31"/>
    <mergeCell ref="L40:M40"/>
    <mergeCell ref="A18:B18"/>
    <mergeCell ref="A10:B10"/>
    <mergeCell ref="A34:B34"/>
    <mergeCell ref="A37:B37"/>
    <mergeCell ref="L37:M37"/>
    <mergeCell ref="L34:M34"/>
    <mergeCell ref="A21:B21"/>
    <mergeCell ref="A16:B16"/>
    <mergeCell ref="A19:B19"/>
    <mergeCell ref="A17:B17"/>
    <mergeCell ref="A12:B12"/>
    <mergeCell ref="A15:B15"/>
    <mergeCell ref="A7:B7"/>
    <mergeCell ref="A8:B8"/>
    <mergeCell ref="A9:B9"/>
    <mergeCell ref="A14:AP14"/>
    <mergeCell ref="A1:AP1"/>
    <mergeCell ref="A2:AP2"/>
    <mergeCell ref="A5:B6"/>
    <mergeCell ref="AI5:AP5"/>
    <mergeCell ref="C5:J5"/>
    <mergeCell ref="K5:R5"/>
    <mergeCell ref="S5:Z5"/>
    <mergeCell ref="AA5:AH5"/>
    <mergeCell ref="A4:AP4"/>
  </mergeCells>
  <printOptions horizontalCentered="1"/>
  <pageMargins left="0.27559055118110237" right="0.19685039370078741" top="0.6692913385826772" bottom="0.74803149606299213" header="0.31496062992125984" footer="0.31496062992125984"/>
  <pageSetup paperSize="9" scale="63" firstPageNumber="48" orientation="landscape" useFirstPageNumber="1" r:id="rId1"/>
  <headerFooter>
    <oddHeader>&amp;R&amp;12 5.1.d. számú melléklet
Forint</oddHeader>
    <oddFooter>&amp;C- &amp;P -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H89"/>
  <sheetViews>
    <sheetView view="pageBreakPreview" topLeftCell="N37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6.33203125" style="115" customWidth="1"/>
    <col min="4" max="5" width="9.33203125" style="115" hidden="1" customWidth="1"/>
    <col min="6" max="6" width="14.1640625" style="115" customWidth="1"/>
    <col min="7" max="7" width="13.1640625" style="1390" hidden="1" customWidth="1"/>
    <col min="8" max="8" width="11.5" style="115" hidden="1" customWidth="1"/>
    <col min="9" max="9" width="11.5" style="1390" hidden="1" customWidth="1"/>
    <col min="10" max="10" width="14.6640625" style="115" customWidth="1"/>
    <col min="11" max="11" width="12.83203125" style="1390" customWidth="1"/>
    <col min="12" max="12" width="14.5" style="115" customWidth="1"/>
    <col min="13" max="13" width="15" style="115" customWidth="1"/>
    <col min="14" max="14" width="12" style="115" customWidth="1"/>
    <col min="15" max="18" width="9.33203125" style="115"/>
    <col min="19" max="19" width="15.6640625" style="1877" customWidth="1"/>
    <col min="20" max="20" width="15.6640625" style="115" hidden="1" customWidth="1"/>
    <col min="21" max="21" width="15.6640625" style="115" customWidth="1"/>
    <col min="22" max="22" width="15.6640625" style="115" hidden="1" customWidth="1"/>
    <col min="23" max="23" width="15.6640625" style="115" customWidth="1"/>
    <col min="24" max="24" width="15.6640625" style="115" hidden="1" customWidth="1"/>
    <col min="25" max="25" width="15.6640625" style="1161" customWidth="1"/>
    <col min="26" max="26" width="15.6640625" style="115" customWidth="1"/>
    <col min="27" max="27" width="15.6640625" style="1877" customWidth="1"/>
    <col min="28" max="28" width="15.6640625" style="115" hidden="1" customWidth="1"/>
    <col min="29" max="29" width="15.6640625" style="115" customWidth="1"/>
    <col min="30" max="30" width="15.6640625" style="115" hidden="1" customWidth="1"/>
    <col min="31" max="31" width="15.6640625" style="115" customWidth="1"/>
    <col min="32" max="32" width="15.6640625" style="115" hidden="1" customWidth="1"/>
    <col min="33" max="33" width="15.6640625" style="1161" customWidth="1"/>
    <col min="34" max="34" width="15.6640625" style="115" customWidth="1"/>
    <col min="35" max="16384" width="9.33203125" style="115"/>
  </cols>
  <sheetData>
    <row r="1" spans="1:34" s="98" customFormat="1" ht="15" customHeight="1" thickBot="1" x14ac:dyDescent="0.25">
      <c r="A1" s="240"/>
      <c r="B1" s="241"/>
      <c r="C1" s="4526" t="s">
        <v>720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  <c r="S1" s="1872"/>
      <c r="Y1" s="1868"/>
      <c r="AA1" s="1872"/>
      <c r="AG1" s="1868"/>
    </row>
    <row r="2" spans="1:34" s="303" customFormat="1" ht="51.75" customHeight="1" thickBot="1" x14ac:dyDescent="0.25">
      <c r="A2" s="4516" t="s">
        <v>411</v>
      </c>
      <c r="B2" s="4516"/>
      <c r="C2" s="117" t="s">
        <v>1001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  <c r="S2" s="1873"/>
      <c r="Y2" s="1869"/>
      <c r="AA2" s="1873"/>
      <c r="AG2" s="1869"/>
    </row>
    <row r="3" spans="1:34" s="303" customFormat="1" ht="29.25" customHeight="1" thickBot="1" x14ac:dyDescent="0.25">
      <c r="A3" s="4525" t="s">
        <v>283</v>
      </c>
      <c r="B3" s="4525"/>
      <c r="C3" s="304" t="s">
        <v>1443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  <c r="S3" s="1873"/>
      <c r="Y3" s="1869"/>
      <c r="AA3" s="1873"/>
      <c r="AG3" s="1869"/>
    </row>
    <row r="4" spans="1:34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  <c r="S4" s="1874"/>
      <c r="T4" s="1919"/>
      <c r="U4" s="4493" t="s">
        <v>1056</v>
      </c>
      <c r="V4" s="1927"/>
      <c r="W4" s="4442" t="s">
        <v>1076</v>
      </c>
      <c r="X4" s="305"/>
      <c r="Y4" s="4439" t="s">
        <v>1058</v>
      </c>
      <c r="Z4" s="1891"/>
      <c r="AA4" s="1873"/>
      <c r="AC4" s="4493" t="s">
        <v>1056</v>
      </c>
      <c r="AD4" s="1919"/>
      <c r="AE4" s="4442" t="s">
        <v>1057</v>
      </c>
      <c r="AF4" s="1927"/>
      <c r="AG4" s="4439" t="s">
        <v>1058</v>
      </c>
      <c r="AH4" s="1889"/>
    </row>
    <row r="5" spans="1:34" s="145" customFormat="1" ht="27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  <c r="S5" s="1875" t="s">
        <v>771</v>
      </c>
      <c r="T5" s="1920"/>
      <c r="U5" s="4493"/>
      <c r="V5" s="1927"/>
      <c r="W5" s="4442"/>
      <c r="X5" s="305"/>
      <c r="Y5" s="4439"/>
      <c r="Z5" s="2052" t="s">
        <v>289</v>
      </c>
      <c r="AA5" s="1879" t="s">
        <v>771</v>
      </c>
      <c r="AB5" s="2296"/>
      <c r="AC5" s="4493"/>
      <c r="AD5" s="2296"/>
      <c r="AE5" s="4442"/>
      <c r="AF5" s="1927"/>
      <c r="AG5" s="4439"/>
      <c r="AH5" s="1887" t="s">
        <v>289</v>
      </c>
    </row>
    <row r="6" spans="1:34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  <c r="S6" s="1908" t="s">
        <v>767</v>
      </c>
      <c r="T6" s="1921"/>
      <c r="U6" s="1913" t="s">
        <v>767</v>
      </c>
      <c r="V6" s="1926"/>
      <c r="W6" s="2292" t="s">
        <v>767</v>
      </c>
      <c r="X6" s="2292"/>
      <c r="Y6" s="2299" t="s">
        <v>767</v>
      </c>
      <c r="Z6" s="2347" t="s">
        <v>767</v>
      </c>
      <c r="AA6" s="2304" t="s">
        <v>770</v>
      </c>
      <c r="AB6" s="2297"/>
      <c r="AC6" s="1913" t="s">
        <v>770</v>
      </c>
      <c r="AD6" s="2297"/>
      <c r="AE6" s="453" t="s">
        <v>770</v>
      </c>
      <c r="AF6" s="1926"/>
      <c r="AG6" s="1910" t="s">
        <v>770</v>
      </c>
      <c r="AH6" s="1943" t="s">
        <v>770</v>
      </c>
    </row>
    <row r="7" spans="1:34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  <c r="S7" s="1875"/>
      <c r="Y7" s="1870"/>
      <c r="AA7" s="1879"/>
      <c r="AG7" s="1870"/>
    </row>
    <row r="8" spans="1:34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11768</v>
      </c>
      <c r="K8" s="1374">
        <f>SUM(L8-J8)</f>
        <v>0</v>
      </c>
      <c r="L8" s="137">
        <f>SUM(L9:L18)</f>
        <v>11768</v>
      </c>
      <c r="M8" s="137">
        <f>SUM(M9:M18)</f>
        <v>11768</v>
      </c>
      <c r="S8" s="1876">
        <f>SUM(F8-AA8)</f>
        <v>0</v>
      </c>
      <c r="T8" s="248"/>
      <c r="U8" s="1885">
        <f>SUM(H8-AC8)</f>
        <v>0</v>
      </c>
      <c r="V8" s="248"/>
      <c r="W8" s="248">
        <f t="shared" ref="W8:Z23" si="0">SUM(J8-AE8)</f>
        <v>0</v>
      </c>
      <c r="X8" s="248"/>
      <c r="Y8" s="1871">
        <f t="shared" si="0"/>
        <v>0</v>
      </c>
      <c r="Z8" s="2300">
        <f t="shared" si="0"/>
        <v>0</v>
      </c>
      <c r="AA8" s="1880">
        <f>SUM('5.2.a. sz. mell.'!F8+'5.2.b. sz. mell'!F8+'5.2.c. sz. mell.'!F8)</f>
        <v>0</v>
      </c>
      <c r="AB8" s="248"/>
      <c r="AC8" s="1885">
        <f>SUM('5.2.a. sz. mell.'!H8+'5.2.b. sz. mell'!H8+'5.2.c. sz. mell.'!H8)</f>
        <v>0</v>
      </c>
      <c r="AD8" s="248"/>
      <c r="AE8" s="248">
        <f>SUM('5.2.a. sz. mell.'!J8+'5.2.b. sz. mell'!J8+'5.2.c. sz. mell.'!J8)</f>
        <v>11768</v>
      </c>
      <c r="AF8" s="248"/>
      <c r="AG8" s="1871">
        <f>SUM('5.2.a. sz. mell.'!L8+'5.2.b. sz. mell'!L8+'5.2.c. sz. mell.'!L8)</f>
        <v>11768</v>
      </c>
      <c r="AH8" s="2300">
        <f>SUM('5.2.a. sz. mell.'!M8+'5.2.b. sz. mell'!M8+'5.2.c. sz. mell.'!M8)</f>
        <v>11768</v>
      </c>
    </row>
    <row r="9" spans="1:34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8">
        <f t="shared" ref="K9:K17" si="1">SUM(L9-J9)</f>
        <v>0</v>
      </c>
      <c r="L9" s="150">
        <v>0</v>
      </c>
      <c r="M9" s="150">
        <v>0</v>
      </c>
      <c r="S9" s="1876">
        <f t="shared" ref="S9:S66" si="2">SUM(F9-AA9)</f>
        <v>0</v>
      </c>
      <c r="T9" s="248"/>
      <c r="U9" s="1885">
        <f t="shared" ref="U9:U66" si="3">SUM(H9-AC9)</f>
        <v>0</v>
      </c>
      <c r="V9" s="248"/>
      <c r="W9" s="248">
        <f t="shared" si="0"/>
        <v>0</v>
      </c>
      <c r="X9" s="248"/>
      <c r="Y9" s="1871">
        <f t="shared" si="0"/>
        <v>0</v>
      </c>
      <c r="Z9" s="2300">
        <f t="shared" si="0"/>
        <v>0</v>
      </c>
      <c r="AA9" s="1880">
        <f>SUM('5.2.a. sz. mell.'!F9+'5.2.b. sz. mell'!F9+'5.2.c. sz. mell.'!F9)</f>
        <v>0</v>
      </c>
      <c r="AB9" s="248"/>
      <c r="AC9" s="1885">
        <f>SUM('5.2.a. sz. mell.'!H9+'5.2.b. sz. mell'!H9+'5.2.c. sz. mell.'!H9)</f>
        <v>0</v>
      </c>
      <c r="AD9" s="248"/>
      <c r="AE9" s="248">
        <f>SUM('5.2.a. sz. mell.'!J9+'5.2.b. sz. mell'!J9+'5.2.c. sz. mell.'!J9)</f>
        <v>0</v>
      </c>
      <c r="AF9" s="248"/>
      <c r="AG9" s="1871">
        <f>SUM('5.2.a. sz. mell.'!L9+'5.2.b. sz. mell'!L9+'5.2.c. sz. mell.'!L9)</f>
        <v>0</v>
      </c>
      <c r="AH9" s="2300">
        <f>SUM('5.2.a. sz. mell.'!M9+'5.2.b. sz. mell'!M9+'5.2.c. sz. mell.'!M9)</f>
        <v>0</v>
      </c>
    </row>
    <row r="10" spans="1:34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8">
        <f t="shared" si="1"/>
        <v>0</v>
      </c>
      <c r="L10" s="144">
        <v>0</v>
      </c>
      <c r="M10" s="144">
        <v>0</v>
      </c>
      <c r="S10" s="1876">
        <f t="shared" si="2"/>
        <v>0</v>
      </c>
      <c r="T10" s="248"/>
      <c r="U10" s="1885">
        <f t="shared" si="3"/>
        <v>0</v>
      </c>
      <c r="V10" s="248"/>
      <c r="W10" s="248">
        <f t="shared" si="0"/>
        <v>0</v>
      </c>
      <c r="X10" s="248"/>
      <c r="Y10" s="1871">
        <f t="shared" si="0"/>
        <v>0</v>
      </c>
      <c r="Z10" s="2300">
        <f t="shared" si="0"/>
        <v>0</v>
      </c>
      <c r="AA10" s="1880">
        <f>SUM('5.2.a. sz. mell.'!F10+'5.2.b. sz. mell'!F10+'5.2.c. sz. mell.'!F10)</f>
        <v>0</v>
      </c>
      <c r="AB10" s="248"/>
      <c r="AC10" s="1885">
        <f>SUM('5.2.a. sz. mell.'!H10+'5.2.b. sz. mell'!H10+'5.2.c. sz. mell.'!H10)</f>
        <v>0</v>
      </c>
      <c r="AD10" s="248"/>
      <c r="AE10" s="248">
        <f>SUM('5.2.a. sz. mell.'!J10+'5.2.b. sz. mell'!J10+'5.2.c. sz. mell.'!J10)</f>
        <v>0</v>
      </c>
      <c r="AF10" s="248"/>
      <c r="AG10" s="1871">
        <f>SUM('5.2.a. sz. mell.'!L10+'5.2.b. sz. mell'!L10+'5.2.c. sz. mell.'!L10)</f>
        <v>0</v>
      </c>
      <c r="AH10" s="2300">
        <f>SUM('5.2.a. sz. mell.'!M10+'5.2.b. sz. mell'!M10+'5.2.c. sz. mell.'!M10)</f>
        <v>0</v>
      </c>
    </row>
    <row r="11" spans="1:34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8">
        <f t="shared" si="1"/>
        <v>0</v>
      </c>
      <c r="L11" s="144">
        <v>0</v>
      </c>
      <c r="M11" s="144">
        <v>0</v>
      </c>
      <c r="S11" s="1876">
        <f t="shared" si="2"/>
        <v>0</v>
      </c>
      <c r="T11" s="248"/>
      <c r="U11" s="1885">
        <f t="shared" si="3"/>
        <v>0</v>
      </c>
      <c r="V11" s="248"/>
      <c r="W11" s="248">
        <f t="shared" si="0"/>
        <v>0</v>
      </c>
      <c r="X11" s="248"/>
      <c r="Y11" s="1871">
        <f t="shared" si="0"/>
        <v>0</v>
      </c>
      <c r="Z11" s="2300">
        <f t="shared" si="0"/>
        <v>0</v>
      </c>
      <c r="AA11" s="1880">
        <f>SUM('5.2.a. sz. mell.'!F11+'5.2.b. sz. mell'!F11+'5.2.c. sz. mell.'!F11)</f>
        <v>0</v>
      </c>
      <c r="AB11" s="248"/>
      <c r="AC11" s="1885">
        <f>SUM('5.2.a. sz. mell.'!H11+'5.2.b. sz. mell'!H11+'5.2.c. sz. mell.'!H11)</f>
        <v>0</v>
      </c>
      <c r="AD11" s="248"/>
      <c r="AE11" s="248">
        <f>SUM('5.2.a. sz. mell.'!J11+'5.2.b. sz. mell'!J11+'5.2.c. sz. mell.'!J11)</f>
        <v>0</v>
      </c>
      <c r="AF11" s="248"/>
      <c r="AG11" s="1871">
        <f>SUM('5.2.a. sz. mell.'!L11+'5.2.b. sz. mell'!L11+'5.2.c. sz. mell.'!L11)</f>
        <v>0</v>
      </c>
      <c r="AH11" s="2300">
        <f>SUM('5.2.a. sz. mell.'!M11+'5.2.b. sz. mell'!M11+'5.2.c. sz. mell.'!M11)</f>
        <v>0</v>
      </c>
    </row>
    <row r="12" spans="1:34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8">
        <f t="shared" si="1"/>
        <v>0</v>
      </c>
      <c r="L12" s="144">
        <v>0</v>
      </c>
      <c r="M12" s="144">
        <v>0</v>
      </c>
      <c r="S12" s="1876">
        <f t="shared" si="2"/>
        <v>0</v>
      </c>
      <c r="T12" s="248"/>
      <c r="U12" s="1885">
        <f t="shared" si="3"/>
        <v>0</v>
      </c>
      <c r="V12" s="248"/>
      <c r="W12" s="248">
        <f t="shared" si="0"/>
        <v>0</v>
      </c>
      <c r="X12" s="248"/>
      <c r="Y12" s="1871">
        <f t="shared" si="0"/>
        <v>0</v>
      </c>
      <c r="Z12" s="2300">
        <f t="shared" si="0"/>
        <v>0</v>
      </c>
      <c r="AA12" s="1880">
        <f>SUM('5.2.a. sz. mell.'!F12+'5.2.b. sz. mell'!F12+'5.2.c. sz. mell.'!F12)</f>
        <v>0</v>
      </c>
      <c r="AB12" s="248"/>
      <c r="AC12" s="1885">
        <f>SUM('5.2.a. sz. mell.'!H12+'5.2.b. sz. mell'!H12+'5.2.c. sz. mell.'!H12)</f>
        <v>0</v>
      </c>
      <c r="AD12" s="248"/>
      <c r="AE12" s="248">
        <f>SUM('5.2.a. sz. mell.'!J12+'5.2.b. sz. mell'!J12+'5.2.c. sz. mell.'!J12)</f>
        <v>0</v>
      </c>
      <c r="AF12" s="248"/>
      <c r="AG12" s="1871">
        <f>SUM('5.2.a. sz. mell.'!L12+'5.2.b. sz. mell'!L12+'5.2.c. sz. mell.'!L12)</f>
        <v>0</v>
      </c>
      <c r="AH12" s="2300">
        <f>SUM('5.2.a. sz. mell.'!M12+'5.2.b. sz. mell'!M12+'5.2.c. sz. mell.'!M12)</f>
        <v>0</v>
      </c>
    </row>
    <row r="13" spans="1:34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8">
        <f t="shared" si="1"/>
        <v>0</v>
      </c>
      <c r="L13" s="144">
        <v>0</v>
      </c>
      <c r="M13" s="144">
        <v>0</v>
      </c>
      <c r="S13" s="1876">
        <f t="shared" si="2"/>
        <v>0</v>
      </c>
      <c r="T13" s="248"/>
      <c r="U13" s="1885">
        <f t="shared" si="3"/>
        <v>0</v>
      </c>
      <c r="V13" s="248"/>
      <c r="W13" s="248">
        <f t="shared" si="0"/>
        <v>0</v>
      </c>
      <c r="X13" s="248"/>
      <c r="Y13" s="1871">
        <f t="shared" si="0"/>
        <v>0</v>
      </c>
      <c r="Z13" s="2300">
        <f t="shared" si="0"/>
        <v>0</v>
      </c>
      <c r="AA13" s="1880">
        <f>SUM('5.2.a. sz. mell.'!F13+'5.2.b. sz. mell'!F13+'5.2.c. sz. mell.'!F13)</f>
        <v>0</v>
      </c>
      <c r="AB13" s="248"/>
      <c r="AC13" s="1885">
        <f>SUM('5.2.a. sz. mell.'!H13+'5.2.b. sz. mell'!H13+'5.2.c. sz. mell.'!H13)</f>
        <v>0</v>
      </c>
      <c r="AD13" s="248"/>
      <c r="AE13" s="248">
        <f>SUM('5.2.a. sz. mell.'!J13+'5.2.b. sz. mell'!J13+'5.2.c. sz. mell.'!J13)</f>
        <v>0</v>
      </c>
      <c r="AF13" s="248"/>
      <c r="AG13" s="1871">
        <f>SUM('5.2.a. sz. mell.'!L13+'5.2.b. sz. mell'!L13+'5.2.c. sz. mell.'!L13)</f>
        <v>0</v>
      </c>
      <c r="AH13" s="2300">
        <f>SUM('5.2.a. sz. mell.'!M13+'5.2.b. sz. mell'!M13+'5.2.c. sz. mell.'!M13)</f>
        <v>0</v>
      </c>
    </row>
    <row r="14" spans="1:34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8">
        <f t="shared" si="1"/>
        <v>0</v>
      </c>
      <c r="L14" s="144">
        <v>0</v>
      </c>
      <c r="M14" s="144">
        <v>0</v>
      </c>
      <c r="S14" s="1876">
        <f t="shared" si="2"/>
        <v>0</v>
      </c>
      <c r="T14" s="248"/>
      <c r="U14" s="1885">
        <f t="shared" si="3"/>
        <v>0</v>
      </c>
      <c r="V14" s="248"/>
      <c r="W14" s="248">
        <f t="shared" si="0"/>
        <v>0</v>
      </c>
      <c r="X14" s="248"/>
      <c r="Y14" s="1871">
        <f t="shared" si="0"/>
        <v>0</v>
      </c>
      <c r="Z14" s="2300">
        <f t="shared" si="0"/>
        <v>0</v>
      </c>
      <c r="AA14" s="1880">
        <f>SUM('5.2.a. sz. mell.'!F14+'5.2.b. sz. mell'!F14+'5.2.c. sz. mell.'!F14)</f>
        <v>0</v>
      </c>
      <c r="AB14" s="248"/>
      <c r="AC14" s="1885">
        <f>SUM('5.2.a. sz. mell.'!H14+'5.2.b. sz. mell'!H14+'5.2.c. sz. mell.'!H14)</f>
        <v>0</v>
      </c>
      <c r="AD14" s="248"/>
      <c r="AE14" s="248">
        <f>SUM('5.2.a. sz. mell.'!J14+'5.2.b. sz. mell'!J14+'5.2.c. sz. mell.'!J14)</f>
        <v>0</v>
      </c>
      <c r="AF14" s="248"/>
      <c r="AG14" s="1871">
        <f>SUM('5.2.a. sz. mell.'!L14+'5.2.b. sz. mell'!L14+'5.2.c. sz. mell.'!L14)</f>
        <v>0</v>
      </c>
      <c r="AH14" s="2300">
        <f>SUM('5.2.a. sz. mell.'!M14+'5.2.b. sz. mell'!M14+'5.2.c. sz. mell.'!M14)</f>
        <v>0</v>
      </c>
    </row>
    <row r="15" spans="1:34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8">
        <f t="shared" si="1"/>
        <v>0</v>
      </c>
      <c r="L15" s="147">
        <v>0</v>
      </c>
      <c r="M15" s="147">
        <v>0</v>
      </c>
      <c r="S15" s="1876">
        <f t="shared" si="2"/>
        <v>0</v>
      </c>
      <c r="T15" s="248"/>
      <c r="U15" s="1885">
        <f t="shared" si="3"/>
        <v>0</v>
      </c>
      <c r="V15" s="248"/>
      <c r="W15" s="248">
        <f t="shared" si="0"/>
        <v>0</v>
      </c>
      <c r="X15" s="248"/>
      <c r="Y15" s="1871">
        <f t="shared" si="0"/>
        <v>0</v>
      </c>
      <c r="Z15" s="2300">
        <f t="shared" si="0"/>
        <v>0</v>
      </c>
      <c r="AA15" s="1880">
        <f>SUM('5.2.a. sz. mell.'!F15+'5.2.b. sz. mell'!F15+'5.2.c. sz. mell.'!F15)</f>
        <v>0</v>
      </c>
      <c r="AB15" s="248"/>
      <c r="AC15" s="1885">
        <f>SUM('5.2.a. sz. mell.'!H15+'5.2.b. sz. mell'!H15+'5.2.c. sz. mell.'!H15)</f>
        <v>0</v>
      </c>
      <c r="AD15" s="248"/>
      <c r="AE15" s="248">
        <f>SUM('5.2.a. sz. mell.'!J15+'5.2.b. sz. mell'!J15+'5.2.c. sz. mell.'!J15)</f>
        <v>0</v>
      </c>
      <c r="AF15" s="248"/>
      <c r="AG15" s="1871">
        <f>SUM('5.2.a. sz. mell.'!L15+'5.2.b. sz. mell'!L15+'5.2.c. sz. mell.'!L15)</f>
        <v>0</v>
      </c>
      <c r="AH15" s="2300">
        <f>SUM('5.2.a. sz. mell.'!M15+'5.2.b. sz. mell'!M15+'5.2.c. sz. mell.'!M15)</f>
        <v>0</v>
      </c>
    </row>
    <row r="16" spans="1:34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1</v>
      </c>
      <c r="K16" s="1378">
        <f t="shared" si="1"/>
        <v>0</v>
      </c>
      <c r="L16" s="144">
        <v>1</v>
      </c>
      <c r="M16" s="144">
        <v>1</v>
      </c>
      <c r="S16" s="1876">
        <f t="shared" si="2"/>
        <v>0</v>
      </c>
      <c r="T16" s="248"/>
      <c r="U16" s="1885">
        <f t="shared" si="3"/>
        <v>0</v>
      </c>
      <c r="V16" s="248"/>
      <c r="W16" s="248">
        <f t="shared" si="0"/>
        <v>0</v>
      </c>
      <c r="X16" s="248"/>
      <c r="Y16" s="1871">
        <f t="shared" si="0"/>
        <v>0</v>
      </c>
      <c r="Z16" s="2300">
        <f t="shared" si="0"/>
        <v>0</v>
      </c>
      <c r="AA16" s="1880">
        <f>SUM('5.2.a. sz. mell.'!F16+'5.2.b. sz. mell'!F16+'5.2.c. sz. mell.'!F16)</f>
        <v>0</v>
      </c>
      <c r="AB16" s="248"/>
      <c r="AC16" s="1885">
        <f>SUM('5.2.a. sz. mell.'!H16+'5.2.b. sz. mell'!H16+'5.2.c. sz. mell.'!H16)</f>
        <v>0</v>
      </c>
      <c r="AD16" s="248"/>
      <c r="AE16" s="248">
        <f>SUM('5.2.a. sz. mell.'!J16+'5.2.b. sz. mell'!J16+'5.2.c. sz. mell.'!J16)</f>
        <v>1</v>
      </c>
      <c r="AF16" s="248"/>
      <c r="AG16" s="1871">
        <f>SUM('5.2.a. sz. mell.'!L16+'5.2.b. sz. mell'!L16+'5.2.c. sz. mell.'!L16)</f>
        <v>1</v>
      </c>
      <c r="AH16" s="2300">
        <f>SUM('5.2.a. sz. mell.'!M16+'5.2.b. sz. mell'!M16+'5.2.c. sz. mell.'!M16)</f>
        <v>1</v>
      </c>
    </row>
    <row r="17" spans="1:34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>
        <f t="shared" si="1"/>
        <v>0</v>
      </c>
      <c r="L17" s="153">
        <v>0</v>
      </c>
      <c r="M17" s="153">
        <v>0</v>
      </c>
      <c r="S17" s="1876">
        <f t="shared" si="2"/>
        <v>0</v>
      </c>
      <c r="T17" s="248"/>
      <c r="U17" s="1885">
        <f t="shared" si="3"/>
        <v>0</v>
      </c>
      <c r="V17" s="248"/>
      <c r="W17" s="248">
        <f t="shared" si="0"/>
        <v>0</v>
      </c>
      <c r="X17" s="248"/>
      <c r="Y17" s="1871">
        <f t="shared" si="0"/>
        <v>0</v>
      </c>
      <c r="Z17" s="2300">
        <f t="shared" si="0"/>
        <v>0</v>
      </c>
      <c r="AA17" s="1880">
        <f>SUM('5.2.a. sz. mell.'!F17+'5.2.b. sz. mell'!F17+'5.2.c. sz. mell.'!F17)</f>
        <v>0</v>
      </c>
      <c r="AB17" s="248"/>
      <c r="AC17" s="1885">
        <f>SUM('5.2.a. sz. mell.'!H17+'5.2.b. sz. mell'!H17+'5.2.c. sz. mell.'!H17)</f>
        <v>0</v>
      </c>
      <c r="AD17" s="248"/>
      <c r="AE17" s="248">
        <f>SUM('5.2.a. sz. mell.'!J17+'5.2.b. sz. mell'!J17+'5.2.c. sz. mell.'!J17)</f>
        <v>0</v>
      </c>
      <c r="AF17" s="248"/>
      <c r="AG17" s="1871">
        <f>SUM('5.2.a. sz. mell.'!L17+'5.2.b. sz. mell'!L17+'5.2.c. sz. mell.'!L17)</f>
        <v>0</v>
      </c>
      <c r="AH17" s="2300">
        <f>SUM('5.2.a. sz. mell.'!M17+'5.2.b. sz. mell'!M17+'5.2.c. sz. mell.'!M17)</f>
        <v>0</v>
      </c>
    </row>
    <row r="18" spans="1:34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>
        <v>11767</v>
      </c>
      <c r="K18" s="1378">
        <f>SUM(L18-J18)</f>
        <v>0</v>
      </c>
      <c r="L18" s="153">
        <v>11767</v>
      </c>
      <c r="M18" s="153">
        <v>11767</v>
      </c>
      <c r="S18" s="1876">
        <f t="shared" si="2"/>
        <v>0</v>
      </c>
      <c r="T18" s="248"/>
      <c r="U18" s="1885">
        <f t="shared" si="3"/>
        <v>0</v>
      </c>
      <c r="V18" s="248"/>
      <c r="W18" s="248">
        <f t="shared" si="0"/>
        <v>0</v>
      </c>
      <c r="X18" s="248"/>
      <c r="Y18" s="1871">
        <f t="shared" si="0"/>
        <v>0</v>
      </c>
      <c r="Z18" s="2300">
        <f t="shared" si="0"/>
        <v>0</v>
      </c>
      <c r="AA18" s="1880">
        <f>SUM('5.2.a. sz. mell.'!F18+'5.2.b. sz. mell'!F18+'5.2.c. sz. mell.'!F18)</f>
        <v>0</v>
      </c>
      <c r="AB18" s="248"/>
      <c r="AC18" s="1885">
        <f>SUM('5.2.a. sz. mell.'!H18+'5.2.b. sz. mell'!H18+'5.2.c. sz. mell.'!H18)</f>
        <v>0</v>
      </c>
      <c r="AD18" s="248"/>
      <c r="AE18" s="248">
        <f>SUM('5.2.a. sz. mell.'!J18+'5.2.b. sz. mell'!J18+'5.2.c. sz. mell.'!J18)</f>
        <v>11767</v>
      </c>
      <c r="AF18" s="248"/>
      <c r="AG18" s="1871">
        <f>SUM('5.2.a. sz. mell.'!L18+'5.2.b. sz. mell'!L18+'5.2.c. sz. mell.'!L18)</f>
        <v>11767</v>
      </c>
      <c r="AH18" s="2300">
        <f>SUM('5.2.a. sz. mell.'!M18+'5.2.b. sz. mell'!M18+'5.2.c. sz. mell.'!M18)</f>
        <v>11767</v>
      </c>
    </row>
    <row r="19" spans="1:34" s="141" customFormat="1" ht="33" customHeight="1" thickBot="1" x14ac:dyDescent="0.25">
      <c r="A19" s="134" t="s">
        <v>17</v>
      </c>
      <c r="B19" s="148"/>
      <c r="C19" s="247" t="s">
        <v>419</v>
      </c>
      <c r="D19" s="137">
        <f>SUM(D20:D26)-D21</f>
        <v>38855</v>
      </c>
      <c r="E19" s="137">
        <f>SUM(E20:E26)-E21</f>
        <v>39688</v>
      </c>
      <c r="F19" s="137">
        <f>SUM(F20:F26)-F21</f>
        <v>0</v>
      </c>
      <c r="G19" s="1382"/>
      <c r="H19" s="137">
        <f>SUM(H20:H26)-H20</f>
        <v>0</v>
      </c>
      <c r="I19" s="1374"/>
      <c r="J19" s="137">
        <f>SUM(J20:J26)-J20</f>
        <v>0</v>
      </c>
      <c r="K19" s="1374"/>
      <c r="L19" s="137">
        <f>SUM(L20:L26)-L20</f>
        <v>0</v>
      </c>
      <c r="M19" s="137">
        <f>SUM(M20:M26)-M20</f>
        <v>0</v>
      </c>
      <c r="S19" s="1876">
        <f t="shared" si="2"/>
        <v>0</v>
      </c>
      <c r="T19" s="248"/>
      <c r="U19" s="1885">
        <f t="shared" si="3"/>
        <v>0</v>
      </c>
      <c r="V19" s="248"/>
      <c r="W19" s="248">
        <f t="shared" si="0"/>
        <v>0</v>
      </c>
      <c r="X19" s="248"/>
      <c r="Y19" s="1871">
        <f t="shared" si="0"/>
        <v>0</v>
      </c>
      <c r="Z19" s="2300">
        <f t="shared" si="0"/>
        <v>0</v>
      </c>
      <c r="AA19" s="1880">
        <f>SUM('5.2.a. sz. mell.'!F19+'5.2.b. sz. mell'!F19+'5.2.c. sz. mell.'!F19)</f>
        <v>0</v>
      </c>
      <c r="AB19" s="248"/>
      <c r="AC19" s="1885">
        <f>SUM('5.2.a. sz. mell.'!H19+'5.2.b. sz. mell'!H19+'5.2.c. sz. mell.'!H19)</f>
        <v>0</v>
      </c>
      <c r="AD19" s="248"/>
      <c r="AE19" s="248">
        <f>SUM('5.2.a. sz. mell.'!J19+'5.2.b. sz. mell'!J19+'5.2.c. sz. mell.'!J19)</f>
        <v>0</v>
      </c>
      <c r="AF19" s="248"/>
      <c r="AG19" s="1871">
        <f>SUM('5.2.a. sz. mell.'!L19+'5.2.b. sz. mell'!L19+'5.2.c. sz. mell.'!L19)</f>
        <v>0</v>
      </c>
      <c r="AH19" s="2300">
        <f>SUM('5.2.a. sz. mell.'!M19+'5.2.b. sz. mell'!M19+'5.2.c. sz. mell.'!M19)</f>
        <v>0</v>
      </c>
    </row>
    <row r="20" spans="1:34" s="145" customFormat="1" ht="29.25" customHeight="1" x14ac:dyDescent="0.2">
      <c r="A20" s="142"/>
      <c r="B20" s="143" t="s">
        <v>5</v>
      </c>
      <c r="C20" s="251" t="s">
        <v>420</v>
      </c>
      <c r="D20" s="144">
        <v>38855</v>
      </c>
      <c r="E20" s="144">
        <v>39658</v>
      </c>
      <c r="F20" s="144"/>
      <c r="G20" s="1415"/>
      <c r="H20" s="144">
        <f>SUM(H22:H24)</f>
        <v>0</v>
      </c>
      <c r="I20" s="1376"/>
      <c r="J20" s="144">
        <f>SUM(J22:J24)</f>
        <v>0</v>
      </c>
      <c r="K20" s="1376"/>
      <c r="L20" s="144">
        <f>SUM(L22:L24)</f>
        <v>0</v>
      </c>
      <c r="M20" s="144">
        <f>SUM(M22:M24)</f>
        <v>0</v>
      </c>
      <c r="S20" s="1876">
        <f t="shared" si="2"/>
        <v>0</v>
      </c>
      <c r="T20" s="248"/>
      <c r="U20" s="1885">
        <f t="shared" si="3"/>
        <v>0</v>
      </c>
      <c r="V20" s="248"/>
      <c r="W20" s="248">
        <f t="shared" si="0"/>
        <v>0</v>
      </c>
      <c r="X20" s="248"/>
      <c r="Y20" s="1871">
        <f t="shared" si="0"/>
        <v>0</v>
      </c>
      <c r="Z20" s="2300">
        <f t="shared" si="0"/>
        <v>0</v>
      </c>
      <c r="AA20" s="1880">
        <f>SUM('5.2.a. sz. mell.'!F20+'5.2.b. sz. mell'!F20+'5.2.c. sz. mell.'!F20)</f>
        <v>0</v>
      </c>
      <c r="AB20" s="248"/>
      <c r="AC20" s="1885">
        <f>SUM('5.2.a. sz. mell.'!H20+'5.2.b. sz. mell'!H20+'5.2.c. sz. mell.'!H20)</f>
        <v>0</v>
      </c>
      <c r="AD20" s="248"/>
      <c r="AE20" s="248">
        <f>SUM('5.2.a. sz. mell.'!J20+'5.2.b. sz. mell'!J20+'5.2.c. sz. mell.'!J20)</f>
        <v>0</v>
      </c>
      <c r="AF20" s="248"/>
      <c r="AG20" s="1871">
        <f>SUM('5.2.a. sz. mell.'!L20+'5.2.b. sz. mell'!L20+'5.2.c. sz. mell.'!L20)</f>
        <v>0</v>
      </c>
      <c r="AH20" s="2300">
        <f>SUM('5.2.a. sz. mell.'!M20+'5.2.b. sz. mell'!M20+'5.2.c. sz. mell.'!M20)</f>
        <v>0</v>
      </c>
    </row>
    <row r="21" spans="1:34" s="145" customFormat="1" ht="12.75" hidden="1" customHeight="1" x14ac:dyDescent="0.2">
      <c r="A21" s="142"/>
      <c r="B21" s="143"/>
      <c r="C21" s="251"/>
      <c r="D21" s="144"/>
      <c r="E21" s="144"/>
      <c r="F21" s="144"/>
      <c r="G21" s="1415"/>
      <c r="H21" s="144"/>
      <c r="I21" s="1376"/>
      <c r="J21" s="144"/>
      <c r="K21" s="1376"/>
      <c r="L21" s="144"/>
      <c r="M21" s="144"/>
      <c r="S21" s="1876">
        <f t="shared" si="2"/>
        <v>0</v>
      </c>
      <c r="T21" s="248"/>
      <c r="U21" s="1885">
        <f t="shared" si="3"/>
        <v>0</v>
      </c>
      <c r="V21" s="248"/>
      <c r="W21" s="248">
        <f t="shared" si="0"/>
        <v>0</v>
      </c>
      <c r="X21" s="248"/>
      <c r="Y21" s="1871">
        <f t="shared" si="0"/>
        <v>0</v>
      </c>
      <c r="Z21" s="2300">
        <f t="shared" si="0"/>
        <v>0</v>
      </c>
      <c r="AA21" s="1880">
        <f>SUM('5.2.a. sz. mell.'!F21+'5.2.b. sz. mell'!F21+'5.2.c. sz. mell.'!F21)</f>
        <v>0</v>
      </c>
      <c r="AB21" s="248"/>
      <c r="AC21" s="1885">
        <f>SUM('5.2.a. sz. mell.'!H21+'5.2.b. sz. mell'!H21+'5.2.c. sz. mell.'!H21)</f>
        <v>0</v>
      </c>
      <c r="AD21" s="248"/>
      <c r="AE21" s="248">
        <f>SUM('5.2.a. sz. mell.'!J21+'5.2.b. sz. mell'!J21+'5.2.c. sz. mell.'!J21)</f>
        <v>0</v>
      </c>
      <c r="AF21" s="248"/>
      <c r="AG21" s="1871">
        <f>SUM('5.2.a. sz. mell.'!L21+'5.2.b. sz. mell'!L21+'5.2.c. sz. mell.'!L21)</f>
        <v>0</v>
      </c>
      <c r="AH21" s="2300">
        <f>SUM('5.2.a. sz. mell.'!M21+'5.2.b. sz. mell'!M21+'5.2.c. sz. mell.'!M21)</f>
        <v>0</v>
      </c>
    </row>
    <row r="22" spans="1:34" s="145" customFormat="1" ht="15" customHeight="1" x14ac:dyDescent="0.2">
      <c r="A22" s="142"/>
      <c r="B22" s="143" t="s">
        <v>421</v>
      </c>
      <c r="C22" s="55" t="s">
        <v>422</v>
      </c>
      <c r="D22" s="144">
        <v>0</v>
      </c>
      <c r="E22" s="144">
        <v>0</v>
      </c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  <c r="S22" s="1876">
        <f t="shared" si="2"/>
        <v>0</v>
      </c>
      <c r="T22" s="248"/>
      <c r="U22" s="1885">
        <f t="shared" si="3"/>
        <v>0</v>
      </c>
      <c r="V22" s="248"/>
      <c r="W22" s="248">
        <f t="shared" si="0"/>
        <v>0</v>
      </c>
      <c r="X22" s="248"/>
      <c r="Y22" s="1871">
        <f t="shared" si="0"/>
        <v>0</v>
      </c>
      <c r="Z22" s="2300">
        <f t="shared" si="0"/>
        <v>0</v>
      </c>
      <c r="AA22" s="1880">
        <f>SUM('5.2.a. sz. mell.'!F22+'5.2.b. sz. mell'!F22+'5.2.c. sz. mell.'!F22)</f>
        <v>0</v>
      </c>
      <c r="AB22" s="248"/>
      <c r="AC22" s="1885">
        <f>SUM('5.2.a. sz. mell.'!H22+'5.2.b. sz. mell'!H22+'5.2.c. sz. mell.'!H22)</f>
        <v>0</v>
      </c>
      <c r="AD22" s="248"/>
      <c r="AE22" s="248">
        <f>SUM('5.2.a. sz. mell.'!J22+'5.2.b. sz. mell'!J22+'5.2.c. sz. mell.'!J22)</f>
        <v>0</v>
      </c>
      <c r="AF22" s="248"/>
      <c r="AG22" s="1871">
        <f>SUM('5.2.a. sz. mell.'!L22+'5.2.b. sz. mell'!L22+'5.2.c. sz. mell.'!L22)</f>
        <v>0</v>
      </c>
      <c r="AH22" s="2300">
        <f>SUM('5.2.a. sz. mell.'!M22+'5.2.b. sz. mell'!M22+'5.2.c. sz. mell.'!M22)</f>
        <v>0</v>
      </c>
    </row>
    <row r="23" spans="1:34" s="145" customFormat="1" ht="15" customHeight="1" x14ac:dyDescent="0.2">
      <c r="A23" s="142"/>
      <c r="B23" s="143" t="s">
        <v>360</v>
      </c>
      <c r="C23" s="55" t="s">
        <v>1430</v>
      </c>
      <c r="D23" s="144"/>
      <c r="E23" s="144"/>
      <c r="F23" s="144">
        <v>0</v>
      </c>
      <c r="G23" s="1415"/>
      <c r="H23" s="144"/>
      <c r="I23" s="1376"/>
      <c r="J23" s="144"/>
      <c r="K23" s="1376"/>
      <c r="L23" s="144"/>
      <c r="M23" s="144"/>
      <c r="S23" s="1876">
        <f t="shared" si="2"/>
        <v>0</v>
      </c>
      <c r="T23" s="248"/>
      <c r="U23" s="1885">
        <f t="shared" si="3"/>
        <v>0</v>
      </c>
      <c r="V23" s="248"/>
      <c r="W23" s="248">
        <f t="shared" si="0"/>
        <v>0</v>
      </c>
      <c r="X23" s="248"/>
      <c r="Y23" s="1871">
        <f t="shared" si="0"/>
        <v>0</v>
      </c>
      <c r="Z23" s="2300">
        <f t="shared" si="0"/>
        <v>0</v>
      </c>
      <c r="AA23" s="1880">
        <f>SUM('5.2.a. sz. mell.'!F23+'5.2.b. sz. mell'!F23+'5.2.c. sz. mell.'!F23)</f>
        <v>0</v>
      </c>
      <c r="AB23" s="248"/>
      <c r="AC23" s="1885">
        <f>SUM('5.2.a. sz. mell.'!H23+'5.2.b. sz. mell'!H23+'5.2.c. sz. mell.'!H23)</f>
        <v>0</v>
      </c>
      <c r="AD23" s="248"/>
      <c r="AE23" s="248">
        <f>SUM('5.2.a. sz. mell.'!J23+'5.2.b. sz. mell'!J23+'5.2.c. sz. mell.'!J23)</f>
        <v>0</v>
      </c>
      <c r="AF23" s="248"/>
      <c r="AG23" s="1871">
        <f>SUM('5.2.a. sz. mell.'!L23+'5.2.b. sz. mell'!L23+'5.2.c. sz. mell.'!L23)</f>
        <v>0</v>
      </c>
      <c r="AH23" s="2300">
        <f>SUM('5.2.a. sz. mell.'!M23+'5.2.b. sz. mell'!M23+'5.2.c. sz. mell.'!M23)</f>
        <v>0</v>
      </c>
    </row>
    <row r="24" spans="1:34" s="145" customFormat="1" ht="15" customHeight="1" x14ac:dyDescent="0.2">
      <c r="A24" s="142"/>
      <c r="B24" s="143" t="s">
        <v>357</v>
      </c>
      <c r="C24" s="55" t="s">
        <v>424</v>
      </c>
      <c r="D24" s="144">
        <v>0</v>
      </c>
      <c r="E24" s="144">
        <v>0</v>
      </c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  <c r="S24" s="1876">
        <f t="shared" si="2"/>
        <v>0</v>
      </c>
      <c r="T24" s="248"/>
      <c r="U24" s="1885">
        <f t="shared" si="3"/>
        <v>0</v>
      </c>
      <c r="V24" s="248"/>
      <c r="W24" s="248">
        <f t="shared" ref="W24:W66" si="4">SUM(J24-AE24)</f>
        <v>0</v>
      </c>
      <c r="X24" s="248"/>
      <c r="Y24" s="1871">
        <f t="shared" ref="Y24:Y66" si="5">SUM(L24-AG24)</f>
        <v>0</v>
      </c>
      <c r="Z24" s="2300">
        <f t="shared" ref="Z24:Z66" si="6">SUM(M24-AH24)</f>
        <v>0</v>
      </c>
      <c r="AA24" s="1880">
        <f>SUM('5.2.a. sz. mell.'!F24+'5.2.b. sz. mell'!F24+'5.2.c. sz. mell.'!F24)</f>
        <v>0</v>
      </c>
      <c r="AB24" s="248"/>
      <c r="AC24" s="1885">
        <f>SUM('5.2.a. sz. mell.'!H24+'5.2.b. sz. mell'!H24+'5.2.c. sz. mell.'!H24)</f>
        <v>0</v>
      </c>
      <c r="AD24" s="248"/>
      <c r="AE24" s="248">
        <f>SUM('5.2.a. sz. mell.'!J24+'5.2.b. sz. mell'!J24+'5.2.c. sz. mell.'!J24)</f>
        <v>0</v>
      </c>
      <c r="AF24" s="248"/>
      <c r="AG24" s="1871">
        <f>SUM('5.2.a. sz. mell.'!L24+'5.2.b. sz. mell'!L24+'5.2.c. sz. mell.'!L24)</f>
        <v>0</v>
      </c>
      <c r="AH24" s="2300">
        <f>SUM('5.2.a. sz. mell.'!M24+'5.2.b. sz. mell'!M24+'5.2.c. sz. mell.'!M24)</f>
        <v>0</v>
      </c>
    </row>
    <row r="25" spans="1:34" s="145" customFormat="1" ht="15" customHeight="1" x14ac:dyDescent="0.2">
      <c r="A25" s="142"/>
      <c r="B25" s="143" t="s">
        <v>7</v>
      </c>
      <c r="C25" s="55" t="s">
        <v>6</v>
      </c>
      <c r="D25" s="144"/>
      <c r="E25" s="144"/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  <c r="S25" s="1876">
        <f t="shared" si="2"/>
        <v>0</v>
      </c>
      <c r="T25" s="248"/>
      <c r="U25" s="1885">
        <f t="shared" si="3"/>
        <v>0</v>
      </c>
      <c r="V25" s="248"/>
      <c r="W25" s="248">
        <f t="shared" si="4"/>
        <v>0</v>
      </c>
      <c r="X25" s="248"/>
      <c r="Y25" s="1871">
        <f t="shared" si="5"/>
        <v>0</v>
      </c>
      <c r="Z25" s="2300">
        <f t="shared" si="6"/>
        <v>0</v>
      </c>
      <c r="AA25" s="1880">
        <f>SUM('5.2.a. sz. mell.'!F25+'5.2.b. sz. mell'!F25+'5.2.c. sz. mell.'!F25)</f>
        <v>0</v>
      </c>
      <c r="AB25" s="248"/>
      <c r="AC25" s="1885">
        <f>SUM('5.2.a. sz. mell.'!H25+'5.2.b. sz. mell'!H25+'5.2.c. sz. mell.'!H25)</f>
        <v>0</v>
      </c>
      <c r="AD25" s="248"/>
      <c r="AE25" s="248">
        <f>SUM('5.2.a. sz. mell.'!J25+'5.2.b. sz. mell'!J25+'5.2.c. sz. mell.'!J25)</f>
        <v>0</v>
      </c>
      <c r="AF25" s="248"/>
      <c r="AG25" s="1871">
        <f>SUM('5.2.a. sz. mell.'!L25+'5.2.b. sz. mell'!L25+'5.2.c. sz. mell.'!L25)</f>
        <v>0</v>
      </c>
      <c r="AH25" s="2300">
        <f>SUM('5.2.a. sz. mell.'!M25+'5.2.b. sz. mell'!M25+'5.2.c. sz. mell.'!M25)</f>
        <v>0</v>
      </c>
    </row>
    <row r="26" spans="1:34" s="145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144">
        <v>30</v>
      </c>
      <c r="F26" s="144">
        <v>0</v>
      </c>
      <c r="G26" s="1415"/>
      <c r="H26" s="144">
        <v>0</v>
      </c>
      <c r="I26" s="1376"/>
      <c r="J26" s="144">
        <v>0</v>
      </c>
      <c r="K26" s="1376"/>
      <c r="L26" s="144">
        <v>0</v>
      </c>
      <c r="M26" s="144">
        <v>0</v>
      </c>
      <c r="S26" s="1876">
        <f t="shared" si="2"/>
        <v>0</v>
      </c>
      <c r="T26" s="248"/>
      <c r="U26" s="1885">
        <f t="shared" si="3"/>
        <v>0</v>
      </c>
      <c r="V26" s="248"/>
      <c r="W26" s="248">
        <f t="shared" si="4"/>
        <v>0</v>
      </c>
      <c r="X26" s="248"/>
      <c r="Y26" s="1871">
        <f t="shared" si="5"/>
        <v>0</v>
      </c>
      <c r="Z26" s="2300">
        <f t="shared" si="6"/>
        <v>0</v>
      </c>
      <c r="AA26" s="1880">
        <f>SUM('5.2.a. sz. mell.'!F26+'5.2.b. sz. mell'!F26+'5.2.c. sz. mell.'!F26)</f>
        <v>0</v>
      </c>
      <c r="AB26" s="248"/>
      <c r="AC26" s="1885">
        <f>SUM('5.2.a. sz. mell.'!H26+'5.2.b. sz. mell'!H26+'5.2.c. sz. mell.'!H26)</f>
        <v>0</v>
      </c>
      <c r="AD26" s="248"/>
      <c r="AE26" s="248">
        <f>SUM('5.2.a. sz. mell.'!J26+'5.2.b. sz. mell'!J26+'5.2.c. sz. mell.'!J26)</f>
        <v>0</v>
      </c>
      <c r="AF26" s="248"/>
      <c r="AG26" s="1871">
        <f>SUM('5.2.a. sz. mell.'!L26+'5.2.b. sz. mell'!L26+'5.2.c. sz. mell.'!L26)</f>
        <v>0</v>
      </c>
      <c r="AH26" s="2300">
        <f>SUM('5.2.a. sz. mell.'!M26+'5.2.b. sz. mell'!M26+'5.2.c. sz. mell.'!M26)</f>
        <v>0</v>
      </c>
    </row>
    <row r="27" spans="1:34" s="145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155">
        <v>0</v>
      </c>
      <c r="F27" s="155">
        <v>0</v>
      </c>
      <c r="G27" s="1381"/>
      <c r="H27" s="155">
        <v>0</v>
      </c>
      <c r="I27" s="1380"/>
      <c r="J27" s="155">
        <v>0</v>
      </c>
      <c r="K27" s="1380"/>
      <c r="L27" s="155">
        <v>0</v>
      </c>
      <c r="M27" s="155">
        <v>0</v>
      </c>
      <c r="S27" s="1876">
        <f t="shared" si="2"/>
        <v>0</v>
      </c>
      <c r="T27" s="248"/>
      <c r="U27" s="1885">
        <f t="shared" si="3"/>
        <v>0</v>
      </c>
      <c r="V27" s="248"/>
      <c r="W27" s="248">
        <f t="shared" si="4"/>
        <v>0</v>
      </c>
      <c r="X27" s="248"/>
      <c r="Y27" s="1871">
        <f t="shared" si="5"/>
        <v>0</v>
      </c>
      <c r="Z27" s="2300">
        <f t="shared" si="6"/>
        <v>0</v>
      </c>
      <c r="AA27" s="1880">
        <f>SUM('5.2.a. sz. mell.'!F27+'5.2.b. sz. mell'!F27+'5.2.c. sz. mell.'!F27)</f>
        <v>0</v>
      </c>
      <c r="AB27" s="248"/>
      <c r="AC27" s="1885">
        <f>SUM('5.2.a. sz. mell.'!H27+'5.2.b. sz. mell'!H27+'5.2.c. sz. mell.'!H27)</f>
        <v>0</v>
      </c>
      <c r="AD27" s="248"/>
      <c r="AE27" s="248">
        <f>SUM('5.2.a. sz. mell.'!J27+'5.2.b. sz. mell'!J27+'5.2.c. sz. mell.'!J27)</f>
        <v>0</v>
      </c>
      <c r="AF27" s="248"/>
      <c r="AG27" s="1871">
        <f>SUM('5.2.a. sz. mell.'!L27+'5.2.b. sz. mell'!L27+'5.2.c. sz. mell.'!L27)</f>
        <v>0</v>
      </c>
      <c r="AH27" s="2300">
        <f>SUM('5.2.a. sz. mell.'!M27+'5.2.b. sz. mell'!M27+'5.2.c. sz. mell.'!M27)</f>
        <v>0</v>
      </c>
    </row>
    <row r="28" spans="1:34" s="145" customFormat="1" ht="15" customHeight="1" thickBot="1" x14ac:dyDescent="0.25">
      <c r="A28" s="134"/>
      <c r="B28" s="143" t="s">
        <v>19</v>
      </c>
      <c r="C28" s="55" t="s">
        <v>427</v>
      </c>
      <c r="D28" s="155"/>
      <c r="E28" s="155"/>
      <c r="F28" s="252">
        <v>0</v>
      </c>
      <c r="G28" s="1509"/>
      <c r="H28" s="252">
        <v>0</v>
      </c>
      <c r="I28" s="1436"/>
      <c r="J28" s="252">
        <v>0</v>
      </c>
      <c r="K28" s="1436"/>
      <c r="L28" s="252">
        <v>0</v>
      </c>
      <c r="M28" s="252">
        <v>0</v>
      </c>
      <c r="S28" s="1876">
        <f t="shared" si="2"/>
        <v>0</v>
      </c>
      <c r="T28" s="248"/>
      <c r="U28" s="1885">
        <f t="shared" si="3"/>
        <v>0</v>
      </c>
      <c r="V28" s="248"/>
      <c r="W28" s="248">
        <f t="shared" si="4"/>
        <v>0</v>
      </c>
      <c r="X28" s="248"/>
      <c r="Y28" s="1871">
        <f t="shared" si="5"/>
        <v>0</v>
      </c>
      <c r="Z28" s="2300">
        <f t="shared" si="6"/>
        <v>0</v>
      </c>
      <c r="AA28" s="1880">
        <f>SUM('5.2.a. sz. mell.'!F28+'5.2.b. sz. mell'!F28+'5.2.c. sz. mell.'!F28)</f>
        <v>0</v>
      </c>
      <c r="AB28" s="248"/>
      <c r="AC28" s="1885">
        <f>SUM('5.2.a. sz. mell.'!H28+'5.2.b. sz. mell'!H28+'5.2.c. sz. mell.'!H28)</f>
        <v>0</v>
      </c>
      <c r="AD28" s="248"/>
      <c r="AE28" s="248">
        <f>SUM('5.2.a. sz. mell.'!J28+'5.2.b. sz. mell'!J28+'5.2.c. sz. mell.'!J28)</f>
        <v>0</v>
      </c>
      <c r="AF28" s="248"/>
      <c r="AG28" s="1871">
        <f>SUM('5.2.a. sz. mell.'!L28+'5.2.b. sz. mell'!L28+'5.2.c. sz. mell.'!L28)</f>
        <v>0</v>
      </c>
      <c r="AH28" s="2300">
        <f>SUM('5.2.a. sz. mell.'!M28+'5.2.b. sz. mell'!M28+'5.2.c. sz. mell.'!M28)</f>
        <v>0</v>
      </c>
    </row>
    <row r="29" spans="1:34" s="141" customFormat="1" ht="15" customHeight="1" thickBot="1" x14ac:dyDescent="0.25">
      <c r="A29" s="134" t="s">
        <v>45</v>
      </c>
      <c r="B29" s="148"/>
      <c r="C29" s="170" t="s">
        <v>428</v>
      </c>
      <c r="D29" s="155">
        <v>0</v>
      </c>
      <c r="E29" s="155">
        <v>0</v>
      </c>
      <c r="F29" s="155">
        <v>0</v>
      </c>
      <c r="G29" s="1381"/>
      <c r="H29" s="155">
        <v>0</v>
      </c>
      <c r="I29" s="1380"/>
      <c r="J29" s="155">
        <v>0</v>
      </c>
      <c r="K29" s="1380"/>
      <c r="L29" s="155">
        <v>0</v>
      </c>
      <c r="M29" s="155">
        <v>0</v>
      </c>
      <c r="S29" s="1876">
        <f t="shared" si="2"/>
        <v>0</v>
      </c>
      <c r="T29" s="248"/>
      <c r="U29" s="1885">
        <f t="shared" si="3"/>
        <v>0</v>
      </c>
      <c r="V29" s="248"/>
      <c r="W29" s="248">
        <f t="shared" si="4"/>
        <v>0</v>
      </c>
      <c r="X29" s="248"/>
      <c r="Y29" s="1871">
        <f t="shared" si="5"/>
        <v>0</v>
      </c>
      <c r="Z29" s="2300">
        <f t="shared" si="6"/>
        <v>0</v>
      </c>
      <c r="AA29" s="1880">
        <f>SUM('5.2.a. sz. mell.'!F29+'5.2.b. sz. mell'!F29+'5.2.c. sz. mell.'!F29)</f>
        <v>0</v>
      </c>
      <c r="AB29" s="248"/>
      <c r="AC29" s="1885">
        <f>SUM('5.2.a. sz. mell.'!H29+'5.2.b. sz. mell'!H29+'5.2.c. sz. mell.'!H29)</f>
        <v>0</v>
      </c>
      <c r="AD29" s="248"/>
      <c r="AE29" s="248">
        <f>SUM('5.2.a. sz. mell.'!J29+'5.2.b. sz. mell'!J29+'5.2.c. sz. mell.'!J29)</f>
        <v>0</v>
      </c>
      <c r="AF29" s="248"/>
      <c r="AG29" s="1871">
        <f>SUM('5.2.a. sz. mell.'!L29+'5.2.b. sz. mell'!L29+'5.2.c. sz. mell.'!L29)</f>
        <v>0</v>
      </c>
      <c r="AH29" s="2300">
        <f>SUM('5.2.a. sz. mell.'!M29+'5.2.b. sz. mell'!M29+'5.2.c. sz. mell.'!M29)</f>
        <v>0</v>
      </c>
    </row>
    <row r="30" spans="1:34" s="141" customFormat="1" ht="15" customHeight="1" thickBot="1" x14ac:dyDescent="0.25">
      <c r="A30" s="142"/>
      <c r="B30" s="253" t="s">
        <v>33</v>
      </c>
      <c r="C30" s="55" t="s">
        <v>359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  <c r="S30" s="1876">
        <f t="shared" si="2"/>
        <v>0</v>
      </c>
      <c r="T30" s="248"/>
      <c r="U30" s="1885">
        <f t="shared" si="3"/>
        <v>0</v>
      </c>
      <c r="V30" s="248"/>
      <c r="W30" s="248">
        <f t="shared" si="4"/>
        <v>0</v>
      </c>
      <c r="X30" s="248"/>
      <c r="Y30" s="1871">
        <f t="shared" si="5"/>
        <v>0</v>
      </c>
      <c r="Z30" s="2300">
        <f t="shared" si="6"/>
        <v>0</v>
      </c>
      <c r="AA30" s="1880">
        <f>SUM('5.2.a. sz. mell.'!F30+'5.2.b. sz. mell'!F30+'5.2.c. sz. mell.'!F30)</f>
        <v>0</v>
      </c>
      <c r="AB30" s="248"/>
      <c r="AC30" s="1885">
        <f>SUM('5.2.a. sz. mell.'!H30+'5.2.b. sz. mell'!H30+'5.2.c. sz. mell.'!H30)</f>
        <v>0</v>
      </c>
      <c r="AD30" s="248"/>
      <c r="AE30" s="248">
        <f>SUM('5.2.a. sz. mell.'!J30+'5.2.b. sz. mell'!J30+'5.2.c. sz. mell.'!J30)</f>
        <v>0</v>
      </c>
      <c r="AF30" s="248"/>
      <c r="AG30" s="1871">
        <f>SUM('5.2.a. sz. mell.'!L30+'5.2.b. sz. mell'!L30+'5.2.c. sz. mell.'!L30)</f>
        <v>0</v>
      </c>
      <c r="AH30" s="2300">
        <f>SUM('5.2.a. sz. mell.'!M30+'5.2.b. sz. mell'!M30+'5.2.c. sz. mell.'!M30)</f>
        <v>0</v>
      </c>
    </row>
    <row r="31" spans="1:34" s="141" customFormat="1" ht="15" customHeight="1" thickBot="1" x14ac:dyDescent="0.25">
      <c r="A31" s="142"/>
      <c r="B31" s="253" t="s">
        <v>39</v>
      </c>
      <c r="C31" s="55" t="s">
        <v>72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  <c r="S31" s="1876">
        <f t="shared" si="2"/>
        <v>0</v>
      </c>
      <c r="T31" s="248"/>
      <c r="U31" s="1885">
        <f t="shared" si="3"/>
        <v>0</v>
      </c>
      <c r="V31" s="248"/>
      <c r="W31" s="248">
        <f t="shared" si="4"/>
        <v>0</v>
      </c>
      <c r="X31" s="248"/>
      <c r="Y31" s="1871">
        <f t="shared" si="5"/>
        <v>0</v>
      </c>
      <c r="Z31" s="2300">
        <f t="shared" si="6"/>
        <v>0</v>
      </c>
      <c r="AA31" s="1880">
        <f>SUM('5.2.a. sz. mell.'!F31+'5.2.b. sz. mell'!F31+'5.2.c. sz. mell.'!F31)</f>
        <v>0</v>
      </c>
      <c r="AB31" s="248"/>
      <c r="AC31" s="1885">
        <f>SUM('5.2.a. sz. mell.'!H31+'5.2.b. sz. mell'!H31+'5.2.c. sz. mell.'!H31)</f>
        <v>0</v>
      </c>
      <c r="AD31" s="248"/>
      <c r="AE31" s="248">
        <f>SUM('5.2.a. sz. mell.'!J31+'5.2.b. sz. mell'!J31+'5.2.c. sz. mell.'!J31)</f>
        <v>0</v>
      </c>
      <c r="AF31" s="248"/>
      <c r="AG31" s="1871">
        <f>SUM('5.2.a. sz. mell.'!L31+'5.2.b. sz. mell'!L31+'5.2.c. sz. mell.'!L31)</f>
        <v>0</v>
      </c>
      <c r="AH31" s="2300">
        <f>SUM('5.2.a. sz. mell.'!M31+'5.2.b. sz. mell'!M31+'5.2.c. sz. mell.'!M31)</f>
        <v>0</v>
      </c>
    </row>
    <row r="32" spans="1:34" s="141" customFormat="1" ht="15" customHeight="1" thickBot="1" x14ac:dyDescent="0.25">
      <c r="A32" s="142"/>
      <c r="B32" s="253" t="s">
        <v>41</v>
      </c>
      <c r="C32" s="55" t="s">
        <v>74</v>
      </c>
      <c r="D32" s="295"/>
      <c r="E32" s="295"/>
      <c r="F32" s="144">
        <v>0</v>
      </c>
      <c r="G32" s="1415"/>
      <c r="H32" s="144">
        <v>0</v>
      </c>
      <c r="I32" s="1376"/>
      <c r="J32" s="144">
        <v>0</v>
      </c>
      <c r="K32" s="1376"/>
      <c r="L32" s="144">
        <v>0</v>
      </c>
      <c r="M32" s="144">
        <v>0</v>
      </c>
      <c r="S32" s="1876">
        <f t="shared" si="2"/>
        <v>0</v>
      </c>
      <c r="T32" s="248"/>
      <c r="U32" s="1885">
        <f t="shared" si="3"/>
        <v>0</v>
      </c>
      <c r="V32" s="248"/>
      <c r="W32" s="248">
        <f t="shared" si="4"/>
        <v>0</v>
      </c>
      <c r="X32" s="248"/>
      <c r="Y32" s="1871">
        <f t="shared" si="5"/>
        <v>0</v>
      </c>
      <c r="Z32" s="2300">
        <f t="shared" si="6"/>
        <v>0</v>
      </c>
      <c r="AA32" s="1880">
        <f>SUM('5.2.a. sz. mell.'!F32+'5.2.b. sz. mell'!F32+'5.2.c. sz. mell.'!F32)</f>
        <v>0</v>
      </c>
      <c r="AB32" s="248"/>
      <c r="AC32" s="1885">
        <f>SUM('5.2.a. sz. mell.'!H32+'5.2.b. sz. mell'!H32+'5.2.c. sz. mell.'!H32)</f>
        <v>0</v>
      </c>
      <c r="AD32" s="248"/>
      <c r="AE32" s="248">
        <f>SUM('5.2.a. sz. mell.'!J32+'5.2.b. sz. mell'!J32+'5.2.c. sz. mell.'!J32)</f>
        <v>0</v>
      </c>
      <c r="AF32" s="248"/>
      <c r="AG32" s="1871">
        <f>SUM('5.2.a. sz. mell.'!L32+'5.2.b. sz. mell'!L32+'5.2.c. sz. mell.'!L32)</f>
        <v>0</v>
      </c>
      <c r="AH32" s="2300">
        <f>SUM('5.2.a. sz. mell.'!M32+'5.2.b. sz. mell'!M32+'5.2.c. sz. mell.'!M32)</f>
        <v>0</v>
      </c>
    </row>
    <row r="33" spans="1:34" s="141" customFormat="1" ht="30" customHeight="1" thickBot="1" x14ac:dyDescent="0.25">
      <c r="A33" s="134" t="s">
        <v>67</v>
      </c>
      <c r="B33" s="254"/>
      <c r="C33" s="170" t="s">
        <v>429</v>
      </c>
      <c r="D33" s="285">
        <v>0</v>
      </c>
      <c r="E33" s="285">
        <f>SUM(E34:E35)</f>
        <v>79</v>
      </c>
      <c r="F33" s="285">
        <f>SUM(F34:F35)</f>
        <v>0</v>
      </c>
      <c r="G33" s="1382"/>
      <c r="H33" s="285">
        <f>SUM(H34:H35)</f>
        <v>0</v>
      </c>
      <c r="I33" s="1382"/>
      <c r="J33" s="285">
        <f>SUM(J34:J35)</f>
        <v>0</v>
      </c>
      <c r="K33" s="1382"/>
      <c r="L33" s="285">
        <f>SUM(L34:L35)</f>
        <v>0</v>
      </c>
      <c r="M33" s="285">
        <f>SUM(M34:M35)</f>
        <v>0</v>
      </c>
      <c r="S33" s="1876">
        <f t="shared" si="2"/>
        <v>0</v>
      </c>
      <c r="T33" s="248"/>
      <c r="U33" s="1885">
        <f t="shared" si="3"/>
        <v>0</v>
      </c>
      <c r="V33" s="248"/>
      <c r="W33" s="248">
        <f t="shared" si="4"/>
        <v>0</v>
      </c>
      <c r="X33" s="248"/>
      <c r="Y33" s="1871">
        <f t="shared" si="5"/>
        <v>0</v>
      </c>
      <c r="Z33" s="2300">
        <f t="shared" si="6"/>
        <v>0</v>
      </c>
      <c r="AA33" s="1880">
        <f>SUM('5.2.a. sz. mell.'!F33+'5.2.b. sz. mell'!F33+'5.2.c. sz. mell.'!F33)</f>
        <v>0</v>
      </c>
      <c r="AB33" s="248"/>
      <c r="AC33" s="1885">
        <f>SUM('5.2.a. sz. mell.'!H33+'5.2.b. sz. mell'!H33+'5.2.c. sz. mell.'!H33)</f>
        <v>0</v>
      </c>
      <c r="AD33" s="248"/>
      <c r="AE33" s="248">
        <f>SUM('5.2.a. sz. mell.'!J33+'5.2.b. sz. mell'!J33+'5.2.c. sz. mell.'!J33)</f>
        <v>0</v>
      </c>
      <c r="AF33" s="248"/>
      <c r="AG33" s="1871">
        <f>SUM('5.2.a. sz. mell.'!L33+'5.2.b. sz. mell'!L33+'5.2.c. sz. mell.'!L33)</f>
        <v>0</v>
      </c>
      <c r="AH33" s="2300">
        <f>SUM('5.2.a. sz. mell.'!M33+'5.2.b. sz. mell'!M33+'5.2.c. sz. mell.'!M33)</f>
        <v>0</v>
      </c>
    </row>
    <row r="34" spans="1:34" s="141" customFormat="1" ht="30" customHeight="1" thickBot="1" x14ac:dyDescent="0.25">
      <c r="A34" s="149"/>
      <c r="B34" s="255" t="s">
        <v>47</v>
      </c>
      <c r="C34" s="251" t="s">
        <v>430</v>
      </c>
      <c r="D34" s="306">
        <v>0</v>
      </c>
      <c r="E34" s="306">
        <v>79</v>
      </c>
      <c r="F34" s="306">
        <v>0</v>
      </c>
      <c r="G34" s="1383"/>
      <c r="H34" s="306">
        <v>0</v>
      </c>
      <c r="I34" s="1383"/>
      <c r="J34" s="306">
        <v>0</v>
      </c>
      <c r="K34" s="1383"/>
      <c r="L34" s="306">
        <v>0</v>
      </c>
      <c r="M34" s="306">
        <v>0</v>
      </c>
      <c r="S34" s="1876">
        <f t="shared" si="2"/>
        <v>0</v>
      </c>
      <c r="T34" s="248"/>
      <c r="U34" s="1885">
        <f t="shared" si="3"/>
        <v>0</v>
      </c>
      <c r="V34" s="248"/>
      <c r="W34" s="248">
        <f t="shared" si="4"/>
        <v>0</v>
      </c>
      <c r="X34" s="248"/>
      <c r="Y34" s="1871">
        <f t="shared" si="5"/>
        <v>0</v>
      </c>
      <c r="Z34" s="2300">
        <f t="shared" si="6"/>
        <v>0</v>
      </c>
      <c r="AA34" s="1880">
        <f>SUM('5.2.a. sz. mell.'!F34+'5.2.b. sz. mell'!F34+'5.2.c. sz. mell.'!F34)</f>
        <v>0</v>
      </c>
      <c r="AB34" s="248"/>
      <c r="AC34" s="1885">
        <f>SUM('5.2.a. sz. mell.'!H34+'5.2.b. sz. mell'!H34+'5.2.c. sz. mell.'!H34)</f>
        <v>0</v>
      </c>
      <c r="AD34" s="248"/>
      <c r="AE34" s="248">
        <f>SUM('5.2.a. sz. mell.'!J34+'5.2.b. sz. mell'!J34+'5.2.c. sz. mell.'!J34)</f>
        <v>0</v>
      </c>
      <c r="AF34" s="248"/>
      <c r="AG34" s="1871">
        <f>SUM('5.2.a. sz. mell.'!L34+'5.2.b. sz. mell'!L34+'5.2.c. sz. mell.'!L34)</f>
        <v>0</v>
      </c>
      <c r="AH34" s="2300">
        <f>SUM('5.2.a. sz. mell.'!M34+'5.2.b. sz. mell'!M34+'5.2.c. sz. mell.'!M34)</f>
        <v>0</v>
      </c>
    </row>
    <row r="35" spans="1:34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>
        <v>0</v>
      </c>
      <c r="K35" s="1384"/>
      <c r="L35" s="294">
        <v>0</v>
      </c>
      <c r="M35" s="294">
        <v>0</v>
      </c>
      <c r="S35" s="1876">
        <f t="shared" si="2"/>
        <v>0</v>
      </c>
      <c r="T35" s="248"/>
      <c r="U35" s="1885">
        <f t="shared" si="3"/>
        <v>0</v>
      </c>
      <c r="V35" s="248"/>
      <c r="W35" s="248">
        <f t="shared" si="4"/>
        <v>0</v>
      </c>
      <c r="X35" s="248"/>
      <c r="Y35" s="1871">
        <f t="shared" si="5"/>
        <v>0</v>
      </c>
      <c r="Z35" s="2300">
        <f t="shared" si="6"/>
        <v>0</v>
      </c>
      <c r="AA35" s="1880">
        <f>SUM('5.2.a. sz. mell.'!F35+'5.2.b. sz. mell'!F35+'5.2.c. sz. mell.'!F35)</f>
        <v>0</v>
      </c>
      <c r="AB35" s="248"/>
      <c r="AC35" s="1885">
        <f>SUM('5.2.a. sz. mell.'!H35+'5.2.b. sz. mell'!H35+'5.2.c. sz. mell.'!H35)</f>
        <v>0</v>
      </c>
      <c r="AD35" s="248"/>
      <c r="AE35" s="248">
        <f>SUM('5.2.a. sz. mell.'!J35+'5.2.b. sz. mell'!J35+'5.2.c. sz. mell.'!J35)</f>
        <v>0</v>
      </c>
      <c r="AF35" s="248"/>
      <c r="AG35" s="1871">
        <f>SUM('5.2.a. sz. mell.'!L35+'5.2.b. sz. mell'!L35+'5.2.c. sz. mell.'!L35)</f>
        <v>0</v>
      </c>
      <c r="AH35" s="2300">
        <f>SUM('5.2.a. sz. mell.'!M35+'5.2.b. sz. mell'!M35+'5.2.c. sz. mell.'!M35)</f>
        <v>0</v>
      </c>
    </row>
    <row r="36" spans="1:34" s="145" customFormat="1" ht="15" customHeight="1" thickBot="1" x14ac:dyDescent="0.3">
      <c r="A36" s="258" t="s">
        <v>79</v>
      </c>
      <c r="B36" s="256"/>
      <c r="C36" s="247" t="s">
        <v>431</v>
      </c>
      <c r="D36" s="155">
        <v>5709</v>
      </c>
      <c r="E36" s="155">
        <v>9738</v>
      </c>
      <c r="F36" s="155">
        <v>0</v>
      </c>
      <c r="G36" s="1381"/>
      <c r="H36" s="155">
        <v>0</v>
      </c>
      <c r="I36" s="1380"/>
      <c r="J36" s="155">
        <v>0</v>
      </c>
      <c r="K36" s="1380"/>
      <c r="L36" s="155">
        <v>0</v>
      </c>
      <c r="M36" s="155">
        <v>0</v>
      </c>
      <c r="S36" s="1876">
        <f t="shared" si="2"/>
        <v>0</v>
      </c>
      <c r="T36" s="248"/>
      <c r="U36" s="1885">
        <f t="shared" si="3"/>
        <v>0</v>
      </c>
      <c r="V36" s="248"/>
      <c r="W36" s="248">
        <f t="shared" si="4"/>
        <v>0</v>
      </c>
      <c r="X36" s="248"/>
      <c r="Y36" s="1871">
        <f t="shared" si="5"/>
        <v>0</v>
      </c>
      <c r="Z36" s="2300">
        <f t="shared" si="6"/>
        <v>0</v>
      </c>
      <c r="AA36" s="1880">
        <f>SUM('5.2.a. sz. mell.'!F36+'5.2.b. sz. mell'!F36+'5.2.c. sz. mell.'!F36)</f>
        <v>0</v>
      </c>
      <c r="AB36" s="248"/>
      <c r="AC36" s="1885">
        <f>SUM('5.2.a. sz. mell.'!H36+'5.2.b. sz. mell'!H36+'5.2.c. sz. mell.'!H36)</f>
        <v>0</v>
      </c>
      <c r="AD36" s="248"/>
      <c r="AE36" s="248">
        <f>SUM('5.2.a. sz. mell.'!J36+'5.2.b. sz. mell'!J36+'5.2.c. sz. mell.'!J36)</f>
        <v>0</v>
      </c>
      <c r="AF36" s="248"/>
      <c r="AG36" s="1871">
        <f>SUM('5.2.a. sz. mell.'!L36+'5.2.b. sz. mell'!L36+'5.2.c. sz. mell.'!L36)</f>
        <v>0</v>
      </c>
      <c r="AH36" s="2300">
        <f>SUM('5.2.a. sz. mell.'!M36+'5.2.b. sz. mell'!M36+'5.2.c. sz. mell.'!M36)</f>
        <v>0</v>
      </c>
    </row>
    <row r="37" spans="1:34" s="145" customFormat="1" ht="33" customHeight="1" thickBot="1" x14ac:dyDescent="0.25">
      <c r="A37" s="258"/>
      <c r="B37" s="257" t="s">
        <v>69</v>
      </c>
      <c r="C37" s="55" t="s">
        <v>432</v>
      </c>
      <c r="D37" s="155"/>
      <c r="E37" s="155"/>
      <c r="F37" s="252">
        <v>0</v>
      </c>
      <c r="G37" s="1509"/>
      <c r="H37" s="252">
        <v>0</v>
      </c>
      <c r="I37" s="1436"/>
      <c r="J37" s="252">
        <v>0</v>
      </c>
      <c r="K37" s="1436"/>
      <c r="L37" s="252">
        <v>0</v>
      </c>
      <c r="M37" s="252">
        <v>0</v>
      </c>
      <c r="S37" s="1876">
        <f t="shared" si="2"/>
        <v>0</v>
      </c>
      <c r="T37" s="248"/>
      <c r="U37" s="1885">
        <f t="shared" si="3"/>
        <v>0</v>
      </c>
      <c r="V37" s="248"/>
      <c r="W37" s="248">
        <f t="shared" si="4"/>
        <v>0</v>
      </c>
      <c r="X37" s="248"/>
      <c r="Y37" s="1871">
        <f t="shared" si="5"/>
        <v>0</v>
      </c>
      <c r="Z37" s="2300">
        <f t="shared" si="6"/>
        <v>0</v>
      </c>
      <c r="AA37" s="1880">
        <f>SUM('5.2.a. sz. mell.'!F37+'5.2.b. sz. mell'!F37+'5.2.c. sz. mell.'!F37)</f>
        <v>0</v>
      </c>
      <c r="AB37" s="248"/>
      <c r="AC37" s="1885">
        <f>SUM('5.2.a. sz. mell.'!H37+'5.2.b. sz. mell'!H37+'5.2.c. sz. mell.'!H37)</f>
        <v>0</v>
      </c>
      <c r="AD37" s="248"/>
      <c r="AE37" s="248">
        <f>SUM('5.2.a. sz. mell.'!J37+'5.2.b. sz. mell'!J37+'5.2.c. sz. mell.'!J37)</f>
        <v>0</v>
      </c>
      <c r="AF37" s="248"/>
      <c r="AG37" s="1871">
        <f>SUM('5.2.a. sz. mell.'!L37+'5.2.b. sz. mell'!L37+'5.2.c. sz. mell.'!L37)</f>
        <v>0</v>
      </c>
      <c r="AH37" s="2300">
        <f>SUM('5.2.a. sz. mell.'!M37+'5.2.b. sz. mell'!M37+'5.2.c. sz. mell.'!M37)</f>
        <v>0</v>
      </c>
    </row>
    <row r="38" spans="1:34" s="145" customFormat="1" ht="15" customHeight="1" thickBot="1" x14ac:dyDescent="0.3">
      <c r="A38" s="258" t="s">
        <v>89</v>
      </c>
      <c r="B38" s="256"/>
      <c r="C38" s="170" t="s">
        <v>433</v>
      </c>
      <c r="D38" s="155"/>
      <c r="E38" s="155"/>
      <c r="F38" s="155">
        <f>SUM(F39:F41)</f>
        <v>73228768</v>
      </c>
      <c r="G38" s="1381">
        <f>SUM(H38-F38)</f>
        <v>1165309</v>
      </c>
      <c r="H38" s="155">
        <f>SUM(H39:H41)</f>
        <v>74394077</v>
      </c>
      <c r="I38" s="1380">
        <f>SUM(J38-H38)</f>
        <v>92296</v>
      </c>
      <c r="J38" s="155">
        <f>SUM(J39:J41)</f>
        <v>74486373</v>
      </c>
      <c r="K38" s="1380">
        <f>SUM(L38-J38)</f>
        <v>0</v>
      </c>
      <c r="L38" s="155">
        <f>SUM(L39:L41)</f>
        <v>74486373</v>
      </c>
      <c r="M38" s="155">
        <f>SUM(M39:M41)</f>
        <v>74486373</v>
      </c>
      <c r="S38" s="1876">
        <f t="shared" si="2"/>
        <v>0</v>
      </c>
      <c r="T38" s="248"/>
      <c r="U38" s="1885">
        <f t="shared" si="3"/>
        <v>0</v>
      </c>
      <c r="V38" s="248"/>
      <c r="W38" s="248">
        <f t="shared" si="4"/>
        <v>0</v>
      </c>
      <c r="X38" s="248"/>
      <c r="Y38" s="1871">
        <f t="shared" si="5"/>
        <v>0</v>
      </c>
      <c r="Z38" s="2300">
        <f t="shared" si="6"/>
        <v>0</v>
      </c>
      <c r="AA38" s="1880">
        <f>SUM('5.2.a. sz. mell.'!F38+'5.2.b. sz. mell'!F38+'5.2.c. sz. mell.'!F38)</f>
        <v>73228768</v>
      </c>
      <c r="AB38" s="248"/>
      <c r="AC38" s="1885">
        <f>SUM('5.2.a. sz. mell.'!H38+'5.2.b. sz. mell'!H38+'5.2.c. sz. mell.'!H38)</f>
        <v>74394077</v>
      </c>
      <c r="AD38" s="248"/>
      <c r="AE38" s="248">
        <f>SUM('5.2.a. sz. mell.'!J38+'5.2.b. sz. mell'!J38+'5.2.c. sz. mell.'!J38)</f>
        <v>74486373</v>
      </c>
      <c r="AF38" s="248"/>
      <c r="AG38" s="1871">
        <f>SUM('5.2.a. sz. mell.'!L38+'5.2.b. sz. mell'!L38+'5.2.c. sz. mell.'!L38)</f>
        <v>74486373</v>
      </c>
      <c r="AH38" s="2300">
        <f>SUM('5.2.a. sz. mell.'!M38+'5.2.b. sz. mell'!M38+'5.2.c. sz. mell.'!M38)</f>
        <v>74486373</v>
      </c>
    </row>
    <row r="39" spans="1:34" s="145" customFormat="1" ht="15" customHeight="1" thickBot="1" x14ac:dyDescent="0.25">
      <c r="A39" s="149"/>
      <c r="B39" s="253" t="s">
        <v>81</v>
      </c>
      <c r="C39" s="55" t="s">
        <v>434</v>
      </c>
      <c r="D39" s="155"/>
      <c r="E39" s="155"/>
      <c r="F39" s="144">
        <v>0</v>
      </c>
      <c r="G39" s="1415">
        <f t="shared" ref="G39:K63" si="7">SUM(H39-F39)</f>
        <v>0</v>
      </c>
      <c r="H39" s="144"/>
      <c r="I39" s="1376">
        <f t="shared" si="7"/>
        <v>0</v>
      </c>
      <c r="J39" s="144"/>
      <c r="K39" s="1376">
        <f t="shared" si="7"/>
        <v>0</v>
      </c>
      <c r="L39" s="144"/>
      <c r="M39" s="144"/>
      <c r="S39" s="1876">
        <f t="shared" si="2"/>
        <v>0</v>
      </c>
      <c r="T39" s="248"/>
      <c r="U39" s="1885">
        <f t="shared" si="3"/>
        <v>0</v>
      </c>
      <c r="V39" s="248"/>
      <c r="W39" s="248">
        <f t="shared" si="4"/>
        <v>0</v>
      </c>
      <c r="X39" s="248"/>
      <c r="Y39" s="1871">
        <f t="shared" si="5"/>
        <v>0</v>
      </c>
      <c r="Z39" s="2300">
        <f t="shared" si="6"/>
        <v>0</v>
      </c>
      <c r="AA39" s="1880">
        <f>SUM('5.2.a. sz. mell.'!F39+'5.2.b. sz. mell'!F39+'5.2.c. sz. mell.'!F39)</f>
        <v>0</v>
      </c>
      <c r="AB39" s="248"/>
      <c r="AC39" s="1885">
        <f>SUM('5.2.a. sz. mell.'!H39+'5.2.b. sz. mell'!H39+'5.2.c. sz. mell.'!H39)</f>
        <v>0</v>
      </c>
      <c r="AD39" s="248"/>
      <c r="AE39" s="248">
        <f>SUM('5.2.a. sz. mell.'!J39+'5.2.b. sz. mell'!J39+'5.2.c. sz. mell.'!J39)</f>
        <v>0</v>
      </c>
      <c r="AF39" s="248"/>
      <c r="AG39" s="1871">
        <f>SUM('5.2.a. sz. mell.'!L39+'5.2.b. sz. mell'!L39+'5.2.c. sz. mell.'!L39)</f>
        <v>0</v>
      </c>
      <c r="AH39" s="2300">
        <f>SUM('5.2.a. sz. mell.'!M39+'5.2.b. sz. mell'!M39+'5.2.c. sz. mell.'!M39)</f>
        <v>0</v>
      </c>
    </row>
    <row r="40" spans="1:34" s="145" customFormat="1" ht="15" customHeight="1" thickBot="1" x14ac:dyDescent="0.25">
      <c r="A40" s="146"/>
      <c r="B40" s="253" t="s">
        <v>83</v>
      </c>
      <c r="C40" s="55" t="s">
        <v>435</v>
      </c>
      <c r="D40" s="155"/>
      <c r="E40" s="155"/>
      <c r="F40" s="144">
        <v>0</v>
      </c>
      <c r="G40" s="1415">
        <f t="shared" si="7"/>
        <v>0</v>
      </c>
      <c r="H40" s="144">
        <v>0</v>
      </c>
      <c r="I40" s="1376">
        <f t="shared" si="7"/>
        <v>0</v>
      </c>
      <c r="J40" s="144"/>
      <c r="K40" s="1376">
        <f t="shared" si="7"/>
        <v>0</v>
      </c>
      <c r="L40" s="144"/>
      <c r="M40" s="144">
        <v>0</v>
      </c>
      <c r="S40" s="1876">
        <f t="shared" si="2"/>
        <v>0</v>
      </c>
      <c r="T40" s="248"/>
      <c r="U40" s="1885">
        <f t="shared" si="3"/>
        <v>0</v>
      </c>
      <c r="V40" s="248"/>
      <c r="W40" s="248">
        <f t="shared" si="4"/>
        <v>0</v>
      </c>
      <c r="X40" s="248"/>
      <c r="Y40" s="1871">
        <f t="shared" si="5"/>
        <v>0</v>
      </c>
      <c r="Z40" s="2300">
        <f t="shared" si="6"/>
        <v>0</v>
      </c>
      <c r="AA40" s="1880">
        <f>SUM('5.2.a. sz. mell.'!F40+'5.2.b. sz. mell'!F40+'5.2.c. sz. mell.'!F40)</f>
        <v>0</v>
      </c>
      <c r="AB40" s="248"/>
      <c r="AC40" s="1885">
        <f>SUM('5.2.a. sz. mell.'!H40+'5.2.b. sz. mell'!H40+'5.2.c. sz. mell.'!H40)</f>
        <v>0</v>
      </c>
      <c r="AD40" s="248"/>
      <c r="AE40" s="248">
        <f>SUM('5.2.a. sz. mell.'!J40+'5.2.b. sz. mell'!J40+'5.2.c. sz. mell.'!J40)</f>
        <v>0</v>
      </c>
      <c r="AF40" s="248"/>
      <c r="AG40" s="1871">
        <f>SUM('5.2.a. sz. mell.'!L40+'5.2.b. sz. mell'!L40+'5.2.c. sz. mell.'!L40)</f>
        <v>0</v>
      </c>
      <c r="AH40" s="2300">
        <f>SUM('5.2.a. sz. mell.'!M40+'5.2.b. sz. mell'!M40+'5.2.c. sz. mell.'!M40)</f>
        <v>0</v>
      </c>
    </row>
    <row r="41" spans="1:34" s="145" customFormat="1" ht="15" customHeight="1" thickBot="1" x14ac:dyDescent="0.25">
      <c r="A41" s="142"/>
      <c r="B41" s="253" t="s">
        <v>85</v>
      </c>
      <c r="C41" s="55" t="s">
        <v>1432</v>
      </c>
      <c r="D41" s="155"/>
      <c r="E41" s="155"/>
      <c r="F41" s="144">
        <f>SUM(F42:F43)</f>
        <v>73228768</v>
      </c>
      <c r="G41" s="1415">
        <f t="shared" si="7"/>
        <v>1165309</v>
      </c>
      <c r="H41" s="144">
        <f>SUM(H42:H43)</f>
        <v>74394077</v>
      </c>
      <c r="I41" s="1376">
        <f t="shared" si="7"/>
        <v>92296</v>
      </c>
      <c r="J41" s="144">
        <f>SUM(J42:J43)</f>
        <v>74486373</v>
      </c>
      <c r="K41" s="1376">
        <f t="shared" si="7"/>
        <v>0</v>
      </c>
      <c r="L41" s="144">
        <f>SUM(L42:L43)</f>
        <v>74486373</v>
      </c>
      <c r="M41" s="144">
        <f>SUM(M42:M43)</f>
        <v>74486373</v>
      </c>
      <c r="P41" s="205"/>
      <c r="Q41" s="205"/>
      <c r="S41" s="1876">
        <f t="shared" si="2"/>
        <v>0</v>
      </c>
      <c r="T41" s="248"/>
      <c r="U41" s="1885">
        <f t="shared" si="3"/>
        <v>0</v>
      </c>
      <c r="V41" s="248"/>
      <c r="W41" s="248">
        <f t="shared" si="4"/>
        <v>0</v>
      </c>
      <c r="X41" s="248"/>
      <c r="Y41" s="1871">
        <f t="shared" si="5"/>
        <v>0</v>
      </c>
      <c r="Z41" s="2300">
        <f t="shared" si="6"/>
        <v>0</v>
      </c>
      <c r="AA41" s="1880">
        <f>SUM('5.2.a. sz. mell.'!F41+'5.2.b. sz. mell'!F41+'5.2.c. sz. mell.'!F41)</f>
        <v>73228768</v>
      </c>
      <c r="AB41" s="248"/>
      <c r="AC41" s="1885">
        <f>SUM('5.2.a. sz. mell.'!H41+'5.2.b. sz. mell'!H41+'5.2.c. sz. mell.'!H41)</f>
        <v>74394077</v>
      </c>
      <c r="AD41" s="248"/>
      <c r="AE41" s="248">
        <f>SUM('5.2.a. sz. mell.'!J41+'5.2.b. sz. mell'!J41+'5.2.c. sz. mell.'!J41)</f>
        <v>74486373</v>
      </c>
      <c r="AF41" s="248"/>
      <c r="AG41" s="1871">
        <f>SUM('5.2.a. sz. mell.'!L41+'5.2.b. sz. mell'!L41+'5.2.c. sz. mell.'!L41)</f>
        <v>74486373</v>
      </c>
      <c r="AH41" s="2300">
        <f>SUM('5.2.a. sz. mell.'!M41+'5.2.b. sz. mell'!M41+'5.2.c. sz. mell.'!M41)</f>
        <v>74486373</v>
      </c>
    </row>
    <row r="42" spans="1:34" s="145" customFormat="1" ht="15" customHeight="1" thickBot="1" x14ac:dyDescent="0.25">
      <c r="A42" s="142"/>
      <c r="B42" s="260" t="s">
        <v>437</v>
      </c>
      <c r="C42" s="261" t="s">
        <v>438</v>
      </c>
      <c r="D42" s="155"/>
      <c r="E42" s="155"/>
      <c r="F42" s="302">
        <v>70534400</v>
      </c>
      <c r="G42" s="1534">
        <f t="shared" si="7"/>
        <v>798600</v>
      </c>
      <c r="H42" s="302">
        <v>71333000</v>
      </c>
      <c r="I42" s="1492">
        <f t="shared" si="7"/>
        <v>-95367</v>
      </c>
      <c r="J42" s="302">
        <v>71237633</v>
      </c>
      <c r="K42" s="1492">
        <f t="shared" si="7"/>
        <v>0</v>
      </c>
      <c r="L42" s="302">
        <v>71237633</v>
      </c>
      <c r="M42" s="302">
        <v>71237633</v>
      </c>
      <c r="P42" s="205"/>
      <c r="Q42" s="205"/>
      <c r="S42" s="1876">
        <f t="shared" si="2"/>
        <v>0</v>
      </c>
      <c r="T42" s="248"/>
      <c r="U42" s="1885">
        <f t="shared" si="3"/>
        <v>0</v>
      </c>
      <c r="V42" s="248"/>
      <c r="W42" s="248">
        <f t="shared" si="4"/>
        <v>0</v>
      </c>
      <c r="X42" s="248"/>
      <c r="Y42" s="1871">
        <f t="shared" si="5"/>
        <v>0</v>
      </c>
      <c r="Z42" s="2300">
        <f t="shared" si="6"/>
        <v>0</v>
      </c>
      <c r="AA42" s="1880">
        <f>SUM('5.2.a. sz. mell.'!F42+'5.2.b. sz. mell'!F42+'5.2.c. sz. mell.'!F42)</f>
        <v>70534400</v>
      </c>
      <c r="AB42" s="248"/>
      <c r="AC42" s="1885">
        <f>SUM('5.2.a. sz. mell.'!H42+'5.2.b. sz. mell'!H42+'5.2.c. sz. mell.'!H42)</f>
        <v>71333000</v>
      </c>
      <c r="AD42" s="248"/>
      <c r="AE42" s="248">
        <f>SUM('5.2.a. sz. mell.'!J42+'5.2.b. sz. mell'!J42+'5.2.c. sz. mell.'!J42)</f>
        <v>71237633</v>
      </c>
      <c r="AF42" s="248"/>
      <c r="AG42" s="1871">
        <f>SUM('5.2.a. sz. mell.'!L42+'5.2.b. sz. mell'!L42+'5.2.c. sz. mell.'!L42)</f>
        <v>71237633</v>
      </c>
      <c r="AH42" s="2300">
        <f>SUM('5.2.a. sz. mell.'!M42+'5.2.b. sz. mell'!M42+'5.2.c. sz. mell.'!M42)</f>
        <v>71237633</v>
      </c>
    </row>
    <row r="43" spans="1:34" s="145" customFormat="1" ht="15" customHeight="1" thickBot="1" x14ac:dyDescent="0.25">
      <c r="A43" s="178"/>
      <c r="B43" s="263" t="s">
        <v>439</v>
      </c>
      <c r="C43" s="264" t="s">
        <v>440</v>
      </c>
      <c r="D43" s="155"/>
      <c r="E43" s="155"/>
      <c r="F43" s="302">
        <v>2694368</v>
      </c>
      <c r="G43" s="1534">
        <f t="shared" si="7"/>
        <v>366709</v>
      </c>
      <c r="H43" s="302">
        <v>3061077</v>
      </c>
      <c r="I43" s="1492">
        <f t="shared" si="7"/>
        <v>187663</v>
      </c>
      <c r="J43" s="302">
        <v>3248740</v>
      </c>
      <c r="K43" s="1492">
        <f t="shared" si="7"/>
        <v>0</v>
      </c>
      <c r="L43" s="302">
        <v>3248740</v>
      </c>
      <c r="M43" s="302">
        <v>3248740</v>
      </c>
      <c r="N43" s="205">
        <f>SUM(F63-F41)</f>
        <v>0</v>
      </c>
      <c r="P43" s="205"/>
      <c r="Q43" s="205"/>
      <c r="S43" s="1876">
        <f t="shared" si="2"/>
        <v>0</v>
      </c>
      <c r="T43" s="248"/>
      <c r="U43" s="1885">
        <f t="shared" si="3"/>
        <v>0</v>
      </c>
      <c r="V43" s="248"/>
      <c r="W43" s="248">
        <f t="shared" si="4"/>
        <v>0</v>
      </c>
      <c r="X43" s="248"/>
      <c r="Y43" s="1871">
        <f t="shared" si="5"/>
        <v>0</v>
      </c>
      <c r="Z43" s="2300">
        <f t="shared" si="6"/>
        <v>0</v>
      </c>
      <c r="AA43" s="1880">
        <f>SUM('5.2.a. sz. mell.'!F43+'5.2.b. sz. mell'!F43+'5.2.c. sz. mell.'!F43)</f>
        <v>2694368</v>
      </c>
      <c r="AB43" s="248"/>
      <c r="AC43" s="1885">
        <f>SUM('5.2.a. sz. mell.'!H43+'5.2.b. sz. mell'!H43+'5.2.c. sz. mell.'!H43)</f>
        <v>3061077</v>
      </c>
      <c r="AD43" s="248"/>
      <c r="AE43" s="248">
        <f>SUM('5.2.a. sz. mell.'!J43+'5.2.b. sz. mell'!J43+'5.2.c. sz. mell.'!J43)</f>
        <v>3248740</v>
      </c>
      <c r="AF43" s="248"/>
      <c r="AG43" s="1871">
        <f>SUM('5.2.a. sz. mell.'!L43+'5.2.b. sz. mell'!L43+'5.2.c. sz. mell.'!L43)</f>
        <v>3248740</v>
      </c>
      <c r="AH43" s="2300">
        <f>SUM('5.2.a. sz. mell.'!M43+'5.2.b. sz. mell'!M43+'5.2.c. sz. mell.'!M43)</f>
        <v>3248740</v>
      </c>
    </row>
    <row r="44" spans="1:34" s="145" customFormat="1" ht="15" customHeight="1" thickBot="1" x14ac:dyDescent="0.25">
      <c r="A44" s="192" t="s">
        <v>99</v>
      </c>
      <c r="B44" s="160"/>
      <c r="C44" s="274" t="s">
        <v>441</v>
      </c>
      <c r="D44" s="162">
        <f>SUM(D8,D19,D27,D29,D33,D36)</f>
        <v>44564</v>
      </c>
      <c r="E44" s="162">
        <f>SUM(E8,E19,E27,E29,E33,E36)</f>
        <v>49505</v>
      </c>
      <c r="F44" s="162">
        <f>SUM(F8,F19,F27,F29,F33,F36,F38)</f>
        <v>73228768</v>
      </c>
      <c r="G44" s="1437">
        <f t="shared" si="7"/>
        <v>1165309</v>
      </c>
      <c r="H44" s="162">
        <f>SUM(H8,H19,H27,H29,H33,H36,H38)</f>
        <v>74394077</v>
      </c>
      <c r="I44" s="1373">
        <f t="shared" si="7"/>
        <v>104064</v>
      </c>
      <c r="J44" s="162">
        <f>SUM(J8,J19,J27,J29,J33,J36,J38)</f>
        <v>74498141</v>
      </c>
      <c r="K44" s="1373">
        <f t="shared" si="7"/>
        <v>0</v>
      </c>
      <c r="L44" s="162">
        <f>SUM(L8,L19,L27,L29,L33,L36,L38)</f>
        <v>74498141</v>
      </c>
      <c r="M44" s="162">
        <f>SUM(M8,M19,M27,M29,M33,M36,M38)</f>
        <v>74498141</v>
      </c>
      <c r="P44" s="205"/>
      <c r="Q44" s="205"/>
      <c r="S44" s="1876">
        <f t="shared" si="2"/>
        <v>0</v>
      </c>
      <c r="T44" s="248"/>
      <c r="U44" s="1885">
        <f t="shared" si="3"/>
        <v>0</v>
      </c>
      <c r="V44" s="248"/>
      <c r="W44" s="248">
        <f t="shared" si="4"/>
        <v>0</v>
      </c>
      <c r="X44" s="248"/>
      <c r="Y44" s="1871">
        <f t="shared" si="5"/>
        <v>0</v>
      </c>
      <c r="Z44" s="2300">
        <f t="shared" si="6"/>
        <v>0</v>
      </c>
      <c r="AA44" s="1880">
        <f>SUM('5.2.a. sz. mell.'!F44+'5.2.b. sz. mell'!F44+'5.2.c. sz. mell.'!F44)</f>
        <v>73228768</v>
      </c>
      <c r="AB44" s="248"/>
      <c r="AC44" s="1885">
        <f>SUM('5.2.a. sz. mell.'!H44+'5.2.b. sz. mell'!H44+'5.2.c. sz. mell.'!H44)</f>
        <v>74394077</v>
      </c>
      <c r="AD44" s="248"/>
      <c r="AE44" s="248">
        <f>SUM('5.2.a. sz. mell.'!J44+'5.2.b. sz. mell'!J44+'5.2.c. sz. mell.'!J44)</f>
        <v>74498141</v>
      </c>
      <c r="AF44" s="248"/>
      <c r="AG44" s="1871">
        <f>SUM('5.2.a. sz. mell.'!L44+'5.2.b. sz. mell'!L44+'5.2.c. sz. mell.'!L44)</f>
        <v>74498141</v>
      </c>
      <c r="AH44" s="2300">
        <f>SUM('5.2.a. sz. mell.'!M44+'5.2.b. sz. mell'!M44+'5.2.c. sz. mell.'!M44)</f>
        <v>74498141</v>
      </c>
    </row>
    <row r="45" spans="1:34" s="145" customFormat="1" ht="13.5" customHeight="1" thickBot="1" x14ac:dyDescent="0.25">
      <c r="A45" s="1303"/>
      <c r="B45" s="886"/>
      <c r="C45" s="886"/>
      <c r="D45" s="2145"/>
      <c r="E45" s="2145"/>
      <c r="F45" s="2741"/>
      <c r="G45" s="1438"/>
      <c r="H45" s="2146"/>
      <c r="I45" s="2146"/>
      <c r="J45" s="2146"/>
      <c r="K45" s="2146"/>
      <c r="L45" s="2146"/>
      <c r="M45" s="2131"/>
      <c r="S45" s="1876">
        <f t="shared" si="2"/>
        <v>0</v>
      </c>
      <c r="T45" s="248"/>
      <c r="U45" s="1885">
        <f t="shared" si="3"/>
        <v>0</v>
      </c>
      <c r="V45" s="248"/>
      <c r="W45" s="248">
        <f t="shared" si="4"/>
        <v>0</v>
      </c>
      <c r="X45" s="248"/>
      <c r="Y45" s="1871">
        <f t="shared" si="5"/>
        <v>0</v>
      </c>
      <c r="Z45" s="2300">
        <f t="shared" si="6"/>
        <v>0</v>
      </c>
      <c r="AA45" s="1880">
        <f>SUM('5.2.a. sz. mell.'!F45+'5.2.b. sz. mell'!F45+'5.2.c. sz. mell.'!F45)</f>
        <v>0</v>
      </c>
      <c r="AB45" s="248"/>
      <c r="AC45" s="1885">
        <f>SUM('5.2.a. sz. mell.'!H45+'5.2.b. sz. mell'!H45+'5.2.c. sz. mell.'!H45)</f>
        <v>0</v>
      </c>
      <c r="AD45" s="248"/>
      <c r="AE45" s="248">
        <f>SUM('5.2.a. sz. mell.'!J45+'5.2.b. sz. mell'!J45+'5.2.c. sz. mell.'!J45)</f>
        <v>0</v>
      </c>
      <c r="AF45" s="248"/>
      <c r="AG45" s="1871">
        <f>SUM('5.2.a. sz. mell.'!L45+'5.2.b. sz. mell'!L45+'5.2.c. sz. mell.'!L45)</f>
        <v>0</v>
      </c>
      <c r="AH45" s="2300">
        <f>SUM('5.2.a. sz. mell.'!M45+'5.2.b. sz. mell'!M45+'5.2.c. sz. mell.'!M45)</f>
        <v>0</v>
      </c>
    </row>
    <row r="46" spans="1:34" s="305" customFormat="1" ht="15" customHeight="1" thickBot="1" x14ac:dyDescent="0.25">
      <c r="A46" s="192"/>
      <c r="B46" s="160"/>
      <c r="C46" s="282" t="s">
        <v>231</v>
      </c>
      <c r="D46" s="162"/>
      <c r="E46" s="162"/>
      <c r="F46" s="162"/>
      <c r="G46" s="1437"/>
      <c r="H46" s="162"/>
      <c r="I46" s="1373"/>
      <c r="J46" s="162"/>
      <c r="K46" s="1373"/>
      <c r="L46" s="162"/>
      <c r="M46" s="162"/>
      <c r="S46" s="1876">
        <f t="shared" si="2"/>
        <v>0</v>
      </c>
      <c r="T46" s="248"/>
      <c r="U46" s="1885">
        <f t="shared" si="3"/>
        <v>0</v>
      </c>
      <c r="V46" s="248"/>
      <c r="W46" s="248">
        <f t="shared" si="4"/>
        <v>0</v>
      </c>
      <c r="X46" s="248"/>
      <c r="Y46" s="1871">
        <f t="shared" si="5"/>
        <v>0</v>
      </c>
      <c r="Z46" s="2300">
        <f t="shared" si="6"/>
        <v>0</v>
      </c>
      <c r="AA46" s="1880">
        <f>SUM('5.2.a. sz. mell.'!F46+'5.2.b. sz. mell'!F46+'5.2.c. sz. mell.'!F46)</f>
        <v>0</v>
      </c>
      <c r="AB46" s="248"/>
      <c r="AC46" s="1885">
        <f>SUM('5.2.a. sz. mell.'!H46+'5.2.b. sz. mell'!H46+'5.2.c. sz. mell.'!H46)</f>
        <v>0</v>
      </c>
      <c r="AD46" s="248"/>
      <c r="AE46" s="248">
        <f>SUM('5.2.a. sz. mell.'!J46+'5.2.b. sz. mell'!J46+'5.2.c. sz. mell.'!J46)</f>
        <v>0</v>
      </c>
      <c r="AF46" s="248"/>
      <c r="AG46" s="1871">
        <f>SUM('5.2.a. sz. mell.'!L46+'5.2.b. sz. mell'!L46+'5.2.c. sz. mell.'!L46)</f>
        <v>0</v>
      </c>
      <c r="AH46" s="2300">
        <f>SUM('5.2.a. sz. mell.'!M46+'5.2.b. sz. mell'!M46+'5.2.c. sz. mell.'!M46)</f>
        <v>0</v>
      </c>
    </row>
    <row r="47" spans="1:34" s="141" customFormat="1" ht="15" customHeight="1" thickBot="1" x14ac:dyDescent="0.25">
      <c r="A47" s="134" t="s">
        <v>3</v>
      </c>
      <c r="B47" s="170"/>
      <c r="C47" s="170" t="s">
        <v>442</v>
      </c>
      <c r="D47" s="137">
        <f>SUM(D48+D50+D52)</f>
        <v>44564</v>
      </c>
      <c r="E47" s="137">
        <f>SUM(E48+E50+E52)</f>
        <v>47545</v>
      </c>
      <c r="F47" s="137">
        <f>SUM(F48:F55)</f>
        <v>72593768</v>
      </c>
      <c r="G47" s="1382">
        <f t="shared" si="7"/>
        <v>793309</v>
      </c>
      <c r="H47" s="137">
        <f>SUM(H48:H55)</f>
        <v>73387077</v>
      </c>
      <c r="I47" s="1374">
        <f t="shared" si="7"/>
        <v>329896</v>
      </c>
      <c r="J47" s="137">
        <f>SUM(J48:J55)</f>
        <v>73716973</v>
      </c>
      <c r="K47" s="1374">
        <f t="shared" si="7"/>
        <v>0</v>
      </c>
      <c r="L47" s="137">
        <f>SUM(L48:L55)</f>
        <v>73716973</v>
      </c>
      <c r="M47" s="137">
        <f>SUM(M48:M55)</f>
        <v>73679060</v>
      </c>
      <c r="S47" s="1876">
        <f t="shared" si="2"/>
        <v>0</v>
      </c>
      <c r="T47" s="248"/>
      <c r="U47" s="1885">
        <f t="shared" si="3"/>
        <v>0</v>
      </c>
      <c r="V47" s="248"/>
      <c r="W47" s="248">
        <f t="shared" si="4"/>
        <v>0</v>
      </c>
      <c r="X47" s="248"/>
      <c r="Y47" s="1871">
        <f t="shared" si="5"/>
        <v>0</v>
      </c>
      <c r="Z47" s="2300">
        <f t="shared" si="6"/>
        <v>0</v>
      </c>
      <c r="AA47" s="1880">
        <f>SUM('5.2.a. sz. mell.'!F47+'5.2.b. sz. mell'!F47+'5.2.c. sz. mell.'!F47)</f>
        <v>72593768</v>
      </c>
      <c r="AB47" s="248"/>
      <c r="AC47" s="1885">
        <f>SUM('5.2.a. sz. mell.'!H47+'5.2.b. sz. mell'!H47+'5.2.c. sz. mell.'!H47)</f>
        <v>73387077</v>
      </c>
      <c r="AD47" s="248"/>
      <c r="AE47" s="248">
        <f>SUM('5.2.a. sz. mell.'!J47+'5.2.b. sz. mell'!J47+'5.2.c. sz. mell.'!J47)</f>
        <v>73716973</v>
      </c>
      <c r="AF47" s="248"/>
      <c r="AG47" s="1871">
        <f>SUM('5.2.a. sz. mell.'!L47+'5.2.b. sz. mell'!L47+'5.2.c. sz. mell.'!L47)</f>
        <v>73716973</v>
      </c>
      <c r="AH47" s="2300">
        <f>SUM('5.2.a. sz. mell.'!M47+'5.2.b. sz. mell'!M47+'5.2.c. sz. mell.'!M47)</f>
        <v>73679060</v>
      </c>
    </row>
    <row r="48" spans="1:34" s="145" customFormat="1" ht="15" customHeight="1" x14ac:dyDescent="0.2">
      <c r="A48" s="173"/>
      <c r="B48" s="174" t="s">
        <v>152</v>
      </c>
      <c r="C48" s="251" t="s">
        <v>153</v>
      </c>
      <c r="D48" s="175">
        <v>29501</v>
      </c>
      <c r="E48" s="175">
        <v>31136</v>
      </c>
      <c r="F48" s="175">
        <v>55187465</v>
      </c>
      <c r="G48" s="1415">
        <f t="shared" si="7"/>
        <v>0</v>
      </c>
      <c r="H48" s="175">
        <v>55187465</v>
      </c>
      <c r="I48" s="1376">
        <f t="shared" si="7"/>
        <v>1000986</v>
      </c>
      <c r="J48" s="175">
        <v>56188451</v>
      </c>
      <c r="K48" s="1376">
        <f t="shared" si="7"/>
        <v>0</v>
      </c>
      <c r="L48" s="175">
        <v>56188451</v>
      </c>
      <c r="M48" s="175">
        <v>56168923</v>
      </c>
      <c r="S48" s="1876">
        <f t="shared" si="2"/>
        <v>0</v>
      </c>
      <c r="T48" s="248"/>
      <c r="U48" s="1885">
        <f t="shared" si="3"/>
        <v>0</v>
      </c>
      <c r="V48" s="248"/>
      <c r="W48" s="248">
        <f t="shared" si="4"/>
        <v>0</v>
      </c>
      <c r="X48" s="248"/>
      <c r="Y48" s="1871">
        <f t="shared" si="5"/>
        <v>0</v>
      </c>
      <c r="Z48" s="2300">
        <f t="shared" si="6"/>
        <v>0</v>
      </c>
      <c r="AA48" s="1880">
        <f>SUM('5.2.a. sz. mell.'!F48+'5.2.b. sz. mell'!F48+'5.2.c. sz. mell.'!F48)</f>
        <v>55187465</v>
      </c>
      <c r="AB48" s="248"/>
      <c r="AC48" s="1885">
        <f>SUM('5.2.a. sz. mell.'!H48+'5.2.b. sz. mell'!H48+'5.2.c. sz. mell.'!H48)</f>
        <v>55187465</v>
      </c>
      <c r="AD48" s="248"/>
      <c r="AE48" s="248">
        <f>SUM('5.2.a. sz. mell.'!J48+'5.2.b. sz. mell'!J48+'5.2.c. sz. mell.'!J48)</f>
        <v>56188451</v>
      </c>
      <c r="AF48" s="248"/>
      <c r="AG48" s="1871">
        <f>SUM('5.2.a. sz. mell.'!L48+'5.2.b. sz. mell'!L48+'5.2.c. sz. mell.'!L48)</f>
        <v>56188451</v>
      </c>
      <c r="AH48" s="2300">
        <f>SUM('5.2.a. sz. mell.'!M48+'5.2.b. sz. mell'!M48+'5.2.c. sz. mell.'!M48)</f>
        <v>56168923</v>
      </c>
    </row>
    <row r="49" spans="1:34" s="145" customFormat="1" ht="12.75" hidden="1" customHeight="1" x14ac:dyDescent="0.2">
      <c r="A49" s="173"/>
      <c r="B49" s="174"/>
      <c r="C49" s="309" t="s">
        <v>463</v>
      </c>
      <c r="D49" s="302"/>
      <c r="E49" s="302"/>
      <c r="F49" s="302"/>
      <c r="G49" s="1415">
        <f t="shared" si="7"/>
        <v>0</v>
      </c>
      <c r="H49" s="302"/>
      <c r="I49" s="1376">
        <f t="shared" si="7"/>
        <v>0</v>
      </c>
      <c r="J49" s="302"/>
      <c r="K49" s="1376">
        <f t="shared" si="7"/>
        <v>0</v>
      </c>
      <c r="L49" s="302"/>
      <c r="M49" s="302"/>
      <c r="S49" s="1876">
        <f t="shared" si="2"/>
        <v>0</v>
      </c>
      <c r="T49" s="248"/>
      <c r="U49" s="1885">
        <f t="shared" si="3"/>
        <v>0</v>
      </c>
      <c r="V49" s="248"/>
      <c r="W49" s="248">
        <f t="shared" si="4"/>
        <v>0</v>
      </c>
      <c r="X49" s="248"/>
      <c r="Y49" s="1871">
        <f t="shared" si="5"/>
        <v>0</v>
      </c>
      <c r="Z49" s="2300">
        <f t="shared" si="6"/>
        <v>0</v>
      </c>
      <c r="AA49" s="1880">
        <f>SUM('5.2.a. sz. mell.'!F49+'5.2.b. sz. mell'!F49+'5.2.c. sz. mell.'!F49)</f>
        <v>0</v>
      </c>
      <c r="AB49" s="248"/>
      <c r="AC49" s="1885">
        <f>SUM('5.2.a. sz. mell.'!H49+'5.2.b. sz. mell'!H49+'5.2.c. sz. mell.'!H49)</f>
        <v>0</v>
      </c>
      <c r="AD49" s="248"/>
      <c r="AE49" s="248">
        <f>SUM('5.2.a. sz. mell.'!J49+'5.2.b. sz. mell'!J49+'5.2.c. sz. mell.'!J49)</f>
        <v>0</v>
      </c>
      <c r="AF49" s="248"/>
      <c r="AG49" s="1871">
        <f>SUM('5.2.a. sz. mell.'!L49+'5.2.b. sz. mell'!L49+'5.2.c. sz. mell.'!L49)</f>
        <v>0</v>
      </c>
      <c r="AH49" s="2300">
        <f>SUM('5.2.a. sz. mell.'!M49+'5.2.b. sz. mell'!M49+'5.2.c. sz. mell.'!M49)</f>
        <v>0</v>
      </c>
    </row>
    <row r="50" spans="1:34" s="145" customFormat="1" ht="15" customHeight="1" x14ac:dyDescent="0.2">
      <c r="A50" s="142"/>
      <c r="B50" s="176" t="s">
        <v>154</v>
      </c>
      <c r="C50" s="55" t="s">
        <v>155</v>
      </c>
      <c r="D50" s="144">
        <v>7928</v>
      </c>
      <c r="E50" s="144">
        <v>8370</v>
      </c>
      <c r="F50" s="144">
        <v>11228183</v>
      </c>
      <c r="G50" s="1415">
        <f t="shared" si="7"/>
        <v>0</v>
      </c>
      <c r="H50" s="144">
        <v>11228183</v>
      </c>
      <c r="I50" s="1376">
        <f t="shared" si="7"/>
        <v>147677</v>
      </c>
      <c r="J50" s="144">
        <v>11375860</v>
      </c>
      <c r="K50" s="1376">
        <f t="shared" si="7"/>
        <v>0</v>
      </c>
      <c r="L50" s="144">
        <v>11375860</v>
      </c>
      <c r="M50" s="144">
        <v>11362890</v>
      </c>
      <c r="S50" s="1876">
        <f t="shared" si="2"/>
        <v>0</v>
      </c>
      <c r="T50" s="248"/>
      <c r="U50" s="1885">
        <f t="shared" si="3"/>
        <v>0</v>
      </c>
      <c r="V50" s="248"/>
      <c r="W50" s="248">
        <f t="shared" si="4"/>
        <v>0</v>
      </c>
      <c r="X50" s="248"/>
      <c r="Y50" s="1871">
        <f t="shared" si="5"/>
        <v>0</v>
      </c>
      <c r="Z50" s="2300">
        <f t="shared" si="6"/>
        <v>0</v>
      </c>
      <c r="AA50" s="1880">
        <f>SUM('5.2.a. sz. mell.'!F50+'5.2.b. sz. mell'!F50+'5.2.c. sz. mell.'!F50)</f>
        <v>11228183</v>
      </c>
      <c r="AB50" s="248"/>
      <c r="AC50" s="1885">
        <f>SUM('5.2.a. sz. mell.'!H50+'5.2.b. sz. mell'!H50+'5.2.c. sz. mell.'!H50)</f>
        <v>11228183</v>
      </c>
      <c r="AD50" s="248"/>
      <c r="AE50" s="248">
        <f>SUM('5.2.a. sz. mell.'!J50+'5.2.b. sz. mell'!J50+'5.2.c. sz. mell.'!J50)</f>
        <v>11375860</v>
      </c>
      <c r="AF50" s="248"/>
      <c r="AG50" s="1871">
        <f>SUM('5.2.a. sz. mell.'!L50+'5.2.b. sz. mell'!L50+'5.2.c. sz. mell.'!L50)</f>
        <v>11375860</v>
      </c>
      <c r="AH50" s="2300">
        <f>SUM('5.2.a. sz. mell.'!M50+'5.2.b. sz. mell'!M50+'5.2.c. sz. mell.'!M50)</f>
        <v>11362890</v>
      </c>
    </row>
    <row r="51" spans="1:34" s="145" customFormat="1" ht="12.75" hidden="1" customHeight="1" x14ac:dyDescent="0.2">
      <c r="A51" s="142"/>
      <c r="B51" s="176"/>
      <c r="C51" s="309" t="s">
        <v>463</v>
      </c>
      <c r="D51" s="302"/>
      <c r="E51" s="302"/>
      <c r="F51" s="302"/>
      <c r="G51" s="1415">
        <f t="shared" si="7"/>
        <v>0</v>
      </c>
      <c r="H51" s="302"/>
      <c r="I51" s="1376">
        <f t="shared" si="7"/>
        <v>0</v>
      </c>
      <c r="J51" s="302"/>
      <c r="K51" s="1376">
        <f t="shared" si="7"/>
        <v>0</v>
      </c>
      <c r="L51" s="302"/>
      <c r="M51" s="302"/>
      <c r="S51" s="1876">
        <f t="shared" si="2"/>
        <v>0</v>
      </c>
      <c r="T51" s="248"/>
      <c r="U51" s="1885">
        <f t="shared" si="3"/>
        <v>0</v>
      </c>
      <c r="V51" s="248"/>
      <c r="W51" s="248">
        <f t="shared" si="4"/>
        <v>0</v>
      </c>
      <c r="X51" s="248"/>
      <c r="Y51" s="1871">
        <f t="shared" si="5"/>
        <v>0</v>
      </c>
      <c r="Z51" s="2300">
        <f t="shared" si="6"/>
        <v>0</v>
      </c>
      <c r="AA51" s="1880">
        <f>SUM('5.2.a. sz. mell.'!F51+'5.2.b. sz. mell'!F51+'5.2.c. sz. mell.'!F51)</f>
        <v>0</v>
      </c>
      <c r="AB51" s="248"/>
      <c r="AC51" s="1885">
        <f>SUM('5.2.a. sz. mell.'!H51+'5.2.b. sz. mell'!H51+'5.2.c. sz. mell.'!H51)</f>
        <v>0</v>
      </c>
      <c r="AD51" s="248"/>
      <c r="AE51" s="248">
        <f>SUM('5.2.a. sz. mell.'!J51+'5.2.b. sz. mell'!J51+'5.2.c. sz. mell.'!J51)</f>
        <v>0</v>
      </c>
      <c r="AF51" s="248"/>
      <c r="AG51" s="1871">
        <f>SUM('5.2.a. sz. mell.'!L51+'5.2.b. sz. mell'!L51+'5.2.c. sz. mell.'!L51)</f>
        <v>0</v>
      </c>
      <c r="AH51" s="2300">
        <f>SUM('5.2.a. sz. mell.'!M51+'5.2.b. sz. mell'!M51+'5.2.c. sz. mell.'!M51)</f>
        <v>0</v>
      </c>
    </row>
    <row r="52" spans="1:34" s="145" customFormat="1" ht="15" customHeight="1" x14ac:dyDescent="0.2">
      <c r="A52" s="142"/>
      <c r="B52" s="176" t="s">
        <v>156</v>
      </c>
      <c r="C52" s="55" t="s">
        <v>157</v>
      </c>
      <c r="D52" s="144">
        <v>7135</v>
      </c>
      <c r="E52" s="144">
        <v>8039</v>
      </c>
      <c r="F52" s="144">
        <v>6178120</v>
      </c>
      <c r="G52" s="1415">
        <f t="shared" si="7"/>
        <v>793309</v>
      </c>
      <c r="H52" s="144">
        <v>6971429</v>
      </c>
      <c r="I52" s="1376">
        <f t="shared" si="7"/>
        <v>-818767</v>
      </c>
      <c r="J52" s="144">
        <v>6152662</v>
      </c>
      <c r="K52" s="1376">
        <f t="shared" si="7"/>
        <v>0</v>
      </c>
      <c r="L52" s="144">
        <v>6152662</v>
      </c>
      <c r="M52" s="144">
        <v>6147247</v>
      </c>
      <c r="S52" s="1876">
        <f t="shared" si="2"/>
        <v>0</v>
      </c>
      <c r="T52" s="248"/>
      <c r="U52" s="1885">
        <f t="shared" si="3"/>
        <v>0</v>
      </c>
      <c r="V52" s="248"/>
      <c r="W52" s="248">
        <f t="shared" si="4"/>
        <v>0</v>
      </c>
      <c r="X52" s="248"/>
      <c r="Y52" s="1871">
        <f t="shared" si="5"/>
        <v>0</v>
      </c>
      <c r="Z52" s="2300">
        <f t="shared" si="6"/>
        <v>0</v>
      </c>
      <c r="AA52" s="1880">
        <f>SUM('5.2.a. sz. mell.'!F52+'5.2.b. sz. mell'!F52+'5.2.c. sz. mell.'!F52)</f>
        <v>6178120</v>
      </c>
      <c r="AB52" s="248"/>
      <c r="AC52" s="1885">
        <f>SUM('5.2.a. sz. mell.'!H52+'5.2.b. sz. mell'!H52+'5.2.c. sz. mell.'!H52)</f>
        <v>6971429</v>
      </c>
      <c r="AD52" s="248"/>
      <c r="AE52" s="248">
        <f>SUM('5.2.a. sz. mell.'!J52+'5.2.b. sz. mell'!J52+'5.2.c. sz. mell.'!J52)</f>
        <v>6152662</v>
      </c>
      <c r="AF52" s="248"/>
      <c r="AG52" s="1871">
        <f>SUM('5.2.a. sz. mell.'!L52+'5.2.b. sz. mell'!L52+'5.2.c. sz. mell.'!L52)</f>
        <v>6152662</v>
      </c>
      <c r="AH52" s="2300">
        <f>SUM('5.2.a. sz. mell.'!M52+'5.2.b. sz. mell'!M52+'5.2.c. sz. mell.'!M52)</f>
        <v>6147247</v>
      </c>
    </row>
    <row r="53" spans="1:34" s="145" customFormat="1" ht="12.75" hidden="1" customHeight="1" x14ac:dyDescent="0.2">
      <c r="A53" s="142"/>
      <c r="B53" s="176"/>
      <c r="C53" s="309" t="s">
        <v>463</v>
      </c>
      <c r="D53" s="302"/>
      <c r="E53" s="302"/>
      <c r="F53" s="302"/>
      <c r="G53" s="1415">
        <f t="shared" si="7"/>
        <v>0</v>
      </c>
      <c r="H53" s="302"/>
      <c r="I53" s="1376">
        <f t="shared" si="7"/>
        <v>0</v>
      </c>
      <c r="J53" s="302"/>
      <c r="K53" s="1376">
        <f t="shared" si="7"/>
        <v>0</v>
      </c>
      <c r="L53" s="302"/>
      <c r="M53" s="302"/>
      <c r="S53" s="1876">
        <f t="shared" si="2"/>
        <v>0</v>
      </c>
      <c r="T53" s="248"/>
      <c r="U53" s="1885">
        <f t="shared" si="3"/>
        <v>0</v>
      </c>
      <c r="V53" s="248"/>
      <c r="W53" s="248">
        <f t="shared" si="4"/>
        <v>0</v>
      </c>
      <c r="X53" s="248"/>
      <c r="Y53" s="1871">
        <f t="shared" si="5"/>
        <v>0</v>
      </c>
      <c r="Z53" s="2300">
        <f t="shared" si="6"/>
        <v>0</v>
      </c>
      <c r="AA53" s="1880">
        <f>SUM('5.2.a. sz. mell.'!F53+'5.2.b. sz. mell'!F53+'5.2.c. sz. mell.'!F53)</f>
        <v>0</v>
      </c>
      <c r="AB53" s="248"/>
      <c r="AC53" s="1885">
        <f>SUM('5.2.a. sz. mell.'!H53+'5.2.b. sz. mell'!H53+'5.2.c. sz. mell.'!H53)</f>
        <v>0</v>
      </c>
      <c r="AD53" s="248"/>
      <c r="AE53" s="248">
        <f>SUM('5.2.a. sz. mell.'!J53+'5.2.b. sz. mell'!J53+'5.2.c. sz. mell.'!J53)</f>
        <v>0</v>
      </c>
      <c r="AF53" s="248"/>
      <c r="AG53" s="1871">
        <f>SUM('5.2.a. sz. mell.'!L53+'5.2.b. sz. mell'!L53+'5.2.c. sz. mell.'!L53)</f>
        <v>0</v>
      </c>
      <c r="AH53" s="2300">
        <f>SUM('5.2.a. sz. mell.'!M53+'5.2.b. sz. mell'!M53+'5.2.c. sz. mell.'!M53)</f>
        <v>0</v>
      </c>
    </row>
    <row r="54" spans="1:34" s="145" customFormat="1" ht="15" customHeight="1" x14ac:dyDescent="0.2">
      <c r="A54" s="142"/>
      <c r="B54" s="176" t="s">
        <v>158</v>
      </c>
      <c r="C54" s="55" t="s">
        <v>159</v>
      </c>
      <c r="D54" s="144"/>
      <c r="E54" s="144"/>
      <c r="F54" s="144"/>
      <c r="G54" s="1415">
        <f t="shared" si="7"/>
        <v>0</v>
      </c>
      <c r="H54" s="144"/>
      <c r="I54" s="1376">
        <f t="shared" si="7"/>
        <v>0</v>
      </c>
      <c r="J54" s="144"/>
      <c r="K54" s="1376">
        <f t="shared" si="7"/>
        <v>0</v>
      </c>
      <c r="L54" s="144"/>
      <c r="M54" s="144"/>
      <c r="S54" s="1876">
        <f t="shared" si="2"/>
        <v>0</v>
      </c>
      <c r="T54" s="248"/>
      <c r="U54" s="1885">
        <f t="shared" si="3"/>
        <v>0</v>
      </c>
      <c r="V54" s="248"/>
      <c r="W54" s="248">
        <f t="shared" si="4"/>
        <v>0</v>
      </c>
      <c r="X54" s="248"/>
      <c r="Y54" s="1871">
        <f t="shared" si="5"/>
        <v>0</v>
      </c>
      <c r="Z54" s="2300">
        <f t="shared" si="6"/>
        <v>0</v>
      </c>
      <c r="AA54" s="1880">
        <f>SUM('5.2.a. sz. mell.'!F54+'5.2.b. sz. mell'!F54+'5.2.c. sz. mell.'!F54)</f>
        <v>0</v>
      </c>
      <c r="AB54" s="248"/>
      <c r="AC54" s="1885">
        <f>SUM('5.2.a. sz. mell.'!H54+'5.2.b. sz. mell'!H54+'5.2.c. sz. mell.'!H54)</f>
        <v>0</v>
      </c>
      <c r="AD54" s="248"/>
      <c r="AE54" s="248">
        <f>SUM('5.2.a. sz. mell.'!J54+'5.2.b. sz. mell'!J54+'5.2.c. sz. mell.'!J54)</f>
        <v>0</v>
      </c>
      <c r="AF54" s="248"/>
      <c r="AG54" s="1871">
        <f>SUM('5.2.a. sz. mell.'!L54+'5.2.b. sz. mell'!L54+'5.2.c. sz. mell.'!L54)</f>
        <v>0</v>
      </c>
      <c r="AH54" s="2300">
        <f>SUM('5.2.a. sz. mell.'!M54+'5.2.b. sz. mell'!M54+'5.2.c. sz. mell.'!M54)</f>
        <v>0</v>
      </c>
    </row>
    <row r="55" spans="1:34" s="145" customFormat="1" ht="15" customHeight="1" thickBot="1" x14ac:dyDescent="0.25">
      <c r="A55" s="142"/>
      <c r="B55" s="176" t="s">
        <v>160</v>
      </c>
      <c r="C55" s="55" t="s">
        <v>161</v>
      </c>
      <c r="D55" s="144">
        <v>0</v>
      </c>
      <c r="E55" s="144">
        <v>0</v>
      </c>
      <c r="F55" s="144"/>
      <c r="G55" s="1415">
        <f t="shared" si="7"/>
        <v>0</v>
      </c>
      <c r="H55" s="144"/>
      <c r="I55" s="1376">
        <f t="shared" si="7"/>
        <v>0</v>
      </c>
      <c r="J55" s="144"/>
      <c r="K55" s="1376">
        <f t="shared" si="7"/>
        <v>0</v>
      </c>
      <c r="L55" s="144"/>
      <c r="M55" s="144"/>
      <c r="S55" s="1876">
        <f t="shared" si="2"/>
        <v>0</v>
      </c>
      <c r="T55" s="248"/>
      <c r="U55" s="1885">
        <f t="shared" si="3"/>
        <v>0</v>
      </c>
      <c r="V55" s="248"/>
      <c r="W55" s="248">
        <f t="shared" si="4"/>
        <v>0</v>
      </c>
      <c r="X55" s="248"/>
      <c r="Y55" s="1871">
        <f t="shared" si="5"/>
        <v>0</v>
      </c>
      <c r="Z55" s="2300">
        <f t="shared" si="6"/>
        <v>0</v>
      </c>
      <c r="AA55" s="1880">
        <f>SUM('5.2.a. sz. mell.'!F55+'5.2.b. sz. mell'!F55+'5.2.c. sz. mell.'!F55)</f>
        <v>0</v>
      </c>
      <c r="AB55" s="248"/>
      <c r="AC55" s="1885">
        <f>SUM('5.2.a. sz. mell.'!H55+'5.2.b. sz. mell'!H55+'5.2.c. sz. mell.'!H55)</f>
        <v>0</v>
      </c>
      <c r="AD55" s="248"/>
      <c r="AE55" s="248">
        <f>SUM('5.2.a. sz. mell.'!J55+'5.2.b. sz. mell'!J55+'5.2.c. sz. mell.'!J55)</f>
        <v>0</v>
      </c>
      <c r="AF55" s="248"/>
      <c r="AG55" s="1871">
        <f>SUM('5.2.a. sz. mell.'!L55+'5.2.b. sz. mell'!L55+'5.2.c. sz. mell.'!L55)</f>
        <v>0</v>
      </c>
      <c r="AH55" s="2300">
        <f>SUM('5.2.a. sz. mell.'!M55+'5.2.b. sz. mell'!M55+'5.2.c. sz. mell.'!M55)</f>
        <v>0</v>
      </c>
    </row>
    <row r="56" spans="1:34" s="145" customFormat="1" ht="15" customHeight="1" thickBot="1" x14ac:dyDescent="0.25">
      <c r="A56" s="134" t="s">
        <v>17</v>
      </c>
      <c r="B56" s="170"/>
      <c r="C56" s="170" t="s">
        <v>443</v>
      </c>
      <c r="D56" s="137">
        <f>SUM(D57:D60)</f>
        <v>0</v>
      </c>
      <c r="E56" s="137">
        <f>SUM(E57:E60)</f>
        <v>1960</v>
      </c>
      <c r="F56" s="137">
        <f>SUM(F57:F60)</f>
        <v>635000</v>
      </c>
      <c r="G56" s="1382">
        <f t="shared" si="7"/>
        <v>372000</v>
      </c>
      <c r="H56" s="137">
        <f>SUM(H57:H60)</f>
        <v>1007000</v>
      </c>
      <c r="I56" s="1374">
        <f t="shared" si="7"/>
        <v>-225832</v>
      </c>
      <c r="J56" s="137">
        <f>SUM(J57:J60)</f>
        <v>781168</v>
      </c>
      <c r="K56" s="1374">
        <f t="shared" si="7"/>
        <v>0</v>
      </c>
      <c r="L56" s="137">
        <f>SUM(L57:L60)</f>
        <v>781168</v>
      </c>
      <c r="M56" s="137">
        <f>SUM(M57:M60)</f>
        <v>781168</v>
      </c>
      <c r="S56" s="1876">
        <f t="shared" si="2"/>
        <v>0</v>
      </c>
      <c r="T56" s="248"/>
      <c r="U56" s="1885">
        <f t="shared" si="3"/>
        <v>0</v>
      </c>
      <c r="V56" s="248"/>
      <c r="W56" s="248">
        <f t="shared" si="4"/>
        <v>0</v>
      </c>
      <c r="X56" s="248"/>
      <c r="Y56" s="1871">
        <f t="shared" si="5"/>
        <v>0</v>
      </c>
      <c r="Z56" s="2300">
        <f t="shared" si="6"/>
        <v>0</v>
      </c>
      <c r="AA56" s="1880">
        <f>SUM('5.2.a. sz. mell.'!F56+'5.2.b. sz. mell'!F56+'5.2.c. sz. mell.'!F56)</f>
        <v>635000</v>
      </c>
      <c r="AB56" s="248"/>
      <c r="AC56" s="1885">
        <f>SUM('5.2.a. sz. mell.'!H56+'5.2.b. sz. mell'!H56+'5.2.c. sz. mell.'!H56)</f>
        <v>1007000</v>
      </c>
      <c r="AD56" s="248"/>
      <c r="AE56" s="248">
        <f>SUM('5.2.a. sz. mell.'!J56+'5.2.b. sz. mell'!J56+'5.2.c. sz. mell.'!J56)</f>
        <v>781168</v>
      </c>
      <c r="AF56" s="248"/>
      <c r="AG56" s="1871">
        <f>SUM('5.2.a. sz. mell.'!L56+'5.2.b. sz. mell'!L56+'5.2.c. sz. mell.'!L56)</f>
        <v>781168</v>
      </c>
      <c r="AH56" s="2300">
        <f>SUM('5.2.a. sz. mell.'!M56+'5.2.b. sz. mell'!M56+'5.2.c. sz. mell.'!M56)</f>
        <v>781168</v>
      </c>
    </row>
    <row r="57" spans="1:34" s="141" customFormat="1" ht="15" customHeight="1" x14ac:dyDescent="0.2">
      <c r="A57" s="173"/>
      <c r="B57" s="267" t="s">
        <v>5</v>
      </c>
      <c r="C57" s="251" t="s">
        <v>183</v>
      </c>
      <c r="D57" s="175">
        <v>0</v>
      </c>
      <c r="E57" s="175">
        <v>1960</v>
      </c>
      <c r="F57" s="175">
        <v>635000</v>
      </c>
      <c r="G57" s="1415">
        <f t="shared" si="7"/>
        <v>372000</v>
      </c>
      <c r="H57" s="175">
        <v>1007000</v>
      </c>
      <c r="I57" s="1376">
        <f t="shared" si="7"/>
        <v>-225832</v>
      </c>
      <c r="J57" s="175">
        <v>781168</v>
      </c>
      <c r="K57" s="1376">
        <f t="shared" si="7"/>
        <v>0</v>
      </c>
      <c r="L57" s="175">
        <v>781168</v>
      </c>
      <c r="M57" s="175">
        <v>781168</v>
      </c>
      <c r="S57" s="1876">
        <f t="shared" si="2"/>
        <v>0</v>
      </c>
      <c r="T57" s="248"/>
      <c r="U57" s="1885">
        <f t="shared" si="3"/>
        <v>0</v>
      </c>
      <c r="V57" s="248"/>
      <c r="W57" s="248">
        <f t="shared" si="4"/>
        <v>0</v>
      </c>
      <c r="X57" s="248"/>
      <c r="Y57" s="1871">
        <f t="shared" si="5"/>
        <v>0</v>
      </c>
      <c r="Z57" s="2300">
        <f t="shared" si="6"/>
        <v>0</v>
      </c>
      <c r="AA57" s="1880">
        <f>SUM('5.2.a. sz. mell.'!F57+'5.2.b. sz. mell'!F57+'5.2.c. sz. mell.'!F57)</f>
        <v>635000</v>
      </c>
      <c r="AB57" s="248"/>
      <c r="AC57" s="1885">
        <f>SUM('5.2.a. sz. mell.'!H57+'5.2.b. sz. mell'!H57+'5.2.c. sz. mell.'!H57)</f>
        <v>1007000</v>
      </c>
      <c r="AD57" s="248"/>
      <c r="AE57" s="248">
        <f>SUM('5.2.a. sz. mell.'!J57+'5.2.b. sz. mell'!J57+'5.2.c. sz. mell.'!J57)</f>
        <v>781168</v>
      </c>
      <c r="AF57" s="248"/>
      <c r="AG57" s="1871">
        <f>SUM('5.2.a. sz. mell.'!L57+'5.2.b. sz. mell'!L57+'5.2.c. sz. mell.'!L57)</f>
        <v>781168</v>
      </c>
      <c r="AH57" s="2300">
        <f>SUM('5.2.a. sz. mell.'!M57+'5.2.b. sz. mell'!M57+'5.2.c. sz. mell.'!M57)</f>
        <v>781168</v>
      </c>
    </row>
    <row r="58" spans="1:34" s="145" customFormat="1" ht="15" customHeight="1" x14ac:dyDescent="0.2">
      <c r="A58" s="142"/>
      <c r="B58" s="253" t="s">
        <v>7</v>
      </c>
      <c r="C58" s="55" t="s">
        <v>185</v>
      </c>
      <c r="D58" s="144">
        <v>0</v>
      </c>
      <c r="E58" s="144">
        <v>0</v>
      </c>
      <c r="F58" s="144"/>
      <c r="G58" s="1415">
        <f t="shared" si="7"/>
        <v>0</v>
      </c>
      <c r="H58" s="144"/>
      <c r="I58" s="1376">
        <f t="shared" si="7"/>
        <v>0</v>
      </c>
      <c r="J58" s="144"/>
      <c r="K58" s="1376">
        <f t="shared" si="7"/>
        <v>0</v>
      </c>
      <c r="L58" s="144"/>
      <c r="M58" s="144"/>
      <c r="S58" s="1876">
        <f t="shared" si="2"/>
        <v>0</v>
      </c>
      <c r="T58" s="248"/>
      <c r="U58" s="1885">
        <f t="shared" si="3"/>
        <v>0</v>
      </c>
      <c r="V58" s="248"/>
      <c r="W58" s="248">
        <f t="shared" si="4"/>
        <v>0</v>
      </c>
      <c r="X58" s="248"/>
      <c r="Y58" s="1871">
        <f t="shared" si="5"/>
        <v>0</v>
      </c>
      <c r="Z58" s="2300">
        <f t="shared" si="6"/>
        <v>0</v>
      </c>
      <c r="AA58" s="1880">
        <f>SUM('5.2.a. sz. mell.'!F58+'5.2.b. sz. mell'!F58+'5.2.c. sz. mell.'!F58)</f>
        <v>0</v>
      </c>
      <c r="AB58" s="248"/>
      <c r="AC58" s="1885">
        <f>SUM('5.2.a. sz. mell.'!H58+'5.2.b. sz. mell'!H58+'5.2.c. sz. mell.'!H58)</f>
        <v>0</v>
      </c>
      <c r="AD58" s="248"/>
      <c r="AE58" s="248">
        <f>SUM('5.2.a. sz. mell.'!J58+'5.2.b. sz. mell'!J58+'5.2.c. sz. mell.'!J58)</f>
        <v>0</v>
      </c>
      <c r="AF58" s="248"/>
      <c r="AG58" s="1871">
        <f>SUM('5.2.a. sz. mell.'!L58+'5.2.b. sz. mell'!L58+'5.2.c. sz. mell.'!L58)</f>
        <v>0</v>
      </c>
      <c r="AH58" s="2300">
        <f>SUM('5.2.a. sz. mell.'!M58+'5.2.b. sz. mell'!M58+'5.2.c. sz. mell.'!M58)</f>
        <v>0</v>
      </c>
    </row>
    <row r="59" spans="1:34" s="145" customFormat="1" ht="15.75" thickBot="1" x14ac:dyDescent="0.25">
      <c r="A59" s="142"/>
      <c r="B59" s="253" t="s">
        <v>9</v>
      </c>
      <c r="C59" s="55" t="s">
        <v>444</v>
      </c>
      <c r="D59" s="144">
        <v>0</v>
      </c>
      <c r="E59" s="144">
        <v>0</v>
      </c>
      <c r="F59" s="144">
        <v>0</v>
      </c>
      <c r="G59" s="1415">
        <f t="shared" si="7"/>
        <v>0</v>
      </c>
      <c r="H59" s="144"/>
      <c r="I59" s="1376">
        <f t="shared" si="7"/>
        <v>0</v>
      </c>
      <c r="J59" s="144"/>
      <c r="K59" s="1376">
        <f t="shared" si="7"/>
        <v>0</v>
      </c>
      <c r="L59" s="144"/>
      <c r="M59" s="144"/>
      <c r="S59" s="1876">
        <f t="shared" si="2"/>
        <v>0</v>
      </c>
      <c r="T59" s="248"/>
      <c r="U59" s="1885">
        <f t="shared" si="3"/>
        <v>0</v>
      </c>
      <c r="V59" s="248"/>
      <c r="W59" s="248">
        <f t="shared" si="4"/>
        <v>0</v>
      </c>
      <c r="X59" s="248"/>
      <c r="Y59" s="1871">
        <f t="shared" si="5"/>
        <v>0</v>
      </c>
      <c r="Z59" s="2300">
        <f t="shared" si="6"/>
        <v>0</v>
      </c>
      <c r="AA59" s="1880">
        <f>SUM('5.2.a. sz. mell.'!F59+'5.2.b. sz. mell'!F59+'5.2.c. sz. mell.'!F59)</f>
        <v>0</v>
      </c>
      <c r="AB59" s="248"/>
      <c r="AC59" s="1885">
        <f>SUM('5.2.a. sz. mell.'!H59+'5.2.b. sz. mell'!H59+'5.2.c. sz. mell.'!H59)</f>
        <v>0</v>
      </c>
      <c r="AD59" s="248"/>
      <c r="AE59" s="248">
        <f>SUM('5.2.a. sz. mell.'!J59+'5.2.b. sz. mell'!J59+'5.2.c. sz. mell.'!J59)</f>
        <v>0</v>
      </c>
      <c r="AF59" s="248"/>
      <c r="AG59" s="1871">
        <f>SUM('5.2.a. sz. mell.'!L59+'5.2.b. sz. mell'!L59+'5.2.c. sz. mell.'!L59)</f>
        <v>0</v>
      </c>
      <c r="AH59" s="2300">
        <f>SUM('5.2.a. sz. mell.'!M59+'5.2.b. sz. mell'!M59+'5.2.c. sz. mell.'!M59)</f>
        <v>0</v>
      </c>
    </row>
    <row r="60" spans="1:34" s="145" customFormat="1" ht="12.75" hidden="1" customHeight="1" x14ac:dyDescent="0.2">
      <c r="A60" s="142"/>
      <c r="B60" s="176" t="s">
        <v>189</v>
      </c>
      <c r="C60" s="55" t="s">
        <v>448</v>
      </c>
      <c r="D60" s="144">
        <v>0</v>
      </c>
      <c r="E60" s="144">
        <v>0</v>
      </c>
      <c r="F60" s="144">
        <v>0</v>
      </c>
      <c r="G60" s="1415">
        <f t="shared" si="7"/>
        <v>0</v>
      </c>
      <c r="H60" s="144">
        <v>0</v>
      </c>
      <c r="I60" s="1376">
        <f t="shared" si="7"/>
        <v>0</v>
      </c>
      <c r="J60" s="144">
        <v>0</v>
      </c>
      <c r="K60" s="1376">
        <f t="shared" si="7"/>
        <v>0</v>
      </c>
      <c r="L60" s="144">
        <v>0</v>
      </c>
      <c r="M60" s="144">
        <v>0</v>
      </c>
      <c r="S60" s="1876">
        <f t="shared" si="2"/>
        <v>0</v>
      </c>
      <c r="T60" s="248"/>
      <c r="U60" s="1885">
        <f t="shared" si="3"/>
        <v>0</v>
      </c>
      <c r="V60" s="248"/>
      <c r="W60" s="248">
        <f t="shared" si="4"/>
        <v>0</v>
      </c>
      <c r="X60" s="248"/>
      <c r="Y60" s="1871">
        <f t="shared" si="5"/>
        <v>0</v>
      </c>
      <c r="Z60" s="2300">
        <f t="shared" si="6"/>
        <v>0</v>
      </c>
      <c r="AA60" s="1880">
        <f>SUM('5.2.a. sz. mell.'!F60+'5.2.b. sz. mell'!F60+'5.2.c. sz. mell.'!F60)</f>
        <v>0</v>
      </c>
      <c r="AB60" s="248"/>
      <c r="AC60" s="1885">
        <f>SUM('5.2.a. sz. mell.'!H60+'5.2.b. sz. mell'!H60+'5.2.c. sz. mell.'!H60)</f>
        <v>0</v>
      </c>
      <c r="AD60" s="248"/>
      <c r="AE60" s="248">
        <f>SUM('5.2.a. sz. mell.'!J60+'5.2.b. sz. mell'!J60+'5.2.c. sz. mell.'!J60)</f>
        <v>0</v>
      </c>
      <c r="AF60" s="248"/>
      <c r="AG60" s="1871">
        <f>SUM('5.2.a. sz. mell.'!L60+'5.2.b. sz. mell'!L60+'5.2.c. sz. mell.'!L60)</f>
        <v>0</v>
      </c>
      <c r="AH60" s="2300">
        <f>SUM('5.2.a. sz. mell.'!M60+'5.2.b. sz. mell'!M60+'5.2.c. sz. mell.'!M60)</f>
        <v>0</v>
      </c>
    </row>
    <row r="61" spans="1:34" s="145" customFormat="1" ht="12.75" hidden="1" customHeight="1" x14ac:dyDescent="0.2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415">
        <f t="shared" si="7"/>
        <v>0</v>
      </c>
      <c r="H61" s="155">
        <v>0</v>
      </c>
      <c r="I61" s="1376">
        <f t="shared" si="7"/>
        <v>0</v>
      </c>
      <c r="J61" s="155">
        <v>0</v>
      </c>
      <c r="K61" s="1376">
        <f t="shared" si="7"/>
        <v>0</v>
      </c>
      <c r="L61" s="155">
        <v>0</v>
      </c>
      <c r="M61" s="155">
        <v>0</v>
      </c>
      <c r="S61" s="1876">
        <f t="shared" si="2"/>
        <v>0</v>
      </c>
      <c r="T61" s="248"/>
      <c r="U61" s="1885">
        <f t="shared" si="3"/>
        <v>0</v>
      </c>
      <c r="V61" s="248"/>
      <c r="W61" s="248">
        <f t="shared" si="4"/>
        <v>0</v>
      </c>
      <c r="X61" s="248"/>
      <c r="Y61" s="1871">
        <f t="shared" si="5"/>
        <v>0</v>
      </c>
      <c r="Z61" s="2300">
        <f t="shared" si="6"/>
        <v>0</v>
      </c>
      <c r="AA61" s="1880">
        <f>SUM('5.2.a. sz. mell.'!F61+'5.2.b. sz. mell'!F61+'5.2.c. sz. mell.'!F61)</f>
        <v>0</v>
      </c>
      <c r="AB61" s="248"/>
      <c r="AC61" s="1885">
        <f>SUM('5.2.a. sz. mell.'!H61+'5.2.b. sz. mell'!H61+'5.2.c. sz. mell.'!H61)</f>
        <v>0</v>
      </c>
      <c r="AD61" s="248"/>
      <c r="AE61" s="248">
        <f>SUM('5.2.a. sz. mell.'!J61+'5.2.b. sz. mell'!J61+'5.2.c. sz. mell.'!J61)</f>
        <v>0</v>
      </c>
      <c r="AF61" s="248"/>
      <c r="AG61" s="1871">
        <f>SUM('5.2.a. sz. mell.'!L61+'5.2.b. sz. mell'!L61+'5.2.c. sz. mell.'!L61)</f>
        <v>0</v>
      </c>
      <c r="AH61" s="2300">
        <f>SUM('5.2.a. sz. mell.'!M61+'5.2.b. sz. mell'!M61+'5.2.c. sz. mell.'!M61)</f>
        <v>0</v>
      </c>
    </row>
    <row r="62" spans="1:34" s="145" customFormat="1" ht="12.75" hidden="1" customHeight="1" x14ac:dyDescent="0.2">
      <c r="A62" s="134"/>
      <c r="B62" s="170"/>
      <c r="C62" s="171" t="s">
        <v>459</v>
      </c>
      <c r="D62" s="155"/>
      <c r="E62" s="155"/>
      <c r="F62" s="155"/>
      <c r="G62" s="1415">
        <f t="shared" si="7"/>
        <v>0</v>
      </c>
      <c r="H62" s="155"/>
      <c r="I62" s="1376">
        <f t="shared" si="7"/>
        <v>0</v>
      </c>
      <c r="J62" s="155"/>
      <c r="K62" s="1376">
        <f t="shared" si="7"/>
        <v>0</v>
      </c>
      <c r="L62" s="155"/>
      <c r="M62" s="155"/>
      <c r="S62" s="1876">
        <f t="shared" si="2"/>
        <v>0</v>
      </c>
      <c r="T62" s="248"/>
      <c r="U62" s="1885">
        <f t="shared" si="3"/>
        <v>0</v>
      </c>
      <c r="V62" s="248"/>
      <c r="W62" s="248">
        <f t="shared" si="4"/>
        <v>0</v>
      </c>
      <c r="X62" s="248"/>
      <c r="Y62" s="1871">
        <f t="shared" si="5"/>
        <v>0</v>
      </c>
      <c r="Z62" s="2300">
        <f t="shared" si="6"/>
        <v>0</v>
      </c>
      <c r="AA62" s="1880">
        <f>SUM('5.2.a. sz. mell.'!F62+'5.2.b. sz. mell'!F62+'5.2.c. sz. mell.'!F62)</f>
        <v>0</v>
      </c>
      <c r="AB62" s="248"/>
      <c r="AC62" s="1885">
        <f>SUM('5.2.a. sz. mell.'!H62+'5.2.b. sz. mell'!H62+'5.2.c. sz. mell.'!H62)</f>
        <v>0</v>
      </c>
      <c r="AD62" s="248"/>
      <c r="AE62" s="248">
        <f>SUM('5.2.a. sz. mell.'!J62+'5.2.b. sz. mell'!J62+'5.2.c. sz. mell.'!J62)</f>
        <v>0</v>
      </c>
      <c r="AF62" s="248"/>
      <c r="AG62" s="1871">
        <f>SUM('5.2.a. sz. mell.'!L62+'5.2.b. sz. mell'!L62+'5.2.c. sz. mell.'!L62)</f>
        <v>0</v>
      </c>
      <c r="AH62" s="2300">
        <f>SUM('5.2.a. sz. mell.'!M62+'5.2.b. sz. mell'!M62+'5.2.c. sz. mell.'!M62)</f>
        <v>0</v>
      </c>
    </row>
    <row r="63" spans="1:34" s="145" customFormat="1" ht="15" customHeight="1" thickBot="1" x14ac:dyDescent="0.25">
      <c r="A63" s="192" t="s">
        <v>31</v>
      </c>
      <c r="B63" s="160"/>
      <c r="C63" s="274" t="s">
        <v>465</v>
      </c>
      <c r="D63" s="162">
        <f>+D47+D56+D61</f>
        <v>44564</v>
      </c>
      <c r="E63" s="162">
        <f>+E47+E56+E61</f>
        <v>49505</v>
      </c>
      <c r="F63" s="162">
        <f>+F47+F56+F61+F62</f>
        <v>73228768</v>
      </c>
      <c r="G63" s="1437">
        <f t="shared" si="7"/>
        <v>1165309</v>
      </c>
      <c r="H63" s="162">
        <f>+H47+H56+H61+H62</f>
        <v>74394077</v>
      </c>
      <c r="I63" s="1373">
        <f t="shared" si="7"/>
        <v>104064</v>
      </c>
      <c r="J63" s="162">
        <f>+J47+J56+J61+J62</f>
        <v>74498141</v>
      </c>
      <c r="K63" s="1373">
        <f t="shared" si="7"/>
        <v>0</v>
      </c>
      <c r="L63" s="162">
        <f>+L47+L56+L61+L62</f>
        <v>74498141</v>
      </c>
      <c r="M63" s="162">
        <f>+M47+M56+M61+M62</f>
        <v>74460228</v>
      </c>
      <c r="S63" s="1876">
        <f t="shared" si="2"/>
        <v>0</v>
      </c>
      <c r="T63" s="248"/>
      <c r="U63" s="1885">
        <f t="shared" si="3"/>
        <v>0</v>
      </c>
      <c r="V63" s="248"/>
      <c r="W63" s="248">
        <f t="shared" si="4"/>
        <v>0</v>
      </c>
      <c r="X63" s="248"/>
      <c r="Y63" s="1871">
        <f t="shared" si="5"/>
        <v>0</v>
      </c>
      <c r="Z63" s="2300">
        <f t="shared" si="6"/>
        <v>0</v>
      </c>
      <c r="AA63" s="1880">
        <f>SUM('5.2.a. sz. mell.'!F63+'5.2.b. sz. mell'!F63+'5.2.c. sz. mell.'!F63)</f>
        <v>73228768</v>
      </c>
      <c r="AB63" s="248"/>
      <c r="AC63" s="1885">
        <f>SUM('5.2.a. sz. mell.'!H63+'5.2.b. sz. mell'!H63+'5.2.c. sz. mell.'!H63)</f>
        <v>74394077</v>
      </c>
      <c r="AD63" s="248"/>
      <c r="AE63" s="248">
        <f>SUM('5.2.a. sz. mell.'!J63+'5.2.b. sz. mell'!J63+'5.2.c. sz. mell.'!J63)</f>
        <v>74498141</v>
      </c>
      <c r="AF63" s="248"/>
      <c r="AG63" s="1871">
        <f>SUM('5.2.a. sz. mell.'!L63+'5.2.b. sz. mell'!L63+'5.2.c. sz. mell.'!L63)</f>
        <v>74498141</v>
      </c>
      <c r="AH63" s="2300">
        <f>SUM('5.2.a. sz. mell.'!M63+'5.2.b. sz. mell'!M63+'5.2.c. sz. mell.'!M63)</f>
        <v>74460228</v>
      </c>
    </row>
    <row r="64" spans="1:34" s="145" customFormat="1" ht="15" customHeight="1" thickBot="1" x14ac:dyDescent="0.25">
      <c r="A64" s="2144"/>
      <c r="B64" s="266"/>
      <c r="C64" s="275"/>
      <c r="D64" s="286">
        <f>SUM(D49+D51+D53)</f>
        <v>0</v>
      </c>
      <c r="E64" s="286">
        <f>SUM(E49+E51+E53)</f>
        <v>0</v>
      </c>
      <c r="F64" s="2456"/>
      <c r="G64" s="1443"/>
      <c r="H64" s="1513"/>
      <c r="I64" s="1373"/>
      <c r="J64" s="1513"/>
      <c r="K64" s="1373"/>
      <c r="L64" s="1513"/>
      <c r="M64" s="1458"/>
      <c r="S64" s="1876">
        <f t="shared" si="2"/>
        <v>0</v>
      </c>
      <c r="T64" s="248"/>
      <c r="U64" s="1885">
        <f t="shared" si="3"/>
        <v>0</v>
      </c>
      <c r="V64" s="248"/>
      <c r="W64" s="248">
        <f t="shared" si="4"/>
        <v>0</v>
      </c>
      <c r="X64" s="248"/>
      <c r="Y64" s="1871">
        <f t="shared" si="5"/>
        <v>0</v>
      </c>
      <c r="Z64" s="2300">
        <f t="shared" si="6"/>
        <v>0</v>
      </c>
      <c r="AA64" s="1880">
        <f>SUM('5.2.a. sz. mell.'!F64+'5.2.b. sz. mell'!F64+'5.2.c. sz. mell.'!F64)</f>
        <v>0</v>
      </c>
      <c r="AB64" s="248"/>
      <c r="AC64" s="1885">
        <f>SUM('5.2.a. sz. mell.'!H64+'5.2.b. sz. mell'!H64+'5.2.c. sz. mell.'!H64)</f>
        <v>0</v>
      </c>
      <c r="AD64" s="248"/>
      <c r="AE64" s="248">
        <f>SUM('5.2.a. sz. mell.'!J64+'5.2.b. sz. mell'!J64+'5.2.c. sz. mell.'!J64)</f>
        <v>0</v>
      </c>
      <c r="AF64" s="248"/>
      <c r="AG64" s="1871">
        <f>SUM('5.2.a. sz. mell.'!L64+'5.2.b. sz. mell'!L64+'5.2.c. sz. mell.'!L64)</f>
        <v>0</v>
      </c>
      <c r="AH64" s="2300">
        <f>SUM('5.2.a. sz. mell.'!M64+'5.2.b. sz. mell'!M64+'5.2.c. sz. mell.'!M64)</f>
        <v>0</v>
      </c>
    </row>
    <row r="65" spans="1:34" s="145" customFormat="1" ht="15" customHeight="1" thickBot="1" x14ac:dyDescent="0.25">
      <c r="A65" s="276" t="s">
        <v>324</v>
      </c>
      <c r="B65" s="277"/>
      <c r="C65" s="278"/>
      <c r="D65" s="279">
        <v>15</v>
      </c>
      <c r="E65" s="279">
        <v>15</v>
      </c>
      <c r="F65" s="200">
        <v>17.25</v>
      </c>
      <c r="G65" s="1559">
        <f>SUM(H65-F65)</f>
        <v>0</v>
      </c>
      <c r="H65" s="200">
        <v>17.25</v>
      </c>
      <c r="I65" s="1373">
        <f>SUM(J65-H65)</f>
        <v>0</v>
      </c>
      <c r="J65" s="200">
        <v>17.25</v>
      </c>
      <c r="K65" s="4239">
        <v>17.25</v>
      </c>
      <c r="L65" s="200">
        <v>17.25</v>
      </c>
      <c r="M65" s="200">
        <v>17.25</v>
      </c>
      <c r="S65" s="1876">
        <f t="shared" si="2"/>
        <v>0</v>
      </c>
      <c r="T65" s="248"/>
      <c r="U65" s="1885">
        <f t="shared" si="3"/>
        <v>0</v>
      </c>
      <c r="V65" s="248"/>
      <c r="W65" s="248">
        <f t="shared" si="4"/>
        <v>0</v>
      </c>
      <c r="X65" s="248"/>
      <c r="Y65" s="1871">
        <f t="shared" si="5"/>
        <v>0</v>
      </c>
      <c r="Z65" s="2300">
        <f t="shared" si="6"/>
        <v>0</v>
      </c>
      <c r="AA65" s="2348">
        <f>SUM('5.2.a. sz. mell.'!F65+'5.2.b. sz. mell'!F65+'5.2.c. sz. mell.'!F65)</f>
        <v>17.25</v>
      </c>
      <c r="AB65" s="489"/>
      <c r="AC65" s="1885">
        <f>SUM('5.2.a. sz. mell.'!H65+'5.2.b. sz. mell'!H65+'5.2.c. sz. mell.'!H65)</f>
        <v>17.25</v>
      </c>
      <c r="AD65" s="489"/>
      <c r="AE65" s="489">
        <f>SUM('5.2.a. sz. mell.'!J65+'5.2.b. sz. mell'!J65+'5.2.c. sz. mell.'!J65)</f>
        <v>17.25</v>
      </c>
      <c r="AF65" s="489"/>
      <c r="AG65" s="2349">
        <f>SUM('5.2.a. sz. mell.'!L65+'5.2.b. sz. mell'!L65+'5.2.c. sz. mell.'!L65)</f>
        <v>17.25</v>
      </c>
      <c r="AH65" s="2300">
        <f>SUM('5.2.a. sz. mell.'!M65+'5.2.b. sz. mell'!M65+'5.2.c. sz. mell.'!M65)</f>
        <v>17.25</v>
      </c>
    </row>
    <row r="66" spans="1:34" s="145" customFormat="1" ht="15" customHeight="1" thickBot="1" x14ac:dyDescent="0.25">
      <c r="A66" s="276" t="s">
        <v>325</v>
      </c>
      <c r="B66" s="277"/>
      <c r="C66" s="278"/>
      <c r="D66" s="279"/>
      <c r="E66" s="279"/>
      <c r="F66" s="279"/>
      <c r="G66" s="1560"/>
      <c r="H66" s="279"/>
      <c r="I66" s="1389"/>
      <c r="J66" s="279"/>
      <c r="K66" s="1389"/>
      <c r="L66" s="279"/>
      <c r="M66" s="279"/>
      <c r="S66" s="1876">
        <f t="shared" si="2"/>
        <v>0</v>
      </c>
      <c r="T66" s="248"/>
      <c r="U66" s="1885">
        <f t="shared" si="3"/>
        <v>0</v>
      </c>
      <c r="V66" s="248"/>
      <c r="W66" s="248">
        <f t="shared" si="4"/>
        <v>0</v>
      </c>
      <c r="X66" s="248"/>
      <c r="Y66" s="1871">
        <f t="shared" si="5"/>
        <v>0</v>
      </c>
      <c r="Z66" s="2300">
        <f t="shared" si="6"/>
        <v>0</v>
      </c>
      <c r="AA66" s="1880">
        <f>SUM('5.2.a. sz. mell.'!F66+'5.2.b. sz. mell'!F66+'5.2.c. sz. mell.'!F66)</f>
        <v>0</v>
      </c>
      <c r="AB66" s="248"/>
      <c r="AC66" s="1885">
        <f>SUM('5.2.a. sz. mell.'!H66+'5.2.b. sz. mell'!H66+'5.2.c. sz. mell.'!H66)</f>
        <v>0</v>
      </c>
      <c r="AD66" s="248"/>
      <c r="AE66" s="248">
        <f>SUM('5.2.a. sz. mell.'!J66+'5.2.b. sz. mell'!J66+'5.2.c. sz. mell.'!J66)</f>
        <v>0</v>
      </c>
      <c r="AF66" s="248"/>
      <c r="AG66" s="1871">
        <f>SUM('5.2.a. sz. mell.'!L66+'5.2.b. sz. mell'!L66+'5.2.c. sz. mell.'!L66)</f>
        <v>0</v>
      </c>
      <c r="AH66" s="2300">
        <f>SUM('5.2.a. sz. mell.'!M66+'5.2.b. sz. mell'!M66+'5.2.c. sz. mell.'!M66)</f>
        <v>0</v>
      </c>
    </row>
    <row r="67" spans="1:34" ht="15" x14ac:dyDescent="0.2">
      <c r="AH67" s="2300"/>
    </row>
    <row r="72" spans="1:34" ht="15.75" x14ac:dyDescent="0.2">
      <c r="C72" s="116" t="s">
        <v>945</v>
      </c>
      <c r="D72" s="116"/>
      <c r="E72" s="116"/>
      <c r="F72" s="116"/>
      <c r="G72" s="1416"/>
      <c r="H72" s="116"/>
      <c r="I72" s="1416"/>
      <c r="J72" s="116"/>
      <c r="K72" s="1416"/>
      <c r="L72" s="116"/>
      <c r="M72" s="116"/>
    </row>
    <row r="73" spans="1:34" ht="15.75" x14ac:dyDescent="0.2">
      <c r="C73" s="116" t="s">
        <v>942</v>
      </c>
      <c r="D73" s="116"/>
      <c r="E73" s="116"/>
      <c r="F73" s="116"/>
      <c r="G73" s="1416"/>
      <c r="H73" s="116">
        <v>74394077</v>
      </c>
      <c r="I73" s="1416"/>
      <c r="J73" s="116">
        <v>74498141</v>
      </c>
      <c r="K73" s="1416"/>
      <c r="L73" s="116">
        <v>74498141</v>
      </c>
      <c r="M73" s="116">
        <v>74460228</v>
      </c>
    </row>
    <row r="74" spans="1:34" ht="15.75" x14ac:dyDescent="0.2">
      <c r="C74" s="116" t="s">
        <v>943</v>
      </c>
      <c r="D74" s="116"/>
      <c r="E74" s="116"/>
      <c r="F74" s="116"/>
      <c r="G74" s="1416"/>
      <c r="H74" s="116"/>
      <c r="I74" s="1416"/>
      <c r="J74" s="116"/>
      <c r="K74" s="1416"/>
      <c r="L74" s="116"/>
      <c r="M74" s="116"/>
    </row>
    <row r="75" spans="1:34" ht="15.75" x14ac:dyDescent="0.2">
      <c r="C75" s="116" t="s">
        <v>944</v>
      </c>
      <c r="D75" s="116"/>
      <c r="E75" s="116"/>
      <c r="F75" s="116"/>
      <c r="G75" s="1416"/>
      <c r="H75" s="116">
        <f>SUM(H73:H74)</f>
        <v>74394077</v>
      </c>
      <c r="I75" s="116"/>
      <c r="J75" s="116">
        <f>SUM(J73:J74)</f>
        <v>74498141</v>
      </c>
      <c r="K75" s="116">
        <f>SUM(K73:K74)</f>
        <v>0</v>
      </c>
      <c r="L75" s="116">
        <f>SUM(L73:L74)</f>
        <v>74498141</v>
      </c>
      <c r="M75" s="116">
        <f>SUM(M73:M74)</f>
        <v>74460228</v>
      </c>
    </row>
    <row r="76" spans="1:34" ht="15.75" x14ac:dyDescent="0.2">
      <c r="C76" s="116"/>
      <c r="D76" s="116"/>
      <c r="E76" s="116"/>
      <c r="F76" s="116"/>
      <c r="G76" s="1416"/>
      <c r="H76" s="116"/>
      <c r="I76" s="1416"/>
      <c r="J76" s="116"/>
      <c r="K76" s="116"/>
      <c r="L76" s="116"/>
      <c r="M76" s="116"/>
    </row>
    <row r="77" spans="1:34" ht="15.75" x14ac:dyDescent="0.2">
      <c r="C77" s="1126" t="s">
        <v>893</v>
      </c>
      <c r="D77" s="116"/>
      <c r="E77" s="116"/>
      <c r="F77" s="116"/>
      <c r="G77" s="1416"/>
      <c r="H77" s="482">
        <f>SUM(H63-H75)</f>
        <v>0</v>
      </c>
      <c r="I77" s="482"/>
      <c r="J77" s="482">
        <f>SUM(J63-J75)</f>
        <v>0</v>
      </c>
      <c r="K77" s="482">
        <f>SUM(K63-K75)</f>
        <v>0</v>
      </c>
      <c r="L77" s="482">
        <f>SUM(L63-L75)</f>
        <v>0</v>
      </c>
      <c r="M77" s="482">
        <f>SUM(M63-M75)</f>
        <v>0</v>
      </c>
    </row>
    <row r="78" spans="1:34" ht="15.75" x14ac:dyDescent="0.2">
      <c r="C78" s="116"/>
      <c r="D78" s="116"/>
      <c r="E78" s="116"/>
      <c r="F78" s="116"/>
      <c r="G78" s="1416"/>
      <c r="H78" s="116"/>
      <c r="I78" s="1416"/>
      <c r="J78" s="116"/>
      <c r="K78" s="1416"/>
      <c r="L78" s="116"/>
      <c r="M78" s="116"/>
    </row>
    <row r="79" spans="1:34" ht="15.75" x14ac:dyDescent="0.2">
      <c r="C79" s="116"/>
      <c r="D79" s="116"/>
      <c r="E79" s="116"/>
      <c r="F79" s="116"/>
      <c r="G79" s="1416"/>
      <c r="H79" s="116"/>
      <c r="I79" s="1416"/>
      <c r="J79" s="116"/>
      <c r="K79" s="1416"/>
      <c r="L79" s="116"/>
      <c r="M79" s="116"/>
    </row>
    <row r="80" spans="1:34" ht="15.75" x14ac:dyDescent="0.2">
      <c r="C80" s="116"/>
      <c r="D80" s="116"/>
      <c r="E80" s="116"/>
      <c r="F80" s="116"/>
      <c r="G80" s="1416"/>
      <c r="H80" s="116"/>
      <c r="I80" s="1416"/>
      <c r="J80" s="116"/>
      <c r="K80" s="1416"/>
      <c r="L80" s="116"/>
      <c r="M80" s="116"/>
    </row>
    <row r="81" spans="3:14" ht="15.75" x14ac:dyDescent="0.2">
      <c r="C81" s="116" t="s">
        <v>946</v>
      </c>
      <c r="D81" s="116"/>
      <c r="E81" s="116"/>
      <c r="F81" s="116"/>
      <c r="G81" s="1416"/>
      <c r="H81" s="116"/>
      <c r="I81" s="1416"/>
      <c r="J81" s="116"/>
      <c r="K81" s="1416"/>
      <c r="L81" s="116"/>
      <c r="M81" s="116"/>
    </row>
    <row r="82" spans="3:14" ht="15.75" x14ac:dyDescent="0.2">
      <c r="C82" s="116"/>
      <c r="D82" s="116"/>
      <c r="E82" s="116"/>
      <c r="F82" s="203"/>
      <c r="G82" s="1470"/>
      <c r="H82" s="203"/>
      <c r="I82" s="1470"/>
      <c r="J82" s="203"/>
      <c r="K82" s="1470"/>
      <c r="L82" s="203"/>
      <c r="M82" s="203"/>
      <c r="N82" s="92"/>
    </row>
    <row r="83" spans="3:14" ht="15.75" x14ac:dyDescent="0.2">
      <c r="C83" s="116" t="s">
        <v>947</v>
      </c>
      <c r="D83" s="116"/>
      <c r="E83" s="116"/>
      <c r="F83" s="203"/>
      <c r="G83" s="1470"/>
      <c r="H83" s="203"/>
      <c r="I83" s="1470"/>
      <c r="J83" s="203">
        <v>11768</v>
      </c>
      <c r="K83" s="1470"/>
      <c r="L83" s="203">
        <v>11768</v>
      </c>
      <c r="M83" s="203">
        <v>11768</v>
      </c>
      <c r="N83" s="92"/>
    </row>
    <row r="84" spans="3:14" ht="15.75" x14ac:dyDescent="0.2">
      <c r="C84" s="116" t="s">
        <v>948</v>
      </c>
      <c r="D84" s="116"/>
      <c r="E84" s="116"/>
      <c r="F84" s="203"/>
      <c r="G84" s="1470"/>
      <c r="H84" s="203">
        <v>74394077</v>
      </c>
      <c r="I84" s="1470"/>
      <c r="J84" s="203">
        <v>74486373</v>
      </c>
      <c r="K84" s="1470"/>
      <c r="L84" s="203">
        <v>74486373</v>
      </c>
      <c r="M84" s="3298">
        <v>74486373</v>
      </c>
      <c r="N84" s="92"/>
    </row>
    <row r="85" spans="3:14" ht="15.75" x14ac:dyDescent="0.2">
      <c r="C85" s="116" t="s">
        <v>944</v>
      </c>
      <c r="D85" s="116"/>
      <c r="E85" s="116"/>
      <c r="F85" s="203"/>
      <c r="G85" s="1470"/>
      <c r="H85" s="203">
        <f>SUM(H83:H84)</f>
        <v>74394077</v>
      </c>
      <c r="I85" s="203"/>
      <c r="J85" s="203">
        <f>SUM(J83:J84)</f>
        <v>74498141</v>
      </c>
      <c r="K85" s="482">
        <f>SUM(K83:K84)</f>
        <v>0</v>
      </c>
      <c r="L85" s="482">
        <f>SUM(L83:L84)</f>
        <v>74498141</v>
      </c>
      <c r="M85" s="482">
        <f>SUM(M83:M84)</f>
        <v>74498141</v>
      </c>
      <c r="N85" s="92"/>
    </row>
    <row r="86" spans="3:14" ht="15.75" x14ac:dyDescent="0.2">
      <c r="C86" s="116"/>
      <c r="D86" s="116"/>
      <c r="E86" s="116"/>
      <c r="F86" s="203"/>
      <c r="G86" s="1470"/>
      <c r="H86" s="203"/>
      <c r="I86" s="1470"/>
      <c r="J86" s="203"/>
      <c r="K86" s="203"/>
      <c r="L86" s="203"/>
      <c r="M86" s="203"/>
      <c r="N86" s="92"/>
    </row>
    <row r="87" spans="3:14" ht="15.75" x14ac:dyDescent="0.2">
      <c r="C87" s="1126" t="s">
        <v>279</v>
      </c>
      <c r="D87" s="116"/>
      <c r="E87" s="116"/>
      <c r="F87" s="116"/>
      <c r="G87" s="1416"/>
      <c r="H87" s="482">
        <f>SUM(H44-H85)</f>
        <v>0</v>
      </c>
      <c r="I87" s="482"/>
      <c r="J87" s="482">
        <f>SUM(J44-J85)</f>
        <v>0</v>
      </c>
      <c r="K87" s="482">
        <f>SUM(K44-K85)</f>
        <v>0</v>
      </c>
      <c r="L87" s="482">
        <f>SUM(L44-L85)</f>
        <v>0</v>
      </c>
      <c r="M87" s="482">
        <f>SUM(M44-M85)</f>
        <v>0</v>
      </c>
    </row>
    <row r="88" spans="3:14" ht="15.75" x14ac:dyDescent="0.2">
      <c r="C88" s="116"/>
      <c r="D88" s="116"/>
      <c r="E88" s="116"/>
      <c r="F88" s="116"/>
      <c r="G88" s="1416"/>
      <c r="H88" s="116"/>
      <c r="I88" s="1416"/>
      <c r="J88" s="116"/>
      <c r="K88" s="1416"/>
      <c r="L88" s="116"/>
      <c r="M88" s="116"/>
    </row>
    <row r="89" spans="3:14" ht="15.75" x14ac:dyDescent="0.2">
      <c r="C89" s="116"/>
      <c r="D89" s="116"/>
      <c r="E89" s="116"/>
      <c r="F89" s="116"/>
      <c r="G89" s="1416"/>
      <c r="H89" s="116"/>
      <c r="I89" s="1416"/>
      <c r="J89" s="116"/>
      <c r="K89" s="1416"/>
      <c r="L89" s="116"/>
      <c r="M89" s="116"/>
    </row>
  </sheetData>
  <mergeCells count="20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  <mergeCell ref="AG4:AG5"/>
    <mergeCell ref="U4:U5"/>
    <mergeCell ref="AC4:AC5"/>
    <mergeCell ref="W4:W5"/>
    <mergeCell ref="Y4:Y5"/>
    <mergeCell ref="AE4:AE5"/>
  </mergeCells>
  <printOptions horizontalCentered="1"/>
  <pageMargins left="0.19685039370078741" right="0.39370078740157483" top="0.23622047244094491" bottom="0.39370078740157483" header="0.51181102362204722" footer="0.15748031496062992"/>
  <pageSetup paperSize="9" scale="70" firstPageNumber="49" orientation="portrait" useFirstPageNumber="1" r:id="rId1"/>
  <headerFooter>
    <oddFooter>&amp;C- &amp;P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66"/>
  <sheetViews>
    <sheetView view="pageBreakPreview" topLeftCell="A43" zoomScaleNormal="100" zoomScaleSheetLayoutView="100" zoomScalePageLayoutView="60" workbookViewId="0">
      <selection activeCell="K65" sqref="K65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6.33203125" style="115" customWidth="1"/>
    <col min="4" max="5" width="9.33203125" style="115" hidden="1" customWidth="1"/>
    <col min="6" max="6" width="13.1640625" style="115" customWidth="1"/>
    <col min="7" max="7" width="16.33203125" style="1390" hidden="1" customWidth="1"/>
    <col min="8" max="8" width="12" style="115" hidden="1" customWidth="1"/>
    <col min="9" max="9" width="10.83203125" style="1390" hidden="1" customWidth="1"/>
    <col min="10" max="10" width="14" style="115" customWidth="1"/>
    <col min="11" max="11" width="12.6640625" style="1390" customWidth="1"/>
    <col min="12" max="12" width="14.1640625" style="115" customWidth="1"/>
    <col min="13" max="13" width="14.6640625" style="115" customWidth="1"/>
    <col min="14" max="16384" width="9.33203125" style="115"/>
  </cols>
  <sheetData>
    <row r="1" spans="1:13" s="98" customFormat="1" ht="19.5" customHeight="1" thickBot="1" x14ac:dyDescent="0.25">
      <c r="A1" s="240"/>
      <c r="B1" s="241"/>
      <c r="C1" s="4524" t="s">
        <v>721</v>
      </c>
      <c r="D1" s="4524"/>
      <c r="E1" s="4524"/>
      <c r="F1" s="4524"/>
      <c r="G1" s="4524"/>
      <c r="H1" s="4524"/>
      <c r="I1" s="4524"/>
      <c r="J1" s="4524"/>
      <c r="K1" s="4524"/>
      <c r="L1" s="4524"/>
      <c r="M1" s="4524"/>
    </row>
    <row r="2" spans="1:13" s="303" customFormat="1" ht="48" customHeight="1" thickBot="1" x14ac:dyDescent="0.25">
      <c r="A2" s="4516" t="s">
        <v>411</v>
      </c>
      <c r="B2" s="4516"/>
      <c r="C2" s="117" t="s">
        <v>1001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</row>
    <row r="3" spans="1:13" s="303" customFormat="1" ht="32.25" customHeight="1" thickBot="1" x14ac:dyDescent="0.25">
      <c r="A3" s="4525" t="s">
        <v>283</v>
      </c>
      <c r="B3" s="4525"/>
      <c r="C3" s="304" t="s">
        <v>478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21.7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11768</v>
      </c>
      <c r="K8" s="1374">
        <f>SUM(L8-J8)</f>
        <v>0</v>
      </c>
      <c r="L8" s="137">
        <f>SUM(L9:L18)</f>
        <v>11768</v>
      </c>
      <c r="M8" s="137">
        <f>SUM(M9:M18)</f>
        <v>11768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44">
        <f>SUM('5.2. sz. mell.  '!J9)</f>
        <v>0</v>
      </c>
      <c r="K9" s="1375"/>
      <c r="L9" s="150">
        <v>0</v>
      </c>
      <c r="M9" s="144">
        <f>SUM('5.2. sz. mell.  '!M9)</f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86"/>
      <c r="J10" s="144">
        <f>SUM('5.2. sz. mell.  '!J10)</f>
        <v>0</v>
      </c>
      <c r="K10" s="1386"/>
      <c r="L10" s="144">
        <v>0</v>
      </c>
      <c r="M10" s="144">
        <f>SUM('5.2. sz. mell.  '!M10)</f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86"/>
      <c r="J11" s="144">
        <f>SUM('5.2. sz. mell.  '!J11)</f>
        <v>0</v>
      </c>
      <c r="K11" s="1386"/>
      <c r="L11" s="144">
        <v>0</v>
      </c>
      <c r="M11" s="144">
        <f>SUM('5.2. sz. mell.  '!M11)</f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86"/>
      <c r="J12" s="144">
        <f>SUM('5.2. sz. mell.  '!J12)</f>
        <v>0</v>
      </c>
      <c r="K12" s="1386"/>
      <c r="L12" s="144">
        <v>0</v>
      </c>
      <c r="M12" s="144">
        <f>SUM('5.2. sz. mell.  '!M12)</f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86"/>
      <c r="J13" s="144">
        <f>SUM('5.2. sz. mell.  '!J13)</f>
        <v>0</v>
      </c>
      <c r="K13" s="1386"/>
      <c r="L13" s="144">
        <v>0</v>
      </c>
      <c r="M13" s="144">
        <f>SUM('5.2. sz. mell.  '!M13)</f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86"/>
      <c r="J14" s="144">
        <f>SUM('5.2. sz. mell.  '!J14)</f>
        <v>0</v>
      </c>
      <c r="K14" s="1386"/>
      <c r="L14" s="144">
        <v>0</v>
      </c>
      <c r="M14" s="144">
        <f>SUM('5.2. sz. mell.  '!M14)</f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86"/>
      <c r="J15" s="144">
        <f>SUM('5.2. sz. mell.  '!J15)</f>
        <v>0</v>
      </c>
      <c r="K15" s="1386"/>
      <c r="L15" s="147">
        <v>0</v>
      </c>
      <c r="M15" s="144">
        <f>SUM('5.2. sz. mell.  '!M15)</f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86"/>
      <c r="J16" s="144">
        <f>SUM('5.2. sz. mell.  '!J16)</f>
        <v>1</v>
      </c>
      <c r="K16" s="1386">
        <f>SUM(L16-J16)</f>
        <v>0</v>
      </c>
      <c r="L16" s="144">
        <f>SUM('5.2. sz. mell.  '!L16)</f>
        <v>1</v>
      </c>
      <c r="M16" s="144">
        <f>SUM('5.2. sz. mell.  '!M16)</f>
        <v>1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86"/>
      <c r="J17" s="144">
        <f>SUM('5.2. sz. mell.  '!J17)</f>
        <v>0</v>
      </c>
      <c r="K17" s="1386">
        <f t="shared" ref="K17:K18" si="0">SUM(L17-J17)</f>
        <v>0</v>
      </c>
      <c r="L17" s="153">
        <v>0</v>
      </c>
      <c r="M17" s="144">
        <f>SUM('5.2. sz. mell.  '!M17)</f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86"/>
      <c r="J18" s="144">
        <f>SUM('5.2. sz. mell.  '!J18)</f>
        <v>11767</v>
      </c>
      <c r="K18" s="1386">
        <f t="shared" si="0"/>
        <v>0</v>
      </c>
      <c r="L18" s="144">
        <f>SUM('5.2. sz. mell.  '!L18)</f>
        <v>11767</v>
      </c>
      <c r="M18" s="144">
        <f>SUM('5.2. sz. mell.  '!M18)</f>
        <v>11767</v>
      </c>
    </row>
    <row r="19" spans="1:13" s="141" customFormat="1" ht="33.75" customHeight="1" thickBot="1" x14ac:dyDescent="0.25">
      <c r="A19" s="134" t="s">
        <v>17</v>
      </c>
      <c r="B19" s="148"/>
      <c r="C19" s="247" t="s">
        <v>419</v>
      </c>
      <c r="D19" s="137">
        <f>SUM(D20:D26)-D21</f>
        <v>38855</v>
      </c>
      <c r="E19" s="137">
        <f>SUM(E20:E26)-E21</f>
        <v>39688</v>
      </c>
      <c r="F19" s="137">
        <f>SUM(F20:F26)-F21</f>
        <v>0</v>
      </c>
      <c r="G19" s="1382"/>
      <c r="H19" s="137">
        <f>SUM(H20+H25+H26)</f>
        <v>0</v>
      </c>
      <c r="I19" s="1374"/>
      <c r="J19" s="137">
        <f>SUM(J20+J25+J26)</f>
        <v>0</v>
      </c>
      <c r="K19" s="1374"/>
      <c r="L19" s="137">
        <f>SUM(L20+L25+L26)</f>
        <v>0</v>
      </c>
      <c r="M19" s="137">
        <f>SUM(M20+M25+M26)</f>
        <v>0</v>
      </c>
    </row>
    <row r="20" spans="1:13" s="145" customFormat="1" ht="30.75" customHeight="1" x14ac:dyDescent="0.2">
      <c r="A20" s="142"/>
      <c r="B20" s="143" t="s">
        <v>5</v>
      </c>
      <c r="C20" s="251" t="s">
        <v>420</v>
      </c>
      <c r="D20" s="144">
        <v>38855</v>
      </c>
      <c r="E20" s="144">
        <v>39658</v>
      </c>
      <c r="F20" s="144"/>
      <c r="G20" s="1415"/>
      <c r="H20" s="144">
        <f>SUM(H22:H24)</f>
        <v>0</v>
      </c>
      <c r="I20" s="1376"/>
      <c r="J20" s="144">
        <f>SUM(J22:J24)</f>
        <v>0</v>
      </c>
      <c r="K20" s="1376"/>
      <c r="L20" s="144">
        <f>SUM(L22:L24)</f>
        <v>0</v>
      </c>
      <c r="M20" s="144">
        <f>SUM(M22:M24)</f>
        <v>0</v>
      </c>
    </row>
    <row r="21" spans="1:13" s="145" customFormat="1" ht="12.75" hidden="1" customHeight="1" x14ac:dyDescent="0.2">
      <c r="A21" s="142"/>
      <c r="B21" s="143"/>
      <c r="C21" s="251"/>
      <c r="D21" s="144"/>
      <c r="E21" s="144"/>
      <c r="F21" s="144"/>
      <c r="G21" s="1415"/>
      <c r="H21" s="144"/>
      <c r="I21" s="1376"/>
      <c r="J21" s="144"/>
      <c r="K21" s="1376"/>
      <c r="L21" s="144"/>
      <c r="M21" s="144"/>
    </row>
    <row r="22" spans="1:13" s="145" customFormat="1" ht="15" customHeight="1" x14ac:dyDescent="0.2">
      <c r="A22" s="142"/>
      <c r="B22" s="143" t="s">
        <v>421</v>
      </c>
      <c r="C22" s="55" t="s">
        <v>422</v>
      </c>
      <c r="D22" s="144">
        <v>0</v>
      </c>
      <c r="E22" s="144">
        <v>0</v>
      </c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360</v>
      </c>
      <c r="C23" s="55" t="s">
        <v>1430</v>
      </c>
      <c r="D23" s="144"/>
      <c r="E23" s="144"/>
      <c r="F23" s="144">
        <v>0</v>
      </c>
      <c r="G23" s="1415"/>
      <c r="H23" s="144">
        <f>SUM('5.2. sz. mell.  '!H23)</f>
        <v>0</v>
      </c>
      <c r="I23" s="1376"/>
      <c r="J23" s="144">
        <f>SUM('5.2. sz. mell.  '!J23)</f>
        <v>0</v>
      </c>
      <c r="K23" s="1376"/>
      <c r="L23" s="144">
        <f>SUM('5.2. sz. mell.  '!L23)</f>
        <v>0</v>
      </c>
      <c r="M23" s="144">
        <f>SUM('5.2. sz. mell.  '!M23)</f>
        <v>0</v>
      </c>
    </row>
    <row r="24" spans="1:13" s="145" customFormat="1" ht="15" customHeight="1" x14ac:dyDescent="0.2">
      <c r="A24" s="142"/>
      <c r="B24" s="143" t="s">
        <v>357</v>
      </c>
      <c r="C24" s="55" t="s">
        <v>424</v>
      </c>
      <c r="D24" s="144">
        <v>0</v>
      </c>
      <c r="E24" s="144">
        <v>0</v>
      </c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x14ac:dyDescent="0.2">
      <c r="A25" s="142"/>
      <c r="B25" s="143" t="s">
        <v>7</v>
      </c>
      <c r="C25" s="55" t="s">
        <v>6</v>
      </c>
      <c r="D25" s="144"/>
      <c r="E25" s="144"/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144">
        <v>30</v>
      </c>
      <c r="F26" s="144">
        <v>0</v>
      </c>
      <c r="G26" s="1415"/>
      <c r="H26" s="144">
        <v>0</v>
      </c>
      <c r="I26" s="1376"/>
      <c r="J26" s="144">
        <v>0</v>
      </c>
      <c r="K26" s="1376"/>
      <c r="L26" s="144">
        <v>0</v>
      </c>
      <c r="M26" s="144">
        <v>0</v>
      </c>
    </row>
    <row r="27" spans="1:13" s="145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155">
        <v>0</v>
      </c>
      <c r="F27" s="155">
        <v>0</v>
      </c>
      <c r="G27" s="1381"/>
      <c r="H27" s="155">
        <v>0</v>
      </c>
      <c r="I27" s="1380"/>
      <c r="J27" s="155">
        <v>0</v>
      </c>
      <c r="K27" s="1380"/>
      <c r="L27" s="155">
        <v>0</v>
      </c>
      <c r="M27" s="155">
        <v>0</v>
      </c>
    </row>
    <row r="28" spans="1:13" s="145" customFormat="1" ht="15" customHeight="1" thickBot="1" x14ac:dyDescent="0.25">
      <c r="A28" s="134"/>
      <c r="B28" s="143" t="s">
        <v>19</v>
      </c>
      <c r="C28" s="55" t="s">
        <v>427</v>
      </c>
      <c r="D28" s="155"/>
      <c r="E28" s="155"/>
      <c r="F28" s="252">
        <v>0</v>
      </c>
      <c r="G28" s="1509"/>
      <c r="H28" s="252">
        <v>0</v>
      </c>
      <c r="I28" s="1436"/>
      <c r="J28" s="252">
        <v>0</v>
      </c>
      <c r="K28" s="1436"/>
      <c r="L28" s="252">
        <v>0</v>
      </c>
      <c r="M28" s="252">
        <v>0</v>
      </c>
    </row>
    <row r="29" spans="1:13" s="141" customFormat="1" ht="15" customHeight="1" thickBot="1" x14ac:dyDescent="0.25">
      <c r="A29" s="134" t="s">
        <v>45</v>
      </c>
      <c r="B29" s="148"/>
      <c r="C29" s="170" t="s">
        <v>428</v>
      </c>
      <c r="D29" s="155">
        <v>0</v>
      </c>
      <c r="E29" s="155">
        <v>0</v>
      </c>
      <c r="F29" s="155">
        <v>0</v>
      </c>
      <c r="G29" s="1381"/>
      <c r="H29" s="155">
        <v>0</v>
      </c>
      <c r="I29" s="1380"/>
      <c r="J29" s="155">
        <v>0</v>
      </c>
      <c r="K29" s="1380"/>
      <c r="L29" s="155">
        <v>0</v>
      </c>
      <c r="M29" s="155">
        <v>0</v>
      </c>
    </row>
    <row r="30" spans="1:13" s="141" customFormat="1" ht="15" customHeight="1" thickBot="1" x14ac:dyDescent="0.25">
      <c r="A30" s="149"/>
      <c r="B30" s="253" t="s">
        <v>33</v>
      </c>
      <c r="C30" s="55" t="s">
        <v>359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46"/>
      <c r="B31" s="253" t="s">
        <v>39</v>
      </c>
      <c r="C31" s="55" t="s">
        <v>72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15" customHeight="1" thickBot="1" x14ac:dyDescent="0.25">
      <c r="A32" s="178"/>
      <c r="B32" s="253" t="s">
        <v>41</v>
      </c>
      <c r="C32" s="55" t="s">
        <v>74</v>
      </c>
      <c r="D32" s="295"/>
      <c r="E32" s="295"/>
      <c r="F32" s="144">
        <v>0</v>
      </c>
      <c r="G32" s="1415"/>
      <c r="H32" s="144">
        <v>0</v>
      </c>
      <c r="I32" s="1376"/>
      <c r="J32" s="144">
        <v>0</v>
      </c>
      <c r="K32" s="1376"/>
      <c r="L32" s="144">
        <v>0</v>
      </c>
      <c r="M32" s="144">
        <v>0</v>
      </c>
    </row>
    <row r="33" spans="1:16" s="141" customFormat="1" ht="29.25" customHeight="1" thickBot="1" x14ac:dyDescent="0.25">
      <c r="A33" s="134" t="s">
        <v>67</v>
      </c>
      <c r="B33" s="254"/>
      <c r="C33" s="170" t="s">
        <v>429</v>
      </c>
      <c r="D33" s="285">
        <v>0</v>
      </c>
      <c r="E33" s="285">
        <f>SUM(E34:E35)</f>
        <v>79</v>
      </c>
      <c r="F33" s="285">
        <f>SUM(F34:F35)</f>
        <v>0</v>
      </c>
      <c r="G33" s="1382"/>
      <c r="H33" s="285">
        <f>SUM(H34:H35)</f>
        <v>0</v>
      </c>
      <c r="I33" s="1382"/>
      <c r="J33" s="285">
        <f>SUM(J34:J35)</f>
        <v>0</v>
      </c>
      <c r="K33" s="1382"/>
      <c r="L33" s="285">
        <f>SUM(L34:L35)</f>
        <v>0</v>
      </c>
      <c r="M33" s="285">
        <f>SUM(M34:M35)</f>
        <v>0</v>
      </c>
    </row>
    <row r="34" spans="1:16" s="141" customFormat="1" ht="29.25" customHeight="1" thickBot="1" x14ac:dyDescent="0.25">
      <c r="A34" s="149"/>
      <c r="B34" s="255" t="s">
        <v>47</v>
      </c>
      <c r="C34" s="251" t="s">
        <v>430</v>
      </c>
      <c r="D34" s="306">
        <v>0</v>
      </c>
      <c r="E34" s="306">
        <v>79</v>
      </c>
      <c r="F34" s="306">
        <v>0</v>
      </c>
      <c r="G34" s="1383"/>
      <c r="H34" s="306">
        <v>0</v>
      </c>
      <c r="I34" s="1383"/>
      <c r="J34" s="306">
        <v>0</v>
      </c>
      <c r="K34" s="1383"/>
      <c r="L34" s="306">
        <v>0</v>
      </c>
      <c r="M34" s="306">
        <v>0</v>
      </c>
    </row>
    <row r="35" spans="1:16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>
        <v>0</v>
      </c>
      <c r="K35" s="1384"/>
      <c r="L35" s="294">
        <v>0</v>
      </c>
      <c r="M35" s="294">
        <v>0</v>
      </c>
    </row>
    <row r="36" spans="1:16" s="145" customFormat="1" ht="15" customHeight="1" thickBot="1" x14ac:dyDescent="0.3">
      <c r="A36" s="258" t="s">
        <v>79</v>
      </c>
      <c r="B36" s="256"/>
      <c r="C36" s="247" t="s">
        <v>431</v>
      </c>
      <c r="D36" s="155">
        <v>5709</v>
      </c>
      <c r="E36" s="155">
        <v>9738</v>
      </c>
      <c r="F36" s="155">
        <v>0</v>
      </c>
      <c r="G36" s="1381"/>
      <c r="H36" s="155">
        <v>0</v>
      </c>
      <c r="I36" s="1380"/>
      <c r="J36" s="155">
        <v>0</v>
      </c>
      <c r="K36" s="1380"/>
      <c r="L36" s="155">
        <v>0</v>
      </c>
      <c r="M36" s="155">
        <v>0</v>
      </c>
    </row>
    <row r="37" spans="1:16" s="145" customFormat="1" ht="30.75" customHeight="1" thickBot="1" x14ac:dyDescent="0.25">
      <c r="A37" s="258"/>
      <c r="B37" s="257" t="s">
        <v>69</v>
      </c>
      <c r="C37" s="55" t="s">
        <v>432</v>
      </c>
      <c r="D37" s="155"/>
      <c r="E37" s="155"/>
      <c r="F37" s="252">
        <v>0</v>
      </c>
      <c r="G37" s="1509"/>
      <c r="H37" s="252">
        <v>0</v>
      </c>
      <c r="I37" s="1436"/>
      <c r="J37" s="252">
        <v>0</v>
      </c>
      <c r="K37" s="1436"/>
      <c r="L37" s="252">
        <v>0</v>
      </c>
      <c r="M37" s="252">
        <v>0</v>
      </c>
    </row>
    <row r="38" spans="1:16" s="145" customFormat="1" ht="15" customHeight="1" thickBot="1" x14ac:dyDescent="0.3">
      <c r="A38" s="258" t="s">
        <v>89</v>
      </c>
      <c r="B38" s="256"/>
      <c r="C38" s="170" t="s">
        <v>433</v>
      </c>
      <c r="D38" s="155"/>
      <c r="E38" s="155"/>
      <c r="F38" s="155">
        <f>SUM(F39:F41)</f>
        <v>73228768</v>
      </c>
      <c r="G38" s="1381">
        <f t="shared" ref="G38:K63" si="1">SUM(H38-F38)</f>
        <v>1165309</v>
      </c>
      <c r="H38" s="155">
        <f>SUM(H39:H41)</f>
        <v>74394077</v>
      </c>
      <c r="I38" s="1380">
        <f t="shared" si="1"/>
        <v>92296</v>
      </c>
      <c r="J38" s="155">
        <f>SUM(J39:J41)</f>
        <v>74486373</v>
      </c>
      <c r="K38" s="1380">
        <f t="shared" si="1"/>
        <v>0</v>
      </c>
      <c r="L38" s="155">
        <f>SUM(L39:L41)</f>
        <v>74486373</v>
      </c>
      <c r="M38" s="155">
        <f>SUM(M39:M41)</f>
        <v>74486373</v>
      </c>
    </row>
    <row r="39" spans="1:16" s="145" customFormat="1" ht="15" customHeight="1" thickBot="1" x14ac:dyDescent="0.25">
      <c r="A39" s="149"/>
      <c r="B39" s="253" t="s">
        <v>81</v>
      </c>
      <c r="C39" s="55" t="s">
        <v>434</v>
      </c>
      <c r="D39" s="155"/>
      <c r="E39" s="155"/>
      <c r="F39" s="144">
        <v>0</v>
      </c>
      <c r="G39" s="1415">
        <f t="shared" si="1"/>
        <v>0</v>
      </c>
      <c r="H39" s="144">
        <f>SUM('5.2. sz. mell.  '!H39)</f>
        <v>0</v>
      </c>
      <c r="I39" s="1376">
        <f t="shared" si="1"/>
        <v>0</v>
      </c>
      <c r="J39" s="144">
        <f>SUM('5.2. sz. mell.  '!J39)</f>
        <v>0</v>
      </c>
      <c r="K39" s="1376">
        <f t="shared" si="1"/>
        <v>0</v>
      </c>
      <c r="L39" s="144">
        <f>SUM('5.2. sz. mell.  '!L39)</f>
        <v>0</v>
      </c>
      <c r="M39" s="144">
        <f>SUM('5.2. sz. mell.  '!M39)</f>
        <v>0</v>
      </c>
    </row>
    <row r="40" spans="1:16" s="145" customFormat="1" ht="15" customHeight="1" thickBot="1" x14ac:dyDescent="0.25">
      <c r="A40" s="146"/>
      <c r="B40" s="253" t="s">
        <v>83</v>
      </c>
      <c r="C40" s="55" t="s">
        <v>435</v>
      </c>
      <c r="D40" s="155"/>
      <c r="E40" s="155"/>
      <c r="F40" s="144">
        <v>0</v>
      </c>
      <c r="G40" s="1415">
        <f t="shared" si="1"/>
        <v>0</v>
      </c>
      <c r="H40" s="144">
        <v>0</v>
      </c>
      <c r="I40" s="1376">
        <f t="shared" si="1"/>
        <v>0</v>
      </c>
      <c r="J40" s="144">
        <f>SUM('5.2. sz. mell.  '!J40)</f>
        <v>0</v>
      </c>
      <c r="K40" s="1376">
        <f t="shared" si="1"/>
        <v>0</v>
      </c>
      <c r="L40" s="144">
        <v>0</v>
      </c>
      <c r="M40" s="144">
        <v>0</v>
      </c>
    </row>
    <row r="41" spans="1:16" s="145" customFormat="1" ht="15" customHeight="1" thickBot="1" x14ac:dyDescent="0.25">
      <c r="A41" s="142"/>
      <c r="B41" s="253" t="s">
        <v>85</v>
      </c>
      <c r="C41" s="55" t="s">
        <v>1432</v>
      </c>
      <c r="D41" s="155"/>
      <c r="E41" s="155"/>
      <c r="F41" s="144">
        <f>SUM(F42:F43)</f>
        <v>73228768</v>
      </c>
      <c r="G41" s="1415">
        <f t="shared" si="1"/>
        <v>1165309</v>
      </c>
      <c r="H41" s="144">
        <f>SUM(H42:H43)</f>
        <v>74394077</v>
      </c>
      <c r="I41" s="1376">
        <f t="shared" si="1"/>
        <v>92296</v>
      </c>
      <c r="J41" s="144">
        <f>SUM('5.2. sz. mell.  '!J41)</f>
        <v>74486373</v>
      </c>
      <c r="K41" s="1376">
        <f t="shared" si="1"/>
        <v>0</v>
      </c>
      <c r="L41" s="144">
        <f>SUM(L42:L43)</f>
        <v>74486373</v>
      </c>
      <c r="M41" s="144">
        <f>SUM(M42:M43)</f>
        <v>74486373</v>
      </c>
    </row>
    <row r="42" spans="1:16" s="145" customFormat="1" ht="15" customHeight="1" thickBot="1" x14ac:dyDescent="0.25">
      <c r="A42" s="142"/>
      <c r="B42" s="260" t="s">
        <v>437</v>
      </c>
      <c r="C42" s="261" t="s">
        <v>438</v>
      </c>
      <c r="D42" s="155"/>
      <c r="E42" s="155"/>
      <c r="F42" s="302">
        <f>SUM('5.2. sz. mell.  '!F42)</f>
        <v>70534400</v>
      </c>
      <c r="G42" s="1534">
        <f t="shared" si="1"/>
        <v>798600</v>
      </c>
      <c r="H42" s="302">
        <f>SUM('5.2. sz. mell.  '!H42)</f>
        <v>71333000</v>
      </c>
      <c r="I42" s="1492">
        <f t="shared" si="1"/>
        <v>-95367</v>
      </c>
      <c r="J42" s="144">
        <f>SUM('5.2. sz. mell.  '!J42)</f>
        <v>71237633</v>
      </c>
      <c r="K42" s="1492">
        <f t="shared" si="1"/>
        <v>0</v>
      </c>
      <c r="L42" s="302">
        <f>SUM('5.2. sz. mell.  '!L42)</f>
        <v>71237633</v>
      </c>
      <c r="M42" s="302">
        <f>SUM('5.2. sz. mell.  '!M42)</f>
        <v>71237633</v>
      </c>
    </row>
    <row r="43" spans="1:16" s="145" customFormat="1" ht="15" customHeight="1" thickBot="1" x14ac:dyDescent="0.25">
      <c r="A43" s="178"/>
      <c r="B43" s="263" t="s">
        <v>439</v>
      </c>
      <c r="C43" s="264" t="s">
        <v>440</v>
      </c>
      <c r="D43" s="155"/>
      <c r="E43" s="155"/>
      <c r="F43" s="302">
        <f>SUM('5.2. sz. mell.  '!F43)</f>
        <v>2694368</v>
      </c>
      <c r="G43" s="1534">
        <f t="shared" si="1"/>
        <v>366709</v>
      </c>
      <c r="H43" s="302">
        <f>SUM('5.2. sz. mell.  '!H43)</f>
        <v>3061077</v>
      </c>
      <c r="I43" s="1492">
        <f t="shared" si="1"/>
        <v>187663</v>
      </c>
      <c r="J43" s="144">
        <f>SUM('5.2. sz. mell.  '!J43)</f>
        <v>3248740</v>
      </c>
      <c r="K43" s="1492">
        <f t="shared" si="1"/>
        <v>0</v>
      </c>
      <c r="L43" s="302">
        <f>SUM('5.2. sz. mell.  '!L43)</f>
        <v>3248740</v>
      </c>
      <c r="M43" s="302">
        <f>SUM('5.2. sz. mell.  '!M43)</f>
        <v>3248740</v>
      </c>
    </row>
    <row r="44" spans="1:16" s="145" customFormat="1" ht="15" customHeight="1" thickBot="1" x14ac:dyDescent="0.25">
      <c r="A44" s="192" t="s">
        <v>99</v>
      </c>
      <c r="B44" s="160"/>
      <c r="C44" s="274" t="s">
        <v>441</v>
      </c>
      <c r="D44" s="162">
        <f>SUM(D8,D19,D27,D29,D33,D36)</f>
        <v>44564</v>
      </c>
      <c r="E44" s="162">
        <f>SUM(E8,E19,E27,E29,E33,E36)</f>
        <v>49505</v>
      </c>
      <c r="F44" s="162">
        <f>SUM(F8,F19,F27,F29,F33,F36,F38)</f>
        <v>73228768</v>
      </c>
      <c r="G44" s="1437">
        <f t="shared" si="1"/>
        <v>1165309</v>
      </c>
      <c r="H44" s="162">
        <f>SUM(H8,H19,H27,H29,H33,H36,H38)</f>
        <v>74394077</v>
      </c>
      <c r="I44" s="1373">
        <f t="shared" si="1"/>
        <v>104064</v>
      </c>
      <c r="J44" s="162">
        <f>SUM(J8,J19,J27,J29,J33,J36,J38)</f>
        <v>74498141</v>
      </c>
      <c r="K44" s="1373">
        <f t="shared" si="1"/>
        <v>0</v>
      </c>
      <c r="L44" s="162">
        <f>SUM(L8,L19,L27,L29,L33,L36,L38)</f>
        <v>74498141</v>
      </c>
      <c r="M44" s="162">
        <f>SUM(M8,M19,M27,M29,M33,M36,M38)</f>
        <v>74498141</v>
      </c>
      <c r="O44" s="205">
        <f>SUM(F63-F44)</f>
        <v>0</v>
      </c>
      <c r="P44" s="205">
        <f>SUM(H63-H44)</f>
        <v>0</v>
      </c>
    </row>
    <row r="45" spans="1:16" s="145" customFormat="1" ht="15" customHeight="1" thickBot="1" x14ac:dyDescent="0.25">
      <c r="A45" s="1303"/>
      <c r="B45" s="886"/>
      <c r="C45" s="886"/>
      <c r="D45" s="2145"/>
      <c r="E45" s="2145"/>
      <c r="F45" s="2131"/>
      <c r="G45" s="2684"/>
      <c r="H45" s="2146"/>
      <c r="I45" s="2146"/>
      <c r="J45" s="2146"/>
      <c r="K45" s="2146"/>
      <c r="L45" s="2146"/>
      <c r="M45" s="2131"/>
    </row>
    <row r="46" spans="1:16" s="305" customFormat="1" ht="15" customHeight="1" thickBot="1" x14ac:dyDescent="0.25">
      <c r="A46" s="192"/>
      <c r="B46" s="160"/>
      <c r="C46" s="282" t="s">
        <v>231</v>
      </c>
      <c r="D46" s="162"/>
      <c r="E46" s="162"/>
      <c r="F46" s="162"/>
      <c r="G46" s="1437"/>
      <c r="H46" s="162"/>
      <c r="I46" s="1373"/>
      <c r="J46" s="162"/>
      <c r="K46" s="1373"/>
      <c r="L46" s="162"/>
      <c r="M46" s="162"/>
    </row>
    <row r="47" spans="1:16" s="141" customFormat="1" ht="15" customHeight="1" thickBot="1" x14ac:dyDescent="0.25">
      <c r="A47" s="134" t="s">
        <v>3</v>
      </c>
      <c r="B47" s="170"/>
      <c r="C47" s="170" t="s">
        <v>442</v>
      </c>
      <c r="D47" s="137">
        <f>SUM(D48+D50+D52)</f>
        <v>44564</v>
      </c>
      <c r="E47" s="137">
        <f>SUM(E48+E50+E52)</f>
        <v>47545</v>
      </c>
      <c r="F47" s="137">
        <f>SUM(F48+F50+F52)</f>
        <v>72593768</v>
      </c>
      <c r="G47" s="1382">
        <f t="shared" si="1"/>
        <v>793309</v>
      </c>
      <c r="H47" s="137">
        <f>SUM(H48+H50+H52)+H54+H55</f>
        <v>73387077</v>
      </c>
      <c r="I47" s="1374">
        <f t="shared" si="1"/>
        <v>329896</v>
      </c>
      <c r="J47" s="137">
        <f>SUM(J48+J50+J52)+J54+J55</f>
        <v>73716973</v>
      </c>
      <c r="K47" s="1374">
        <f t="shared" si="1"/>
        <v>0</v>
      </c>
      <c r="L47" s="137">
        <f>SUM(L48+L50+L52)+L54+L55</f>
        <v>73716973</v>
      </c>
      <c r="M47" s="137">
        <f>SUM(M48+M50+M52)+M54+M55</f>
        <v>73679060</v>
      </c>
    </row>
    <row r="48" spans="1:16" s="145" customFormat="1" ht="15" customHeight="1" x14ac:dyDescent="0.2">
      <c r="A48" s="173"/>
      <c r="B48" s="174" t="s">
        <v>152</v>
      </c>
      <c r="C48" s="251" t="s">
        <v>153</v>
      </c>
      <c r="D48" s="175">
        <v>29501</v>
      </c>
      <c r="E48" s="175">
        <v>31136</v>
      </c>
      <c r="F48" s="175">
        <f>SUM('5.2. sz. mell.  '!F48)</f>
        <v>55187465</v>
      </c>
      <c r="G48" s="1415">
        <f t="shared" si="1"/>
        <v>0</v>
      </c>
      <c r="H48" s="175">
        <f>SUM('5.2. sz. mell.  '!H48)</f>
        <v>55187465</v>
      </c>
      <c r="I48" s="1376">
        <f t="shared" si="1"/>
        <v>1000986</v>
      </c>
      <c r="J48" s="175">
        <f>SUM('5.2. sz. mell.  '!J48)</f>
        <v>56188451</v>
      </c>
      <c r="K48" s="1376">
        <f t="shared" si="1"/>
        <v>0</v>
      </c>
      <c r="L48" s="175">
        <f>SUM('5.2. sz. mell.  '!L48)</f>
        <v>56188451</v>
      </c>
      <c r="M48" s="175">
        <f>SUM('5.2. sz. mell.  '!M48)</f>
        <v>56168923</v>
      </c>
    </row>
    <row r="49" spans="1:13" s="145" customFormat="1" ht="12.75" hidden="1" customHeight="1" x14ac:dyDescent="0.2">
      <c r="A49" s="173"/>
      <c r="B49" s="174"/>
      <c r="C49" s="309" t="s">
        <v>463</v>
      </c>
      <c r="D49" s="302"/>
      <c r="E49" s="302"/>
      <c r="F49" s="175">
        <f>SUM('5.2. sz. mell.  '!F49)</f>
        <v>0</v>
      </c>
      <c r="G49" s="1415">
        <f t="shared" si="1"/>
        <v>0</v>
      </c>
      <c r="H49" s="175">
        <f>SUM('5.2. sz. mell.  '!H49)</f>
        <v>0</v>
      </c>
      <c r="I49" s="1376">
        <f t="shared" si="1"/>
        <v>0</v>
      </c>
      <c r="J49" s="175">
        <f>SUM('5.2. sz. mell.  '!J49)</f>
        <v>0</v>
      </c>
      <c r="K49" s="1376">
        <f t="shared" si="1"/>
        <v>0</v>
      </c>
      <c r="L49" s="175">
        <f>SUM('5.2. sz. mell.  '!L49)</f>
        <v>0</v>
      </c>
      <c r="M49" s="175">
        <f>SUM('5.2. sz. mell.  '!M49)</f>
        <v>0</v>
      </c>
    </row>
    <row r="50" spans="1:13" s="145" customFormat="1" ht="15" customHeight="1" x14ac:dyDescent="0.2">
      <c r="A50" s="142"/>
      <c r="B50" s="176" t="s">
        <v>154</v>
      </c>
      <c r="C50" s="55" t="s">
        <v>155</v>
      </c>
      <c r="D50" s="144">
        <v>7928</v>
      </c>
      <c r="E50" s="144">
        <v>8370</v>
      </c>
      <c r="F50" s="175">
        <f>SUM('5.2. sz. mell.  '!F50)</f>
        <v>11228183</v>
      </c>
      <c r="G50" s="1415">
        <f t="shared" si="1"/>
        <v>0</v>
      </c>
      <c r="H50" s="175">
        <f>SUM('5.2. sz. mell.  '!H50)</f>
        <v>11228183</v>
      </c>
      <c r="I50" s="1376">
        <f t="shared" si="1"/>
        <v>147677</v>
      </c>
      <c r="J50" s="175">
        <f>SUM('5.2. sz. mell.  '!J50)</f>
        <v>11375860</v>
      </c>
      <c r="K50" s="1376">
        <f t="shared" si="1"/>
        <v>0</v>
      </c>
      <c r="L50" s="175">
        <f>SUM('5.2. sz. mell.  '!L50)</f>
        <v>11375860</v>
      </c>
      <c r="M50" s="175">
        <f>SUM('5.2. sz. mell.  '!M50)</f>
        <v>11362890</v>
      </c>
    </row>
    <row r="51" spans="1:13" s="145" customFormat="1" ht="12.75" hidden="1" customHeight="1" x14ac:dyDescent="0.2">
      <c r="A51" s="142"/>
      <c r="B51" s="176"/>
      <c r="C51" s="309" t="s">
        <v>463</v>
      </c>
      <c r="D51" s="302"/>
      <c r="E51" s="302"/>
      <c r="F51" s="175">
        <f>SUM('5.2. sz. mell.  '!F51)</f>
        <v>0</v>
      </c>
      <c r="G51" s="1415">
        <f t="shared" si="1"/>
        <v>0</v>
      </c>
      <c r="H51" s="175">
        <f>SUM('5.2. sz. mell.  '!H51)</f>
        <v>0</v>
      </c>
      <c r="I51" s="1376">
        <f t="shared" si="1"/>
        <v>0</v>
      </c>
      <c r="J51" s="175">
        <f>SUM('5.2. sz. mell.  '!J51)</f>
        <v>0</v>
      </c>
      <c r="K51" s="1376">
        <f t="shared" si="1"/>
        <v>0</v>
      </c>
      <c r="L51" s="175">
        <f>SUM('5.2. sz. mell.  '!L51)</f>
        <v>0</v>
      </c>
      <c r="M51" s="175">
        <f>SUM('5.2. sz. mell.  '!M51)</f>
        <v>0</v>
      </c>
    </row>
    <row r="52" spans="1:13" s="145" customFormat="1" ht="15" customHeight="1" x14ac:dyDescent="0.2">
      <c r="A52" s="142"/>
      <c r="B52" s="176" t="s">
        <v>156</v>
      </c>
      <c r="C52" s="55" t="s">
        <v>157</v>
      </c>
      <c r="D52" s="144">
        <v>7135</v>
      </c>
      <c r="E52" s="144">
        <v>8039</v>
      </c>
      <c r="F52" s="175">
        <f>SUM('5.2. sz. mell.  '!F52)</f>
        <v>6178120</v>
      </c>
      <c r="G52" s="1415">
        <f t="shared" si="1"/>
        <v>793309</v>
      </c>
      <c r="H52" s="175">
        <f>SUM('5.2. sz. mell.  '!H52)</f>
        <v>6971429</v>
      </c>
      <c r="I52" s="1376">
        <f t="shared" si="1"/>
        <v>-818767</v>
      </c>
      <c r="J52" s="175">
        <f>SUM('5.2. sz. mell.  '!J52)</f>
        <v>6152662</v>
      </c>
      <c r="K52" s="1376">
        <f t="shared" si="1"/>
        <v>0</v>
      </c>
      <c r="L52" s="175">
        <f>SUM('5.2. sz. mell.  '!L52)</f>
        <v>6152662</v>
      </c>
      <c r="M52" s="175">
        <f>SUM('5.2. sz. mell.  '!M52)</f>
        <v>6147247</v>
      </c>
    </row>
    <row r="53" spans="1:13" s="145" customFormat="1" ht="12.75" hidden="1" customHeight="1" x14ac:dyDescent="0.2">
      <c r="A53" s="142"/>
      <c r="B53" s="176"/>
      <c r="C53" s="309" t="s">
        <v>463</v>
      </c>
      <c r="D53" s="302"/>
      <c r="E53" s="302"/>
      <c r="F53" s="175">
        <f>SUM('5.2. sz. mell.  '!F53)</f>
        <v>0</v>
      </c>
      <c r="G53" s="1415">
        <f t="shared" si="1"/>
        <v>0</v>
      </c>
      <c r="H53" s="175">
        <f>SUM('5.2. sz. mell.  '!H53)</f>
        <v>0</v>
      </c>
      <c r="I53" s="1376">
        <f t="shared" si="1"/>
        <v>0</v>
      </c>
      <c r="J53" s="175">
        <f>SUM('5.2. sz. mell.  '!J53)</f>
        <v>0</v>
      </c>
      <c r="K53" s="1376">
        <f t="shared" si="1"/>
        <v>0</v>
      </c>
      <c r="L53" s="175">
        <f>SUM('5.2. sz. mell.  '!L53)</f>
        <v>0</v>
      </c>
      <c r="M53" s="175">
        <f>SUM('5.2. sz. mell.  '!M53)</f>
        <v>0</v>
      </c>
    </row>
    <row r="54" spans="1:13" s="145" customFormat="1" ht="15" customHeight="1" x14ac:dyDescent="0.2">
      <c r="A54" s="142"/>
      <c r="B54" s="176" t="s">
        <v>158</v>
      </c>
      <c r="C54" s="55" t="s">
        <v>159</v>
      </c>
      <c r="D54" s="144"/>
      <c r="E54" s="144"/>
      <c r="F54" s="175">
        <f>SUM('5.2. sz. mell.  '!F54)</f>
        <v>0</v>
      </c>
      <c r="G54" s="1415">
        <f t="shared" si="1"/>
        <v>0</v>
      </c>
      <c r="H54" s="175">
        <f>SUM('5.2. sz. mell.  '!H54)</f>
        <v>0</v>
      </c>
      <c r="I54" s="1376">
        <f t="shared" si="1"/>
        <v>0</v>
      </c>
      <c r="J54" s="175">
        <f>SUM('5.2. sz. mell.  '!J54)</f>
        <v>0</v>
      </c>
      <c r="K54" s="1376">
        <f t="shared" si="1"/>
        <v>0</v>
      </c>
      <c r="L54" s="175">
        <f>SUM('5.2. sz. mell.  '!L54)</f>
        <v>0</v>
      </c>
      <c r="M54" s="175">
        <f>SUM('5.2. sz. mell.  '!M54)</f>
        <v>0</v>
      </c>
    </row>
    <row r="55" spans="1:13" s="145" customFormat="1" ht="15" customHeight="1" thickBot="1" x14ac:dyDescent="0.25">
      <c r="A55" s="142"/>
      <c r="B55" s="176" t="s">
        <v>160</v>
      </c>
      <c r="C55" s="55" t="s">
        <v>161</v>
      </c>
      <c r="D55" s="144">
        <v>0</v>
      </c>
      <c r="E55" s="144">
        <v>0</v>
      </c>
      <c r="F55" s="175">
        <f>SUM('5.2. sz. mell.  '!F55)</f>
        <v>0</v>
      </c>
      <c r="G55" s="1415">
        <f t="shared" si="1"/>
        <v>0</v>
      </c>
      <c r="H55" s="175">
        <f>SUM('5.2. sz. mell.  '!H55)</f>
        <v>0</v>
      </c>
      <c r="I55" s="1376">
        <f t="shared" si="1"/>
        <v>0</v>
      </c>
      <c r="J55" s="175">
        <f>SUM('5.2. sz. mell.  '!J55)</f>
        <v>0</v>
      </c>
      <c r="K55" s="1376">
        <f t="shared" si="1"/>
        <v>0</v>
      </c>
      <c r="L55" s="175">
        <f>SUM('5.2. sz. mell.  '!L55)</f>
        <v>0</v>
      </c>
      <c r="M55" s="175">
        <f>SUM('5.2. sz. mell.  '!M55)</f>
        <v>0</v>
      </c>
    </row>
    <row r="56" spans="1:13" s="145" customFormat="1" ht="15" customHeight="1" thickBot="1" x14ac:dyDescent="0.25">
      <c r="A56" s="134" t="s">
        <v>17</v>
      </c>
      <c r="B56" s="170"/>
      <c r="C56" s="170" t="s">
        <v>443</v>
      </c>
      <c r="D56" s="137">
        <f>SUM(D57:D60)</f>
        <v>0</v>
      </c>
      <c r="E56" s="137">
        <f>SUM(E57:E60)</f>
        <v>1960</v>
      </c>
      <c r="F56" s="137">
        <f>SUM(F57:F60)</f>
        <v>635000</v>
      </c>
      <c r="G56" s="1382">
        <f t="shared" si="1"/>
        <v>372000</v>
      </c>
      <c r="H56" s="137">
        <f>SUM(H57:H60)</f>
        <v>1007000</v>
      </c>
      <c r="I56" s="1374">
        <f t="shared" si="1"/>
        <v>-225832</v>
      </c>
      <c r="J56" s="137">
        <f>SUM(J57:J60)</f>
        <v>781168</v>
      </c>
      <c r="K56" s="1374">
        <f t="shared" si="1"/>
        <v>0</v>
      </c>
      <c r="L56" s="137">
        <f>SUM(L57:L60)</f>
        <v>781168</v>
      </c>
      <c r="M56" s="137">
        <f>SUM(M57:M60)</f>
        <v>781168</v>
      </c>
    </row>
    <row r="57" spans="1:13" s="141" customFormat="1" ht="15" customHeight="1" x14ac:dyDescent="0.2">
      <c r="A57" s="173"/>
      <c r="B57" s="267" t="s">
        <v>5</v>
      </c>
      <c r="C57" s="251" t="s">
        <v>183</v>
      </c>
      <c r="D57" s="175">
        <v>0</v>
      </c>
      <c r="E57" s="175">
        <v>1960</v>
      </c>
      <c r="F57" s="175">
        <f>SUM('5.2. sz. mell.  '!F57)</f>
        <v>635000</v>
      </c>
      <c r="G57" s="1415">
        <f t="shared" si="1"/>
        <v>372000</v>
      </c>
      <c r="H57" s="175">
        <f>SUM('5.2. sz. mell.  '!H57)</f>
        <v>1007000</v>
      </c>
      <c r="I57" s="1376">
        <f t="shared" si="1"/>
        <v>-225832</v>
      </c>
      <c r="J57" s="175">
        <f>SUM('5.2. sz. mell.  '!J57)</f>
        <v>781168</v>
      </c>
      <c r="K57" s="1376">
        <f t="shared" si="1"/>
        <v>0</v>
      </c>
      <c r="L57" s="175">
        <f>SUM('5.2. sz. mell.  '!L57)</f>
        <v>781168</v>
      </c>
      <c r="M57" s="175">
        <f>SUM('5.2. sz. mell.  '!M57)</f>
        <v>781168</v>
      </c>
    </row>
    <row r="58" spans="1:13" s="145" customFormat="1" ht="15" customHeight="1" x14ac:dyDescent="0.2">
      <c r="A58" s="142"/>
      <c r="B58" s="253" t="s">
        <v>7</v>
      </c>
      <c r="C58" s="55" t="s">
        <v>185</v>
      </c>
      <c r="D58" s="144">
        <v>0</v>
      </c>
      <c r="E58" s="144">
        <v>0</v>
      </c>
      <c r="F58" s="175">
        <f>SUM('5.2. sz. mell.  '!F58)</f>
        <v>0</v>
      </c>
      <c r="G58" s="1415">
        <f t="shared" si="1"/>
        <v>0</v>
      </c>
      <c r="H58" s="175">
        <f>SUM('5.2. sz. mell.  '!H58)</f>
        <v>0</v>
      </c>
      <c r="I58" s="1376">
        <f t="shared" si="1"/>
        <v>0</v>
      </c>
      <c r="J58" s="175">
        <f>SUM('5.2. sz. mell.  '!J58)</f>
        <v>0</v>
      </c>
      <c r="K58" s="1376">
        <f t="shared" si="1"/>
        <v>0</v>
      </c>
      <c r="L58" s="175">
        <f>SUM('5.2. sz. mell.  '!L58)</f>
        <v>0</v>
      </c>
      <c r="M58" s="175">
        <f>SUM('5.2. sz. mell.  '!M58)</f>
        <v>0</v>
      </c>
    </row>
    <row r="59" spans="1:13" s="145" customFormat="1" ht="15.75" thickBot="1" x14ac:dyDescent="0.25">
      <c r="A59" s="142"/>
      <c r="B59" s="253" t="s">
        <v>9</v>
      </c>
      <c r="C59" s="55" t="s">
        <v>444</v>
      </c>
      <c r="D59" s="144">
        <v>0</v>
      </c>
      <c r="E59" s="144">
        <v>0</v>
      </c>
      <c r="F59" s="175">
        <f>SUM('5.2. sz. mell.  '!F59)</f>
        <v>0</v>
      </c>
      <c r="G59" s="1415">
        <f t="shared" si="1"/>
        <v>0</v>
      </c>
      <c r="H59" s="175">
        <f>SUM('5.2. sz. mell.  '!H59)</f>
        <v>0</v>
      </c>
      <c r="I59" s="1376">
        <f t="shared" si="1"/>
        <v>0</v>
      </c>
      <c r="J59" s="175">
        <f>SUM('5.2. sz. mell.  '!J59)</f>
        <v>0</v>
      </c>
      <c r="K59" s="1376">
        <f t="shared" si="1"/>
        <v>0</v>
      </c>
      <c r="L59" s="175">
        <f>SUM('5.2. sz. mell.  '!L59)</f>
        <v>0</v>
      </c>
      <c r="M59" s="175">
        <f>SUM('5.2. sz. mell.  '!M59)</f>
        <v>0</v>
      </c>
    </row>
    <row r="60" spans="1:13" s="145" customFormat="1" ht="12.75" hidden="1" customHeight="1" x14ac:dyDescent="0.2">
      <c r="A60" s="142"/>
      <c r="B60" s="176" t="s">
        <v>189</v>
      </c>
      <c r="C60" s="55" t="s">
        <v>448</v>
      </c>
      <c r="D60" s="144">
        <v>0</v>
      </c>
      <c r="E60" s="144">
        <v>0</v>
      </c>
      <c r="F60" s="144">
        <v>0</v>
      </c>
      <c r="G60" s="1415">
        <f t="shared" si="1"/>
        <v>0</v>
      </c>
      <c r="H60" s="175">
        <f>SUM('5.2. sz. mell.  '!H60)</f>
        <v>0</v>
      </c>
      <c r="I60" s="1376">
        <f t="shared" si="1"/>
        <v>0</v>
      </c>
      <c r="J60" s="175">
        <f>SUM('5.2. sz. mell.  '!J60)</f>
        <v>0</v>
      </c>
      <c r="K60" s="1376">
        <f t="shared" si="1"/>
        <v>0</v>
      </c>
      <c r="L60" s="175">
        <f>SUM('5.2. sz. mell.  '!L60)</f>
        <v>0</v>
      </c>
      <c r="M60" s="144">
        <v>0</v>
      </c>
    </row>
    <row r="61" spans="1:13" s="145" customFormat="1" ht="12.75" hidden="1" customHeight="1" x14ac:dyDescent="0.2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415">
        <f t="shared" si="1"/>
        <v>0</v>
      </c>
      <c r="H61" s="175">
        <f>SUM('5.2. sz. mell.  '!H61)</f>
        <v>0</v>
      </c>
      <c r="I61" s="1376">
        <f t="shared" si="1"/>
        <v>0</v>
      </c>
      <c r="J61" s="175">
        <f>SUM('5.2. sz. mell.  '!J61)</f>
        <v>0</v>
      </c>
      <c r="K61" s="1376">
        <f t="shared" si="1"/>
        <v>0</v>
      </c>
      <c r="L61" s="175">
        <f>SUM('5.2. sz. mell.  '!L61)</f>
        <v>0</v>
      </c>
      <c r="M61" s="155">
        <v>0</v>
      </c>
    </row>
    <row r="62" spans="1:13" s="145" customFormat="1" ht="12.75" hidden="1" customHeight="1" x14ac:dyDescent="0.2">
      <c r="A62" s="134"/>
      <c r="B62" s="170"/>
      <c r="C62" s="171" t="s">
        <v>459</v>
      </c>
      <c r="D62" s="155"/>
      <c r="E62" s="155"/>
      <c r="F62" s="155"/>
      <c r="G62" s="1415">
        <f t="shared" si="1"/>
        <v>0</v>
      </c>
      <c r="H62" s="175">
        <f>SUM('5.2. sz. mell.  '!H62)</f>
        <v>0</v>
      </c>
      <c r="I62" s="1376">
        <f t="shared" si="1"/>
        <v>0</v>
      </c>
      <c r="J62" s="175">
        <f>SUM('5.2. sz. mell.  '!J62)</f>
        <v>0</v>
      </c>
      <c r="K62" s="1376">
        <f t="shared" si="1"/>
        <v>0</v>
      </c>
      <c r="L62" s="175">
        <f>SUM('5.2. sz. mell.  '!L62)</f>
        <v>0</v>
      </c>
      <c r="M62" s="155"/>
    </row>
    <row r="63" spans="1:13" s="145" customFormat="1" ht="15" customHeight="1" thickBot="1" x14ac:dyDescent="0.25">
      <c r="A63" s="192" t="s">
        <v>45</v>
      </c>
      <c r="B63" s="160"/>
      <c r="C63" s="274" t="s">
        <v>465</v>
      </c>
      <c r="D63" s="162">
        <f>+D47+D56+D61</f>
        <v>44564</v>
      </c>
      <c r="E63" s="162">
        <f>+E47+E56+E61</f>
        <v>49505</v>
      </c>
      <c r="F63" s="162">
        <f>+F47+F56+F61+F62</f>
        <v>73228768</v>
      </c>
      <c r="G63" s="1437">
        <f t="shared" si="1"/>
        <v>1165309</v>
      </c>
      <c r="H63" s="162">
        <f>+H47+H56+H61+H62</f>
        <v>74394077</v>
      </c>
      <c r="I63" s="1373">
        <f t="shared" si="1"/>
        <v>104064</v>
      </c>
      <c r="J63" s="162">
        <f>+J47+J56+J61+J62</f>
        <v>74498141</v>
      </c>
      <c r="K63" s="1373">
        <f t="shared" si="1"/>
        <v>0</v>
      </c>
      <c r="L63" s="162">
        <f>+L47+L56+L61+L62</f>
        <v>74498141</v>
      </c>
      <c r="M63" s="162">
        <f>+M47+M56+M61+M62</f>
        <v>74460228</v>
      </c>
    </row>
    <row r="64" spans="1:13" s="145" customFormat="1" ht="15" customHeight="1" thickBot="1" x14ac:dyDescent="0.25">
      <c r="A64" s="2144"/>
      <c r="B64" s="266"/>
      <c r="C64" s="275"/>
      <c r="D64" s="286">
        <f>SUM(D49+D51+D53)</f>
        <v>0</v>
      </c>
      <c r="E64" s="286">
        <f>SUM(E49+E51+E53)</f>
        <v>0</v>
      </c>
      <c r="F64" s="1458"/>
      <c r="G64" s="2742"/>
      <c r="H64" s="286">
        <f>SUM(H49+H51+H53)</f>
        <v>0</v>
      </c>
      <c r="I64" s="1514"/>
      <c r="J64" s="286">
        <f>SUM(J49+J51+J53)</f>
        <v>0</v>
      </c>
      <c r="K64" s="1514"/>
      <c r="L64" s="286">
        <f>SUM(L49+L51+L53)</f>
        <v>0</v>
      </c>
      <c r="M64" s="137">
        <f>SUM(M49+M51+M53)</f>
        <v>0</v>
      </c>
    </row>
    <row r="65" spans="1:13" s="145" customFormat="1" ht="15" customHeight="1" thickBot="1" x14ac:dyDescent="0.25">
      <c r="A65" s="276" t="s">
        <v>324</v>
      </c>
      <c r="B65" s="277"/>
      <c r="C65" s="278"/>
      <c r="D65" s="279">
        <v>15</v>
      </c>
      <c r="E65" s="279">
        <v>15</v>
      </c>
      <c r="F65" s="200">
        <f>SUM('5.2. sz. mell.  '!F65)</f>
        <v>17.25</v>
      </c>
      <c r="G65" s="200">
        <f>SUM('5.2. sz. mell.  '!G65)</f>
        <v>0</v>
      </c>
      <c r="H65" s="200">
        <f>SUM('5.2. sz. mell.  '!H65)</f>
        <v>17.25</v>
      </c>
      <c r="I65" s="200">
        <f>SUM('5.2. sz. mell.  '!I65)</f>
        <v>0</v>
      </c>
      <c r="J65" s="200">
        <f>SUM('5.2. sz. mell.  '!J65)</f>
        <v>17.25</v>
      </c>
      <c r="K65" s="3511"/>
      <c r="L65" s="200">
        <f>SUM('5.2. sz. mell.  '!L65)</f>
        <v>17.25</v>
      </c>
      <c r="M65" s="200">
        <f>SUM('5.2. sz. mell.  '!M65)</f>
        <v>17.25</v>
      </c>
    </row>
    <row r="66" spans="1:13" s="145" customFormat="1" ht="15" customHeight="1" thickBot="1" x14ac:dyDescent="0.25">
      <c r="A66" s="276" t="s">
        <v>325</v>
      </c>
      <c r="B66" s="277"/>
      <c r="C66" s="278"/>
      <c r="D66" s="279"/>
      <c r="E66" s="279"/>
      <c r="F66" s="279"/>
      <c r="G66" s="1560"/>
      <c r="H66" s="279"/>
      <c r="I66" s="1389"/>
      <c r="J66" s="279"/>
      <c r="K66" s="1389"/>
      <c r="L66" s="279"/>
      <c r="M66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39370078740157483" top="0.23622047244094491" bottom="0.39370078740157483" header="0.51181102362204722" footer="0.15748031496062992"/>
  <pageSetup paperSize="9" scale="67" firstPageNumber="50" orientation="portrait" useFirstPageNumber="1" r:id="rId1"/>
  <headerFooter>
    <oddFooter>&amp;C- &amp;P -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64"/>
  <sheetViews>
    <sheetView view="pageBreakPreview" topLeftCell="A37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6.33203125" style="115" customWidth="1"/>
    <col min="4" max="5" width="9.33203125" style="115" hidden="1" customWidth="1"/>
    <col min="6" max="6" width="11.5" style="115" customWidth="1"/>
    <col min="7" max="7" width="16.1640625" style="1390" hidden="1" customWidth="1"/>
    <col min="8" max="8" width="12.5" style="115" hidden="1" customWidth="1"/>
    <col min="9" max="9" width="13.5" style="1390" hidden="1" customWidth="1"/>
    <col min="10" max="10" width="12.1640625" style="115" customWidth="1"/>
    <col min="11" max="11" width="13.5" style="1390" customWidth="1"/>
    <col min="12" max="12" width="13.5" style="115" customWidth="1"/>
    <col min="13" max="13" width="14.832031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722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47.25" customHeight="1" thickBot="1" x14ac:dyDescent="0.25">
      <c r="A2" s="4516" t="s">
        <v>411</v>
      </c>
      <c r="B2" s="4516"/>
      <c r="C2" s="117" t="s">
        <v>1001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29.25" customHeight="1" thickBot="1" x14ac:dyDescent="0.25">
      <c r="A3" s="4525" t="s">
        <v>283</v>
      </c>
      <c r="B3" s="4525"/>
      <c r="C3" s="304" t="s">
        <v>1436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64"/>
      <c r="E4" s="4464"/>
      <c r="F4" s="4465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35.2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>
        <v>1</v>
      </c>
      <c r="B6" s="127">
        <v>2</v>
      </c>
      <c r="C6" s="127">
        <v>3</v>
      </c>
      <c r="D6" s="128">
        <v>4</v>
      </c>
      <c r="E6" s="128">
        <v>5</v>
      </c>
      <c r="F6" s="128">
        <v>4</v>
      </c>
      <c r="G6" s="2455"/>
      <c r="H6" s="128">
        <v>5</v>
      </c>
      <c r="I6" s="1372"/>
      <c r="J6" s="128"/>
      <c r="K6" s="1372"/>
      <c r="L6" s="128"/>
      <c r="M6" s="128">
        <v>6</v>
      </c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5"/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6"/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6"/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6"/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6"/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6"/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7"/>
      <c r="L15" s="147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0</v>
      </c>
      <c r="K16" s="1376"/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/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>
        <v>0</v>
      </c>
      <c r="K18" s="1378"/>
      <c r="L18" s="153">
        <v>0</v>
      </c>
      <c r="M18" s="153">
        <v>0</v>
      </c>
    </row>
    <row r="19" spans="1:13" s="141" customFormat="1" ht="39" customHeight="1" thickBot="1" x14ac:dyDescent="0.25">
      <c r="A19" s="134" t="s">
        <v>17</v>
      </c>
      <c r="B19" s="148"/>
      <c r="C19" s="247" t="s">
        <v>419</v>
      </c>
      <c r="D19" s="137">
        <f>SUM(D20:D26)-D21</f>
        <v>38855</v>
      </c>
      <c r="E19" s="137">
        <f>SUM(E20:E26)-E21</f>
        <v>39688</v>
      </c>
      <c r="F19" s="137">
        <f>SUM(F20:F26)-F21</f>
        <v>0</v>
      </c>
      <c r="G19" s="1382"/>
      <c r="H19" s="137">
        <f>SUM(H20:H26)-H21</f>
        <v>0</v>
      </c>
      <c r="I19" s="1374"/>
      <c r="J19" s="137">
        <f>SUM(J20:J26)-J21</f>
        <v>0</v>
      </c>
      <c r="K19" s="1374"/>
      <c r="L19" s="137">
        <f>SUM(L20:L26)-L21</f>
        <v>0</v>
      </c>
      <c r="M19" s="137">
        <f>SUM(M20:M26)-M21</f>
        <v>0</v>
      </c>
    </row>
    <row r="20" spans="1:13" s="145" customFormat="1" ht="30.75" customHeight="1" x14ac:dyDescent="0.2">
      <c r="A20" s="142"/>
      <c r="B20" s="143" t="s">
        <v>5</v>
      </c>
      <c r="C20" s="251" t="s">
        <v>420</v>
      </c>
      <c r="D20" s="144">
        <v>38855</v>
      </c>
      <c r="E20" s="144">
        <v>39658</v>
      </c>
      <c r="F20" s="144">
        <v>0</v>
      </c>
      <c r="G20" s="1415"/>
      <c r="H20" s="144">
        <v>0</v>
      </c>
      <c r="I20" s="1376"/>
      <c r="J20" s="144">
        <v>0</v>
      </c>
      <c r="K20" s="1376"/>
      <c r="L20" s="144">
        <v>0</v>
      </c>
      <c r="M20" s="144">
        <v>0</v>
      </c>
    </row>
    <row r="21" spans="1:13" s="145" customFormat="1" ht="12.75" hidden="1" customHeight="1" x14ac:dyDescent="0.2">
      <c r="A21" s="142"/>
      <c r="B21" s="143"/>
      <c r="C21" s="251"/>
      <c r="D21" s="144"/>
      <c r="E21" s="144"/>
      <c r="F21" s="144"/>
      <c r="G21" s="1415"/>
      <c r="H21" s="144"/>
      <c r="I21" s="1376"/>
      <c r="J21" s="144"/>
      <c r="K21" s="1376"/>
      <c r="L21" s="144"/>
      <c r="M21" s="144"/>
    </row>
    <row r="22" spans="1:13" s="145" customFormat="1" ht="15" customHeight="1" x14ac:dyDescent="0.2">
      <c r="A22" s="142"/>
      <c r="B22" s="143" t="s">
        <v>421</v>
      </c>
      <c r="C22" s="55" t="s">
        <v>422</v>
      </c>
      <c r="D22" s="144">
        <v>0</v>
      </c>
      <c r="E22" s="144">
        <v>0</v>
      </c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360</v>
      </c>
      <c r="C23" s="55" t="s">
        <v>1430</v>
      </c>
      <c r="D23" s="144"/>
      <c r="E23" s="144"/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357</v>
      </c>
      <c r="C24" s="55" t="s">
        <v>424</v>
      </c>
      <c r="D24" s="144">
        <v>0</v>
      </c>
      <c r="E24" s="144">
        <v>0</v>
      </c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x14ac:dyDescent="0.2">
      <c r="A25" s="142"/>
      <c r="B25" s="143" t="s">
        <v>7</v>
      </c>
      <c r="C25" s="55" t="s">
        <v>6</v>
      </c>
      <c r="D25" s="144"/>
      <c r="E25" s="144"/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144">
        <v>30</v>
      </c>
      <c r="F26" s="144">
        <v>0</v>
      </c>
      <c r="G26" s="1415"/>
      <c r="H26" s="144">
        <v>0</v>
      </c>
      <c r="I26" s="1376"/>
      <c r="J26" s="144">
        <v>0</v>
      </c>
      <c r="K26" s="1376"/>
      <c r="L26" s="144">
        <v>0</v>
      </c>
      <c r="M26" s="144">
        <v>0</v>
      </c>
    </row>
    <row r="27" spans="1:13" s="145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155">
        <v>0</v>
      </c>
      <c r="F27" s="155">
        <v>0</v>
      </c>
      <c r="G27" s="1381"/>
      <c r="H27" s="155">
        <v>0</v>
      </c>
      <c r="I27" s="1380"/>
      <c r="J27" s="155">
        <v>0</v>
      </c>
      <c r="K27" s="1380"/>
      <c r="L27" s="155">
        <v>0</v>
      </c>
      <c r="M27" s="155">
        <v>0</v>
      </c>
    </row>
    <row r="28" spans="1:13" s="145" customFormat="1" ht="15" customHeight="1" thickBot="1" x14ac:dyDescent="0.25">
      <c r="A28" s="134"/>
      <c r="B28" s="143" t="s">
        <v>19</v>
      </c>
      <c r="C28" s="55" t="s">
        <v>427</v>
      </c>
      <c r="D28" s="155"/>
      <c r="E28" s="155"/>
      <c r="F28" s="252">
        <v>0</v>
      </c>
      <c r="G28" s="1509"/>
      <c r="H28" s="252">
        <v>0</v>
      </c>
      <c r="I28" s="1436"/>
      <c r="J28" s="252">
        <v>0</v>
      </c>
      <c r="K28" s="1436"/>
      <c r="L28" s="252">
        <v>0</v>
      </c>
      <c r="M28" s="252">
        <v>0</v>
      </c>
    </row>
    <row r="29" spans="1:13" s="141" customFormat="1" ht="15" customHeight="1" thickBot="1" x14ac:dyDescent="0.25">
      <c r="A29" s="134" t="s">
        <v>45</v>
      </c>
      <c r="B29" s="148"/>
      <c r="C29" s="170" t="s">
        <v>428</v>
      </c>
      <c r="D29" s="155">
        <v>0</v>
      </c>
      <c r="E29" s="155">
        <v>0</v>
      </c>
      <c r="F29" s="155">
        <v>0</v>
      </c>
      <c r="G29" s="1381"/>
      <c r="H29" s="155">
        <v>0</v>
      </c>
      <c r="I29" s="1380"/>
      <c r="J29" s="155">
        <v>0</v>
      </c>
      <c r="K29" s="1380"/>
      <c r="L29" s="155">
        <v>0</v>
      </c>
      <c r="M29" s="155">
        <v>0</v>
      </c>
    </row>
    <row r="30" spans="1:13" s="141" customFormat="1" ht="15" customHeight="1" thickBot="1" x14ac:dyDescent="0.25">
      <c r="A30" s="149"/>
      <c r="B30" s="253" t="s">
        <v>33</v>
      </c>
      <c r="C30" s="55" t="s">
        <v>359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46"/>
      <c r="B31" s="253" t="s">
        <v>39</v>
      </c>
      <c r="C31" s="55" t="s">
        <v>72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15" customHeight="1" thickBot="1" x14ac:dyDescent="0.25">
      <c r="A32" s="178"/>
      <c r="B32" s="253" t="s">
        <v>41</v>
      </c>
      <c r="C32" s="55" t="s">
        <v>74</v>
      </c>
      <c r="D32" s="295"/>
      <c r="E32" s="295"/>
      <c r="F32" s="144">
        <v>0</v>
      </c>
      <c r="G32" s="1415"/>
      <c r="H32" s="144">
        <v>0</v>
      </c>
      <c r="I32" s="1376"/>
      <c r="J32" s="144">
        <v>0</v>
      </c>
      <c r="K32" s="1376"/>
      <c r="L32" s="144">
        <v>0</v>
      </c>
      <c r="M32" s="144">
        <v>0</v>
      </c>
    </row>
    <row r="33" spans="1:13" s="145" customFormat="1" ht="33.75" customHeight="1" thickBot="1" x14ac:dyDescent="0.25">
      <c r="A33" s="134" t="s">
        <v>67</v>
      </c>
      <c r="B33" s="254"/>
      <c r="C33" s="170" t="s">
        <v>429</v>
      </c>
      <c r="D33" s="285">
        <v>0</v>
      </c>
      <c r="E33" s="285">
        <f>SUM(E34:E35)</f>
        <v>79</v>
      </c>
      <c r="F33" s="285">
        <f>SUM(F34:F35)</f>
        <v>0</v>
      </c>
      <c r="G33" s="1382"/>
      <c r="H33" s="285">
        <f>SUM(H34:H35)</f>
        <v>0</v>
      </c>
      <c r="I33" s="1382"/>
      <c r="J33" s="285">
        <f>SUM(J34:J35)</f>
        <v>0</v>
      </c>
      <c r="K33" s="1382"/>
      <c r="L33" s="285">
        <f>SUM(L34:L35)</f>
        <v>0</v>
      </c>
      <c r="M33" s="285">
        <f>SUM(M34:M35)</f>
        <v>0</v>
      </c>
    </row>
    <row r="34" spans="1:13" s="145" customFormat="1" ht="30" customHeight="1" thickBot="1" x14ac:dyDescent="0.25">
      <c r="A34" s="149"/>
      <c r="B34" s="255" t="s">
        <v>47</v>
      </c>
      <c r="C34" s="251" t="s">
        <v>430</v>
      </c>
      <c r="D34" s="306">
        <v>0</v>
      </c>
      <c r="E34" s="306">
        <v>79</v>
      </c>
      <c r="F34" s="306">
        <v>0</v>
      </c>
      <c r="G34" s="1383"/>
      <c r="H34" s="306">
        <v>0</v>
      </c>
      <c r="I34" s="1383"/>
      <c r="J34" s="306">
        <v>0</v>
      </c>
      <c r="K34" s="1383"/>
      <c r="L34" s="306">
        <v>0</v>
      </c>
      <c r="M34" s="306">
        <v>0</v>
      </c>
    </row>
    <row r="35" spans="1:13" s="145" customFormat="1" ht="12.75" hidden="1" customHeight="1" x14ac:dyDescent="0.2">
      <c r="A35" s="146"/>
      <c r="B35" s="307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>
        <v>0</v>
      </c>
      <c r="K35" s="1384"/>
      <c r="L35" s="294">
        <v>0</v>
      </c>
      <c r="M35" s="294">
        <v>0</v>
      </c>
    </row>
    <row r="36" spans="1:13" s="145" customFormat="1" ht="15" customHeight="1" thickBot="1" x14ac:dyDescent="0.3">
      <c r="A36" s="258" t="s">
        <v>79</v>
      </c>
      <c r="B36" s="256"/>
      <c r="C36" s="247" t="s">
        <v>431</v>
      </c>
      <c r="D36" s="155">
        <v>5709</v>
      </c>
      <c r="E36" s="155">
        <v>9738</v>
      </c>
      <c r="F36" s="155">
        <v>0</v>
      </c>
      <c r="G36" s="1381"/>
      <c r="H36" s="155">
        <v>0</v>
      </c>
      <c r="I36" s="1380"/>
      <c r="J36" s="155">
        <v>0</v>
      </c>
      <c r="K36" s="1380"/>
      <c r="L36" s="155">
        <v>0</v>
      </c>
      <c r="M36" s="155">
        <v>0</v>
      </c>
    </row>
    <row r="37" spans="1:13" s="145" customFormat="1" ht="30" customHeight="1" thickBot="1" x14ac:dyDescent="0.25">
      <c r="A37" s="258"/>
      <c r="B37" s="257" t="s">
        <v>69</v>
      </c>
      <c r="C37" s="55" t="s">
        <v>432</v>
      </c>
      <c r="D37" s="155"/>
      <c r="E37" s="155"/>
      <c r="F37" s="252">
        <v>0</v>
      </c>
      <c r="G37" s="1509"/>
      <c r="H37" s="252">
        <v>0</v>
      </c>
      <c r="I37" s="1436"/>
      <c r="J37" s="252">
        <v>0</v>
      </c>
      <c r="K37" s="1436"/>
      <c r="L37" s="252">
        <v>0</v>
      </c>
      <c r="M37" s="252">
        <v>0</v>
      </c>
    </row>
    <row r="38" spans="1:13" s="145" customFormat="1" ht="15" customHeight="1" thickBot="1" x14ac:dyDescent="0.3">
      <c r="A38" s="258" t="s">
        <v>89</v>
      </c>
      <c r="B38" s="256"/>
      <c r="C38" s="170" t="s">
        <v>433</v>
      </c>
      <c r="D38" s="155"/>
      <c r="E38" s="155"/>
      <c r="F38" s="155">
        <v>0</v>
      </c>
      <c r="G38" s="1381"/>
      <c r="H38" s="155">
        <v>0</v>
      </c>
      <c r="I38" s="1380"/>
      <c r="J38" s="155">
        <v>0</v>
      </c>
      <c r="K38" s="1380"/>
      <c r="L38" s="155">
        <v>0</v>
      </c>
      <c r="M38" s="155">
        <v>0</v>
      </c>
    </row>
    <row r="39" spans="1:13" s="145" customFormat="1" ht="15" customHeight="1" thickBot="1" x14ac:dyDescent="0.25">
      <c r="A39" s="149"/>
      <c r="B39" s="253" t="s">
        <v>81</v>
      </c>
      <c r="C39" s="55" t="s">
        <v>434</v>
      </c>
      <c r="D39" s="155"/>
      <c r="E39" s="155"/>
      <c r="F39" s="144">
        <v>0</v>
      </c>
      <c r="G39" s="1415"/>
      <c r="H39" s="144">
        <v>0</v>
      </c>
      <c r="I39" s="1376"/>
      <c r="J39" s="144">
        <v>0</v>
      </c>
      <c r="K39" s="1376"/>
      <c r="L39" s="144">
        <v>0</v>
      </c>
      <c r="M39" s="144">
        <v>0</v>
      </c>
    </row>
    <row r="40" spans="1:13" s="145" customFormat="1" ht="13.5" customHeight="1" thickBot="1" x14ac:dyDescent="0.25">
      <c r="A40" s="146"/>
      <c r="B40" s="253" t="s">
        <v>83</v>
      </c>
      <c r="C40" s="55" t="s">
        <v>435</v>
      </c>
      <c r="D40" s="155"/>
      <c r="E40" s="155"/>
      <c r="F40" s="144">
        <v>0</v>
      </c>
      <c r="G40" s="1415"/>
      <c r="H40" s="144">
        <v>0</v>
      </c>
      <c r="I40" s="1376"/>
      <c r="J40" s="144">
        <v>0</v>
      </c>
      <c r="K40" s="1376"/>
      <c r="L40" s="144">
        <v>0</v>
      </c>
      <c r="M40" s="144">
        <v>0</v>
      </c>
    </row>
    <row r="41" spans="1:13" s="305" customFormat="1" ht="15" customHeight="1" thickBot="1" x14ac:dyDescent="0.25">
      <c r="A41" s="178"/>
      <c r="B41" s="253" t="s">
        <v>85</v>
      </c>
      <c r="C41" s="55" t="s">
        <v>1433</v>
      </c>
      <c r="D41" s="155"/>
      <c r="E41" s="155"/>
      <c r="F41" s="144">
        <v>0</v>
      </c>
      <c r="G41" s="1415"/>
      <c r="H41" s="144">
        <v>0</v>
      </c>
      <c r="I41" s="1376"/>
      <c r="J41" s="144">
        <v>0</v>
      </c>
      <c r="K41" s="1376"/>
      <c r="L41" s="144">
        <v>0</v>
      </c>
      <c r="M41" s="144">
        <v>0</v>
      </c>
    </row>
    <row r="42" spans="1:13" s="141" customFormat="1" ht="15" customHeight="1" thickBot="1" x14ac:dyDescent="0.25">
      <c r="A42" s="192" t="s">
        <v>99</v>
      </c>
      <c r="B42" s="160"/>
      <c r="C42" s="274" t="s">
        <v>441</v>
      </c>
      <c r="D42" s="162">
        <f>SUM(D8,D19,D27,D29,D33,D36)</f>
        <v>44564</v>
      </c>
      <c r="E42" s="162">
        <f>SUM(E8,E19,E27,E29,E33,E36)</f>
        <v>49505</v>
      </c>
      <c r="F42" s="162">
        <f>SUM(F8,F19,F27,F29,F33,F36,F38)</f>
        <v>0</v>
      </c>
      <c r="G42" s="1437"/>
      <c r="H42" s="162">
        <f>SUM(H8,H19,H27,H29,H33,H36,H38)</f>
        <v>0</v>
      </c>
      <c r="I42" s="1373"/>
      <c r="J42" s="162">
        <f>SUM(J8,J19,J27,J29,J33,J36,J38)</f>
        <v>0</v>
      </c>
      <c r="K42" s="1373"/>
      <c r="L42" s="162">
        <f>SUM(L8,L19,L27,L29,L33,L36,L38)</f>
        <v>0</v>
      </c>
      <c r="M42" s="162">
        <f>SUM(M8,M19,M27,M29,M33,M36,M38)</f>
        <v>0</v>
      </c>
    </row>
    <row r="43" spans="1:13" s="145" customFormat="1" ht="15" customHeight="1" thickBot="1" x14ac:dyDescent="0.25">
      <c r="A43" s="1303"/>
      <c r="B43" s="886"/>
      <c r="C43" s="886"/>
      <c r="D43" s="2145"/>
      <c r="E43" s="2145"/>
      <c r="F43" s="2741"/>
      <c r="G43" s="2146"/>
      <c r="H43" s="2146"/>
      <c r="I43" s="2146"/>
      <c r="J43" s="2146"/>
      <c r="K43" s="2146"/>
      <c r="L43" s="2146"/>
      <c r="M43" s="2131"/>
    </row>
    <row r="44" spans="1:13" s="145" customFormat="1" ht="12.75" hidden="1" customHeight="1" x14ac:dyDescent="0.2">
      <c r="A44" s="192"/>
      <c r="B44" s="160"/>
      <c r="C44" s="282" t="s">
        <v>231</v>
      </c>
      <c r="D44" s="162"/>
      <c r="E44" s="162"/>
      <c r="F44" s="162"/>
      <c r="G44" s="1437"/>
      <c r="H44" s="162"/>
      <c r="I44" s="1373"/>
      <c r="J44" s="162"/>
      <c r="K44" s="1373"/>
      <c r="L44" s="162"/>
      <c r="M44" s="162"/>
    </row>
    <row r="45" spans="1:13" s="145" customFormat="1" ht="15" customHeight="1" thickBot="1" x14ac:dyDescent="0.25">
      <c r="A45" s="134" t="s">
        <v>3</v>
      </c>
      <c r="B45" s="170"/>
      <c r="C45" s="170" t="s">
        <v>442</v>
      </c>
      <c r="D45" s="137">
        <f>SUM(D46+D48+D50)</f>
        <v>44564</v>
      </c>
      <c r="E45" s="137">
        <f>SUM(E46+E48+E50)</f>
        <v>47545</v>
      </c>
      <c r="F45" s="137">
        <f>SUM(F46+F48+F50)</f>
        <v>0</v>
      </c>
      <c r="G45" s="1382"/>
      <c r="H45" s="137">
        <f>SUM(H46+H48+H50)</f>
        <v>0</v>
      </c>
      <c r="I45" s="1374"/>
      <c r="J45" s="137">
        <f>SUM(J46+J48+J50)</f>
        <v>0</v>
      </c>
      <c r="K45" s="1374"/>
      <c r="L45" s="137">
        <f>SUM(L46+L48+L50)</f>
        <v>0</v>
      </c>
      <c r="M45" s="137">
        <f>SUM(M46+M48+M50)</f>
        <v>0</v>
      </c>
    </row>
    <row r="46" spans="1:13" s="145" customFormat="1" ht="15" customHeight="1" x14ac:dyDescent="0.2">
      <c r="A46" s="173"/>
      <c r="B46" s="174" t="s">
        <v>152</v>
      </c>
      <c r="C46" s="251" t="s">
        <v>153</v>
      </c>
      <c r="D46" s="175">
        <v>29501</v>
      </c>
      <c r="E46" s="175">
        <v>31136</v>
      </c>
      <c r="F46" s="175">
        <v>0</v>
      </c>
      <c r="G46" s="1432"/>
      <c r="H46" s="175">
        <v>0</v>
      </c>
      <c r="I46" s="1386"/>
      <c r="J46" s="175">
        <v>0</v>
      </c>
      <c r="K46" s="1386"/>
      <c r="L46" s="175">
        <v>0</v>
      </c>
      <c r="M46" s="175">
        <v>0</v>
      </c>
    </row>
    <row r="47" spans="1:13" s="145" customFormat="1" ht="12.75" hidden="1" customHeight="1" x14ac:dyDescent="0.2">
      <c r="A47" s="173"/>
      <c r="B47" s="174"/>
      <c r="C47" s="309" t="s">
        <v>463</v>
      </c>
      <c r="D47" s="302"/>
      <c r="E47" s="302"/>
      <c r="F47" s="302"/>
      <c r="G47" s="2740"/>
      <c r="H47" s="302"/>
      <c r="I47" s="1510"/>
      <c r="J47" s="302"/>
      <c r="K47" s="1510"/>
      <c r="L47" s="302"/>
      <c r="M47" s="302"/>
    </row>
    <row r="48" spans="1:13" s="145" customFormat="1" ht="15" customHeight="1" x14ac:dyDescent="0.2">
      <c r="A48" s="142"/>
      <c r="B48" s="176" t="s">
        <v>154</v>
      </c>
      <c r="C48" s="55" t="s">
        <v>155</v>
      </c>
      <c r="D48" s="144">
        <v>7928</v>
      </c>
      <c r="E48" s="144">
        <v>8370</v>
      </c>
      <c r="F48" s="144">
        <v>0</v>
      </c>
      <c r="G48" s="1415"/>
      <c r="H48" s="144">
        <v>0</v>
      </c>
      <c r="I48" s="1376"/>
      <c r="J48" s="144">
        <v>0</v>
      </c>
      <c r="K48" s="1376"/>
      <c r="L48" s="144">
        <v>0</v>
      </c>
      <c r="M48" s="144">
        <v>0</v>
      </c>
    </row>
    <row r="49" spans="1:13" s="145" customFormat="1" ht="12.75" hidden="1" customHeight="1" x14ac:dyDescent="0.2">
      <c r="A49" s="142"/>
      <c r="B49" s="176"/>
      <c r="C49" s="309" t="s">
        <v>463</v>
      </c>
      <c r="D49" s="302"/>
      <c r="E49" s="302"/>
      <c r="F49" s="302"/>
      <c r="G49" s="2740"/>
      <c r="H49" s="302"/>
      <c r="I49" s="1510"/>
      <c r="J49" s="302"/>
      <c r="K49" s="1510"/>
      <c r="L49" s="302"/>
      <c r="M49" s="302"/>
    </row>
    <row r="50" spans="1:13" s="145" customFormat="1" ht="15" customHeight="1" x14ac:dyDescent="0.2">
      <c r="A50" s="142"/>
      <c r="B50" s="176" t="s">
        <v>156</v>
      </c>
      <c r="C50" s="55" t="s">
        <v>157</v>
      </c>
      <c r="D50" s="144">
        <v>7135</v>
      </c>
      <c r="E50" s="144">
        <v>8039</v>
      </c>
      <c r="F50" s="144">
        <v>0</v>
      </c>
      <c r="G50" s="1415"/>
      <c r="H50" s="144">
        <v>0</v>
      </c>
      <c r="I50" s="1376"/>
      <c r="J50" s="144">
        <v>0</v>
      </c>
      <c r="K50" s="1376"/>
      <c r="L50" s="144">
        <v>0</v>
      </c>
      <c r="M50" s="144">
        <v>0</v>
      </c>
    </row>
    <row r="51" spans="1:13" s="145" customFormat="1" ht="12.75" hidden="1" customHeight="1" x14ac:dyDescent="0.2">
      <c r="A51" s="142"/>
      <c r="B51" s="176"/>
      <c r="C51" s="309" t="s">
        <v>463</v>
      </c>
      <c r="D51" s="302"/>
      <c r="E51" s="302"/>
      <c r="F51" s="302"/>
      <c r="G51" s="2740"/>
      <c r="H51" s="302"/>
      <c r="I51" s="1510"/>
      <c r="J51" s="302"/>
      <c r="K51" s="1510"/>
      <c r="L51" s="302"/>
      <c r="M51" s="302"/>
    </row>
    <row r="52" spans="1:13" s="141" customFormat="1" ht="15" customHeight="1" x14ac:dyDescent="0.2">
      <c r="A52" s="142"/>
      <c r="B52" s="176" t="s">
        <v>158</v>
      </c>
      <c r="C52" s="55" t="s">
        <v>159</v>
      </c>
      <c r="D52" s="144"/>
      <c r="E52" s="144"/>
      <c r="F52" s="144">
        <v>0</v>
      </c>
      <c r="G52" s="1415"/>
      <c r="H52" s="144">
        <v>0</v>
      </c>
      <c r="I52" s="1376"/>
      <c r="J52" s="144">
        <v>0</v>
      </c>
      <c r="K52" s="1376"/>
      <c r="L52" s="144">
        <v>0</v>
      </c>
      <c r="M52" s="144">
        <v>0</v>
      </c>
    </row>
    <row r="53" spans="1:13" s="145" customFormat="1" ht="15" customHeight="1" thickBot="1" x14ac:dyDescent="0.25">
      <c r="A53" s="142"/>
      <c r="B53" s="176" t="s">
        <v>160</v>
      </c>
      <c r="C53" s="55" t="s">
        <v>161</v>
      </c>
      <c r="D53" s="144">
        <v>0</v>
      </c>
      <c r="E53" s="144">
        <v>0</v>
      </c>
      <c r="F53" s="144">
        <v>0</v>
      </c>
      <c r="G53" s="1415"/>
      <c r="H53" s="144">
        <v>0</v>
      </c>
      <c r="I53" s="1376"/>
      <c r="J53" s="144">
        <v>0</v>
      </c>
      <c r="K53" s="1376"/>
      <c r="L53" s="144">
        <v>0</v>
      </c>
      <c r="M53" s="144">
        <v>0</v>
      </c>
    </row>
    <row r="54" spans="1:13" s="145" customFormat="1" ht="15.75" thickBot="1" x14ac:dyDescent="0.25">
      <c r="A54" s="134" t="s">
        <v>17</v>
      </c>
      <c r="B54" s="170"/>
      <c r="C54" s="170" t="s">
        <v>443</v>
      </c>
      <c r="D54" s="137">
        <f>SUM(D55:D58)</f>
        <v>0</v>
      </c>
      <c r="E54" s="137">
        <f>SUM(E55:E58)</f>
        <v>1960</v>
      </c>
      <c r="F54" s="137">
        <f>SUM(F55:F58)</f>
        <v>0</v>
      </c>
      <c r="G54" s="1382"/>
      <c r="H54" s="137">
        <f>SUM(H55:H58)</f>
        <v>0</v>
      </c>
      <c r="I54" s="1374"/>
      <c r="J54" s="137">
        <f>SUM(J55:J58)</f>
        <v>0</v>
      </c>
      <c r="K54" s="1374"/>
      <c r="L54" s="137">
        <f>SUM(L55:L58)</f>
        <v>0</v>
      </c>
      <c r="M54" s="137">
        <f>SUM(M55:M58)</f>
        <v>0</v>
      </c>
    </row>
    <row r="55" spans="1:13" s="145" customFormat="1" ht="15" customHeight="1" x14ac:dyDescent="0.2">
      <c r="A55" s="173"/>
      <c r="B55" s="267" t="s">
        <v>5</v>
      </c>
      <c r="C55" s="251" t="s">
        <v>183</v>
      </c>
      <c r="D55" s="175">
        <v>0</v>
      </c>
      <c r="E55" s="175">
        <v>1960</v>
      </c>
      <c r="F55" s="175">
        <v>0</v>
      </c>
      <c r="G55" s="1432"/>
      <c r="H55" s="175">
        <v>0</v>
      </c>
      <c r="I55" s="1386"/>
      <c r="J55" s="175">
        <v>0</v>
      </c>
      <c r="K55" s="1386"/>
      <c r="L55" s="175">
        <v>0</v>
      </c>
      <c r="M55" s="175">
        <v>0</v>
      </c>
    </row>
    <row r="56" spans="1:13" s="145" customFormat="1" ht="15" customHeight="1" x14ac:dyDescent="0.2">
      <c r="A56" s="142"/>
      <c r="B56" s="253" t="s">
        <v>7</v>
      </c>
      <c r="C56" s="55" t="s">
        <v>185</v>
      </c>
      <c r="D56" s="144">
        <v>0</v>
      </c>
      <c r="E56" s="144">
        <v>0</v>
      </c>
      <c r="F56" s="144">
        <v>0</v>
      </c>
      <c r="G56" s="1415"/>
      <c r="H56" s="144">
        <v>0</v>
      </c>
      <c r="I56" s="1376"/>
      <c r="J56" s="144">
        <v>0</v>
      </c>
      <c r="K56" s="1376"/>
      <c r="L56" s="144">
        <v>0</v>
      </c>
      <c r="M56" s="144">
        <v>0</v>
      </c>
    </row>
    <row r="57" spans="1:13" s="145" customFormat="1" ht="15" customHeight="1" thickBot="1" x14ac:dyDescent="0.25">
      <c r="A57" s="142"/>
      <c r="B57" s="253" t="s">
        <v>9</v>
      </c>
      <c r="C57" s="55" t="s">
        <v>444</v>
      </c>
      <c r="D57" s="144">
        <v>0</v>
      </c>
      <c r="E57" s="144">
        <v>0</v>
      </c>
      <c r="F57" s="144">
        <v>0</v>
      </c>
      <c r="G57" s="1415"/>
      <c r="H57" s="144">
        <v>0</v>
      </c>
      <c r="I57" s="1376"/>
      <c r="J57" s="144">
        <v>0</v>
      </c>
      <c r="K57" s="1376"/>
      <c r="L57" s="144">
        <v>0</v>
      </c>
      <c r="M57" s="144">
        <v>0</v>
      </c>
    </row>
    <row r="58" spans="1:13" s="145" customFormat="1" ht="12.75" hidden="1" customHeight="1" x14ac:dyDescent="0.2">
      <c r="A58" s="142"/>
      <c r="B58" s="176" t="s">
        <v>189</v>
      </c>
      <c r="C58" s="55" t="s">
        <v>448</v>
      </c>
      <c r="D58" s="144">
        <v>0</v>
      </c>
      <c r="E58" s="144">
        <v>0</v>
      </c>
      <c r="F58" s="144">
        <v>0</v>
      </c>
      <c r="G58" s="1415"/>
      <c r="H58" s="144">
        <v>0</v>
      </c>
      <c r="I58" s="1376"/>
      <c r="J58" s="144">
        <v>0</v>
      </c>
      <c r="K58" s="1376"/>
      <c r="L58" s="144">
        <v>0</v>
      </c>
      <c r="M58" s="144">
        <v>0</v>
      </c>
    </row>
    <row r="59" spans="1:13" s="145" customFormat="1" ht="12.75" hidden="1" customHeight="1" x14ac:dyDescent="0.2">
      <c r="A59" s="134" t="s">
        <v>31</v>
      </c>
      <c r="B59" s="170"/>
      <c r="C59" s="171" t="s">
        <v>445</v>
      </c>
      <c r="D59" s="155">
        <v>0</v>
      </c>
      <c r="E59" s="155">
        <v>0</v>
      </c>
      <c r="F59" s="155">
        <v>0</v>
      </c>
      <c r="G59" s="1381"/>
      <c r="H59" s="155">
        <v>0</v>
      </c>
      <c r="I59" s="1380"/>
      <c r="J59" s="155">
        <v>0</v>
      </c>
      <c r="K59" s="1380"/>
      <c r="L59" s="155">
        <v>0</v>
      </c>
      <c r="M59" s="155">
        <v>0</v>
      </c>
    </row>
    <row r="60" spans="1:13" s="145" customFormat="1" ht="12.75" hidden="1" customHeight="1" x14ac:dyDescent="0.2">
      <c r="A60" s="134"/>
      <c r="B60" s="170"/>
      <c r="C60" s="171" t="s">
        <v>459</v>
      </c>
      <c r="D60" s="155"/>
      <c r="E60" s="155"/>
      <c r="F60" s="155"/>
      <c r="G60" s="1381"/>
      <c r="H60" s="155"/>
      <c r="I60" s="1380"/>
      <c r="J60" s="155"/>
      <c r="K60" s="1380"/>
      <c r="L60" s="155"/>
      <c r="M60" s="155"/>
    </row>
    <row r="61" spans="1:13" s="145" customFormat="1" ht="15" customHeight="1" thickBot="1" x14ac:dyDescent="0.25">
      <c r="A61" s="192" t="s">
        <v>31</v>
      </c>
      <c r="B61" s="160"/>
      <c r="C61" s="274" t="s">
        <v>465</v>
      </c>
      <c r="D61" s="162">
        <f>+D45+D54+D59</f>
        <v>44564</v>
      </c>
      <c r="E61" s="162">
        <f>+E45+E54+E59</f>
        <v>49505</v>
      </c>
      <c r="F61" s="162">
        <f>+F45+F54</f>
        <v>0</v>
      </c>
      <c r="G61" s="1437"/>
      <c r="H61" s="162">
        <f>+H45+H54</f>
        <v>0</v>
      </c>
      <c r="I61" s="1373"/>
      <c r="J61" s="162">
        <f>+J45+J54</f>
        <v>0</v>
      </c>
      <c r="K61" s="1373"/>
      <c r="L61" s="162">
        <f>+L45+L54</f>
        <v>0</v>
      </c>
      <c r="M61" s="162">
        <f>+M45+M54</f>
        <v>0</v>
      </c>
    </row>
    <row r="62" spans="1:13" ht="15.75" thickBot="1" x14ac:dyDescent="0.25">
      <c r="A62" s="2144"/>
      <c r="B62" s="266"/>
      <c r="C62" s="275"/>
      <c r="D62" s="286">
        <f>SUM(D47+D49+D51)</f>
        <v>0</v>
      </c>
      <c r="E62" s="286">
        <f>SUM(E47+E49+E51)</f>
        <v>0</v>
      </c>
      <c r="F62" s="285"/>
      <c r="G62" s="1385"/>
      <c r="H62" s="105">
        <f>SUM(H47+H49+H51)</f>
        <v>0</v>
      </c>
      <c r="I62" s="1385"/>
      <c r="J62" s="105">
        <f>SUM(J47+J49+J51)</f>
        <v>0</v>
      </c>
      <c r="K62" s="1514"/>
      <c r="L62" s="105">
        <f>SUM(L47+L49+L51)</f>
        <v>0</v>
      </c>
      <c r="M62" s="137">
        <f>SUM(M47+M49+M51)</f>
        <v>0</v>
      </c>
    </row>
    <row r="63" spans="1:13" ht="15.75" thickBot="1" x14ac:dyDescent="0.25">
      <c r="A63" s="276" t="s">
        <v>324</v>
      </c>
      <c r="B63" s="277"/>
      <c r="C63" s="278"/>
      <c r="D63" s="279">
        <v>15</v>
      </c>
      <c r="E63" s="279">
        <v>15</v>
      </c>
      <c r="F63" s="200"/>
      <c r="G63" s="1559"/>
      <c r="H63" s="200"/>
      <c r="I63" s="1388"/>
      <c r="J63" s="200"/>
      <c r="K63" s="1388"/>
      <c r="L63" s="200"/>
      <c r="M63" s="200"/>
    </row>
    <row r="64" spans="1:13" ht="15.75" thickBot="1" x14ac:dyDescent="0.25">
      <c r="A64" s="276" t="s">
        <v>325</v>
      </c>
      <c r="B64" s="277"/>
      <c r="C64" s="278"/>
      <c r="D64" s="279"/>
      <c r="E64" s="279"/>
      <c r="F64" s="279"/>
      <c r="G64" s="1560"/>
      <c r="H64" s="279"/>
      <c r="I64" s="1389"/>
      <c r="J64" s="279"/>
      <c r="K64" s="1389"/>
      <c r="L64" s="279"/>
      <c r="M64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15748031496062992" top="0.23622047244094491" bottom="0.39370078740157483" header="0.51181102362204722" footer="0.15748031496062992"/>
  <pageSetup paperSize="9" scale="76" firstPageNumber="51" orientation="portrait" useFirstPageNumber="1" r:id="rId1"/>
  <headerFooter>
    <oddFooter>&amp;C- &amp;P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64"/>
  <sheetViews>
    <sheetView view="pageBreakPreview" topLeftCell="A43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6.33203125" style="115" customWidth="1"/>
    <col min="4" max="5" width="9.33203125" style="115" hidden="1" customWidth="1"/>
    <col min="6" max="6" width="12.1640625" style="115" customWidth="1"/>
    <col min="7" max="7" width="13.83203125" style="1390" hidden="1" customWidth="1"/>
    <col min="8" max="8" width="12.83203125" style="115" hidden="1" customWidth="1"/>
    <col min="9" max="9" width="12.83203125" style="1390" hidden="1" customWidth="1"/>
    <col min="10" max="10" width="13" style="115" customWidth="1"/>
    <col min="11" max="11" width="13.5" style="1390" customWidth="1"/>
    <col min="12" max="12" width="15.83203125" style="115" customWidth="1"/>
    <col min="13" max="13" width="13.16406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242"/>
      <c r="D1" s="4526" t="s">
        <v>723</v>
      </c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52.5" customHeight="1" thickBot="1" x14ac:dyDescent="0.25">
      <c r="A2" s="4516" t="s">
        <v>411</v>
      </c>
      <c r="B2" s="4516"/>
      <c r="C2" s="117" t="s">
        <v>1001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6" customHeight="1" thickBot="1" x14ac:dyDescent="0.25">
      <c r="A3" s="4525" t="s">
        <v>283</v>
      </c>
      <c r="B3" s="4525"/>
      <c r="C3" s="304" t="s">
        <v>480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64"/>
      <c r="E4" s="4464"/>
      <c r="F4" s="4465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22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5"/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6"/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6"/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6"/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6"/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6"/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7"/>
      <c r="L15" s="147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0</v>
      </c>
      <c r="K16" s="1376"/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/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>
        <v>0</v>
      </c>
      <c r="K18" s="1378"/>
      <c r="L18" s="153">
        <v>0</v>
      </c>
      <c r="M18" s="153">
        <v>0</v>
      </c>
    </row>
    <row r="19" spans="1:13" s="141" customFormat="1" ht="30.75" customHeight="1" thickBot="1" x14ac:dyDescent="0.25">
      <c r="A19" s="134" t="s">
        <v>17</v>
      </c>
      <c r="B19" s="148"/>
      <c r="C19" s="247" t="s">
        <v>419</v>
      </c>
      <c r="D19" s="137">
        <f>SUM(D20:D26)-D21</f>
        <v>38855</v>
      </c>
      <c r="E19" s="137">
        <f>SUM(E20:E26)-E21</f>
        <v>39688</v>
      </c>
      <c r="F19" s="137">
        <f>SUM(F20:F26)-F21</f>
        <v>0</v>
      </c>
      <c r="G19" s="1382"/>
      <c r="H19" s="137">
        <f>SUM(H20:H26)-H21</f>
        <v>0</v>
      </c>
      <c r="I19" s="1374"/>
      <c r="J19" s="137">
        <f>SUM(J20:J26)-J21</f>
        <v>0</v>
      </c>
      <c r="K19" s="1374"/>
      <c r="L19" s="137">
        <f>SUM(L20:L26)-L21</f>
        <v>0</v>
      </c>
      <c r="M19" s="137">
        <f>SUM(M20:M26)-M21</f>
        <v>0</v>
      </c>
    </row>
    <row r="20" spans="1:13" s="145" customFormat="1" ht="30.75" customHeight="1" x14ac:dyDescent="0.2">
      <c r="A20" s="142"/>
      <c r="B20" s="143" t="s">
        <v>5</v>
      </c>
      <c r="C20" s="251" t="s">
        <v>420</v>
      </c>
      <c r="D20" s="144">
        <v>38855</v>
      </c>
      <c r="E20" s="144">
        <v>39658</v>
      </c>
      <c r="F20" s="144">
        <v>0</v>
      </c>
      <c r="G20" s="1415"/>
      <c r="H20" s="144">
        <v>0</v>
      </c>
      <c r="I20" s="1376"/>
      <c r="J20" s="144">
        <v>0</v>
      </c>
      <c r="K20" s="1376"/>
      <c r="L20" s="144">
        <v>0</v>
      </c>
      <c r="M20" s="144">
        <v>0</v>
      </c>
    </row>
    <row r="21" spans="1:13" s="145" customFormat="1" ht="12.75" hidden="1" customHeight="1" x14ac:dyDescent="0.2">
      <c r="A21" s="142"/>
      <c r="B21" s="143"/>
      <c r="C21" s="251"/>
      <c r="D21" s="144"/>
      <c r="E21" s="144"/>
      <c r="F21" s="144"/>
      <c r="G21" s="1415"/>
      <c r="H21" s="144"/>
      <c r="I21" s="1376"/>
      <c r="J21" s="144"/>
      <c r="K21" s="1376"/>
      <c r="L21" s="144"/>
      <c r="M21" s="144"/>
    </row>
    <row r="22" spans="1:13" s="145" customFormat="1" ht="15" customHeight="1" x14ac:dyDescent="0.2">
      <c r="A22" s="142"/>
      <c r="B22" s="143" t="s">
        <v>421</v>
      </c>
      <c r="C22" s="55" t="s">
        <v>422</v>
      </c>
      <c r="D22" s="144">
        <v>0</v>
      </c>
      <c r="E22" s="144">
        <v>0</v>
      </c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360</v>
      </c>
      <c r="C23" s="55" t="s">
        <v>1430</v>
      </c>
      <c r="D23" s="144"/>
      <c r="E23" s="144"/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357</v>
      </c>
      <c r="C24" s="55" t="s">
        <v>424</v>
      </c>
      <c r="D24" s="144">
        <v>0</v>
      </c>
      <c r="E24" s="144">
        <v>0</v>
      </c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x14ac:dyDescent="0.2">
      <c r="A25" s="142"/>
      <c r="B25" s="143" t="s">
        <v>7</v>
      </c>
      <c r="C25" s="55" t="s">
        <v>6</v>
      </c>
      <c r="D25" s="144"/>
      <c r="E25" s="144"/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144">
        <v>30</v>
      </c>
      <c r="F26" s="144">
        <v>0</v>
      </c>
      <c r="G26" s="1415"/>
      <c r="H26" s="144">
        <v>0</v>
      </c>
      <c r="I26" s="1376"/>
      <c r="J26" s="144">
        <v>0</v>
      </c>
      <c r="K26" s="1376"/>
      <c r="L26" s="144">
        <v>0</v>
      </c>
      <c r="M26" s="144">
        <v>0</v>
      </c>
    </row>
    <row r="27" spans="1:13" s="145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155">
        <v>0</v>
      </c>
      <c r="F27" s="155">
        <v>0</v>
      </c>
      <c r="G27" s="1381"/>
      <c r="H27" s="155">
        <v>0</v>
      </c>
      <c r="I27" s="1380"/>
      <c r="J27" s="155">
        <v>0</v>
      </c>
      <c r="K27" s="1380"/>
      <c r="L27" s="155">
        <v>0</v>
      </c>
      <c r="M27" s="155">
        <v>0</v>
      </c>
    </row>
    <row r="28" spans="1:13" s="145" customFormat="1" ht="15" customHeight="1" thickBot="1" x14ac:dyDescent="0.25">
      <c r="A28" s="134"/>
      <c r="B28" s="143" t="s">
        <v>19</v>
      </c>
      <c r="C28" s="55" t="s">
        <v>427</v>
      </c>
      <c r="D28" s="155"/>
      <c r="E28" s="155"/>
      <c r="F28" s="252">
        <v>0</v>
      </c>
      <c r="G28" s="1509"/>
      <c r="H28" s="252">
        <v>0</v>
      </c>
      <c r="I28" s="1436"/>
      <c r="J28" s="252">
        <v>0</v>
      </c>
      <c r="K28" s="1436"/>
      <c r="L28" s="252">
        <v>0</v>
      </c>
      <c r="M28" s="252">
        <v>0</v>
      </c>
    </row>
    <row r="29" spans="1:13" s="141" customFormat="1" ht="15" customHeight="1" thickBot="1" x14ac:dyDescent="0.25">
      <c r="A29" s="134" t="s">
        <v>45</v>
      </c>
      <c r="B29" s="148"/>
      <c r="C29" s="170" t="s">
        <v>428</v>
      </c>
      <c r="D29" s="155">
        <v>0</v>
      </c>
      <c r="E29" s="155">
        <v>0</v>
      </c>
      <c r="F29" s="155">
        <f>SUM(F30:F32)</f>
        <v>0</v>
      </c>
      <c r="G29" s="1381"/>
      <c r="H29" s="155">
        <f>SUM(H30:H32)</f>
        <v>0</v>
      </c>
      <c r="I29" s="1380"/>
      <c r="J29" s="155">
        <f>SUM(J30:J32)</f>
        <v>0</v>
      </c>
      <c r="K29" s="1380"/>
      <c r="L29" s="155">
        <f>SUM(L30:L32)</f>
        <v>0</v>
      </c>
      <c r="M29" s="155">
        <f>SUM(M30:M32)</f>
        <v>0</v>
      </c>
    </row>
    <row r="30" spans="1:13" s="141" customFormat="1" ht="15" customHeight="1" thickBot="1" x14ac:dyDescent="0.25">
      <c r="A30" s="149"/>
      <c r="B30" s="253" t="s">
        <v>33</v>
      </c>
      <c r="C30" s="55" t="s">
        <v>359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46"/>
      <c r="B31" s="253" t="s">
        <v>39</v>
      </c>
      <c r="C31" s="55" t="s">
        <v>72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15" customHeight="1" thickBot="1" x14ac:dyDescent="0.25">
      <c r="A32" s="178"/>
      <c r="B32" s="253" t="s">
        <v>41</v>
      </c>
      <c r="C32" s="55" t="s">
        <v>74</v>
      </c>
      <c r="D32" s="295"/>
      <c r="E32" s="295"/>
      <c r="F32" s="144">
        <v>0</v>
      </c>
      <c r="G32" s="1415"/>
      <c r="H32" s="144">
        <v>0</v>
      </c>
      <c r="I32" s="1376"/>
      <c r="J32" s="144">
        <v>0</v>
      </c>
      <c r="K32" s="1376"/>
      <c r="L32" s="144">
        <v>0</v>
      </c>
      <c r="M32" s="144">
        <v>0</v>
      </c>
    </row>
    <row r="33" spans="1:13" s="141" customFormat="1" ht="30.75" customHeight="1" thickBot="1" x14ac:dyDescent="0.25">
      <c r="A33" s="134" t="s">
        <v>67</v>
      </c>
      <c r="B33" s="254"/>
      <c r="C33" s="170" t="s">
        <v>429</v>
      </c>
      <c r="D33" s="285">
        <v>0</v>
      </c>
      <c r="E33" s="285">
        <f>SUM(E34:E35)</f>
        <v>79</v>
      </c>
      <c r="F33" s="285">
        <f>SUM(F34:F35)</f>
        <v>0</v>
      </c>
      <c r="G33" s="1382"/>
      <c r="H33" s="285">
        <f>SUM(H34:H35)</f>
        <v>0</v>
      </c>
      <c r="I33" s="1382"/>
      <c r="J33" s="285">
        <f>SUM(J34:J35)</f>
        <v>0</v>
      </c>
      <c r="K33" s="1382"/>
      <c r="L33" s="285">
        <f>SUM(L34:L35)</f>
        <v>0</v>
      </c>
      <c r="M33" s="285">
        <f>SUM(M34:M35)</f>
        <v>0</v>
      </c>
    </row>
    <row r="34" spans="1:13" s="141" customFormat="1" ht="15" customHeight="1" thickBot="1" x14ac:dyDescent="0.25">
      <c r="A34" s="134"/>
      <c r="B34" s="255" t="s">
        <v>47</v>
      </c>
      <c r="C34" s="251" t="s">
        <v>430</v>
      </c>
      <c r="D34" s="306">
        <v>0</v>
      </c>
      <c r="E34" s="306">
        <v>79</v>
      </c>
      <c r="F34" s="306">
        <v>0</v>
      </c>
      <c r="G34" s="1383"/>
      <c r="H34" s="306">
        <v>0</v>
      </c>
      <c r="I34" s="1383"/>
      <c r="J34" s="306">
        <v>0</v>
      </c>
      <c r="K34" s="1383"/>
      <c r="L34" s="306">
        <v>0</v>
      </c>
      <c r="M34" s="306">
        <v>0</v>
      </c>
    </row>
    <row r="35" spans="1:13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>
        <v>0</v>
      </c>
      <c r="K35" s="1384"/>
      <c r="L35" s="294">
        <v>0</v>
      </c>
      <c r="M35" s="294">
        <v>0</v>
      </c>
    </row>
    <row r="36" spans="1:13" s="145" customFormat="1" ht="15" customHeight="1" thickBot="1" x14ac:dyDescent="0.3">
      <c r="A36" s="258" t="s">
        <v>79</v>
      </c>
      <c r="B36" s="256"/>
      <c r="C36" s="247" t="s">
        <v>431</v>
      </c>
      <c r="D36" s="155">
        <v>5709</v>
      </c>
      <c r="E36" s="155">
        <v>9738</v>
      </c>
      <c r="F36" s="155">
        <f>SUM(F37)</f>
        <v>0</v>
      </c>
      <c r="G36" s="1381"/>
      <c r="H36" s="155">
        <f>SUM(H37)</f>
        <v>0</v>
      </c>
      <c r="I36" s="1380"/>
      <c r="J36" s="155">
        <f>SUM(J37)</f>
        <v>0</v>
      </c>
      <c r="K36" s="1380"/>
      <c r="L36" s="155">
        <f>SUM(L37)</f>
        <v>0</v>
      </c>
      <c r="M36" s="155">
        <f>SUM(M37)</f>
        <v>0</v>
      </c>
    </row>
    <row r="37" spans="1:13" s="145" customFormat="1" ht="31.5" customHeight="1" thickBot="1" x14ac:dyDescent="0.25">
      <c r="A37" s="258"/>
      <c r="B37" s="257" t="s">
        <v>69</v>
      </c>
      <c r="C37" s="55" t="s">
        <v>432</v>
      </c>
      <c r="D37" s="155"/>
      <c r="E37" s="155"/>
      <c r="F37" s="252">
        <v>0</v>
      </c>
      <c r="G37" s="1509"/>
      <c r="H37" s="252"/>
      <c r="I37" s="1436"/>
      <c r="J37" s="252"/>
      <c r="K37" s="1436"/>
      <c r="L37" s="252"/>
      <c r="M37" s="252"/>
    </row>
    <row r="38" spans="1:13" s="145" customFormat="1" ht="15" customHeight="1" thickBot="1" x14ac:dyDescent="0.3">
      <c r="A38" s="258" t="s">
        <v>89</v>
      </c>
      <c r="B38" s="256"/>
      <c r="C38" s="170" t="s">
        <v>433</v>
      </c>
      <c r="D38" s="155"/>
      <c r="E38" s="155"/>
      <c r="F38" s="155">
        <f>SUM(F39:F41)</f>
        <v>0</v>
      </c>
      <c r="G38" s="1381"/>
      <c r="H38" s="155">
        <f>SUM(H39:H41)</f>
        <v>0</v>
      </c>
      <c r="I38" s="1380"/>
      <c r="J38" s="155">
        <f>SUM(J39:J41)</f>
        <v>0</v>
      </c>
      <c r="K38" s="1380"/>
      <c r="L38" s="155">
        <f>SUM(L39:L41)</f>
        <v>0</v>
      </c>
      <c r="M38" s="155">
        <f>SUM(M39:M41)</f>
        <v>0</v>
      </c>
    </row>
    <row r="39" spans="1:13" s="145" customFormat="1" ht="15" customHeight="1" thickBot="1" x14ac:dyDescent="0.25">
      <c r="A39" s="149"/>
      <c r="B39" s="253" t="s">
        <v>81</v>
      </c>
      <c r="C39" s="55" t="s">
        <v>434</v>
      </c>
      <c r="D39" s="155"/>
      <c r="E39" s="155"/>
      <c r="F39" s="144">
        <v>0</v>
      </c>
      <c r="G39" s="1415"/>
      <c r="H39" s="144">
        <v>0</v>
      </c>
      <c r="I39" s="1376"/>
      <c r="J39" s="144">
        <v>0</v>
      </c>
      <c r="K39" s="1376"/>
      <c r="L39" s="144">
        <v>0</v>
      </c>
      <c r="M39" s="144">
        <v>0</v>
      </c>
    </row>
    <row r="40" spans="1:13" s="145" customFormat="1" ht="15" customHeight="1" thickBot="1" x14ac:dyDescent="0.25">
      <c r="A40" s="146"/>
      <c r="B40" s="253" t="s">
        <v>83</v>
      </c>
      <c r="C40" s="55" t="s">
        <v>435</v>
      </c>
      <c r="D40" s="155"/>
      <c r="E40" s="155"/>
      <c r="F40" s="144">
        <v>0</v>
      </c>
      <c r="G40" s="1415"/>
      <c r="H40" s="144">
        <v>0</v>
      </c>
      <c r="I40" s="1376"/>
      <c r="J40" s="144">
        <v>0</v>
      </c>
      <c r="K40" s="1376"/>
      <c r="L40" s="144">
        <v>0</v>
      </c>
      <c r="M40" s="144">
        <v>0</v>
      </c>
    </row>
    <row r="41" spans="1:13" s="145" customFormat="1" ht="15" customHeight="1" thickBot="1" x14ac:dyDescent="0.25">
      <c r="A41" s="178"/>
      <c r="B41" s="253" t="s">
        <v>85</v>
      </c>
      <c r="C41" s="55" t="s">
        <v>818</v>
      </c>
      <c r="D41" s="155"/>
      <c r="E41" s="155"/>
      <c r="F41" s="144">
        <v>0</v>
      </c>
      <c r="G41" s="1415"/>
      <c r="H41" s="144">
        <v>0</v>
      </c>
      <c r="I41" s="1376"/>
      <c r="J41" s="144">
        <v>0</v>
      </c>
      <c r="K41" s="1376"/>
      <c r="L41" s="144">
        <v>0</v>
      </c>
      <c r="M41" s="144">
        <v>0</v>
      </c>
    </row>
    <row r="42" spans="1:13" s="145" customFormat="1" ht="15" customHeight="1" thickBot="1" x14ac:dyDescent="0.25">
      <c r="A42" s="192" t="s">
        <v>99</v>
      </c>
      <c r="B42" s="160"/>
      <c r="C42" s="274" t="s">
        <v>441</v>
      </c>
      <c r="D42" s="162">
        <f>SUM(D8,D19,D27,D29,D33,D36)</f>
        <v>44564</v>
      </c>
      <c r="E42" s="162">
        <f>SUM(E8,E19,E27,E29,E33,E36)</f>
        <v>49505</v>
      </c>
      <c r="F42" s="162">
        <f>SUM(F8,F19,F27,F29,F33,F36,F38)</f>
        <v>0</v>
      </c>
      <c r="G42" s="1437"/>
      <c r="H42" s="162">
        <f>SUM(H8,H19,H27,H29,H33,H36,H38)</f>
        <v>0</v>
      </c>
      <c r="I42" s="1373"/>
      <c r="J42" s="162">
        <f>SUM(J8,J19,J27,J29,J33,J36,J38)</f>
        <v>0</v>
      </c>
      <c r="K42" s="1373"/>
      <c r="L42" s="162">
        <f>SUM(L8,L19,L27,L29,L33,L36,L38)</f>
        <v>0</v>
      </c>
      <c r="M42" s="162">
        <f>SUM(M8,M19,M27,M29,M33,M36,M38)</f>
        <v>0</v>
      </c>
    </row>
    <row r="43" spans="1:13" s="145" customFormat="1" ht="16.5" customHeight="1" thickBot="1" x14ac:dyDescent="0.25">
      <c r="A43" s="1303"/>
      <c r="B43" s="886"/>
      <c r="C43" s="886"/>
      <c r="D43" s="2145"/>
      <c r="E43" s="2145"/>
      <c r="F43" s="2741"/>
      <c r="G43" s="2146"/>
      <c r="H43" s="2146"/>
      <c r="I43" s="2146"/>
      <c r="J43" s="2146"/>
      <c r="K43" s="2146"/>
      <c r="L43" s="2146"/>
      <c r="M43" s="2131"/>
    </row>
    <row r="44" spans="1:13" s="305" customFormat="1" ht="15" customHeight="1" thickBot="1" x14ac:dyDescent="0.25">
      <c r="A44" s="192"/>
      <c r="B44" s="160"/>
      <c r="C44" s="282" t="s">
        <v>231</v>
      </c>
      <c r="D44" s="162"/>
      <c r="E44" s="162"/>
      <c r="F44" s="162"/>
      <c r="G44" s="1437"/>
      <c r="H44" s="162"/>
      <c r="I44" s="1373"/>
      <c r="J44" s="162"/>
      <c r="K44" s="1373"/>
      <c r="L44" s="162"/>
      <c r="M44" s="162"/>
    </row>
    <row r="45" spans="1:13" s="141" customFormat="1" ht="15" customHeight="1" thickBot="1" x14ac:dyDescent="0.25">
      <c r="A45" s="134" t="s">
        <v>3</v>
      </c>
      <c r="B45" s="170"/>
      <c r="C45" s="170" t="s">
        <v>442</v>
      </c>
      <c r="D45" s="137">
        <f>SUM(D46+D48+D50)</f>
        <v>44564</v>
      </c>
      <c r="E45" s="137">
        <f>SUM(E46+E48+E50)</f>
        <v>47545</v>
      </c>
      <c r="F45" s="137">
        <f>SUM(F46+F48+F50)</f>
        <v>0</v>
      </c>
      <c r="G45" s="1382"/>
      <c r="H45" s="137">
        <f>SUM(H46+H48+H50)</f>
        <v>0</v>
      </c>
      <c r="I45" s="1374"/>
      <c r="J45" s="137">
        <f>SUM(J46+J48+J50)</f>
        <v>0</v>
      </c>
      <c r="K45" s="1374"/>
      <c r="L45" s="137">
        <f>SUM(L46+L48+L50)</f>
        <v>0</v>
      </c>
      <c r="M45" s="137">
        <f>SUM(M46+M48+M50)</f>
        <v>0</v>
      </c>
    </row>
    <row r="46" spans="1:13" s="145" customFormat="1" ht="15" customHeight="1" x14ac:dyDescent="0.2">
      <c r="A46" s="173"/>
      <c r="B46" s="174" t="s">
        <v>152</v>
      </c>
      <c r="C46" s="251" t="s">
        <v>153</v>
      </c>
      <c r="D46" s="175">
        <v>29501</v>
      </c>
      <c r="E46" s="175">
        <v>31136</v>
      </c>
      <c r="F46" s="175">
        <v>0</v>
      </c>
      <c r="G46" s="1432"/>
      <c r="H46" s="175">
        <v>0</v>
      </c>
      <c r="I46" s="1386"/>
      <c r="J46" s="175">
        <v>0</v>
      </c>
      <c r="K46" s="1386"/>
      <c r="L46" s="175">
        <v>0</v>
      </c>
      <c r="M46" s="175">
        <v>0</v>
      </c>
    </row>
    <row r="47" spans="1:13" s="145" customFormat="1" ht="12.75" hidden="1" customHeight="1" x14ac:dyDescent="0.2">
      <c r="A47" s="173"/>
      <c r="B47" s="174"/>
      <c r="C47" s="309" t="s">
        <v>463</v>
      </c>
      <c r="D47" s="302"/>
      <c r="E47" s="302"/>
      <c r="F47" s="302"/>
      <c r="G47" s="2740"/>
      <c r="H47" s="302"/>
      <c r="I47" s="1510"/>
      <c r="J47" s="302"/>
      <c r="K47" s="1510"/>
      <c r="L47" s="302"/>
      <c r="M47" s="302"/>
    </row>
    <row r="48" spans="1:13" s="145" customFormat="1" ht="15" customHeight="1" x14ac:dyDescent="0.2">
      <c r="A48" s="142"/>
      <c r="B48" s="176" t="s">
        <v>154</v>
      </c>
      <c r="C48" s="55" t="s">
        <v>155</v>
      </c>
      <c r="D48" s="144">
        <v>7928</v>
      </c>
      <c r="E48" s="144">
        <v>8370</v>
      </c>
      <c r="F48" s="144">
        <v>0</v>
      </c>
      <c r="G48" s="1415"/>
      <c r="H48" s="144">
        <v>0</v>
      </c>
      <c r="I48" s="1376"/>
      <c r="J48" s="144">
        <v>0</v>
      </c>
      <c r="K48" s="1376"/>
      <c r="L48" s="144">
        <v>0</v>
      </c>
      <c r="M48" s="144">
        <v>0</v>
      </c>
    </row>
    <row r="49" spans="1:13" s="145" customFormat="1" ht="12.75" hidden="1" customHeight="1" x14ac:dyDescent="0.2">
      <c r="A49" s="142"/>
      <c r="B49" s="176"/>
      <c r="C49" s="309" t="s">
        <v>463</v>
      </c>
      <c r="D49" s="302"/>
      <c r="E49" s="302"/>
      <c r="F49" s="302"/>
      <c r="G49" s="2740"/>
      <c r="H49" s="302"/>
      <c r="I49" s="1510"/>
      <c r="J49" s="302"/>
      <c r="K49" s="1510"/>
      <c r="L49" s="302"/>
      <c r="M49" s="302"/>
    </row>
    <row r="50" spans="1:13" s="145" customFormat="1" ht="15" customHeight="1" x14ac:dyDescent="0.2">
      <c r="A50" s="142"/>
      <c r="B50" s="176" t="s">
        <v>156</v>
      </c>
      <c r="C50" s="55" t="s">
        <v>157</v>
      </c>
      <c r="D50" s="144">
        <v>7135</v>
      </c>
      <c r="E50" s="144">
        <v>8039</v>
      </c>
      <c r="F50" s="144">
        <v>0</v>
      </c>
      <c r="G50" s="1415"/>
      <c r="H50" s="144">
        <v>0</v>
      </c>
      <c r="I50" s="1376"/>
      <c r="J50" s="144">
        <v>0</v>
      </c>
      <c r="K50" s="1376"/>
      <c r="L50" s="144">
        <v>0</v>
      </c>
      <c r="M50" s="144">
        <v>0</v>
      </c>
    </row>
    <row r="51" spans="1:13" s="145" customFormat="1" ht="12.75" hidden="1" customHeight="1" x14ac:dyDescent="0.2">
      <c r="A51" s="142"/>
      <c r="B51" s="176"/>
      <c r="C51" s="309" t="s">
        <v>463</v>
      </c>
      <c r="D51" s="302"/>
      <c r="E51" s="302"/>
      <c r="F51" s="302"/>
      <c r="G51" s="2740"/>
      <c r="H51" s="302"/>
      <c r="I51" s="1510"/>
      <c r="J51" s="302"/>
      <c r="K51" s="1510"/>
      <c r="L51" s="302"/>
      <c r="M51" s="302"/>
    </row>
    <row r="52" spans="1:13" s="145" customFormat="1" ht="15" customHeight="1" x14ac:dyDescent="0.2">
      <c r="A52" s="142"/>
      <c r="B52" s="176" t="s">
        <v>158</v>
      </c>
      <c r="C52" s="55" t="s">
        <v>159</v>
      </c>
      <c r="D52" s="144"/>
      <c r="E52" s="144"/>
      <c r="F52" s="144">
        <v>0</v>
      </c>
      <c r="G52" s="1415"/>
      <c r="H52" s="144">
        <v>0</v>
      </c>
      <c r="I52" s="1376"/>
      <c r="J52" s="144">
        <v>0</v>
      </c>
      <c r="K52" s="1376"/>
      <c r="L52" s="144">
        <v>0</v>
      </c>
      <c r="M52" s="144">
        <v>0</v>
      </c>
    </row>
    <row r="53" spans="1:13" s="145" customFormat="1" ht="15" customHeight="1" thickBot="1" x14ac:dyDescent="0.25">
      <c r="A53" s="142"/>
      <c r="B53" s="176" t="s">
        <v>160</v>
      </c>
      <c r="C53" s="55" t="s">
        <v>161</v>
      </c>
      <c r="D53" s="144">
        <v>0</v>
      </c>
      <c r="E53" s="144">
        <v>0</v>
      </c>
      <c r="F53" s="144">
        <v>0</v>
      </c>
      <c r="G53" s="1415"/>
      <c r="H53" s="144">
        <v>0</v>
      </c>
      <c r="I53" s="1376"/>
      <c r="J53" s="144">
        <v>0</v>
      </c>
      <c r="K53" s="1376"/>
      <c r="L53" s="144">
        <v>0</v>
      </c>
      <c r="M53" s="144">
        <v>0</v>
      </c>
    </row>
    <row r="54" spans="1:13" s="145" customFormat="1" ht="15" customHeight="1" thickBot="1" x14ac:dyDescent="0.25">
      <c r="A54" s="134" t="s">
        <v>17</v>
      </c>
      <c r="B54" s="170"/>
      <c r="C54" s="170" t="s">
        <v>443</v>
      </c>
      <c r="D54" s="137">
        <f>SUM(D55:D58)</f>
        <v>0</v>
      </c>
      <c r="E54" s="137">
        <f>SUM(E55:E58)</f>
        <v>1960</v>
      </c>
      <c r="F54" s="137">
        <f>SUM(F55:F58)</f>
        <v>0</v>
      </c>
      <c r="G54" s="1382"/>
      <c r="H54" s="137">
        <f>SUM(H55:H58)</f>
        <v>0</v>
      </c>
      <c r="I54" s="1374"/>
      <c r="J54" s="137">
        <f>SUM(J55:J58)</f>
        <v>0</v>
      </c>
      <c r="K54" s="1374"/>
      <c r="L54" s="137">
        <f>SUM(L55:L58)</f>
        <v>0</v>
      </c>
      <c r="M54" s="137">
        <f>SUM(M55:M58)</f>
        <v>0</v>
      </c>
    </row>
    <row r="55" spans="1:13" s="141" customFormat="1" ht="15" customHeight="1" x14ac:dyDescent="0.2">
      <c r="A55" s="173"/>
      <c r="B55" s="267" t="s">
        <v>5</v>
      </c>
      <c r="C55" s="251" t="s">
        <v>183</v>
      </c>
      <c r="D55" s="175">
        <v>0</v>
      </c>
      <c r="E55" s="175">
        <v>1960</v>
      </c>
      <c r="F55" s="175">
        <v>0</v>
      </c>
      <c r="G55" s="1432"/>
      <c r="H55" s="175">
        <v>0</v>
      </c>
      <c r="I55" s="1386"/>
      <c r="J55" s="175">
        <v>0</v>
      </c>
      <c r="K55" s="1386"/>
      <c r="L55" s="175">
        <v>0</v>
      </c>
      <c r="M55" s="175">
        <v>0</v>
      </c>
    </row>
    <row r="56" spans="1:13" s="145" customFormat="1" ht="15" customHeight="1" x14ac:dyDescent="0.2">
      <c r="A56" s="142"/>
      <c r="B56" s="253" t="s">
        <v>7</v>
      </c>
      <c r="C56" s="55" t="s">
        <v>185</v>
      </c>
      <c r="D56" s="144">
        <v>0</v>
      </c>
      <c r="E56" s="144">
        <v>0</v>
      </c>
      <c r="F56" s="144">
        <v>0</v>
      </c>
      <c r="G56" s="1415"/>
      <c r="H56" s="144">
        <v>0</v>
      </c>
      <c r="I56" s="1376"/>
      <c r="J56" s="144">
        <v>0</v>
      </c>
      <c r="K56" s="1376"/>
      <c r="L56" s="144">
        <v>0</v>
      </c>
      <c r="M56" s="144">
        <v>0</v>
      </c>
    </row>
    <row r="57" spans="1:13" s="145" customFormat="1" ht="15.75" thickBot="1" x14ac:dyDescent="0.25">
      <c r="A57" s="142"/>
      <c r="B57" s="253" t="s">
        <v>9</v>
      </c>
      <c r="C57" s="55" t="s">
        <v>444</v>
      </c>
      <c r="D57" s="144">
        <v>0</v>
      </c>
      <c r="E57" s="144">
        <v>0</v>
      </c>
      <c r="F57" s="144">
        <v>0</v>
      </c>
      <c r="G57" s="1415"/>
      <c r="H57" s="144">
        <v>0</v>
      </c>
      <c r="I57" s="1376"/>
      <c r="J57" s="144">
        <v>0</v>
      </c>
      <c r="K57" s="1376"/>
      <c r="L57" s="144">
        <v>0</v>
      </c>
      <c r="M57" s="144">
        <v>0</v>
      </c>
    </row>
    <row r="58" spans="1:13" s="145" customFormat="1" ht="12.75" hidden="1" customHeight="1" x14ac:dyDescent="0.2">
      <c r="A58" s="142"/>
      <c r="B58" s="176" t="s">
        <v>189</v>
      </c>
      <c r="C58" s="55" t="s">
        <v>448</v>
      </c>
      <c r="D58" s="144">
        <v>0</v>
      </c>
      <c r="E58" s="144">
        <v>0</v>
      </c>
      <c r="F58" s="144">
        <v>0</v>
      </c>
      <c r="G58" s="1415"/>
      <c r="H58" s="144">
        <v>0</v>
      </c>
      <c r="I58" s="1376"/>
      <c r="J58" s="144">
        <v>0</v>
      </c>
      <c r="K58" s="1376"/>
      <c r="L58" s="144">
        <v>0</v>
      </c>
      <c r="M58" s="144">
        <v>0</v>
      </c>
    </row>
    <row r="59" spans="1:13" s="145" customFormat="1" ht="12.75" hidden="1" customHeight="1" x14ac:dyDescent="0.2">
      <c r="A59" s="134" t="s">
        <v>31</v>
      </c>
      <c r="B59" s="170"/>
      <c r="C59" s="171" t="s">
        <v>445</v>
      </c>
      <c r="D59" s="155">
        <v>0</v>
      </c>
      <c r="E59" s="155">
        <v>0</v>
      </c>
      <c r="F59" s="155">
        <v>0</v>
      </c>
      <c r="G59" s="1381"/>
      <c r="H59" s="155">
        <v>0</v>
      </c>
      <c r="I59" s="1380"/>
      <c r="J59" s="155">
        <v>0</v>
      </c>
      <c r="K59" s="1380"/>
      <c r="L59" s="155">
        <v>0</v>
      </c>
      <c r="M59" s="155">
        <v>0</v>
      </c>
    </row>
    <row r="60" spans="1:13" s="145" customFormat="1" ht="12.75" hidden="1" customHeight="1" x14ac:dyDescent="0.2">
      <c r="A60" s="134"/>
      <c r="B60" s="170"/>
      <c r="C60" s="171" t="s">
        <v>459</v>
      </c>
      <c r="D60" s="155"/>
      <c r="E60" s="155"/>
      <c r="F60" s="155"/>
      <c r="G60" s="1381"/>
      <c r="H60" s="155"/>
      <c r="I60" s="1380"/>
      <c r="J60" s="155"/>
      <c r="K60" s="1380"/>
      <c r="L60" s="155"/>
      <c r="M60" s="155"/>
    </row>
    <row r="61" spans="1:13" s="145" customFormat="1" ht="15" customHeight="1" thickBot="1" x14ac:dyDescent="0.25">
      <c r="A61" s="192" t="s">
        <v>31</v>
      </c>
      <c r="B61" s="160"/>
      <c r="C61" s="274" t="s">
        <v>465</v>
      </c>
      <c r="D61" s="162">
        <f>+D45+D54+D59</f>
        <v>44564</v>
      </c>
      <c r="E61" s="162">
        <f>+E45+E54+E59</f>
        <v>49505</v>
      </c>
      <c r="F61" s="162">
        <f>+F45+F54</f>
        <v>0</v>
      </c>
      <c r="G61" s="1437"/>
      <c r="H61" s="162">
        <f>+H45+H54</f>
        <v>0</v>
      </c>
      <c r="I61" s="1373"/>
      <c r="J61" s="162">
        <f>+J45+J54</f>
        <v>0</v>
      </c>
      <c r="K61" s="1373"/>
      <c r="L61" s="162">
        <f>+L45+L54</f>
        <v>0</v>
      </c>
      <c r="M61" s="162">
        <f>+M45+M54</f>
        <v>0</v>
      </c>
    </row>
    <row r="62" spans="1:13" s="145" customFormat="1" ht="15" customHeight="1" thickBot="1" x14ac:dyDescent="0.25">
      <c r="A62" s="2144"/>
      <c r="B62" s="266"/>
      <c r="C62" s="275"/>
      <c r="D62" s="286">
        <f>SUM(D47+D49+D51)</f>
        <v>0</v>
      </c>
      <c r="E62" s="286">
        <f>SUM(E47+E49+E51)</f>
        <v>0</v>
      </c>
      <c r="F62" s="285"/>
      <c r="G62" s="1382"/>
      <c r="H62" s="759">
        <f>SUM(H47+H49+H51)</f>
        <v>0</v>
      </c>
      <c r="I62" s="1385"/>
      <c r="J62" s="839">
        <f>SUM(J47+J49+J51)</f>
        <v>0</v>
      </c>
      <c r="K62" s="1407"/>
      <c r="L62" s="826">
        <f>SUM(L47+L49+L51)</f>
        <v>0</v>
      </c>
      <c r="M62" s="1458">
        <f>SUM(M47+M49+M51)</f>
        <v>0</v>
      </c>
    </row>
    <row r="63" spans="1:13" s="145" customFormat="1" ht="15" customHeight="1" thickBot="1" x14ac:dyDescent="0.25">
      <c r="A63" s="276" t="s">
        <v>324</v>
      </c>
      <c r="B63" s="277"/>
      <c r="C63" s="278"/>
      <c r="D63" s="279">
        <v>15</v>
      </c>
      <c r="E63" s="279">
        <v>15</v>
      </c>
      <c r="F63" s="200"/>
      <c r="G63" s="1559"/>
      <c r="H63" s="200"/>
      <c r="I63" s="1388"/>
      <c r="J63" s="200"/>
      <c r="K63" s="1388"/>
      <c r="L63" s="200"/>
      <c r="M63" s="200"/>
    </row>
    <row r="64" spans="1:13" s="145" customFormat="1" ht="15" customHeight="1" thickBot="1" x14ac:dyDescent="0.25">
      <c r="A64" s="276" t="s">
        <v>325</v>
      </c>
      <c r="B64" s="277"/>
      <c r="C64" s="278"/>
      <c r="D64" s="279"/>
      <c r="E64" s="279"/>
      <c r="F64" s="279"/>
      <c r="G64" s="1560"/>
      <c r="H64" s="279"/>
      <c r="I64" s="1389"/>
      <c r="J64" s="279"/>
      <c r="K64" s="1389"/>
      <c r="L64" s="279"/>
      <c r="M64" s="279"/>
    </row>
  </sheetData>
  <mergeCells count="14">
    <mergeCell ref="I2:I3"/>
    <mergeCell ref="J2:J3"/>
    <mergeCell ref="K2:K3"/>
    <mergeCell ref="L2:L3"/>
    <mergeCell ref="D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23622047244094491" top="0.23622047244094491" bottom="0.39370078740157483" header="0.51181102362204722" footer="0.15748031496062992"/>
  <pageSetup paperSize="9" scale="73" firstPageNumber="52" orientation="portrait" useFirstPageNumber="1" r:id="rId1"/>
  <headerFooter>
    <oddFooter>&amp;C- &amp;P -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P59"/>
  <sheetViews>
    <sheetView view="pageBreakPreview" zoomScale="90" zoomScaleNormal="100" zoomScaleSheetLayoutView="90" workbookViewId="0">
      <selection activeCell="S10" sqref="S10"/>
    </sheetView>
  </sheetViews>
  <sheetFormatPr defaultColWidth="9.33203125" defaultRowHeight="15" x14ac:dyDescent="0.25"/>
  <cols>
    <col min="1" max="1" width="15.33203125" style="621" customWidth="1"/>
    <col min="2" max="2" width="17.83203125" style="621" customWidth="1"/>
    <col min="3" max="3" width="11.83203125" style="621" customWidth="1"/>
    <col min="4" max="4" width="13.33203125" style="621" hidden="1" customWidth="1"/>
    <col min="5" max="6" width="14.83203125" style="621" hidden="1" customWidth="1"/>
    <col min="7" max="7" width="13.5" style="621" hidden="1" customWidth="1"/>
    <col min="8" max="8" width="14.83203125" style="621" hidden="1" customWidth="1"/>
    <col min="9" max="9" width="14.83203125" style="621" customWidth="1"/>
    <col min="10" max="10" width="15.5" style="621" customWidth="1"/>
    <col min="11" max="11" width="14" style="621" customWidth="1"/>
    <col min="12" max="12" width="9.1640625" style="621" hidden="1" customWidth="1"/>
    <col min="13" max="14" width="14.6640625" style="621" hidden="1" customWidth="1"/>
    <col min="15" max="15" width="14.83203125" style="621" hidden="1" customWidth="1"/>
    <col min="16" max="16" width="14.6640625" style="621" hidden="1" customWidth="1"/>
    <col min="17" max="17" width="14.6640625" style="621" customWidth="1"/>
    <col min="18" max="18" width="13.6640625" style="621" customWidth="1"/>
    <col min="19" max="19" width="11.83203125" style="621" customWidth="1"/>
    <col min="20" max="20" width="6.83203125" style="621" hidden="1" customWidth="1"/>
    <col min="21" max="21" width="14.33203125" style="621" hidden="1" customWidth="1"/>
    <col min="22" max="22" width="12.6640625" style="621" hidden="1" customWidth="1"/>
    <col min="23" max="23" width="12.1640625" style="621" hidden="1" customWidth="1"/>
    <col min="24" max="24" width="12.6640625" style="621" hidden="1" customWidth="1"/>
    <col min="25" max="25" width="14" style="621" customWidth="1"/>
    <col min="26" max="27" width="12.5" style="619" customWidth="1"/>
    <col min="28" max="28" width="13" style="619" hidden="1" customWidth="1"/>
    <col min="29" max="30" width="13.1640625" style="619" hidden="1" customWidth="1"/>
    <col min="31" max="31" width="11.6640625" style="619" hidden="1" customWidth="1"/>
    <col min="32" max="32" width="13.1640625" style="619" hidden="1" customWidth="1"/>
    <col min="33" max="33" width="13.1640625" style="619" customWidth="1"/>
    <col min="34" max="34" width="11.6640625" style="619" customWidth="1"/>
    <col min="35" max="35" width="9.6640625" style="619" customWidth="1"/>
    <col min="36" max="36" width="11.5" style="619" hidden="1" customWidth="1"/>
    <col min="37" max="38" width="13.5" style="619" hidden="1" customWidth="1"/>
    <col min="39" max="39" width="11" style="619" hidden="1" customWidth="1"/>
    <col min="40" max="40" width="13.5" style="619" hidden="1" customWidth="1"/>
    <col min="41" max="42" width="11.5" style="619" customWidth="1"/>
    <col min="43" max="16384" width="9.33203125" style="619"/>
  </cols>
  <sheetData>
    <row r="1" spans="1:42" ht="27" customHeight="1" x14ac:dyDescent="0.3">
      <c r="A1" s="4536" t="s">
        <v>1001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4536"/>
      <c r="AJ1" s="4536"/>
      <c r="AK1" s="4536"/>
      <c r="AL1" s="4536"/>
      <c r="AM1" s="4536"/>
      <c r="AN1" s="4536"/>
      <c r="AO1" s="4536"/>
      <c r="AP1" s="4536"/>
    </row>
    <row r="2" spans="1:42" ht="21.75" customHeight="1" x14ac:dyDescent="0.3">
      <c r="A2" s="4536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536"/>
      <c r="AI2" s="4536"/>
      <c r="AJ2" s="4536"/>
      <c r="AK2" s="4536"/>
      <c r="AL2" s="4536"/>
      <c r="AM2" s="4536"/>
      <c r="AN2" s="4536"/>
      <c r="AO2" s="4536"/>
      <c r="AP2" s="4536"/>
    </row>
    <row r="3" spans="1:42" ht="12.75" customHeight="1" thickBot="1" x14ac:dyDescent="0.35">
      <c r="A3" s="956"/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956"/>
      <c r="W3" s="956"/>
      <c r="X3" s="956"/>
      <c r="Y3" s="956"/>
      <c r="Z3" s="956"/>
      <c r="AA3" s="956"/>
      <c r="AB3" s="956"/>
      <c r="AC3" s="956"/>
      <c r="AD3" s="956"/>
      <c r="AE3" s="956"/>
      <c r="AF3" s="956"/>
      <c r="AG3" s="956"/>
      <c r="AH3" s="956"/>
      <c r="AI3" s="956"/>
      <c r="AJ3" s="956"/>
      <c r="AK3" s="956"/>
      <c r="AL3" s="956"/>
      <c r="AM3" s="956"/>
      <c r="AN3" s="956"/>
      <c r="AO3" s="956"/>
      <c r="AP3" s="956"/>
    </row>
    <row r="4" spans="1:42" ht="33.75" customHeight="1" thickTop="1" thickBot="1" x14ac:dyDescent="0.3">
      <c r="A4" s="4533" t="s">
        <v>230</v>
      </c>
      <c r="B4" s="4534"/>
      <c r="C4" s="4534"/>
      <c r="D4" s="4534"/>
      <c r="E4" s="4534"/>
      <c r="F4" s="4534"/>
      <c r="G4" s="4534"/>
      <c r="H4" s="4534"/>
      <c r="I4" s="4534"/>
      <c r="J4" s="4534"/>
      <c r="K4" s="4534"/>
      <c r="L4" s="4534"/>
      <c r="M4" s="4534"/>
      <c r="N4" s="4534"/>
      <c r="O4" s="4534"/>
      <c r="P4" s="4534"/>
      <c r="Q4" s="4534"/>
      <c r="R4" s="4534"/>
      <c r="S4" s="4534"/>
      <c r="T4" s="4534"/>
      <c r="U4" s="4534"/>
      <c r="V4" s="4534"/>
      <c r="W4" s="4534"/>
      <c r="X4" s="4534"/>
      <c r="Y4" s="4534"/>
      <c r="Z4" s="4534"/>
      <c r="AA4" s="4534"/>
      <c r="AB4" s="4534"/>
      <c r="AC4" s="4534"/>
      <c r="AD4" s="4534"/>
      <c r="AE4" s="4534"/>
      <c r="AF4" s="4534"/>
      <c r="AG4" s="4534"/>
      <c r="AH4" s="4534"/>
      <c r="AI4" s="4534"/>
      <c r="AJ4" s="4534"/>
      <c r="AK4" s="4534"/>
      <c r="AL4" s="4534"/>
      <c r="AM4" s="4534"/>
      <c r="AN4" s="4534"/>
      <c r="AO4" s="4534"/>
      <c r="AP4" s="4535"/>
    </row>
    <row r="5" spans="1:42" s="636" customFormat="1" ht="56.25" customHeight="1" thickTop="1" thickBot="1" x14ac:dyDescent="0.3">
      <c r="A5" s="4537"/>
      <c r="B5" s="4538"/>
      <c r="C5" s="4541" t="s">
        <v>869</v>
      </c>
      <c r="D5" s="4542"/>
      <c r="E5" s="4542"/>
      <c r="F5" s="4542"/>
      <c r="G5" s="4542"/>
      <c r="H5" s="4542"/>
      <c r="I5" s="4542"/>
      <c r="J5" s="4545"/>
      <c r="K5" s="4541" t="s">
        <v>1837</v>
      </c>
      <c r="L5" s="4542"/>
      <c r="M5" s="4542"/>
      <c r="N5" s="4542"/>
      <c r="O5" s="4542"/>
      <c r="P5" s="4542"/>
      <c r="Q5" s="4542"/>
      <c r="R5" s="4545"/>
      <c r="S5" s="4541" t="s">
        <v>971</v>
      </c>
      <c r="T5" s="4542"/>
      <c r="U5" s="4542"/>
      <c r="V5" s="4542"/>
      <c r="W5" s="4542"/>
      <c r="X5" s="4542"/>
      <c r="Y5" s="4542"/>
      <c r="Z5" s="4545"/>
      <c r="AA5" s="4541" t="s">
        <v>1451</v>
      </c>
      <c r="AB5" s="4542"/>
      <c r="AC5" s="4542"/>
      <c r="AD5" s="4542"/>
      <c r="AE5" s="4542"/>
      <c r="AF5" s="4542"/>
      <c r="AG5" s="4542"/>
      <c r="AH5" s="4545"/>
      <c r="AI5" s="4541" t="s">
        <v>965</v>
      </c>
      <c r="AJ5" s="4542"/>
      <c r="AK5" s="4561"/>
      <c r="AL5" s="4561"/>
      <c r="AM5" s="4561"/>
      <c r="AN5" s="4561"/>
      <c r="AO5" s="4561"/>
      <c r="AP5" s="4562"/>
    </row>
    <row r="6" spans="1:42" ht="48" customHeight="1" thickTop="1" thickBot="1" x14ac:dyDescent="0.3">
      <c r="A6" s="4539"/>
      <c r="B6" s="4540"/>
      <c r="C6" s="958" t="s">
        <v>867</v>
      </c>
      <c r="D6" s="1028"/>
      <c r="E6" s="959" t="s">
        <v>1070</v>
      </c>
      <c r="F6" s="959"/>
      <c r="G6" s="959" t="s">
        <v>1071</v>
      </c>
      <c r="H6" s="959"/>
      <c r="I6" s="959" t="s">
        <v>1072</v>
      </c>
      <c r="J6" s="958" t="s">
        <v>289</v>
      </c>
      <c r="K6" s="2074" t="s">
        <v>867</v>
      </c>
      <c r="L6" s="1028"/>
      <c r="M6" s="959" t="s">
        <v>1070</v>
      </c>
      <c r="N6" s="959"/>
      <c r="O6" s="959" t="s">
        <v>1071</v>
      </c>
      <c r="P6" s="959"/>
      <c r="Q6" s="959" t="s">
        <v>1072</v>
      </c>
      <c r="R6" s="959" t="s">
        <v>289</v>
      </c>
      <c r="S6" s="958" t="s">
        <v>867</v>
      </c>
      <c r="T6" s="1028"/>
      <c r="U6" s="959" t="s">
        <v>1070</v>
      </c>
      <c r="V6" s="959"/>
      <c r="W6" s="959" t="s">
        <v>1071</v>
      </c>
      <c r="X6" s="959"/>
      <c r="Y6" s="959" t="s">
        <v>1072</v>
      </c>
      <c r="Z6" s="958" t="s">
        <v>289</v>
      </c>
      <c r="AA6" s="2074" t="s">
        <v>867</v>
      </c>
      <c r="AB6" s="1028"/>
      <c r="AC6" s="959" t="s">
        <v>1070</v>
      </c>
      <c r="AD6" s="959"/>
      <c r="AE6" s="959" t="s">
        <v>1071</v>
      </c>
      <c r="AF6" s="959"/>
      <c r="AG6" s="959" t="s">
        <v>1072</v>
      </c>
      <c r="AH6" s="958" t="s">
        <v>289</v>
      </c>
      <c r="AI6" s="2074" t="s">
        <v>867</v>
      </c>
      <c r="AJ6" s="1028"/>
      <c r="AK6" s="959" t="s">
        <v>1070</v>
      </c>
      <c r="AL6" s="959"/>
      <c r="AM6" s="959" t="s">
        <v>1071</v>
      </c>
      <c r="AN6" s="959"/>
      <c r="AO6" s="959" t="s">
        <v>1072</v>
      </c>
      <c r="AP6" s="1027" t="s">
        <v>289</v>
      </c>
    </row>
    <row r="7" spans="1:42" ht="20.25" customHeight="1" thickTop="1" x14ac:dyDescent="0.25">
      <c r="A7" s="4527" t="s">
        <v>837</v>
      </c>
      <c r="B7" s="4555"/>
      <c r="C7" s="1046">
        <f t="shared" ref="C7:C12" si="0">SUM(K7+S7+AA7+AI7)</f>
        <v>0</v>
      </c>
      <c r="D7" s="2219"/>
      <c r="E7" s="1044">
        <f t="shared" ref="E7:E12" si="1">SUM(M7+U7+AC7+AK7)</f>
        <v>0</v>
      </c>
      <c r="F7" s="1045"/>
      <c r="G7" s="1044">
        <f t="shared" ref="G7:G12" si="2">SUM(O7+W7+AE7+AM7)</f>
        <v>0</v>
      </c>
      <c r="H7" s="1045"/>
      <c r="I7" s="2314">
        <f>SUM(Q7+Y7+AG7+AO7)</f>
        <v>11768</v>
      </c>
      <c r="J7" s="1043">
        <f>SUM(R7+Z7+AH7+AP7)</f>
        <v>11768</v>
      </c>
      <c r="K7" s="1046"/>
      <c r="L7" s="1044"/>
      <c r="M7" s="1044"/>
      <c r="N7" s="1044"/>
      <c r="O7" s="1044"/>
      <c r="P7" s="1044"/>
      <c r="Q7" s="1044"/>
      <c r="R7" s="1042"/>
      <c r="S7" s="1041"/>
      <c r="T7" s="1041"/>
      <c r="U7" s="1044"/>
      <c r="V7" s="1045"/>
      <c r="W7" s="1044"/>
      <c r="X7" s="1045"/>
      <c r="Y7" s="1044">
        <v>11768</v>
      </c>
      <c r="Z7" s="1045">
        <v>11768</v>
      </c>
      <c r="AA7" s="1046"/>
      <c r="AB7" s="1044"/>
      <c r="AC7" s="1044"/>
      <c r="AD7" s="1044"/>
      <c r="AE7" s="1044"/>
      <c r="AF7" s="1044"/>
      <c r="AG7" s="1044"/>
      <c r="AH7" s="1042"/>
      <c r="AI7" s="1047"/>
      <c r="AJ7" s="2247"/>
      <c r="AK7" s="2247"/>
      <c r="AL7" s="2247"/>
      <c r="AM7" s="2247"/>
      <c r="AN7" s="2247"/>
      <c r="AO7" s="2247"/>
      <c r="AP7" s="1048"/>
    </row>
    <row r="8" spans="1:42" ht="20.25" customHeight="1" x14ac:dyDescent="0.25">
      <c r="A8" s="4529" t="s">
        <v>838</v>
      </c>
      <c r="B8" s="4559"/>
      <c r="C8" s="1072">
        <f t="shared" si="0"/>
        <v>73228768</v>
      </c>
      <c r="D8" s="1128"/>
      <c r="E8" s="964">
        <f>SUM(M8+U8+AC8+AK8)</f>
        <v>74394077</v>
      </c>
      <c r="F8" s="968"/>
      <c r="G8" s="964">
        <f t="shared" si="2"/>
        <v>75992233</v>
      </c>
      <c r="H8" s="968"/>
      <c r="I8" s="2316">
        <f t="shared" ref="I8:J12" si="3">SUM(Q8+Y8+AG8+AO8)</f>
        <v>74486373</v>
      </c>
      <c r="J8" s="1128">
        <f>SUM(R8+Z8+AH8+AP8)</f>
        <v>74486373</v>
      </c>
      <c r="K8" s="969">
        <f>SUM(K9:K10)</f>
        <v>61121526</v>
      </c>
      <c r="L8" s="964"/>
      <c r="M8" s="964">
        <f>SUM(M9:M10)</f>
        <v>61862384</v>
      </c>
      <c r="N8" s="964"/>
      <c r="O8" s="964">
        <f>SUM(O9:O10)</f>
        <v>62830976</v>
      </c>
      <c r="P8" s="964"/>
      <c r="Q8" s="964">
        <f>SUM(Q9:Q10)</f>
        <v>62664310</v>
      </c>
      <c r="R8" s="970">
        <f>SUM(R9:R10)</f>
        <v>62702223</v>
      </c>
      <c r="S8" s="963">
        <f>SUM(S9:S10)</f>
        <v>7373834</v>
      </c>
      <c r="T8" s="963"/>
      <c r="U8" s="964">
        <f>SUM(U9:U10)</f>
        <v>7748034</v>
      </c>
      <c r="V8" s="968"/>
      <c r="W8" s="964">
        <f>SUM(W9:W10)</f>
        <v>8293799</v>
      </c>
      <c r="X8" s="968"/>
      <c r="Y8" s="964">
        <f>SUM(Y9:Y10)</f>
        <v>7003710</v>
      </c>
      <c r="Z8" s="968">
        <f>SUM(Z9:Z10)</f>
        <v>7003710</v>
      </c>
      <c r="AA8" s="969">
        <f>SUM(AA9:AA10)</f>
        <v>4279877</v>
      </c>
      <c r="AB8" s="964"/>
      <c r="AC8" s="964">
        <f>SUM(AC9:AC10)</f>
        <v>4325877</v>
      </c>
      <c r="AD8" s="964"/>
      <c r="AE8" s="964">
        <f>SUM(AE9:AE10)</f>
        <v>4408164</v>
      </c>
      <c r="AF8" s="964"/>
      <c r="AG8" s="964">
        <f>SUM(AG9:AG10)</f>
        <v>4396154</v>
      </c>
      <c r="AH8" s="970">
        <f>SUM(AH9:AH10)</f>
        <v>4396154</v>
      </c>
      <c r="AI8" s="963">
        <f>SUM(AI9:AI10)</f>
        <v>453531</v>
      </c>
      <c r="AJ8" s="963">
        <f t="shared" ref="AJ8:AO8" si="4">SUM(AJ9:AJ10)</f>
        <v>0</v>
      </c>
      <c r="AK8" s="963">
        <f t="shared" si="4"/>
        <v>457782</v>
      </c>
      <c r="AL8" s="963">
        <f t="shared" si="4"/>
        <v>0</v>
      </c>
      <c r="AM8" s="963">
        <f t="shared" si="4"/>
        <v>459294</v>
      </c>
      <c r="AN8" s="963">
        <f t="shared" si="4"/>
        <v>0</v>
      </c>
      <c r="AO8" s="963">
        <f t="shared" si="4"/>
        <v>422199</v>
      </c>
      <c r="AP8" s="974">
        <f>SUM(AP9:AP10)</f>
        <v>384286</v>
      </c>
    </row>
    <row r="9" spans="1:42" ht="20.25" customHeight="1" x14ac:dyDescent="0.25">
      <c r="A9" s="4531" t="s">
        <v>839</v>
      </c>
      <c r="B9" s="4552"/>
      <c r="C9" s="1072">
        <f t="shared" si="0"/>
        <v>70534400</v>
      </c>
      <c r="D9" s="1128"/>
      <c r="E9" s="964">
        <f t="shared" si="1"/>
        <v>71333000</v>
      </c>
      <c r="F9" s="968"/>
      <c r="G9" s="964">
        <f>SUM(O9+W9+AE9+AM9)</f>
        <v>71333000</v>
      </c>
      <c r="H9" s="968"/>
      <c r="I9" s="2316">
        <f t="shared" si="3"/>
        <v>71237633</v>
      </c>
      <c r="J9" s="1128">
        <f>SUM(R9+Z9+AH9+AP9)</f>
        <v>71237633</v>
      </c>
      <c r="K9" s="969">
        <v>61060566</v>
      </c>
      <c r="L9" s="964"/>
      <c r="M9" s="964">
        <v>61859166</v>
      </c>
      <c r="N9" s="964"/>
      <c r="O9" s="964">
        <v>61859166</v>
      </c>
      <c r="P9" s="964"/>
      <c r="Q9" s="964">
        <v>62133923</v>
      </c>
      <c r="R9" s="970">
        <v>62133923</v>
      </c>
      <c r="S9" s="963">
        <v>7373834</v>
      </c>
      <c r="T9" s="963"/>
      <c r="U9" s="964">
        <v>7373834</v>
      </c>
      <c r="V9" s="968"/>
      <c r="W9" s="964">
        <v>7373834</v>
      </c>
      <c r="X9" s="968"/>
      <c r="Y9" s="964">
        <v>7003710</v>
      </c>
      <c r="Z9" s="968">
        <v>7003710</v>
      </c>
      <c r="AA9" s="969">
        <v>2100000</v>
      </c>
      <c r="AB9" s="964"/>
      <c r="AC9" s="964">
        <v>2100000</v>
      </c>
      <c r="AD9" s="964"/>
      <c r="AE9" s="964">
        <v>2100000</v>
      </c>
      <c r="AF9" s="964"/>
      <c r="AG9" s="964">
        <v>2100000</v>
      </c>
      <c r="AH9" s="970">
        <v>2100000</v>
      </c>
      <c r="AI9" s="971"/>
      <c r="AJ9" s="972"/>
      <c r="AK9" s="972"/>
      <c r="AL9" s="972"/>
      <c r="AM9" s="964"/>
      <c r="AN9" s="972"/>
      <c r="AO9" s="972"/>
      <c r="AP9" s="974"/>
    </row>
    <row r="10" spans="1:42" ht="20.25" customHeight="1" x14ac:dyDescent="0.25">
      <c r="A10" s="4531" t="s">
        <v>840</v>
      </c>
      <c r="B10" s="4552"/>
      <c r="C10" s="1072">
        <f t="shared" si="0"/>
        <v>2694368</v>
      </c>
      <c r="D10" s="1128"/>
      <c r="E10" s="964">
        <f>SUM(M10+U10+AC10+AK10)</f>
        <v>3061077</v>
      </c>
      <c r="F10" s="968"/>
      <c r="G10" s="964">
        <f t="shared" si="2"/>
        <v>4659233</v>
      </c>
      <c r="H10" s="968"/>
      <c r="I10" s="2316">
        <f t="shared" si="3"/>
        <v>3248740</v>
      </c>
      <c r="J10" s="1128">
        <f t="shared" si="3"/>
        <v>3248740</v>
      </c>
      <c r="K10" s="969">
        <v>60960</v>
      </c>
      <c r="L10" s="964"/>
      <c r="M10" s="972">
        <v>3218</v>
      </c>
      <c r="N10" s="972"/>
      <c r="O10" s="972">
        <v>971810</v>
      </c>
      <c r="P10" s="972"/>
      <c r="Q10" s="972">
        <v>530387</v>
      </c>
      <c r="R10" s="973">
        <v>568300</v>
      </c>
      <c r="S10" s="963"/>
      <c r="T10" s="963"/>
      <c r="U10" s="964">
        <v>374200</v>
      </c>
      <c r="V10" s="968"/>
      <c r="W10" s="964">
        <v>919965</v>
      </c>
      <c r="X10" s="968"/>
      <c r="Y10" s="964"/>
      <c r="Z10" s="968"/>
      <c r="AA10" s="969">
        <v>2179877</v>
      </c>
      <c r="AB10" s="964"/>
      <c r="AC10" s="964">
        <v>2225877</v>
      </c>
      <c r="AD10" s="964"/>
      <c r="AE10" s="964">
        <v>2308164</v>
      </c>
      <c r="AF10" s="964"/>
      <c r="AG10" s="964">
        <v>2296154</v>
      </c>
      <c r="AH10" s="970">
        <v>2296154</v>
      </c>
      <c r="AI10" s="963">
        <v>453531</v>
      </c>
      <c r="AJ10" s="964"/>
      <c r="AK10" s="964">
        <v>457782</v>
      </c>
      <c r="AL10" s="964"/>
      <c r="AM10" s="964">
        <v>459294</v>
      </c>
      <c r="AN10" s="964"/>
      <c r="AO10" s="964">
        <v>422199</v>
      </c>
      <c r="AP10" s="974">
        <v>384286</v>
      </c>
    </row>
    <row r="11" spans="1:42" ht="20.25" customHeight="1" x14ac:dyDescent="0.25">
      <c r="A11" s="4531" t="s">
        <v>911</v>
      </c>
      <c r="B11" s="4552"/>
      <c r="C11" s="1072">
        <f t="shared" si="0"/>
        <v>0</v>
      </c>
      <c r="D11" s="1128"/>
      <c r="E11" s="964">
        <f t="shared" si="1"/>
        <v>0</v>
      </c>
      <c r="F11" s="968"/>
      <c r="G11" s="964">
        <f t="shared" si="2"/>
        <v>0</v>
      </c>
      <c r="H11" s="968"/>
      <c r="I11" s="2316">
        <f t="shared" si="3"/>
        <v>0</v>
      </c>
      <c r="J11" s="1128">
        <f t="shared" si="3"/>
        <v>0</v>
      </c>
      <c r="K11" s="969"/>
      <c r="L11" s="964"/>
      <c r="M11" s="972"/>
      <c r="N11" s="972"/>
      <c r="O11" s="972"/>
      <c r="P11" s="972"/>
      <c r="Q11" s="972"/>
      <c r="R11" s="973"/>
      <c r="S11" s="979"/>
      <c r="T11" s="979"/>
      <c r="U11" s="964"/>
      <c r="V11" s="968"/>
      <c r="W11" s="964"/>
      <c r="X11" s="968"/>
      <c r="Y11" s="964"/>
      <c r="Z11" s="968"/>
      <c r="AA11" s="969"/>
      <c r="AB11" s="964"/>
      <c r="AC11" s="964"/>
      <c r="AD11" s="964"/>
      <c r="AE11" s="964"/>
      <c r="AF11" s="964"/>
      <c r="AG11" s="964"/>
      <c r="AH11" s="970"/>
      <c r="AI11" s="963"/>
      <c r="AJ11" s="964"/>
      <c r="AK11" s="964"/>
      <c r="AL11" s="964"/>
      <c r="AM11" s="964"/>
      <c r="AN11" s="964"/>
      <c r="AO11" s="964"/>
      <c r="AP11" s="974"/>
    </row>
    <row r="12" spans="1:42" s="636" customFormat="1" ht="24.75" customHeight="1" thickBot="1" x14ac:dyDescent="0.3">
      <c r="A12" s="4553" t="s">
        <v>299</v>
      </c>
      <c r="B12" s="4560"/>
      <c r="C12" s="2233">
        <f t="shared" si="0"/>
        <v>73228768</v>
      </c>
      <c r="D12" s="2228"/>
      <c r="E12" s="985">
        <f t="shared" si="1"/>
        <v>74394077</v>
      </c>
      <c r="F12" s="988"/>
      <c r="G12" s="985">
        <f t="shared" si="2"/>
        <v>75992233</v>
      </c>
      <c r="H12" s="988"/>
      <c r="I12" s="1081">
        <f t="shared" si="3"/>
        <v>74498141</v>
      </c>
      <c r="J12" s="2228">
        <f t="shared" si="3"/>
        <v>74498141</v>
      </c>
      <c r="K12" s="987">
        <f>SUM(K7+K9+K10)</f>
        <v>61121526</v>
      </c>
      <c r="L12" s="1002"/>
      <c r="M12" s="985">
        <f>SUM(M7+M9+M10)</f>
        <v>61862384</v>
      </c>
      <c r="N12" s="985"/>
      <c r="O12" s="985">
        <f>SUM(O7+O9+O10)</f>
        <v>62830976</v>
      </c>
      <c r="P12" s="985"/>
      <c r="Q12" s="985">
        <f>SUM(Q7+Q9+Q10)</f>
        <v>62664310</v>
      </c>
      <c r="R12" s="1120">
        <f>SUM(R7+R9+R10)</f>
        <v>62702223</v>
      </c>
      <c r="S12" s="984">
        <f>SUM(S7+S9+S10)</f>
        <v>7373834</v>
      </c>
      <c r="T12" s="984"/>
      <c r="U12" s="985">
        <f>SUM(U7+U9+U10)+U11</f>
        <v>7748034</v>
      </c>
      <c r="V12" s="988"/>
      <c r="W12" s="985">
        <f>SUM(W7+W9+W10)+W11</f>
        <v>8293799</v>
      </c>
      <c r="X12" s="988"/>
      <c r="Y12" s="985">
        <f>SUM(Y7+Y9+Y10)+Y11</f>
        <v>7015478</v>
      </c>
      <c r="Z12" s="988">
        <f>SUM(Z7+Z9+Z10)+Z11</f>
        <v>7015478</v>
      </c>
      <c r="AA12" s="987">
        <f>SUM(AA7+AA9+AA10)</f>
        <v>4279877</v>
      </c>
      <c r="AB12" s="1002"/>
      <c r="AC12" s="1002">
        <f>SUM(AC7+AC9+AC10)</f>
        <v>4325877</v>
      </c>
      <c r="AD12" s="1002"/>
      <c r="AE12" s="1002">
        <f>SUM(AE7+AE9+AE10)</f>
        <v>4408164</v>
      </c>
      <c r="AF12" s="1002"/>
      <c r="AG12" s="1002">
        <f>SUM(AG7+AG9+AG10)</f>
        <v>4396154</v>
      </c>
      <c r="AH12" s="1120">
        <f>SUM(AH7+AH9+AH10)</f>
        <v>4396154</v>
      </c>
      <c r="AI12" s="984">
        <f>SUM(AI7+AI9+AI10)</f>
        <v>453531</v>
      </c>
      <c r="AJ12" s="1002"/>
      <c r="AK12" s="985">
        <f>SUM(AK7+AK9+AK10)</f>
        <v>457782</v>
      </c>
      <c r="AL12" s="985"/>
      <c r="AM12" s="985">
        <f>SUM(AM7+AM9+AM10)</f>
        <v>459294</v>
      </c>
      <c r="AN12" s="985"/>
      <c r="AO12" s="985">
        <f>SUM(AO7+AO9+AO10)</f>
        <v>422199</v>
      </c>
      <c r="AP12" s="990">
        <f>SUM(AP7+AP9+AP10)</f>
        <v>384286</v>
      </c>
    </row>
    <row r="13" spans="1:42" ht="18.75" customHeight="1" thickTop="1" thickBot="1" x14ac:dyDescent="0.3">
      <c r="A13" s="2147"/>
      <c r="B13" s="953"/>
      <c r="C13" s="953"/>
      <c r="D13" s="953"/>
      <c r="E13" s="953"/>
      <c r="F13" s="953"/>
      <c r="G13" s="953"/>
      <c r="H13" s="953"/>
      <c r="I13" s="953"/>
      <c r="J13" s="953"/>
      <c r="K13" s="953"/>
      <c r="L13" s="953"/>
      <c r="M13" s="953"/>
      <c r="N13" s="953"/>
      <c r="O13" s="953"/>
      <c r="P13" s="953"/>
      <c r="Q13" s="953"/>
      <c r="R13" s="953"/>
      <c r="S13" s="953"/>
      <c r="T13" s="953"/>
      <c r="U13" s="953"/>
      <c r="V13" s="953"/>
      <c r="W13" s="953"/>
      <c r="X13" s="953"/>
      <c r="Y13" s="953"/>
      <c r="Z13" s="953"/>
      <c r="AA13" s="953"/>
      <c r="AB13" s="953"/>
      <c r="AC13" s="953"/>
      <c r="AD13" s="953"/>
      <c r="AE13" s="953"/>
      <c r="AF13" s="953"/>
      <c r="AG13" s="953"/>
      <c r="AH13" s="953"/>
      <c r="AI13" s="953"/>
      <c r="AJ13" s="953"/>
      <c r="AK13" s="953"/>
      <c r="AL13" s="953"/>
      <c r="AM13" s="953"/>
      <c r="AN13" s="953"/>
      <c r="AO13" s="953"/>
      <c r="AP13" s="2149"/>
    </row>
    <row r="14" spans="1:42" ht="29.25" customHeight="1" thickTop="1" thickBot="1" x14ac:dyDescent="0.3">
      <c r="A14" s="4533" t="s">
        <v>841</v>
      </c>
      <c r="B14" s="4534"/>
      <c r="C14" s="4534"/>
      <c r="D14" s="4534"/>
      <c r="E14" s="4534"/>
      <c r="F14" s="4534"/>
      <c r="G14" s="4534"/>
      <c r="H14" s="4534"/>
      <c r="I14" s="4534"/>
      <c r="J14" s="4534"/>
      <c r="K14" s="4534"/>
      <c r="L14" s="4534"/>
      <c r="M14" s="4534"/>
      <c r="N14" s="4534"/>
      <c r="O14" s="4534"/>
      <c r="P14" s="4534"/>
      <c r="Q14" s="4534"/>
      <c r="R14" s="4534"/>
      <c r="S14" s="4534"/>
      <c r="T14" s="4534"/>
      <c r="U14" s="4534"/>
      <c r="V14" s="4534"/>
      <c r="W14" s="4534"/>
      <c r="X14" s="4534"/>
      <c r="Y14" s="4534"/>
      <c r="Z14" s="4534"/>
      <c r="AA14" s="4534"/>
      <c r="AB14" s="4534"/>
      <c r="AC14" s="4534"/>
      <c r="AD14" s="4534"/>
      <c r="AE14" s="4534"/>
      <c r="AF14" s="4534"/>
      <c r="AG14" s="4534"/>
      <c r="AH14" s="4534"/>
      <c r="AI14" s="4534"/>
      <c r="AJ14" s="4534"/>
      <c r="AK14" s="4534"/>
      <c r="AL14" s="4563"/>
      <c r="AM14" s="4563"/>
      <c r="AN14" s="4563"/>
      <c r="AO14" s="4563"/>
      <c r="AP14" s="4535"/>
    </row>
    <row r="15" spans="1:42" s="951" customFormat="1" ht="20.25" customHeight="1" thickTop="1" x14ac:dyDescent="0.25">
      <c r="A15" s="4527" t="s">
        <v>842</v>
      </c>
      <c r="B15" s="4555"/>
      <c r="C15" s="993">
        <f>SUM(K15+S15+AA15+AI15)</f>
        <v>55187465</v>
      </c>
      <c r="D15" s="993"/>
      <c r="E15" s="993">
        <f t="shared" ref="E15:E20" si="5">SUM(M15+U15+AC15+AK15)</f>
        <v>55187465</v>
      </c>
      <c r="F15" s="993">
        <f t="shared" ref="F15:I20" si="6">SUM(N15+V15+AD15+AL15)</f>
        <v>0</v>
      </c>
      <c r="G15" s="993">
        <f>SUM(O15+W15+AE15+AM15)</f>
        <v>56409865</v>
      </c>
      <c r="H15" s="993">
        <f t="shared" si="6"/>
        <v>0</v>
      </c>
      <c r="I15" s="993">
        <f>SUM(Q15+Y15+AG15+AO15)</f>
        <v>56188451</v>
      </c>
      <c r="J15" s="993">
        <f>SUM(R15+Z15+AH15+AP15)</f>
        <v>56168923</v>
      </c>
      <c r="K15" s="997">
        <v>49678365</v>
      </c>
      <c r="L15" s="996"/>
      <c r="M15" s="994">
        <v>49665965</v>
      </c>
      <c r="N15" s="1034"/>
      <c r="O15" s="1034">
        <v>50828365</v>
      </c>
      <c r="P15" s="1034"/>
      <c r="Q15" s="1034">
        <v>51165765</v>
      </c>
      <c r="R15" s="995">
        <v>51165765</v>
      </c>
      <c r="S15" s="997">
        <v>1728300</v>
      </c>
      <c r="T15" s="996"/>
      <c r="U15" s="994">
        <v>1734500</v>
      </c>
      <c r="V15" s="1034"/>
      <c r="W15" s="1034">
        <v>1734500</v>
      </c>
      <c r="X15" s="1034"/>
      <c r="Y15" s="1034">
        <v>1211325</v>
      </c>
      <c r="Z15" s="995">
        <v>1211325</v>
      </c>
      <c r="AA15" s="997">
        <v>3420320</v>
      </c>
      <c r="AB15" s="996"/>
      <c r="AC15" s="994">
        <v>3426520</v>
      </c>
      <c r="AD15" s="1034"/>
      <c r="AE15" s="1034">
        <v>3486520</v>
      </c>
      <c r="AF15" s="1034"/>
      <c r="AG15" s="1034">
        <v>3488598</v>
      </c>
      <c r="AH15" s="995">
        <v>3488598</v>
      </c>
      <c r="AI15" s="998">
        <v>360480</v>
      </c>
      <c r="AJ15" s="998"/>
      <c r="AK15" s="998">
        <v>360480</v>
      </c>
      <c r="AL15" s="2264"/>
      <c r="AM15" s="2264">
        <v>360480</v>
      </c>
      <c r="AN15" s="2264"/>
      <c r="AO15" s="2264">
        <v>322763</v>
      </c>
      <c r="AP15" s="999">
        <v>303235</v>
      </c>
    </row>
    <row r="16" spans="1:42" s="951" customFormat="1" ht="20.25" customHeight="1" x14ac:dyDescent="0.25">
      <c r="A16" s="4531" t="s">
        <v>843</v>
      </c>
      <c r="B16" s="4552"/>
      <c r="C16" s="962">
        <f>SUM(K16+S16+AA16+AI16)</f>
        <v>11228183</v>
      </c>
      <c r="D16" s="962"/>
      <c r="E16" s="962">
        <f t="shared" si="5"/>
        <v>11228183</v>
      </c>
      <c r="F16" s="962">
        <f t="shared" si="6"/>
        <v>0</v>
      </c>
      <c r="G16" s="962">
        <f t="shared" si="6"/>
        <v>11431451</v>
      </c>
      <c r="H16" s="962">
        <f t="shared" si="6"/>
        <v>0</v>
      </c>
      <c r="I16" s="962">
        <f t="shared" si="6"/>
        <v>11375860</v>
      </c>
      <c r="J16" s="962">
        <f>SUM(R16+Z16+AH16+AP16)</f>
        <v>11362890</v>
      </c>
      <c r="K16" s="969">
        <v>10094581</v>
      </c>
      <c r="L16" s="963"/>
      <c r="M16" s="1035">
        <v>10090339</v>
      </c>
      <c r="N16" s="1065"/>
      <c r="O16" s="1065">
        <v>10281907</v>
      </c>
      <c r="P16" s="1065"/>
      <c r="Q16" s="1065">
        <v>10310907</v>
      </c>
      <c r="R16" s="970">
        <v>10310907</v>
      </c>
      <c r="S16" s="969">
        <v>356254</v>
      </c>
      <c r="T16" s="963"/>
      <c r="U16" s="1035">
        <v>358375</v>
      </c>
      <c r="V16" s="1065"/>
      <c r="W16" s="1065">
        <v>358375</v>
      </c>
      <c r="X16" s="1065"/>
      <c r="Y16" s="1065">
        <v>250585</v>
      </c>
      <c r="Z16" s="970">
        <v>250585</v>
      </c>
      <c r="AA16" s="969">
        <v>705252</v>
      </c>
      <c r="AB16" s="963"/>
      <c r="AC16" s="1035">
        <v>707373</v>
      </c>
      <c r="AD16" s="1065"/>
      <c r="AE16" s="1065">
        <v>719073</v>
      </c>
      <c r="AF16" s="1065"/>
      <c r="AG16" s="1065">
        <v>742272</v>
      </c>
      <c r="AH16" s="970">
        <v>742272</v>
      </c>
      <c r="AI16" s="1036">
        <v>72096</v>
      </c>
      <c r="AJ16" s="1036"/>
      <c r="AK16" s="1036">
        <v>72096</v>
      </c>
      <c r="AL16" s="1035"/>
      <c r="AM16" s="1035">
        <v>72096</v>
      </c>
      <c r="AN16" s="1035"/>
      <c r="AO16" s="1035">
        <v>72096</v>
      </c>
      <c r="AP16" s="1037">
        <v>59126</v>
      </c>
    </row>
    <row r="17" spans="1:42" s="951" customFormat="1" ht="20.25" customHeight="1" x14ac:dyDescent="0.25">
      <c r="A17" s="4546" t="s">
        <v>844</v>
      </c>
      <c r="B17" s="4547"/>
      <c r="C17" s="962">
        <f>SUM(K17+S17+AA17+AI17)</f>
        <v>6178120</v>
      </c>
      <c r="D17" s="962"/>
      <c r="E17" s="962">
        <f t="shared" si="5"/>
        <v>6971429</v>
      </c>
      <c r="F17" s="962">
        <f t="shared" si="6"/>
        <v>0</v>
      </c>
      <c r="G17" s="962">
        <f t="shared" si="6"/>
        <v>7143917</v>
      </c>
      <c r="H17" s="962">
        <f t="shared" si="6"/>
        <v>0</v>
      </c>
      <c r="I17" s="962">
        <f t="shared" si="6"/>
        <v>6152662</v>
      </c>
      <c r="J17" s="962">
        <f>SUM(R17+Z17+AH17+AP17)</f>
        <v>6147247</v>
      </c>
      <c r="K17" s="969">
        <v>815180</v>
      </c>
      <c r="L17" s="963"/>
      <c r="M17" s="1035">
        <v>1200680</v>
      </c>
      <c r="N17" s="1065"/>
      <c r="O17" s="1065">
        <v>1070680</v>
      </c>
      <c r="P17" s="1065"/>
      <c r="Q17" s="1065">
        <v>877746</v>
      </c>
      <c r="R17" s="970">
        <v>877746</v>
      </c>
      <c r="S17" s="969">
        <v>5187680</v>
      </c>
      <c r="T17" s="963"/>
      <c r="U17" s="1035">
        <v>5553559</v>
      </c>
      <c r="V17" s="1065"/>
      <c r="W17" s="1065">
        <v>5843948</v>
      </c>
      <c r="X17" s="1065"/>
      <c r="Y17" s="1065">
        <v>5082292</v>
      </c>
      <c r="Z17" s="970">
        <v>5082292</v>
      </c>
      <c r="AA17" s="969">
        <v>154305</v>
      </c>
      <c r="AB17" s="963"/>
      <c r="AC17" s="1035">
        <v>191984</v>
      </c>
      <c r="AD17" s="1065"/>
      <c r="AE17" s="1065">
        <v>202571</v>
      </c>
      <c r="AF17" s="1065"/>
      <c r="AG17" s="1065">
        <v>165284</v>
      </c>
      <c r="AH17" s="970">
        <v>165284</v>
      </c>
      <c r="AI17" s="1036">
        <v>20955</v>
      </c>
      <c r="AJ17" s="1036"/>
      <c r="AK17" s="1036">
        <v>25206</v>
      </c>
      <c r="AL17" s="1035"/>
      <c r="AM17" s="1035">
        <v>26718</v>
      </c>
      <c r="AN17" s="1035"/>
      <c r="AO17" s="1035">
        <v>27340</v>
      </c>
      <c r="AP17" s="1037">
        <v>21925</v>
      </c>
    </row>
    <row r="18" spans="1:42" s="951" customFormat="1" ht="20.25" customHeight="1" x14ac:dyDescent="0.25">
      <c r="A18" s="4546" t="s">
        <v>886</v>
      </c>
      <c r="B18" s="4547"/>
      <c r="C18" s="962"/>
      <c r="D18" s="962"/>
      <c r="E18" s="962">
        <f t="shared" si="5"/>
        <v>0</v>
      </c>
      <c r="F18" s="962">
        <f t="shared" si="6"/>
        <v>0</v>
      </c>
      <c r="G18" s="962">
        <f t="shared" si="6"/>
        <v>0</v>
      </c>
      <c r="H18" s="962">
        <f t="shared" si="6"/>
        <v>0</v>
      </c>
      <c r="I18" s="962">
        <f t="shared" si="6"/>
        <v>0</v>
      </c>
      <c r="J18" s="962">
        <f>SUM(R18+Z18+AH18+AP18)</f>
        <v>0</v>
      </c>
      <c r="K18" s="969"/>
      <c r="L18" s="963"/>
      <c r="M18" s="1035"/>
      <c r="N18" s="1065"/>
      <c r="O18" s="1065"/>
      <c r="P18" s="1065"/>
      <c r="Q18" s="1065"/>
      <c r="R18" s="970"/>
      <c r="S18" s="969"/>
      <c r="T18" s="963"/>
      <c r="U18" s="1035"/>
      <c r="V18" s="1065"/>
      <c r="W18" s="1065"/>
      <c r="X18" s="1065"/>
      <c r="Y18" s="1065"/>
      <c r="Z18" s="970"/>
      <c r="AA18" s="969"/>
      <c r="AB18" s="963"/>
      <c r="AC18" s="1035"/>
      <c r="AD18" s="1065"/>
      <c r="AE18" s="1065"/>
      <c r="AF18" s="1065"/>
      <c r="AG18" s="1065"/>
      <c r="AH18" s="970"/>
      <c r="AI18" s="1036"/>
      <c r="AJ18" s="1036"/>
      <c r="AK18" s="1036"/>
      <c r="AL18" s="1035"/>
      <c r="AM18" s="1035"/>
      <c r="AN18" s="1035"/>
      <c r="AO18" s="1035"/>
      <c r="AP18" s="1037"/>
    </row>
    <row r="19" spans="1:42" s="951" customFormat="1" ht="20.25" customHeight="1" x14ac:dyDescent="0.25">
      <c r="A19" s="4546" t="s">
        <v>887</v>
      </c>
      <c r="B19" s="4547"/>
      <c r="C19" s="962">
        <f>SUM(K19+S19+AA19+AI19)</f>
        <v>635000</v>
      </c>
      <c r="D19" s="962"/>
      <c r="E19" s="962">
        <f t="shared" si="5"/>
        <v>1007000</v>
      </c>
      <c r="F19" s="962">
        <f t="shared" si="6"/>
        <v>0</v>
      </c>
      <c r="G19" s="962">
        <f t="shared" si="6"/>
        <v>1007000</v>
      </c>
      <c r="H19" s="962">
        <f t="shared" si="6"/>
        <v>0</v>
      </c>
      <c r="I19" s="962">
        <f t="shared" si="6"/>
        <v>781168</v>
      </c>
      <c r="J19" s="962">
        <f>SUM(R19+Z19+AH19+AP19)</f>
        <v>781168</v>
      </c>
      <c r="K19" s="969">
        <v>533400</v>
      </c>
      <c r="L19" s="963"/>
      <c r="M19" s="1035">
        <v>905400</v>
      </c>
      <c r="N19" s="1065"/>
      <c r="O19" s="1065">
        <v>650024</v>
      </c>
      <c r="P19" s="1065"/>
      <c r="Q19" s="1065">
        <v>309892</v>
      </c>
      <c r="R19" s="970">
        <v>309892</v>
      </c>
      <c r="S19" s="969">
        <v>101600</v>
      </c>
      <c r="T19" s="963"/>
      <c r="U19" s="1035">
        <v>101600</v>
      </c>
      <c r="V19" s="1065"/>
      <c r="W19" s="1065">
        <v>356976</v>
      </c>
      <c r="X19" s="1065"/>
      <c r="Y19" s="1065">
        <v>471276</v>
      </c>
      <c r="Z19" s="970">
        <v>471276</v>
      </c>
      <c r="AA19" s="969"/>
      <c r="AB19" s="963"/>
      <c r="AC19" s="1035"/>
      <c r="AD19" s="1065"/>
      <c r="AE19" s="1065"/>
      <c r="AF19" s="1065"/>
      <c r="AG19" s="1065"/>
      <c r="AH19" s="970"/>
      <c r="AI19" s="1036"/>
      <c r="AJ19" s="1036"/>
      <c r="AK19" s="1036"/>
      <c r="AL19" s="1035"/>
      <c r="AM19" s="1035"/>
      <c r="AN19" s="1035"/>
      <c r="AO19" s="1035"/>
      <c r="AP19" s="1037"/>
    </row>
    <row r="20" spans="1:42" s="951" customFormat="1" ht="20.25" customHeight="1" x14ac:dyDescent="0.25">
      <c r="A20" s="1111" t="s">
        <v>950</v>
      </c>
      <c r="B20" s="1112"/>
      <c r="C20" s="962">
        <f>SUM(K20+S20+AA20+AI20)</f>
        <v>0</v>
      </c>
      <c r="D20" s="962"/>
      <c r="E20" s="962">
        <f t="shared" si="5"/>
        <v>0</v>
      </c>
      <c r="F20" s="962">
        <f t="shared" si="6"/>
        <v>0</v>
      </c>
      <c r="G20" s="962">
        <f t="shared" si="6"/>
        <v>0</v>
      </c>
      <c r="H20" s="962">
        <f t="shared" si="6"/>
        <v>0</v>
      </c>
      <c r="I20" s="962">
        <f t="shared" si="6"/>
        <v>0</v>
      </c>
      <c r="J20" s="962">
        <f>SUM(R20+Z20+AH20+AP20)</f>
        <v>0</v>
      </c>
      <c r="K20" s="976"/>
      <c r="L20" s="979"/>
      <c r="M20" s="1113"/>
      <c r="N20" s="1113"/>
      <c r="O20" s="1114"/>
      <c r="P20" s="1113"/>
      <c r="Q20" s="2220"/>
      <c r="R20" s="1001"/>
      <c r="S20" s="976"/>
      <c r="T20" s="979"/>
      <c r="U20" s="1113"/>
      <c r="V20" s="2220"/>
      <c r="W20" s="1035"/>
      <c r="X20" s="2220"/>
      <c r="Y20" s="1035"/>
      <c r="Z20" s="980"/>
      <c r="AA20" s="976"/>
      <c r="AB20" s="979"/>
      <c r="AC20" s="1114"/>
      <c r="AD20" s="2220"/>
      <c r="AE20" s="1035"/>
      <c r="AF20" s="2220"/>
      <c r="AG20" s="1035"/>
      <c r="AH20" s="970"/>
      <c r="AI20" s="1036"/>
      <c r="AJ20" s="1114"/>
      <c r="AK20" s="1114"/>
      <c r="AL20" s="1035"/>
      <c r="AM20" s="1035"/>
      <c r="AN20" s="1035"/>
      <c r="AO20" s="1035"/>
      <c r="AP20" s="1115"/>
    </row>
    <row r="21" spans="1:42" s="636" customFormat="1" ht="24.75" customHeight="1" thickBot="1" x14ac:dyDescent="0.3">
      <c r="A21" s="4550" t="s">
        <v>517</v>
      </c>
      <c r="B21" s="4551"/>
      <c r="C21" s="983">
        <f>SUM(C15:C19)</f>
        <v>73228768</v>
      </c>
      <c r="D21" s="983"/>
      <c r="E21" s="983">
        <f t="shared" ref="E21:J21" si="7">SUM(E15:E20)</f>
        <v>74394077</v>
      </c>
      <c r="F21" s="983">
        <f t="shared" si="7"/>
        <v>0</v>
      </c>
      <c r="G21" s="983">
        <f t="shared" si="7"/>
        <v>75992233</v>
      </c>
      <c r="H21" s="983">
        <f t="shared" si="7"/>
        <v>0</v>
      </c>
      <c r="I21" s="983">
        <f t="shared" si="7"/>
        <v>74498141</v>
      </c>
      <c r="J21" s="983">
        <f t="shared" si="7"/>
        <v>74460228</v>
      </c>
      <c r="K21" s="987">
        <f t="shared" ref="K21:AP21" si="8">SUM(K15:K20)</f>
        <v>61121526</v>
      </c>
      <c r="L21" s="984"/>
      <c r="M21" s="985">
        <f t="shared" si="8"/>
        <v>61862384</v>
      </c>
      <c r="N21" s="985">
        <f t="shared" si="8"/>
        <v>0</v>
      </c>
      <c r="O21" s="985">
        <f t="shared" si="8"/>
        <v>62830976</v>
      </c>
      <c r="P21" s="985">
        <f t="shared" si="8"/>
        <v>0</v>
      </c>
      <c r="Q21" s="985">
        <f t="shared" si="8"/>
        <v>62664310</v>
      </c>
      <c r="R21" s="986">
        <f t="shared" si="8"/>
        <v>62664310</v>
      </c>
      <c r="S21" s="987">
        <f t="shared" si="8"/>
        <v>7373834</v>
      </c>
      <c r="T21" s="984"/>
      <c r="U21" s="985">
        <f t="shared" si="8"/>
        <v>7748034</v>
      </c>
      <c r="V21" s="985">
        <f t="shared" si="8"/>
        <v>0</v>
      </c>
      <c r="W21" s="985">
        <f t="shared" si="8"/>
        <v>8293799</v>
      </c>
      <c r="X21" s="985">
        <f t="shared" si="8"/>
        <v>0</v>
      </c>
      <c r="Y21" s="985">
        <f t="shared" si="8"/>
        <v>7015478</v>
      </c>
      <c r="Z21" s="988">
        <f t="shared" si="8"/>
        <v>7015478</v>
      </c>
      <c r="AA21" s="987">
        <f t="shared" si="8"/>
        <v>4279877</v>
      </c>
      <c r="AB21" s="984"/>
      <c r="AC21" s="985">
        <f t="shared" si="8"/>
        <v>4325877</v>
      </c>
      <c r="AD21" s="985">
        <f t="shared" si="8"/>
        <v>0</v>
      </c>
      <c r="AE21" s="985">
        <f t="shared" si="8"/>
        <v>4408164</v>
      </c>
      <c r="AF21" s="985">
        <f t="shared" si="8"/>
        <v>0</v>
      </c>
      <c r="AG21" s="985">
        <f t="shared" si="8"/>
        <v>4396154</v>
      </c>
      <c r="AH21" s="1120">
        <f t="shared" si="8"/>
        <v>4396154</v>
      </c>
      <c r="AI21" s="1003">
        <f t="shared" si="8"/>
        <v>453531</v>
      </c>
      <c r="AJ21" s="1003"/>
      <c r="AK21" s="985">
        <f t="shared" si="8"/>
        <v>457782</v>
      </c>
      <c r="AL21" s="985">
        <f t="shared" si="8"/>
        <v>0</v>
      </c>
      <c r="AM21" s="985">
        <f t="shared" si="8"/>
        <v>459294</v>
      </c>
      <c r="AN21" s="985">
        <f t="shared" si="8"/>
        <v>0</v>
      </c>
      <c r="AO21" s="985">
        <f t="shared" si="8"/>
        <v>422199</v>
      </c>
      <c r="AP21" s="990">
        <f t="shared" si="8"/>
        <v>384286</v>
      </c>
    </row>
    <row r="22" spans="1:42" ht="15.75" thickTop="1" x14ac:dyDescent="0.25">
      <c r="A22" s="992"/>
      <c r="B22" s="992"/>
      <c r="C22" s="992"/>
      <c r="D22" s="992"/>
      <c r="E22" s="992"/>
      <c r="F22" s="992"/>
      <c r="G22" s="992"/>
      <c r="H22" s="992"/>
      <c r="I22" s="992"/>
      <c r="J22" s="992"/>
      <c r="K22" s="992"/>
      <c r="L22" s="992"/>
      <c r="M22" s="992"/>
      <c r="N22" s="992"/>
      <c r="O22" s="992"/>
      <c r="P22" s="992"/>
      <c r="Q22" s="992"/>
      <c r="R22" s="992"/>
      <c r="S22" s="992"/>
      <c r="T22" s="992"/>
      <c r="U22" s="992"/>
      <c r="V22" s="992"/>
      <c r="W22" s="992"/>
      <c r="X22" s="992"/>
      <c r="Y22" s="992"/>
      <c r="Z22" s="992"/>
      <c r="AA22" s="992"/>
      <c r="AB22" s="992"/>
      <c r="AC22" s="992"/>
      <c r="AD22" s="992"/>
      <c r="AE22" s="992"/>
      <c r="AF22" s="992"/>
      <c r="AG22" s="992"/>
      <c r="AH22" s="992"/>
      <c r="AI22" s="992"/>
      <c r="AJ22" s="992"/>
      <c r="AK22" s="992"/>
      <c r="AL22" s="992"/>
      <c r="AM22" s="992"/>
      <c r="AN22" s="992"/>
      <c r="AO22" s="992"/>
      <c r="AP22" s="992"/>
    </row>
    <row r="23" spans="1:42" ht="15.75" x14ac:dyDescent="0.25">
      <c r="A23" s="1006" t="s">
        <v>279</v>
      </c>
      <c r="B23" s="992"/>
      <c r="C23" s="1007">
        <f>SUM(C21-C12)</f>
        <v>0</v>
      </c>
      <c r="D23" s="1007"/>
      <c r="E23" s="1007">
        <f t="shared" ref="E23:AP23" si="9">SUM(E21-E12)</f>
        <v>0</v>
      </c>
      <c r="F23" s="1007">
        <f t="shared" si="9"/>
        <v>0</v>
      </c>
      <c r="G23" s="1007">
        <f t="shared" si="9"/>
        <v>0</v>
      </c>
      <c r="H23" s="1007">
        <f t="shared" si="9"/>
        <v>0</v>
      </c>
      <c r="I23" s="1007">
        <f t="shared" si="9"/>
        <v>0</v>
      </c>
      <c r="J23" s="1007">
        <f t="shared" si="9"/>
        <v>-37913</v>
      </c>
      <c r="K23" s="1007">
        <f t="shared" si="9"/>
        <v>0</v>
      </c>
      <c r="L23" s="1007"/>
      <c r="M23" s="1007">
        <f t="shared" si="9"/>
        <v>0</v>
      </c>
      <c r="N23" s="1007">
        <f t="shared" si="9"/>
        <v>0</v>
      </c>
      <c r="O23" s="1007">
        <f t="shared" si="9"/>
        <v>0</v>
      </c>
      <c r="P23" s="1007">
        <f t="shared" si="9"/>
        <v>0</v>
      </c>
      <c r="Q23" s="1007">
        <f t="shared" si="9"/>
        <v>0</v>
      </c>
      <c r="R23" s="1007">
        <f t="shared" si="9"/>
        <v>-37913</v>
      </c>
      <c r="S23" s="1007">
        <f t="shared" si="9"/>
        <v>0</v>
      </c>
      <c r="T23" s="1007"/>
      <c r="U23" s="1007">
        <f t="shared" si="9"/>
        <v>0</v>
      </c>
      <c r="V23" s="1007">
        <f t="shared" si="9"/>
        <v>0</v>
      </c>
      <c r="W23" s="1007">
        <f t="shared" si="9"/>
        <v>0</v>
      </c>
      <c r="X23" s="1007">
        <f t="shared" si="9"/>
        <v>0</v>
      </c>
      <c r="Y23" s="1007">
        <f t="shared" si="9"/>
        <v>0</v>
      </c>
      <c r="Z23" s="1007">
        <f t="shared" si="9"/>
        <v>0</v>
      </c>
      <c r="AA23" s="1007">
        <f t="shared" si="9"/>
        <v>0</v>
      </c>
      <c r="AB23" s="1007"/>
      <c r="AC23" s="1007">
        <f t="shared" si="9"/>
        <v>0</v>
      </c>
      <c r="AD23" s="1007">
        <f t="shared" si="9"/>
        <v>0</v>
      </c>
      <c r="AE23" s="1007">
        <f t="shared" si="9"/>
        <v>0</v>
      </c>
      <c r="AF23" s="1007">
        <f t="shared" si="9"/>
        <v>0</v>
      </c>
      <c r="AG23" s="1007">
        <f t="shared" si="9"/>
        <v>0</v>
      </c>
      <c r="AH23" s="1007">
        <f t="shared" si="9"/>
        <v>0</v>
      </c>
      <c r="AI23" s="1007">
        <f t="shared" si="9"/>
        <v>0</v>
      </c>
      <c r="AJ23" s="1007"/>
      <c r="AK23" s="1007">
        <f t="shared" si="9"/>
        <v>0</v>
      </c>
      <c r="AL23" s="1007">
        <f t="shared" si="9"/>
        <v>0</v>
      </c>
      <c r="AM23" s="1007">
        <f t="shared" si="9"/>
        <v>0</v>
      </c>
      <c r="AN23" s="1007">
        <f t="shared" si="9"/>
        <v>0</v>
      </c>
      <c r="AO23" s="1007">
        <f t="shared" si="9"/>
        <v>0</v>
      </c>
      <c r="AP23" s="1007">
        <f t="shared" si="9"/>
        <v>0</v>
      </c>
    </row>
    <row r="24" spans="1:42" x14ac:dyDescent="0.25">
      <c r="A24" s="992"/>
      <c r="B24" s="992"/>
      <c r="C24" s="992"/>
      <c r="D24" s="992"/>
      <c r="E24" s="992"/>
      <c r="F24" s="992"/>
      <c r="G24" s="992"/>
      <c r="H24" s="992"/>
      <c r="I24" s="992"/>
      <c r="J24" s="992"/>
      <c r="K24" s="992"/>
      <c r="L24" s="992"/>
      <c r="M24" s="992"/>
      <c r="N24" s="992"/>
      <c r="O24" s="992"/>
      <c r="P24" s="992"/>
      <c r="Q24" s="992"/>
      <c r="R24" s="992"/>
      <c r="S24" s="992"/>
      <c r="T24" s="992"/>
      <c r="U24" s="992"/>
      <c r="V24" s="992"/>
      <c r="W24" s="992"/>
      <c r="X24" s="992"/>
      <c r="Y24" s="992"/>
      <c r="Z24" s="952"/>
      <c r="AA24" s="952"/>
      <c r="AB24" s="952"/>
      <c r="AC24" s="952"/>
      <c r="AD24" s="952"/>
      <c r="AE24" s="952"/>
      <c r="AF24" s="952"/>
      <c r="AG24" s="952"/>
      <c r="AH24" s="952"/>
      <c r="AI24" s="952"/>
      <c r="AJ24" s="952"/>
      <c r="AK24" s="952"/>
      <c r="AL24" s="952"/>
      <c r="AM24" s="952"/>
      <c r="AN24" s="952"/>
      <c r="AO24" s="952"/>
      <c r="AP24" s="952"/>
    </row>
    <row r="25" spans="1:42" x14ac:dyDescent="0.25">
      <c r="A25" s="992"/>
      <c r="B25" s="992"/>
      <c r="C25" s="992"/>
      <c r="D25" s="992"/>
      <c r="E25" s="992"/>
      <c r="F25" s="992"/>
      <c r="G25" s="992"/>
      <c r="H25" s="992"/>
      <c r="I25" s="992"/>
      <c r="J25" s="992"/>
      <c r="K25" s="992"/>
      <c r="L25" s="992"/>
      <c r="M25" s="992"/>
      <c r="N25" s="992"/>
      <c r="O25" s="992"/>
      <c r="P25" s="992"/>
      <c r="Q25" s="992"/>
      <c r="R25" s="992"/>
      <c r="S25" s="992"/>
      <c r="T25" s="992"/>
      <c r="U25" s="992"/>
      <c r="V25" s="992"/>
      <c r="W25" s="992"/>
      <c r="X25" s="992"/>
      <c r="Y25" s="992"/>
      <c r="Z25" s="952"/>
      <c r="AA25" s="952"/>
      <c r="AB25" s="952"/>
      <c r="AC25" s="952"/>
      <c r="AD25" s="952"/>
      <c r="AE25" s="952"/>
      <c r="AF25" s="952"/>
      <c r="AG25" s="952"/>
      <c r="AH25" s="952"/>
      <c r="AI25" s="952"/>
      <c r="AJ25" s="952"/>
      <c r="AK25" s="952"/>
      <c r="AL25" s="952"/>
      <c r="AM25" s="952"/>
      <c r="AN25" s="952"/>
      <c r="AO25" s="952"/>
      <c r="AP25" s="952"/>
    </row>
    <row r="26" spans="1:42" x14ac:dyDescent="0.25">
      <c r="A26" s="992"/>
      <c r="B26" s="992"/>
      <c r="C26" s="992"/>
      <c r="D26" s="992"/>
      <c r="E26" s="992"/>
      <c r="F26" s="992"/>
      <c r="G26" s="992"/>
      <c r="H26" s="992"/>
      <c r="I26" s="992"/>
      <c r="J26" s="992"/>
      <c r="K26" s="992"/>
      <c r="L26" s="992"/>
      <c r="M26" s="992"/>
      <c r="N26" s="992"/>
      <c r="O26" s="992"/>
      <c r="P26" s="992"/>
      <c r="Q26" s="992"/>
      <c r="R26" s="992"/>
      <c r="S26" s="992"/>
      <c r="T26" s="992"/>
      <c r="U26" s="992"/>
      <c r="V26" s="992"/>
      <c r="W26" s="992"/>
      <c r="X26" s="992"/>
      <c r="Y26" s="992"/>
      <c r="Z26" s="952"/>
      <c r="AA26" s="952"/>
      <c r="AB26" s="952"/>
      <c r="AC26" s="952"/>
      <c r="AD26" s="952"/>
      <c r="AE26" s="952"/>
      <c r="AF26" s="952"/>
      <c r="AG26" s="952"/>
      <c r="AH26" s="952"/>
      <c r="AI26" s="952"/>
      <c r="AJ26" s="952"/>
      <c r="AK26" s="952"/>
      <c r="AL26" s="952"/>
      <c r="AM26" s="952"/>
      <c r="AN26" s="952"/>
      <c r="AO26" s="952"/>
      <c r="AP26" s="952"/>
    </row>
    <row r="27" spans="1:42" ht="15.75" x14ac:dyDescent="0.25">
      <c r="A27" s="4558" t="s">
        <v>910</v>
      </c>
      <c r="B27" s="4558"/>
      <c r="C27" s="1008"/>
      <c r="D27" s="1008"/>
      <c r="E27" s="1008"/>
      <c r="F27" s="1008"/>
      <c r="G27" s="1008"/>
      <c r="H27" s="1008"/>
      <c r="I27" s="1008"/>
      <c r="J27" s="1008"/>
      <c r="K27" s="1008"/>
      <c r="L27" s="1008"/>
      <c r="M27" s="1008"/>
      <c r="N27" s="1008"/>
      <c r="O27" s="1008"/>
      <c r="P27" s="1008"/>
      <c r="Q27" s="1008"/>
      <c r="R27" s="1008"/>
      <c r="S27" s="1008"/>
      <c r="T27" s="1008"/>
      <c r="U27" s="1008"/>
      <c r="V27" s="1008"/>
      <c r="W27" s="1008"/>
      <c r="X27" s="1008"/>
      <c r="Y27" s="1008"/>
      <c r="Z27" s="1008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</row>
    <row r="28" spans="1:42" ht="15.75" x14ac:dyDescent="0.25">
      <c r="A28" s="1009"/>
      <c r="B28" s="1009"/>
      <c r="C28" s="1009"/>
      <c r="D28" s="1009"/>
      <c r="E28" s="1009"/>
      <c r="F28" s="1009"/>
      <c r="G28" s="1009"/>
      <c r="H28" s="1009"/>
      <c r="I28" s="1009"/>
      <c r="J28" s="1009"/>
      <c r="K28" s="1008"/>
      <c r="L28" s="1008"/>
      <c r="M28" s="1008"/>
      <c r="N28" s="1008"/>
      <c r="O28" s="1008"/>
      <c r="P28" s="1008"/>
      <c r="Q28" s="1008"/>
      <c r="R28" s="1008"/>
      <c r="S28" s="1008"/>
      <c r="T28" s="1008"/>
      <c r="U28" s="1008"/>
      <c r="V28" s="1008"/>
      <c r="W28" s="1008"/>
      <c r="X28" s="1008"/>
      <c r="Y28" s="1008"/>
      <c r="Z28" s="1008"/>
      <c r="AA28" s="952"/>
      <c r="AB28" s="952"/>
      <c r="AC28" s="952"/>
      <c r="AD28" s="952"/>
      <c r="AE28" s="952"/>
      <c r="AF28" s="952"/>
      <c r="AG28" s="952"/>
      <c r="AH28" s="952"/>
      <c r="AI28" s="952"/>
      <c r="AJ28" s="952"/>
      <c r="AK28" s="952"/>
      <c r="AL28" s="952"/>
      <c r="AM28" s="952"/>
      <c r="AN28" s="952"/>
      <c r="AO28" s="952"/>
      <c r="AP28" s="952"/>
    </row>
    <row r="29" spans="1:42" ht="15.75" x14ac:dyDescent="0.25">
      <c r="A29" s="4548" t="s">
        <v>786</v>
      </c>
      <c r="B29" s="4548"/>
      <c r="C29" s="1007">
        <f>SUM('5.2. sz. mell.  '!F8)</f>
        <v>0</v>
      </c>
      <c r="D29" s="1007">
        <f>SUM('5.2. sz. mell.  '!G8)</f>
        <v>0</v>
      </c>
      <c r="E29" s="1007">
        <f>SUM('5.2. sz. mell.  '!H8)</f>
        <v>0</v>
      </c>
      <c r="F29" s="1007">
        <f>SUM('5.2. sz. mell.  '!I8)</f>
        <v>0</v>
      </c>
      <c r="G29" s="1007">
        <f>SUM('5.2. sz. mell.  '!J8)</f>
        <v>11768</v>
      </c>
      <c r="H29" s="1007">
        <f>SUM('5.2. sz. mell.  '!K8)</f>
        <v>0</v>
      </c>
      <c r="I29" s="1007">
        <f>SUM('5.2. sz. mell.  '!L8)</f>
        <v>11768</v>
      </c>
      <c r="J29" s="1007">
        <f>SUM('5.2. sz. mell.  '!M8)</f>
        <v>11768</v>
      </c>
      <c r="K29" s="992"/>
      <c r="L29" s="992"/>
      <c r="M29" s="4548" t="s">
        <v>236</v>
      </c>
      <c r="N29" s="4548"/>
      <c r="O29" s="4548"/>
      <c r="P29" s="4548"/>
      <c r="Q29" s="4548"/>
      <c r="R29" s="4548"/>
      <c r="S29" s="1007">
        <f>SUM('5.2. sz. mell.  '!F48)</f>
        <v>55187465</v>
      </c>
      <c r="T29" s="1007">
        <f>SUM('5.2. sz. mell.  '!G48)</f>
        <v>0</v>
      </c>
      <c r="U29" s="1007">
        <f>SUM('5.2. sz. mell.  '!H48)</f>
        <v>55187465</v>
      </c>
      <c r="V29" s="1007">
        <f>SUM('5.2. sz. mell.  '!I48)</f>
        <v>1000986</v>
      </c>
      <c r="W29" s="1007">
        <f>SUM('5.2. sz. mell.  '!J48)</f>
        <v>56188451</v>
      </c>
      <c r="X29" s="1007">
        <f>SUM('5.2. sz. mell.  '!K48)</f>
        <v>0</v>
      </c>
      <c r="Y29" s="1007">
        <f>SUM('5.2. sz. mell.  '!L48)</f>
        <v>56188451</v>
      </c>
      <c r="Z29" s="1007">
        <f>SUM('5.2. sz. mell.  '!M48)</f>
        <v>56168923</v>
      </c>
      <c r="AA29" s="952"/>
      <c r="AB29" s="952"/>
      <c r="AC29" s="952"/>
      <c r="AD29" s="952"/>
      <c r="AE29" s="952"/>
      <c r="AF29" s="952"/>
      <c r="AG29" s="952"/>
      <c r="AH29" s="952"/>
      <c r="AI29" s="952"/>
      <c r="AJ29" s="952"/>
      <c r="AK29" s="952"/>
      <c r="AL29" s="952"/>
      <c r="AM29" s="952"/>
      <c r="AN29" s="952"/>
      <c r="AO29" s="952"/>
      <c r="AP29" s="952"/>
    </row>
    <row r="30" spans="1:42" ht="15.75" x14ac:dyDescent="0.25">
      <c r="A30" s="1006" t="s">
        <v>893</v>
      </c>
      <c r="B30" s="1006"/>
      <c r="C30" s="1011">
        <f>SUM(C29-C7)</f>
        <v>0</v>
      </c>
      <c r="D30" s="1011"/>
      <c r="E30" s="1011">
        <f>SUM(E29-E7)</f>
        <v>0</v>
      </c>
      <c r="F30" s="1011"/>
      <c r="G30" s="1011">
        <f>SUM(G29-G7)</f>
        <v>11768</v>
      </c>
      <c r="H30" s="1011"/>
      <c r="I30" s="1011">
        <f>SUM(I29-I7)</f>
        <v>0</v>
      </c>
      <c r="J30" s="1011">
        <f>SUM(J29-J7)</f>
        <v>0</v>
      </c>
      <c r="K30" s="992"/>
      <c r="L30" s="992"/>
      <c r="M30" s="1006" t="s">
        <v>893</v>
      </c>
      <c r="N30" s="1006"/>
      <c r="O30" s="1006"/>
      <c r="P30" s="1006"/>
      <c r="Q30" s="1006"/>
      <c r="R30" s="992"/>
      <c r="S30" s="1011">
        <f>SUM(S29-C15)</f>
        <v>0</v>
      </c>
      <c r="T30" s="1011"/>
      <c r="U30" s="1011">
        <f>SUM(U29-E15)</f>
        <v>0</v>
      </c>
      <c r="V30" s="1011"/>
      <c r="W30" s="1011">
        <f>SUM(W29-G15)</f>
        <v>-221414</v>
      </c>
      <c r="X30" s="1011"/>
      <c r="Y30" s="1011">
        <f>SUM(Y29-I15)</f>
        <v>0</v>
      </c>
      <c r="Z30" s="1011">
        <f>SUM(Z29-J15)</f>
        <v>0</v>
      </c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</row>
    <row r="31" spans="1:42" ht="15.75" x14ac:dyDescent="0.25">
      <c r="A31" s="1008"/>
      <c r="B31" s="1008"/>
      <c r="C31" s="992"/>
      <c r="D31" s="992"/>
      <c r="E31" s="992"/>
      <c r="F31" s="992"/>
      <c r="G31" s="992"/>
      <c r="H31" s="992"/>
      <c r="I31" s="992"/>
      <c r="J31" s="992"/>
      <c r="K31" s="992"/>
      <c r="L31" s="992"/>
      <c r="M31" s="992"/>
      <c r="N31" s="992"/>
      <c r="O31" s="992"/>
      <c r="P31" s="992"/>
      <c r="Q31" s="992"/>
      <c r="R31" s="992"/>
      <c r="S31" s="992"/>
      <c r="T31" s="992"/>
      <c r="U31" s="992"/>
      <c r="V31" s="992"/>
      <c r="W31" s="992"/>
      <c r="X31" s="992"/>
      <c r="Y31" s="992"/>
      <c r="Z31" s="992"/>
      <c r="AA31" s="952"/>
      <c r="AB31" s="952"/>
      <c r="AC31" s="952"/>
      <c r="AD31" s="952"/>
      <c r="AE31" s="952"/>
      <c r="AF31" s="952"/>
      <c r="AG31" s="952"/>
      <c r="AH31" s="952"/>
      <c r="AI31" s="952"/>
      <c r="AJ31" s="952"/>
      <c r="AK31" s="952"/>
      <c r="AL31" s="952"/>
      <c r="AM31" s="952"/>
      <c r="AN31" s="952"/>
      <c r="AO31" s="952"/>
      <c r="AP31" s="952"/>
    </row>
    <row r="32" spans="1:42" ht="15.75" x14ac:dyDescent="0.25">
      <c r="A32" s="4548" t="s">
        <v>892</v>
      </c>
      <c r="B32" s="4548"/>
      <c r="C32" s="1007">
        <f>SUM('5.2. sz. mell.  '!F38)</f>
        <v>73228768</v>
      </c>
      <c r="D32" s="1007"/>
      <c r="E32" s="1007">
        <f>SUM('5.2. sz. mell.  '!H38)</f>
        <v>74394077</v>
      </c>
      <c r="F32" s="1007">
        <f>SUM('5.2. sz. mell.  '!I38)</f>
        <v>92296</v>
      </c>
      <c r="G32" s="1007">
        <f>SUM('5.2. sz. mell.  '!J38)</f>
        <v>74486373</v>
      </c>
      <c r="H32" s="1007">
        <f>SUM('5.2. sz. mell.  '!K38)</f>
        <v>0</v>
      </c>
      <c r="I32" s="1007">
        <f>SUM('5.2. sz. mell.  '!L38)</f>
        <v>74486373</v>
      </c>
      <c r="J32" s="1007">
        <f>SUM('5.2. sz. mell.  '!M38)</f>
        <v>74486373</v>
      </c>
      <c r="K32" s="992"/>
      <c r="L32" s="992"/>
      <c r="M32" s="4548" t="s">
        <v>895</v>
      </c>
      <c r="N32" s="4548"/>
      <c r="O32" s="4548"/>
      <c r="P32" s="4548"/>
      <c r="Q32" s="4548"/>
      <c r="R32" s="4548"/>
      <c r="S32" s="1007">
        <f>SUM('5.2. sz. mell.  '!F50)</f>
        <v>11228183</v>
      </c>
      <c r="T32" s="1007">
        <f>SUM('5.2. sz. mell.  '!G50)</f>
        <v>0</v>
      </c>
      <c r="U32" s="1007">
        <f>SUM('5.2. sz. mell.  '!H50)</f>
        <v>11228183</v>
      </c>
      <c r="V32" s="1007">
        <f>SUM('5.2. sz. mell.  '!I50)</f>
        <v>147677</v>
      </c>
      <c r="W32" s="1007">
        <f>SUM('5.2. sz. mell.  '!J50)</f>
        <v>11375860</v>
      </c>
      <c r="X32" s="1007">
        <f>SUM('5.2. sz. mell.  '!K50)</f>
        <v>0</v>
      </c>
      <c r="Y32" s="1007">
        <f>SUM('5.2. sz. mell.  '!L50)</f>
        <v>11375860</v>
      </c>
      <c r="Z32" s="1007">
        <f>SUM('5.2. sz. mell.  '!M50)</f>
        <v>11362890</v>
      </c>
      <c r="AA32" s="1007">
        <f>SUM('5.2. sz. mell.  '!N50)</f>
        <v>0</v>
      </c>
      <c r="AB32" s="952"/>
      <c r="AC32" s="952"/>
      <c r="AD32" s="952"/>
      <c r="AE32" s="952"/>
      <c r="AF32" s="952"/>
      <c r="AG32" s="952"/>
      <c r="AH32" s="952"/>
      <c r="AI32" s="952"/>
      <c r="AJ32" s="952"/>
      <c r="AK32" s="952"/>
      <c r="AL32" s="952"/>
      <c r="AM32" s="952"/>
      <c r="AN32" s="952"/>
      <c r="AO32" s="952"/>
      <c r="AP32" s="952"/>
    </row>
    <row r="33" spans="1:42" ht="15.75" x14ac:dyDescent="0.25">
      <c r="A33" s="1006" t="s">
        <v>893</v>
      </c>
      <c r="B33" s="1008"/>
      <c r="C33" s="1011">
        <f>SUM(C32-C8)</f>
        <v>0</v>
      </c>
      <c r="D33" s="1011"/>
      <c r="E33" s="1011">
        <f>SUM(E32-E8)</f>
        <v>0</v>
      </c>
      <c r="F33" s="1011"/>
      <c r="G33" s="1011">
        <f>SUM(G32-G8)</f>
        <v>-1505860</v>
      </c>
      <c r="H33" s="1011"/>
      <c r="I33" s="1011">
        <f>SUM(I32-I8)</f>
        <v>0</v>
      </c>
      <c r="J33" s="1011">
        <f>SUM(J32-J8)</f>
        <v>0</v>
      </c>
      <c r="K33" s="992"/>
      <c r="L33" s="992"/>
      <c r="M33" s="1006" t="s">
        <v>893</v>
      </c>
      <c r="N33" s="1006"/>
      <c r="O33" s="1006"/>
      <c r="P33" s="1006"/>
      <c r="Q33" s="1006"/>
      <c r="R33" s="992"/>
      <c r="S33" s="1012">
        <f>SUM(S32-C16)</f>
        <v>0</v>
      </c>
      <c r="T33" s="1012"/>
      <c r="U33" s="1012">
        <f t="shared" ref="U33:Z33" si="10">SUM(U32-E16)</f>
        <v>0</v>
      </c>
      <c r="V33" s="1012">
        <f t="shared" si="10"/>
        <v>147677</v>
      </c>
      <c r="W33" s="1012">
        <f t="shared" si="10"/>
        <v>-55591</v>
      </c>
      <c r="X33" s="1012">
        <f t="shared" si="10"/>
        <v>0</v>
      </c>
      <c r="Y33" s="1012">
        <f t="shared" si="10"/>
        <v>0</v>
      </c>
      <c r="Z33" s="1012">
        <f t="shared" si="10"/>
        <v>0</v>
      </c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</row>
    <row r="34" spans="1:42" ht="15.75" x14ac:dyDescent="0.25">
      <c r="A34" s="1008"/>
      <c r="B34" s="1008"/>
      <c r="C34" s="992"/>
      <c r="D34" s="992"/>
      <c r="E34" s="992"/>
      <c r="F34" s="992"/>
      <c r="G34" s="992"/>
      <c r="H34" s="992"/>
      <c r="I34" s="992"/>
      <c r="J34" s="992"/>
      <c r="K34" s="992"/>
      <c r="L34" s="992"/>
      <c r="M34" s="992"/>
      <c r="N34" s="992"/>
      <c r="O34" s="992"/>
      <c r="P34" s="992"/>
      <c r="Q34" s="992"/>
      <c r="R34" s="992"/>
      <c r="S34" s="1008"/>
      <c r="T34" s="1008"/>
      <c r="U34" s="1008"/>
      <c r="V34" s="1008"/>
      <c r="W34" s="1008"/>
      <c r="X34" s="1008"/>
      <c r="Y34" s="1008"/>
      <c r="Z34" s="1008"/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  <c r="AN34" s="952"/>
      <c r="AO34" s="952"/>
      <c r="AP34" s="952"/>
    </row>
    <row r="35" spans="1:42" ht="15.75" x14ac:dyDescent="0.25">
      <c r="A35" s="4548" t="s">
        <v>891</v>
      </c>
      <c r="B35" s="4548"/>
      <c r="C35" s="1007">
        <f>SUM('5.2. sz. mell.  '!F42)</f>
        <v>70534400</v>
      </c>
      <c r="D35" s="1007">
        <f>SUM('5.2. sz. mell.  '!G42)</f>
        <v>798600</v>
      </c>
      <c r="E35" s="1007">
        <f>SUM('5.2. sz. mell.  '!H42)</f>
        <v>71333000</v>
      </c>
      <c r="F35" s="1007">
        <f>SUM('5.2. sz. mell.  '!I42)</f>
        <v>-95367</v>
      </c>
      <c r="G35" s="1007">
        <f>SUM('5.2. sz. mell.  '!J42)</f>
        <v>71237633</v>
      </c>
      <c r="H35" s="1007">
        <f>SUM('5.2. sz. mell.  '!K42)</f>
        <v>0</v>
      </c>
      <c r="I35" s="1007">
        <f>SUM('5.2. sz. mell.  '!L42)</f>
        <v>71237633</v>
      </c>
      <c r="J35" s="1007">
        <f>SUM('5.2. sz. mell.  '!M42)</f>
        <v>71237633</v>
      </c>
      <c r="K35" s="992"/>
      <c r="L35" s="992"/>
      <c r="M35" s="4549" t="s">
        <v>896</v>
      </c>
      <c r="N35" s="4549"/>
      <c r="O35" s="4549"/>
      <c r="P35" s="4549"/>
      <c r="Q35" s="4549"/>
      <c r="R35" s="4549"/>
      <c r="S35" s="1007">
        <f>SUM('5.2. sz. mell.  '!F52)</f>
        <v>6178120</v>
      </c>
      <c r="T35" s="1007">
        <f>SUM('5.2. sz. mell.  '!G52)</f>
        <v>793309</v>
      </c>
      <c r="U35" s="1007">
        <f>SUM('5.2. sz. mell.  '!H52)</f>
        <v>6971429</v>
      </c>
      <c r="V35" s="1007">
        <f>SUM('5.2. sz. mell.  '!I52)</f>
        <v>-818767</v>
      </c>
      <c r="W35" s="1007">
        <f>SUM('5.2. sz. mell.  '!J52)</f>
        <v>6152662</v>
      </c>
      <c r="X35" s="1007">
        <f>SUM('5.2. sz. mell.  '!K52)</f>
        <v>0</v>
      </c>
      <c r="Y35" s="1007">
        <f>SUM('5.2. sz. mell.  '!L52)</f>
        <v>6152662</v>
      </c>
      <c r="Z35" s="1007">
        <f>SUM('5.2. sz. mell.  '!M52)</f>
        <v>6147247</v>
      </c>
      <c r="AA35" s="952"/>
      <c r="AB35" s="952"/>
      <c r="AC35" s="952"/>
      <c r="AD35" s="952"/>
      <c r="AE35" s="952"/>
      <c r="AF35" s="952"/>
      <c r="AG35" s="952"/>
      <c r="AH35" s="952"/>
      <c r="AI35" s="952"/>
      <c r="AJ35" s="952"/>
      <c r="AK35" s="952"/>
      <c r="AL35" s="952"/>
      <c r="AM35" s="952"/>
      <c r="AN35" s="952"/>
      <c r="AO35" s="952"/>
      <c r="AP35" s="952"/>
    </row>
    <row r="36" spans="1:42" ht="15.75" x14ac:dyDescent="0.25">
      <c r="A36" s="1006" t="s">
        <v>893</v>
      </c>
      <c r="B36" s="1008"/>
      <c r="C36" s="1011">
        <f>SUM(C35-C9)</f>
        <v>0</v>
      </c>
      <c r="D36" s="1011"/>
      <c r="E36" s="1011">
        <f>SUM(E35-E9)</f>
        <v>0</v>
      </c>
      <c r="F36" s="1011"/>
      <c r="G36" s="1011">
        <f>SUM(G35-G9)</f>
        <v>-95367</v>
      </c>
      <c r="H36" s="1011"/>
      <c r="I36" s="1011">
        <f>SUM(I35-I9)</f>
        <v>0</v>
      </c>
      <c r="J36" s="1011">
        <f>SUM(J35-J9)</f>
        <v>0</v>
      </c>
      <c r="K36" s="992"/>
      <c r="L36" s="992"/>
      <c r="M36" s="1006" t="s">
        <v>893</v>
      </c>
      <c r="N36" s="1006"/>
      <c r="O36" s="1006"/>
      <c r="P36" s="1006"/>
      <c r="Q36" s="1006"/>
      <c r="R36" s="992"/>
      <c r="S36" s="1012">
        <f>SUM(S35-C17)</f>
        <v>0</v>
      </c>
      <c r="T36" s="1012"/>
      <c r="U36" s="1012">
        <f>SUM(U35-E17)</f>
        <v>0</v>
      </c>
      <c r="V36" s="1012"/>
      <c r="W36" s="1012">
        <f>SUM(W35-G17)</f>
        <v>-991255</v>
      </c>
      <c r="X36" s="1012"/>
      <c r="Y36" s="1012">
        <f>SUM(Y35-I17)</f>
        <v>0</v>
      </c>
      <c r="Z36" s="1012">
        <f>SUM(Z35-J17)</f>
        <v>0</v>
      </c>
      <c r="AA36" s="952"/>
      <c r="AB36" s="952"/>
      <c r="AC36" s="952"/>
      <c r="AD36" s="952"/>
      <c r="AE36" s="952"/>
      <c r="AF36" s="952"/>
      <c r="AG36" s="952"/>
      <c r="AH36" s="952"/>
      <c r="AI36" s="952"/>
      <c r="AJ36" s="952"/>
      <c r="AK36" s="952"/>
      <c r="AL36" s="952"/>
      <c r="AM36" s="952"/>
      <c r="AN36" s="952"/>
      <c r="AO36" s="952"/>
      <c r="AP36" s="952"/>
    </row>
    <row r="37" spans="1:42" ht="15.75" x14ac:dyDescent="0.25">
      <c r="A37" s="1008"/>
      <c r="B37" s="1008"/>
      <c r="C37" s="992"/>
      <c r="D37" s="992"/>
      <c r="E37" s="992"/>
      <c r="F37" s="992"/>
      <c r="G37" s="992"/>
      <c r="H37" s="992"/>
      <c r="I37" s="992"/>
      <c r="J37" s="992"/>
      <c r="K37" s="992"/>
      <c r="L37" s="992"/>
      <c r="M37" s="992"/>
      <c r="N37" s="992"/>
      <c r="O37" s="992"/>
      <c r="P37" s="992"/>
      <c r="Q37" s="992"/>
      <c r="R37" s="992"/>
      <c r="S37" s="1008"/>
      <c r="T37" s="1008"/>
      <c r="U37" s="1008"/>
      <c r="V37" s="1008"/>
      <c r="W37" s="1008"/>
      <c r="X37" s="1008"/>
      <c r="Y37" s="1008"/>
      <c r="Z37" s="1008"/>
      <c r="AA37" s="952"/>
      <c r="AB37" s="952"/>
      <c r="AC37" s="952"/>
      <c r="AD37" s="952"/>
      <c r="AE37" s="952"/>
      <c r="AF37" s="952"/>
      <c r="AG37" s="952"/>
      <c r="AH37" s="952"/>
      <c r="AI37" s="952"/>
      <c r="AJ37" s="952"/>
      <c r="AK37" s="952"/>
      <c r="AL37" s="952"/>
      <c r="AM37" s="952"/>
      <c r="AN37" s="952"/>
      <c r="AO37" s="952"/>
      <c r="AP37" s="952"/>
    </row>
    <row r="38" spans="1:42" ht="15.75" x14ac:dyDescent="0.25">
      <c r="A38" s="4548" t="s">
        <v>890</v>
      </c>
      <c r="B38" s="4548"/>
      <c r="C38" s="1007">
        <f>SUM('5.2. sz. mell.  '!F43+'5.2. sz. mell.  '!F39)</f>
        <v>2694368</v>
      </c>
      <c r="D38" s="1007"/>
      <c r="E38" s="1007">
        <f>SUM('5.2. sz. mell.  '!H43+'5.2. sz. mell.  '!H39)</f>
        <v>3061077</v>
      </c>
      <c r="F38" s="1007">
        <f>SUM('5.2. sz. mell.  '!I43+'5.2. sz. mell.  '!I39)</f>
        <v>187663</v>
      </c>
      <c r="G38" s="1007">
        <f>SUM('5.2. sz. mell.  '!J43+'5.2. sz. mell.  '!J39)</f>
        <v>3248740</v>
      </c>
      <c r="H38" s="1007">
        <f>SUM('5.2. sz. mell.  '!K43+'5.2. sz. mell.  '!K39)</f>
        <v>0</v>
      </c>
      <c r="I38" s="1007">
        <f>SUM('5.2. sz. mell.  '!L43+'5.2. sz. mell.  '!L39)</f>
        <v>3248740</v>
      </c>
      <c r="J38" s="1007">
        <f>SUM('5.2. sz. mell.  '!M43+'5.2. sz. mell.  '!M39)</f>
        <v>3248740</v>
      </c>
      <c r="K38" s="992"/>
      <c r="L38" s="992"/>
      <c r="M38" s="4549" t="s">
        <v>897</v>
      </c>
      <c r="N38" s="4549"/>
      <c r="O38" s="4549"/>
      <c r="P38" s="4549"/>
      <c r="Q38" s="4549"/>
      <c r="R38" s="4549"/>
      <c r="S38" s="1010">
        <f>SUM('5.2. sz. mell.  '!F55)</f>
        <v>0</v>
      </c>
      <c r="T38" s="1010"/>
      <c r="U38" s="1010">
        <f>SUM('5.2. sz. mell.  '!J55)</f>
        <v>0</v>
      </c>
      <c r="V38" s="1010"/>
      <c r="W38" s="1010">
        <f>SUM('5.2. sz. mell.  '!L55)</f>
        <v>0</v>
      </c>
      <c r="X38" s="1010"/>
      <c r="Y38" s="1010">
        <f>SUM('5.2. sz. mell.  '!N55)</f>
        <v>0</v>
      </c>
      <c r="Z38" s="1010">
        <f>SUM('5.2. sz. mell.  '!M55)</f>
        <v>0</v>
      </c>
      <c r="AA38" s="952"/>
      <c r="AB38" s="952"/>
      <c r="AC38" s="952"/>
      <c r="AD38" s="952"/>
      <c r="AE38" s="952"/>
      <c r="AF38" s="952"/>
      <c r="AG38" s="952"/>
      <c r="AH38" s="952"/>
      <c r="AI38" s="952"/>
      <c r="AJ38" s="952"/>
      <c r="AK38" s="952"/>
      <c r="AL38" s="952"/>
      <c r="AM38" s="952"/>
      <c r="AN38" s="952"/>
      <c r="AO38" s="952"/>
      <c r="AP38" s="952"/>
    </row>
    <row r="39" spans="1:42" ht="15.75" x14ac:dyDescent="0.25">
      <c r="A39" s="1006" t="s">
        <v>893</v>
      </c>
      <c r="B39" s="1008"/>
      <c r="C39" s="1011">
        <f>SUM(C38-C10)</f>
        <v>0</v>
      </c>
      <c r="D39" s="1011"/>
      <c r="E39" s="1011">
        <f>SUM(E38-E10)</f>
        <v>0</v>
      </c>
      <c r="F39" s="1011"/>
      <c r="G39" s="1011">
        <f>SUM(G38-G10)</f>
        <v>-1410493</v>
      </c>
      <c r="H39" s="1011"/>
      <c r="I39" s="1011">
        <f>SUM(I38-I10)</f>
        <v>0</v>
      </c>
      <c r="J39" s="1011">
        <f>SUM(J38-J10)</f>
        <v>0</v>
      </c>
      <c r="K39" s="992"/>
      <c r="L39" s="992"/>
      <c r="M39" s="1006" t="s">
        <v>893</v>
      </c>
      <c r="N39" s="1006"/>
      <c r="O39" s="1006"/>
      <c r="P39" s="1006"/>
      <c r="Q39" s="1006"/>
      <c r="R39" s="992"/>
      <c r="S39" s="1012">
        <f>SUM(S38-C18)</f>
        <v>0</v>
      </c>
      <c r="T39" s="1012"/>
      <c r="U39" s="1012">
        <f>SUM(U38-E18)</f>
        <v>0</v>
      </c>
      <c r="V39" s="1012"/>
      <c r="W39" s="1012">
        <f>SUM(W38-G18)</f>
        <v>0</v>
      </c>
      <c r="X39" s="1012"/>
      <c r="Y39" s="1012">
        <f>SUM(Y38-I18)</f>
        <v>0</v>
      </c>
      <c r="Z39" s="1012">
        <f>SUM(Z38-J18)</f>
        <v>0</v>
      </c>
      <c r="AA39" s="952"/>
      <c r="AB39" s="952"/>
      <c r="AC39" s="952"/>
      <c r="AD39" s="952"/>
      <c r="AE39" s="952"/>
      <c r="AF39" s="952"/>
      <c r="AG39" s="952"/>
      <c r="AH39" s="952"/>
      <c r="AI39" s="952"/>
      <c r="AJ39" s="952"/>
      <c r="AK39" s="952"/>
      <c r="AL39" s="952"/>
      <c r="AM39" s="952"/>
      <c r="AN39" s="952"/>
      <c r="AO39" s="952"/>
      <c r="AP39" s="952"/>
    </row>
    <row r="40" spans="1:42" ht="15.75" x14ac:dyDescent="0.25">
      <c r="A40" s="992"/>
      <c r="B40" s="992"/>
      <c r="C40" s="992"/>
      <c r="D40" s="992"/>
      <c r="E40" s="992"/>
      <c r="F40" s="992"/>
      <c r="G40" s="992"/>
      <c r="H40" s="992"/>
      <c r="I40" s="992"/>
      <c r="J40" s="992"/>
      <c r="K40" s="992"/>
      <c r="L40" s="992"/>
      <c r="M40" s="992"/>
      <c r="N40" s="992"/>
      <c r="O40" s="992"/>
      <c r="P40" s="992"/>
      <c r="Q40" s="992"/>
      <c r="R40" s="992"/>
      <c r="S40" s="1008"/>
      <c r="T40" s="1008"/>
      <c r="U40" s="1008"/>
      <c r="V40" s="1008"/>
      <c r="W40" s="1008"/>
      <c r="X40" s="1008"/>
      <c r="Y40" s="1008"/>
      <c r="Z40" s="1008"/>
      <c r="AA40" s="952"/>
      <c r="AB40" s="952"/>
      <c r="AC40" s="952"/>
      <c r="AD40" s="952"/>
      <c r="AE40" s="952"/>
      <c r="AF40" s="952"/>
      <c r="AG40" s="952"/>
      <c r="AH40" s="952"/>
      <c r="AI40" s="952"/>
      <c r="AJ40" s="952"/>
      <c r="AK40" s="952"/>
      <c r="AL40" s="952"/>
      <c r="AM40" s="952"/>
      <c r="AN40" s="952"/>
      <c r="AO40" s="952"/>
      <c r="AP40" s="952"/>
    </row>
    <row r="41" spans="1:42" ht="15.75" x14ac:dyDescent="0.25">
      <c r="A41" s="952" t="s">
        <v>912</v>
      </c>
      <c r="B41" s="952"/>
      <c r="C41" s="1013">
        <f>SUM('5.2. sz. mell.  '!F19)</f>
        <v>0</v>
      </c>
      <c r="D41" s="1013"/>
      <c r="E41" s="1013">
        <f>SUM('5.2. sz. mell.  '!J19)</f>
        <v>0</v>
      </c>
      <c r="F41" s="1013"/>
      <c r="G41" s="1013">
        <f>SUM('5.2. sz. mell.  '!L19)</f>
        <v>0</v>
      </c>
      <c r="H41" s="1013"/>
      <c r="I41" s="1013">
        <f>SUM('5.2. sz. mell.  '!N19)</f>
        <v>0</v>
      </c>
      <c r="J41" s="1013">
        <f>SUM('5.2. sz. mell.  '!M19)</f>
        <v>0</v>
      </c>
      <c r="K41" s="992"/>
      <c r="L41" s="992"/>
      <c r="M41" s="4549" t="s">
        <v>898</v>
      </c>
      <c r="N41" s="4549"/>
      <c r="O41" s="4549"/>
      <c r="P41" s="4549"/>
      <c r="Q41" s="4549"/>
      <c r="R41" s="4549"/>
      <c r="S41" s="1010">
        <f>SUM('5.2. sz. mell.  '!F56)</f>
        <v>635000</v>
      </c>
      <c r="T41" s="1010">
        <f>SUM('5.2. sz. mell.  '!G56)</f>
        <v>372000</v>
      </c>
      <c r="U41" s="1010">
        <f>SUM('5.2. sz. mell.  '!H56)</f>
        <v>1007000</v>
      </c>
      <c r="V41" s="1010">
        <f>SUM('5.2. sz. mell.  '!I56)</f>
        <v>-225832</v>
      </c>
      <c r="W41" s="1010">
        <f>SUM('5.2. sz. mell.  '!J56)</f>
        <v>781168</v>
      </c>
      <c r="X41" s="1010">
        <f>SUM('5.2. sz. mell.  '!K56)</f>
        <v>0</v>
      </c>
      <c r="Y41" s="1010">
        <f>SUM('5.2. sz. mell.  '!L56)</f>
        <v>781168</v>
      </c>
      <c r="Z41" s="1010">
        <f>SUM('5.2. sz. mell.  '!M56)</f>
        <v>781168</v>
      </c>
      <c r="AA41" s="952"/>
      <c r="AB41" s="952"/>
      <c r="AC41" s="952"/>
      <c r="AD41" s="952"/>
      <c r="AE41" s="952"/>
      <c r="AF41" s="952"/>
      <c r="AG41" s="952"/>
      <c r="AH41" s="952"/>
      <c r="AI41" s="952"/>
      <c r="AJ41" s="952"/>
      <c r="AK41" s="952"/>
      <c r="AL41" s="952"/>
      <c r="AM41" s="952"/>
      <c r="AN41" s="952"/>
      <c r="AO41" s="952"/>
      <c r="AP41" s="952"/>
    </row>
    <row r="42" spans="1:42" ht="15.75" x14ac:dyDescent="0.25">
      <c r="A42" s="1006" t="s">
        <v>893</v>
      </c>
      <c r="B42" s="952"/>
      <c r="C42" s="1013">
        <f>SUM(C41-C11)</f>
        <v>0</v>
      </c>
      <c r="D42" s="1013"/>
      <c r="E42" s="1013">
        <f>SUM(E41-E11)</f>
        <v>0</v>
      </c>
      <c r="F42" s="1013"/>
      <c r="G42" s="1013">
        <f>SUM(G41-G11)</f>
        <v>0</v>
      </c>
      <c r="H42" s="1013"/>
      <c r="I42" s="1013">
        <f>SUM(I41-I11)</f>
        <v>0</v>
      </c>
      <c r="J42" s="1013">
        <f>SUM(J41-J11)</f>
        <v>0</v>
      </c>
      <c r="K42" s="992"/>
      <c r="L42" s="992"/>
      <c r="M42" s="1006" t="s">
        <v>893</v>
      </c>
      <c r="N42" s="1006"/>
      <c r="O42" s="1006"/>
      <c r="P42" s="1006"/>
      <c r="Q42" s="1006"/>
      <c r="R42" s="992"/>
      <c r="S42" s="1012">
        <f>SUM(S41-C19)</f>
        <v>0</v>
      </c>
      <c r="T42" s="1012">
        <f t="shared" ref="T42:Z42" si="11">SUM(T41-D19)</f>
        <v>372000</v>
      </c>
      <c r="U42" s="1012">
        <f t="shared" si="11"/>
        <v>0</v>
      </c>
      <c r="V42" s="1012">
        <f t="shared" si="11"/>
        <v>-225832</v>
      </c>
      <c r="W42" s="1012">
        <f t="shared" si="11"/>
        <v>-225832</v>
      </c>
      <c r="X42" s="1012">
        <f t="shared" si="11"/>
        <v>0</v>
      </c>
      <c r="Y42" s="1012">
        <f t="shared" si="11"/>
        <v>0</v>
      </c>
      <c r="Z42" s="1012">
        <f t="shared" si="11"/>
        <v>0</v>
      </c>
      <c r="AA42" s="952"/>
      <c r="AB42" s="952"/>
      <c r="AC42" s="952"/>
      <c r="AD42" s="952"/>
      <c r="AE42" s="952"/>
      <c r="AF42" s="952"/>
      <c r="AG42" s="952"/>
      <c r="AH42" s="952"/>
      <c r="AI42" s="952"/>
      <c r="AJ42" s="952"/>
      <c r="AK42" s="952"/>
      <c r="AL42" s="952"/>
      <c r="AM42" s="952"/>
      <c r="AN42" s="952"/>
      <c r="AO42" s="952"/>
      <c r="AP42" s="952"/>
    </row>
    <row r="43" spans="1:42" ht="16.5" thickBot="1" x14ac:dyDescent="0.3">
      <c r="A43" s="992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992"/>
      <c r="N43" s="992"/>
      <c r="O43" s="992"/>
      <c r="P43" s="992"/>
      <c r="Q43" s="992"/>
      <c r="R43" s="992"/>
      <c r="S43" s="1008"/>
      <c r="T43" s="1008"/>
      <c r="U43" s="1008"/>
      <c r="V43" s="1008"/>
      <c r="W43" s="1008"/>
      <c r="X43" s="1008"/>
      <c r="Y43" s="1008"/>
      <c r="Z43" s="1008"/>
      <c r="AA43" s="952"/>
      <c r="AB43" s="952"/>
      <c r="AC43" s="952"/>
      <c r="AD43" s="952"/>
      <c r="AE43" s="952"/>
      <c r="AF43" s="952"/>
      <c r="AG43" s="952"/>
      <c r="AH43" s="952"/>
      <c r="AI43" s="952"/>
      <c r="AJ43" s="952"/>
      <c r="AK43" s="952"/>
      <c r="AL43" s="952"/>
      <c r="AM43" s="952"/>
      <c r="AN43" s="952"/>
      <c r="AO43" s="952"/>
      <c r="AP43" s="952"/>
    </row>
    <row r="44" spans="1:42" ht="16.5" thickTop="1" x14ac:dyDescent="0.25">
      <c r="A44" s="4556" t="s">
        <v>889</v>
      </c>
      <c r="B44" s="4557"/>
      <c r="C44" s="1015">
        <f>SUM('5.2. sz. mell.  '!F44)</f>
        <v>73228768</v>
      </c>
      <c r="D44" s="1015"/>
      <c r="E44" s="1015">
        <f>SUM('5.2. sz. mell.  '!H44)</f>
        <v>74394077</v>
      </c>
      <c r="F44" s="1015">
        <f>SUM('5.2. sz. mell.  '!I44)</f>
        <v>104064</v>
      </c>
      <c r="G44" s="1015">
        <f>SUM('5.2. sz. mell.  '!J44)</f>
        <v>74498141</v>
      </c>
      <c r="H44" s="1015">
        <f>SUM('5.2. sz. mell.  '!K44)</f>
        <v>0</v>
      </c>
      <c r="I44" s="1015">
        <f>SUM('5.2. sz. mell.  '!L44)</f>
        <v>74498141</v>
      </c>
      <c r="J44" s="1015">
        <f>SUM('5.2. sz. mell.  '!M44)</f>
        <v>74498141</v>
      </c>
      <c r="K44" s="992"/>
      <c r="L44" s="992"/>
      <c r="M44" s="1014" t="s">
        <v>899</v>
      </c>
      <c r="N44" s="2214"/>
      <c r="O44" s="2214"/>
      <c r="P44" s="2214"/>
      <c r="Q44" s="1014"/>
      <c r="R44" s="1017"/>
      <c r="S44" s="1015">
        <f>SUM('5.2. sz. mell.  '!F63)</f>
        <v>73228768</v>
      </c>
      <c r="T44" s="1015"/>
      <c r="U44" s="1015">
        <f>SUM('5.2. sz. mell.  '!H63)</f>
        <v>74394077</v>
      </c>
      <c r="V44" s="1015">
        <f>SUM('5.2. sz. mell.  '!I63)</f>
        <v>104064</v>
      </c>
      <c r="W44" s="1015">
        <f>SUM('5.2. sz. mell.  '!J63)</f>
        <v>74498141</v>
      </c>
      <c r="X44" s="1015">
        <f>SUM('5.2. sz. mell.  '!K63)</f>
        <v>0</v>
      </c>
      <c r="Y44" s="1015">
        <f>SUM('5.2. sz. mell.  '!L63)</f>
        <v>74498141</v>
      </c>
      <c r="Z44" s="1015">
        <f>SUM('5.2. sz. mell.  '!M63)</f>
        <v>74460228</v>
      </c>
      <c r="AA44" s="952"/>
      <c r="AB44" s="952"/>
      <c r="AC44" s="952"/>
      <c r="AD44" s="952"/>
      <c r="AE44" s="952"/>
      <c r="AF44" s="952"/>
      <c r="AG44" s="952"/>
      <c r="AH44" s="952"/>
      <c r="AI44" s="952"/>
      <c r="AJ44" s="952"/>
      <c r="AK44" s="952"/>
      <c r="AL44" s="952"/>
      <c r="AM44" s="952"/>
      <c r="AN44" s="952"/>
      <c r="AO44" s="952"/>
      <c r="AP44" s="952"/>
    </row>
    <row r="45" spans="1:42" ht="16.5" thickBot="1" x14ac:dyDescent="0.3">
      <c r="A45" s="1020" t="s">
        <v>959</v>
      </c>
      <c r="B45" s="1021"/>
      <c r="C45" s="1022">
        <f>SUM(C44-C12)</f>
        <v>0</v>
      </c>
      <c r="D45" s="1022"/>
      <c r="E45" s="1022">
        <f>SUM(E44-E12)</f>
        <v>0</v>
      </c>
      <c r="F45" s="1022"/>
      <c r="G45" s="1022">
        <f>SUM(G44-G12)</f>
        <v>-1494092</v>
      </c>
      <c r="H45" s="1022"/>
      <c r="I45" s="1022">
        <f>SUM(I44-I12)</f>
        <v>0</v>
      </c>
      <c r="J45" s="1023">
        <f>SUM(J44-J12)</f>
        <v>0</v>
      </c>
      <c r="K45" s="992"/>
      <c r="L45" s="992"/>
      <c r="M45" s="1020" t="s">
        <v>893</v>
      </c>
      <c r="N45" s="2222"/>
      <c r="O45" s="2222"/>
      <c r="P45" s="2222"/>
      <c r="Q45" s="1020"/>
      <c r="R45" s="1024"/>
      <c r="S45" s="1025">
        <f>SUM(S44-C21)</f>
        <v>0</v>
      </c>
      <c r="T45" s="1025"/>
      <c r="U45" s="1025">
        <f>SUM(U44-E21)</f>
        <v>0</v>
      </c>
      <c r="V45" s="1025"/>
      <c r="W45" s="1025">
        <f>SUM(W44-G21)</f>
        <v>-1494092</v>
      </c>
      <c r="X45" s="1025"/>
      <c r="Y45" s="1025">
        <f>SUM(Y44-I21)</f>
        <v>0</v>
      </c>
      <c r="Z45" s="1026">
        <f>SUM(Z44-J21)</f>
        <v>0</v>
      </c>
      <c r="AA45" s="952"/>
      <c r="AB45" s="952"/>
      <c r="AC45" s="952"/>
      <c r="AD45" s="952"/>
      <c r="AE45" s="952"/>
      <c r="AF45" s="952"/>
      <c r="AG45" s="952"/>
      <c r="AH45" s="952"/>
      <c r="AI45" s="952"/>
      <c r="AJ45" s="952"/>
      <c r="AK45" s="952"/>
      <c r="AL45" s="952"/>
      <c r="AM45" s="952"/>
      <c r="AN45" s="952"/>
      <c r="AO45" s="952"/>
      <c r="AP45" s="952"/>
    </row>
    <row r="46" spans="1:42" ht="15.75" thickTop="1" x14ac:dyDescent="0.25">
      <c r="A46" s="992"/>
      <c r="B46" s="992"/>
      <c r="C46" s="992"/>
      <c r="D46" s="992"/>
      <c r="E46" s="992"/>
      <c r="F46" s="992"/>
      <c r="G46" s="992"/>
      <c r="H46" s="992"/>
      <c r="I46" s="992"/>
      <c r="J46" s="992"/>
      <c r="K46" s="992"/>
      <c r="L46" s="992"/>
      <c r="M46" s="992"/>
      <c r="N46" s="992"/>
      <c r="O46" s="992"/>
      <c r="P46" s="992"/>
      <c r="Q46" s="992"/>
      <c r="R46" s="992"/>
      <c r="S46" s="992"/>
      <c r="T46" s="992"/>
      <c r="U46" s="992"/>
      <c r="V46" s="992"/>
      <c r="W46" s="992"/>
      <c r="X46" s="992"/>
      <c r="Y46" s="992"/>
      <c r="Z46" s="952"/>
      <c r="AA46" s="952"/>
      <c r="AB46" s="952"/>
      <c r="AC46" s="952"/>
      <c r="AD46" s="952"/>
      <c r="AE46" s="952"/>
      <c r="AF46" s="952"/>
      <c r="AG46" s="952"/>
      <c r="AH46" s="952"/>
      <c r="AI46" s="952"/>
      <c r="AJ46" s="952"/>
      <c r="AK46" s="952"/>
      <c r="AL46" s="952"/>
      <c r="AM46" s="952"/>
      <c r="AN46" s="952"/>
      <c r="AO46" s="952"/>
      <c r="AP46" s="952"/>
    </row>
    <row r="47" spans="1:42" x14ac:dyDescent="0.25">
      <c r="A47" s="992"/>
      <c r="B47" s="992"/>
      <c r="C47" s="992"/>
      <c r="D47" s="992"/>
      <c r="E47" s="992"/>
      <c r="F47" s="992"/>
      <c r="G47" s="992"/>
      <c r="H47" s="992"/>
      <c r="I47" s="992"/>
      <c r="J47" s="992"/>
      <c r="K47" s="992"/>
      <c r="L47" s="992"/>
      <c r="M47" s="992"/>
      <c r="N47" s="992"/>
      <c r="O47" s="992"/>
      <c r="P47" s="992"/>
      <c r="Q47" s="992"/>
      <c r="R47" s="992"/>
      <c r="S47" s="992"/>
      <c r="T47" s="992"/>
      <c r="U47" s="992"/>
      <c r="V47" s="992"/>
      <c r="W47" s="992"/>
      <c r="X47" s="992"/>
      <c r="Y47" s="992"/>
      <c r="Z47" s="952"/>
      <c r="AA47" s="952"/>
      <c r="AB47" s="952"/>
      <c r="AC47" s="952"/>
      <c r="AD47" s="952"/>
      <c r="AE47" s="952"/>
      <c r="AF47" s="952"/>
      <c r="AG47" s="952"/>
      <c r="AH47" s="952"/>
      <c r="AI47" s="952"/>
      <c r="AJ47" s="952"/>
      <c r="AK47" s="952"/>
      <c r="AL47" s="952"/>
      <c r="AM47" s="952"/>
      <c r="AN47" s="952"/>
      <c r="AO47" s="952"/>
      <c r="AP47" s="952"/>
    </row>
    <row r="48" spans="1:42" x14ac:dyDescent="0.25">
      <c r="A48" s="992"/>
      <c r="B48" s="992"/>
      <c r="C48" s="992"/>
      <c r="D48" s="992"/>
      <c r="E48" s="992"/>
      <c r="F48" s="992"/>
      <c r="G48" s="992"/>
      <c r="H48" s="992"/>
      <c r="I48" s="992"/>
      <c r="J48" s="992"/>
      <c r="K48" s="992"/>
      <c r="L48" s="992"/>
      <c r="M48" s="992"/>
      <c r="N48" s="992"/>
      <c r="O48" s="992"/>
      <c r="P48" s="992"/>
      <c r="Q48" s="992"/>
      <c r="R48" s="992"/>
      <c r="S48" s="992"/>
      <c r="T48" s="992"/>
      <c r="U48" s="992"/>
      <c r="V48" s="992"/>
      <c r="W48" s="992"/>
      <c r="X48" s="992"/>
      <c r="Y48" s="992"/>
      <c r="Z48" s="952"/>
      <c r="AA48" s="952"/>
      <c r="AB48" s="952"/>
      <c r="AC48" s="952"/>
      <c r="AD48" s="952"/>
      <c r="AE48" s="952"/>
      <c r="AF48" s="952"/>
      <c r="AG48" s="952"/>
      <c r="AH48" s="952"/>
      <c r="AI48" s="952"/>
      <c r="AJ48" s="952"/>
      <c r="AK48" s="952"/>
      <c r="AL48" s="952"/>
      <c r="AM48" s="952"/>
      <c r="AN48" s="952"/>
      <c r="AO48" s="952"/>
      <c r="AP48" s="952"/>
    </row>
    <row r="49" spans="1:42" x14ac:dyDescent="0.25">
      <c r="A49" s="992"/>
      <c r="B49" s="992"/>
      <c r="C49" s="992"/>
      <c r="D49" s="992"/>
      <c r="E49" s="992"/>
      <c r="F49" s="992"/>
      <c r="G49" s="992"/>
      <c r="H49" s="992"/>
      <c r="I49" s="992"/>
      <c r="J49" s="992"/>
      <c r="K49" s="992"/>
      <c r="L49" s="992"/>
      <c r="M49" s="992"/>
      <c r="N49" s="992"/>
      <c r="O49" s="992"/>
      <c r="P49" s="992"/>
      <c r="Q49" s="992"/>
      <c r="R49" s="992"/>
      <c r="S49" s="992"/>
      <c r="T49" s="992"/>
      <c r="U49" s="992"/>
      <c r="V49" s="992"/>
      <c r="W49" s="992"/>
      <c r="X49" s="992"/>
      <c r="Y49" s="992"/>
      <c r="Z49" s="952"/>
      <c r="AA49" s="952"/>
      <c r="AB49" s="952"/>
      <c r="AC49" s="952"/>
      <c r="AD49" s="952"/>
      <c r="AE49" s="952"/>
      <c r="AF49" s="952"/>
      <c r="AG49" s="952"/>
      <c r="AH49" s="952"/>
      <c r="AI49" s="952"/>
      <c r="AJ49" s="952"/>
      <c r="AK49" s="952"/>
      <c r="AL49" s="952"/>
      <c r="AM49" s="952"/>
      <c r="AN49" s="952"/>
      <c r="AO49" s="952"/>
      <c r="AP49" s="952"/>
    </row>
    <row r="50" spans="1:42" x14ac:dyDescent="0.25">
      <c r="A50" s="992"/>
      <c r="B50" s="992"/>
      <c r="C50" s="992"/>
      <c r="D50" s="992"/>
      <c r="E50" s="992"/>
      <c r="F50" s="992"/>
      <c r="G50" s="992"/>
      <c r="H50" s="992"/>
      <c r="I50" s="992"/>
      <c r="J50" s="992"/>
      <c r="K50" s="992"/>
      <c r="L50" s="992"/>
      <c r="M50" s="992"/>
      <c r="N50" s="992"/>
      <c r="O50" s="992"/>
      <c r="P50" s="992"/>
      <c r="Q50" s="992"/>
      <c r="R50" s="992"/>
      <c r="S50" s="992"/>
      <c r="T50" s="992"/>
      <c r="U50" s="992"/>
      <c r="V50" s="992"/>
      <c r="W50" s="992"/>
      <c r="X50" s="992"/>
      <c r="Y50" s="992"/>
      <c r="Z50" s="952"/>
      <c r="AA50" s="952"/>
      <c r="AB50" s="952"/>
      <c r="AC50" s="952"/>
      <c r="AD50" s="952"/>
      <c r="AE50" s="952"/>
      <c r="AF50" s="952"/>
      <c r="AG50" s="952"/>
      <c r="AH50" s="952"/>
      <c r="AI50" s="952"/>
      <c r="AJ50" s="952"/>
      <c r="AK50" s="952"/>
      <c r="AL50" s="952"/>
      <c r="AM50" s="952"/>
      <c r="AN50" s="952"/>
      <c r="AO50" s="952"/>
      <c r="AP50" s="952"/>
    </row>
    <row r="51" spans="1:42" x14ac:dyDescent="0.25">
      <c r="A51" s="992"/>
      <c r="B51" s="992"/>
      <c r="C51" s="992"/>
      <c r="D51" s="992"/>
      <c r="E51" s="992"/>
      <c r="F51" s="992"/>
      <c r="G51" s="992"/>
      <c r="H51" s="992"/>
      <c r="I51" s="992"/>
      <c r="J51" s="992"/>
      <c r="K51" s="992"/>
      <c r="L51" s="992"/>
      <c r="M51" s="992"/>
      <c r="N51" s="992"/>
      <c r="O51" s="992"/>
      <c r="P51" s="992"/>
      <c r="Q51" s="992"/>
      <c r="R51" s="992"/>
      <c r="S51" s="992"/>
      <c r="T51" s="992"/>
      <c r="U51" s="992"/>
      <c r="V51" s="992"/>
      <c r="W51" s="992"/>
      <c r="X51" s="992"/>
      <c r="Y51" s="992"/>
      <c r="Z51" s="952"/>
      <c r="AA51" s="952"/>
      <c r="AB51" s="952"/>
      <c r="AC51" s="952"/>
      <c r="AD51" s="952"/>
      <c r="AE51" s="952"/>
      <c r="AF51" s="952"/>
      <c r="AG51" s="952"/>
      <c r="AH51" s="952"/>
      <c r="AI51" s="952"/>
      <c r="AJ51" s="952"/>
      <c r="AK51" s="952"/>
      <c r="AL51" s="952"/>
      <c r="AM51" s="952"/>
      <c r="AN51" s="952"/>
      <c r="AO51" s="952"/>
      <c r="AP51" s="952"/>
    </row>
    <row r="52" spans="1:42" x14ac:dyDescent="0.25">
      <c r="A52" s="992"/>
      <c r="B52" s="992"/>
      <c r="C52" s="992"/>
      <c r="D52" s="992"/>
      <c r="E52" s="992"/>
      <c r="F52" s="992"/>
      <c r="G52" s="992"/>
      <c r="H52" s="992"/>
      <c r="I52" s="992"/>
      <c r="J52" s="992"/>
      <c r="K52" s="992"/>
      <c r="L52" s="992"/>
      <c r="M52" s="992"/>
      <c r="N52" s="992"/>
      <c r="O52" s="992"/>
      <c r="P52" s="992"/>
      <c r="Q52" s="992"/>
      <c r="R52" s="992"/>
      <c r="S52" s="992"/>
      <c r="T52" s="992"/>
      <c r="U52" s="992"/>
      <c r="V52" s="992"/>
      <c r="W52" s="992"/>
      <c r="X52" s="992"/>
      <c r="Y52" s="992"/>
      <c r="Z52" s="952"/>
      <c r="AA52" s="952"/>
      <c r="AB52" s="952"/>
      <c r="AC52" s="952"/>
      <c r="AD52" s="952"/>
      <c r="AE52" s="952"/>
      <c r="AF52" s="952"/>
      <c r="AG52" s="952"/>
      <c r="AH52" s="952"/>
      <c r="AI52" s="952"/>
      <c r="AJ52" s="952"/>
      <c r="AK52" s="952"/>
      <c r="AL52" s="952"/>
      <c r="AM52" s="952"/>
      <c r="AN52" s="952"/>
      <c r="AO52" s="952"/>
      <c r="AP52" s="952"/>
    </row>
    <row r="53" spans="1:42" x14ac:dyDescent="0.25">
      <c r="A53" s="992"/>
      <c r="B53" s="992"/>
      <c r="C53" s="992"/>
      <c r="D53" s="992"/>
      <c r="E53" s="992"/>
      <c r="F53" s="992"/>
      <c r="G53" s="992"/>
      <c r="H53" s="992"/>
      <c r="I53" s="992"/>
      <c r="J53" s="992"/>
      <c r="K53" s="992"/>
      <c r="L53" s="992"/>
      <c r="M53" s="992"/>
      <c r="N53" s="992"/>
      <c r="O53" s="992"/>
      <c r="P53" s="992"/>
      <c r="Q53" s="992"/>
      <c r="R53" s="992"/>
      <c r="S53" s="992"/>
      <c r="T53" s="992"/>
      <c r="U53" s="992"/>
      <c r="V53" s="992"/>
      <c r="W53" s="992"/>
      <c r="X53" s="992"/>
      <c r="Y53" s="992"/>
      <c r="Z53" s="952"/>
      <c r="AA53" s="952"/>
      <c r="AB53" s="952"/>
      <c r="AC53" s="952"/>
      <c r="AD53" s="952"/>
      <c r="AE53" s="952"/>
      <c r="AF53" s="952"/>
      <c r="AG53" s="952"/>
      <c r="AH53" s="952"/>
      <c r="AI53" s="952"/>
      <c r="AJ53" s="952"/>
      <c r="AK53" s="952"/>
      <c r="AL53" s="952"/>
      <c r="AM53" s="952"/>
      <c r="AN53" s="952"/>
      <c r="AO53" s="952"/>
      <c r="AP53" s="952"/>
    </row>
    <row r="54" spans="1:42" x14ac:dyDescent="0.25">
      <c r="A54" s="992"/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992"/>
      <c r="M54" s="992"/>
      <c r="N54" s="992"/>
      <c r="O54" s="992"/>
      <c r="P54" s="992"/>
      <c r="Q54" s="992"/>
      <c r="R54" s="992"/>
      <c r="S54" s="992"/>
      <c r="T54" s="992"/>
      <c r="U54" s="992"/>
      <c r="V54" s="992"/>
      <c r="W54" s="992"/>
      <c r="X54" s="992"/>
      <c r="Y54" s="992"/>
      <c r="Z54" s="952"/>
      <c r="AA54" s="952"/>
      <c r="AB54" s="952"/>
      <c r="AC54" s="952"/>
      <c r="AD54" s="952"/>
      <c r="AE54" s="952"/>
      <c r="AF54" s="952"/>
      <c r="AG54" s="952"/>
      <c r="AH54" s="952"/>
      <c r="AI54" s="952"/>
      <c r="AJ54" s="952"/>
      <c r="AK54" s="952"/>
      <c r="AL54" s="952"/>
      <c r="AM54" s="952"/>
      <c r="AN54" s="952"/>
      <c r="AO54" s="952"/>
      <c r="AP54" s="952"/>
    </row>
    <row r="55" spans="1:42" x14ac:dyDescent="0.25">
      <c r="A55" s="992"/>
      <c r="B55" s="992"/>
      <c r="C55" s="992"/>
      <c r="D55" s="992"/>
      <c r="E55" s="992"/>
      <c r="F55" s="992"/>
      <c r="G55" s="992"/>
      <c r="H55" s="992"/>
      <c r="I55" s="992"/>
      <c r="J55" s="992"/>
      <c r="K55" s="992"/>
      <c r="L55" s="992"/>
      <c r="M55" s="992"/>
      <c r="N55" s="992"/>
      <c r="O55" s="992"/>
      <c r="P55" s="992"/>
      <c r="Q55" s="992"/>
      <c r="R55" s="992"/>
      <c r="S55" s="992"/>
      <c r="T55" s="992"/>
      <c r="U55" s="992"/>
      <c r="V55" s="992"/>
      <c r="W55" s="992"/>
      <c r="X55" s="992"/>
      <c r="Y55" s="992"/>
      <c r="Z55" s="952"/>
      <c r="AA55" s="952"/>
      <c r="AB55" s="952"/>
      <c r="AC55" s="952"/>
      <c r="AD55" s="952"/>
      <c r="AE55" s="952"/>
      <c r="AF55" s="952"/>
      <c r="AG55" s="952"/>
      <c r="AH55" s="952"/>
      <c r="AI55" s="952"/>
      <c r="AJ55" s="952"/>
      <c r="AK55" s="952"/>
      <c r="AL55" s="952"/>
      <c r="AM55" s="952"/>
      <c r="AN55" s="952"/>
      <c r="AO55" s="952"/>
      <c r="AP55" s="952"/>
    </row>
    <row r="56" spans="1:42" x14ac:dyDescent="0.25">
      <c r="A56" s="992"/>
      <c r="B56" s="992"/>
      <c r="C56" s="992"/>
      <c r="D56" s="992"/>
      <c r="E56" s="992"/>
      <c r="F56" s="992"/>
      <c r="G56" s="992"/>
      <c r="H56" s="992"/>
      <c r="I56" s="992"/>
      <c r="J56" s="992"/>
      <c r="K56" s="992"/>
      <c r="L56" s="992"/>
      <c r="M56" s="992"/>
      <c r="N56" s="992"/>
      <c r="O56" s="992"/>
      <c r="P56" s="992"/>
      <c r="Q56" s="992"/>
      <c r="R56" s="992"/>
      <c r="S56" s="992"/>
      <c r="T56" s="992"/>
      <c r="U56" s="992"/>
      <c r="V56" s="992"/>
      <c r="W56" s="992"/>
      <c r="X56" s="992"/>
      <c r="Y56" s="992"/>
      <c r="Z56" s="952"/>
      <c r="AA56" s="952"/>
      <c r="AB56" s="952"/>
      <c r="AC56" s="952"/>
      <c r="AD56" s="952"/>
      <c r="AE56" s="952"/>
      <c r="AF56" s="952"/>
      <c r="AG56" s="952"/>
      <c r="AH56" s="952"/>
      <c r="AI56" s="952"/>
      <c r="AJ56" s="952"/>
      <c r="AK56" s="952"/>
      <c r="AL56" s="952"/>
      <c r="AM56" s="952"/>
      <c r="AN56" s="952"/>
      <c r="AO56" s="952"/>
      <c r="AP56" s="952"/>
    </row>
    <row r="57" spans="1:42" x14ac:dyDescent="0.25">
      <c r="A57" s="992"/>
      <c r="B57" s="992"/>
      <c r="C57" s="992"/>
      <c r="D57" s="992"/>
      <c r="E57" s="992"/>
      <c r="F57" s="992"/>
      <c r="G57" s="992"/>
      <c r="H57" s="992"/>
      <c r="I57" s="992"/>
      <c r="J57" s="992"/>
      <c r="K57" s="992"/>
      <c r="L57" s="992"/>
      <c r="M57" s="992"/>
      <c r="N57" s="992"/>
      <c r="O57" s="992"/>
      <c r="P57" s="992"/>
      <c r="Q57" s="992"/>
      <c r="R57" s="992"/>
      <c r="S57" s="992"/>
      <c r="T57" s="992"/>
      <c r="U57" s="992"/>
      <c r="V57" s="992"/>
      <c r="W57" s="992"/>
      <c r="X57" s="992"/>
      <c r="Y57" s="992"/>
      <c r="Z57" s="952"/>
      <c r="AA57" s="952"/>
      <c r="AB57" s="952"/>
      <c r="AC57" s="952"/>
      <c r="AD57" s="952"/>
      <c r="AE57" s="952"/>
      <c r="AF57" s="952"/>
      <c r="AG57" s="952"/>
      <c r="AH57" s="952"/>
      <c r="AI57" s="952"/>
      <c r="AJ57" s="952"/>
      <c r="AK57" s="952"/>
      <c r="AL57" s="952"/>
      <c r="AM57" s="952"/>
      <c r="AN57" s="952"/>
      <c r="AO57" s="952"/>
      <c r="AP57" s="952"/>
    </row>
    <row r="58" spans="1:42" x14ac:dyDescent="0.25">
      <c r="A58" s="992"/>
      <c r="B58" s="992"/>
      <c r="C58" s="992"/>
      <c r="D58" s="992"/>
      <c r="E58" s="992"/>
      <c r="F58" s="992"/>
      <c r="G58" s="992"/>
      <c r="H58" s="992"/>
      <c r="I58" s="992"/>
      <c r="J58" s="992"/>
      <c r="K58" s="992"/>
      <c r="L58" s="992"/>
      <c r="M58" s="992"/>
      <c r="N58" s="992"/>
      <c r="O58" s="992"/>
      <c r="P58" s="992"/>
      <c r="Q58" s="992"/>
      <c r="R58" s="992"/>
      <c r="S58" s="992"/>
      <c r="T58" s="992"/>
      <c r="U58" s="992"/>
      <c r="V58" s="992"/>
      <c r="W58" s="992"/>
      <c r="X58" s="992"/>
      <c r="Y58" s="992"/>
      <c r="Z58" s="952"/>
      <c r="AA58" s="952"/>
      <c r="AB58" s="952"/>
      <c r="AC58" s="952"/>
      <c r="AD58" s="952"/>
      <c r="AE58" s="952"/>
      <c r="AF58" s="952"/>
      <c r="AG58" s="952"/>
      <c r="AH58" s="952"/>
      <c r="AI58" s="952"/>
      <c r="AJ58" s="952"/>
      <c r="AK58" s="952"/>
      <c r="AL58" s="952"/>
      <c r="AM58" s="952"/>
      <c r="AN58" s="952"/>
      <c r="AO58" s="952"/>
      <c r="AP58" s="952"/>
    </row>
    <row r="59" spans="1:42" x14ac:dyDescent="0.25">
      <c r="A59" s="992"/>
      <c r="B59" s="992"/>
      <c r="C59" s="992"/>
      <c r="D59" s="992"/>
      <c r="E59" s="992"/>
      <c r="F59" s="992"/>
      <c r="G59" s="992"/>
      <c r="H59" s="992"/>
      <c r="I59" s="992"/>
      <c r="J59" s="992"/>
      <c r="K59" s="992"/>
      <c r="L59" s="992"/>
      <c r="M59" s="992"/>
      <c r="N59" s="992"/>
      <c r="O59" s="992"/>
      <c r="P59" s="992"/>
      <c r="Q59" s="992"/>
      <c r="R59" s="992"/>
      <c r="S59" s="992"/>
      <c r="T59" s="992"/>
      <c r="U59" s="992"/>
      <c r="V59" s="992"/>
      <c r="W59" s="992"/>
      <c r="X59" s="992"/>
      <c r="Y59" s="992"/>
      <c r="Z59" s="952"/>
      <c r="AA59" s="952"/>
      <c r="AB59" s="952"/>
      <c r="AC59" s="952"/>
      <c r="AD59" s="952"/>
      <c r="AE59" s="952"/>
      <c r="AF59" s="952"/>
      <c r="AG59" s="952"/>
      <c r="AH59" s="952"/>
      <c r="AI59" s="952"/>
      <c r="AJ59" s="952"/>
      <c r="AK59" s="952"/>
      <c r="AL59" s="952"/>
      <c r="AM59" s="952"/>
      <c r="AN59" s="952"/>
      <c r="AO59" s="952"/>
      <c r="AP59" s="952"/>
    </row>
  </sheetData>
  <mergeCells count="33">
    <mergeCell ref="A1:AP1"/>
    <mergeCell ref="A2:AP2"/>
    <mergeCell ref="A44:B44"/>
    <mergeCell ref="A11:B11"/>
    <mergeCell ref="A21:B21"/>
    <mergeCell ref="A27:B27"/>
    <mergeCell ref="A14:AP14"/>
    <mergeCell ref="A29:B29"/>
    <mergeCell ref="A19:B19"/>
    <mergeCell ref="A16:B16"/>
    <mergeCell ref="M38:R38"/>
    <mergeCell ref="M29:R29"/>
    <mergeCell ref="M32:R32"/>
    <mergeCell ref="A38:B38"/>
    <mergeCell ref="M35:R35"/>
    <mergeCell ref="A32:B32"/>
    <mergeCell ref="AI5:AP5"/>
    <mergeCell ref="A4:AP4"/>
    <mergeCell ref="K5:R5"/>
    <mergeCell ref="C5:J5"/>
    <mergeCell ref="A7:B7"/>
    <mergeCell ref="A5:B6"/>
    <mergeCell ref="M41:R41"/>
    <mergeCell ref="A18:B18"/>
    <mergeCell ref="S5:Z5"/>
    <mergeCell ref="A15:B15"/>
    <mergeCell ref="AA5:AH5"/>
    <mergeCell ref="A35:B35"/>
    <mergeCell ref="A17:B17"/>
    <mergeCell ref="A8:B8"/>
    <mergeCell ref="A12:B12"/>
    <mergeCell ref="A10:B10"/>
    <mergeCell ref="A9:B9"/>
  </mergeCells>
  <printOptions horizontalCentered="1"/>
  <pageMargins left="0.23622047244094491" right="0.19685039370078741" top="0.59055118110236227" bottom="0.74803149606299213" header="0.31496062992125984" footer="0.31496062992125984"/>
  <pageSetup paperSize="9" scale="70" firstPageNumber="53" orientation="landscape" useFirstPageNumber="1" r:id="rId1"/>
  <headerFooter>
    <oddHeader>&amp;R&amp;12 5.2.d. számú melléklet
Forint</oddHeader>
    <oddFooter xml:space="preserve">&amp;C&amp;12- &amp;P -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L65"/>
  <sheetViews>
    <sheetView view="pageBreakPreview" topLeftCell="A54" zoomScale="90" zoomScaleNormal="50" zoomScaleSheetLayoutView="90" workbookViewId="0">
      <pane xSplit="2" topLeftCell="C1" activePane="topRight" state="frozen"/>
      <selection pane="topRight" activeCell="J69" sqref="J69"/>
    </sheetView>
  </sheetViews>
  <sheetFormatPr defaultColWidth="9.33203125" defaultRowHeight="15" x14ac:dyDescent="0.2"/>
  <cols>
    <col min="1" max="1" width="62.83203125" style="2462" customWidth="1"/>
    <col min="2" max="2" width="22.83203125" style="2462" hidden="1" customWidth="1"/>
    <col min="3" max="3" width="17" style="2469" customWidth="1"/>
    <col min="4" max="4" width="22.83203125" style="2469" hidden="1" customWidth="1"/>
    <col min="5" max="5" width="16.6640625" style="2469" hidden="1" customWidth="1"/>
    <col min="6" max="6" width="18.1640625" style="2469" hidden="1" customWidth="1"/>
    <col min="7" max="7" width="15.83203125" style="2469" hidden="1" customWidth="1"/>
    <col min="8" max="8" width="13" style="2469" hidden="1" customWidth="1"/>
    <col min="9" max="10" width="17" style="2469" customWidth="1"/>
    <col min="11" max="11" width="16.5" style="2462" customWidth="1"/>
    <col min="12" max="12" width="22.83203125" style="2462" hidden="1" customWidth="1"/>
    <col min="13" max="13" width="15.1640625" style="2462" hidden="1" customWidth="1"/>
    <col min="14" max="14" width="20.83203125" style="2462" hidden="1" customWidth="1"/>
    <col min="15" max="15" width="17.1640625" style="2462" hidden="1" customWidth="1"/>
    <col min="16" max="16" width="20.83203125" style="2462" hidden="1" customWidth="1"/>
    <col min="17" max="18" width="20.83203125" style="2462" customWidth="1"/>
    <col min="19" max="19" width="15.6640625" style="2462" customWidth="1"/>
    <col min="20" max="20" width="22.83203125" style="2462" hidden="1" customWidth="1"/>
    <col min="21" max="21" width="13.33203125" style="2462" hidden="1" customWidth="1"/>
    <col min="22" max="22" width="0.83203125" style="2462" hidden="1" customWidth="1"/>
    <col min="23" max="23" width="14.33203125" style="2462" hidden="1" customWidth="1"/>
    <col min="24" max="24" width="18.6640625" style="2462" hidden="1" customWidth="1"/>
    <col min="25" max="26" width="18.6640625" style="2462" customWidth="1"/>
    <col min="27" max="27" width="12.33203125" style="2462" customWidth="1"/>
    <col min="28" max="28" width="22.83203125" style="2462" hidden="1" customWidth="1"/>
    <col min="29" max="29" width="13" style="2462" hidden="1" customWidth="1"/>
    <col min="30" max="30" width="16.1640625" style="2462" hidden="1" customWidth="1"/>
    <col min="31" max="31" width="11.83203125" style="2462" hidden="1" customWidth="1"/>
    <col min="32" max="32" width="16.1640625" style="2462" hidden="1" customWidth="1"/>
    <col min="33" max="34" width="16.1640625" style="2462" customWidth="1"/>
    <col min="35" max="35" width="14.6640625" style="3032" customWidth="1"/>
    <col min="36" max="36" width="22.83203125" style="3032" hidden="1" customWidth="1"/>
    <col min="37" max="37" width="14.5" style="3032" hidden="1" customWidth="1"/>
    <col min="38" max="38" width="18.6640625" style="3032" hidden="1" customWidth="1"/>
    <col min="39" max="39" width="15.33203125" style="3032" hidden="1" customWidth="1"/>
    <col min="40" max="40" width="18.6640625" style="3032" hidden="1" customWidth="1"/>
    <col min="41" max="41" width="17.33203125" style="3542" customWidth="1"/>
    <col min="42" max="42" width="15.6640625" style="3542" customWidth="1"/>
    <col min="43" max="43" width="13.83203125" style="2462" customWidth="1"/>
    <col min="44" max="44" width="22.83203125" style="2462" hidden="1" customWidth="1"/>
    <col min="45" max="45" width="12.1640625" style="2462" hidden="1" customWidth="1"/>
    <col min="46" max="48" width="16.83203125" style="2462" hidden="1" customWidth="1"/>
    <col min="49" max="50" width="16.83203125" style="2462" customWidth="1"/>
    <col min="51" max="51" width="11.5" style="2462" customWidth="1"/>
    <col min="52" max="52" width="22.83203125" style="2462" hidden="1" customWidth="1"/>
    <col min="53" max="53" width="14" style="2462" hidden="1" customWidth="1"/>
    <col min="54" max="54" width="16" style="2462" hidden="1" customWidth="1"/>
    <col min="55" max="55" width="11.33203125" style="2462" hidden="1" customWidth="1"/>
    <col min="56" max="56" width="16" style="2462" hidden="1" customWidth="1"/>
    <col min="57" max="57" width="16" style="2462" customWidth="1"/>
    <col min="58" max="58" width="13.6640625" style="2462" customWidth="1"/>
    <col min="59" max="59" width="11.6640625" style="2462" customWidth="1"/>
    <col min="60" max="60" width="22.83203125" style="2462" hidden="1" customWidth="1"/>
    <col min="61" max="61" width="13.83203125" style="2462" hidden="1" customWidth="1"/>
    <col min="62" max="62" width="16" style="2462" hidden="1" customWidth="1"/>
    <col min="63" max="63" width="12.83203125" style="2462" hidden="1" customWidth="1"/>
    <col min="64" max="64" width="16" style="2462" hidden="1" customWidth="1"/>
    <col min="65" max="65" width="16" style="2462" customWidth="1"/>
    <col min="66" max="66" width="12.5" style="2462" customWidth="1"/>
    <col min="67" max="67" width="11.5" style="2462" customWidth="1"/>
    <col min="68" max="68" width="22.83203125" style="2462" hidden="1" customWidth="1"/>
    <col min="69" max="69" width="12.6640625" style="2462" hidden="1" customWidth="1"/>
    <col min="70" max="70" width="1.33203125" style="2462" hidden="1" customWidth="1"/>
    <col min="71" max="71" width="12.5" style="2462" hidden="1" customWidth="1"/>
    <col min="72" max="72" width="16.5" style="2462" hidden="1" customWidth="1"/>
    <col min="73" max="73" width="16.5" style="2462" customWidth="1"/>
    <col min="74" max="74" width="12.5" style="2462" customWidth="1"/>
    <col min="75" max="75" width="12.6640625" style="2462" customWidth="1"/>
    <col min="76" max="76" width="22.83203125" style="2462" hidden="1" customWidth="1"/>
    <col min="77" max="77" width="13.1640625" style="2462" hidden="1" customWidth="1"/>
    <col min="78" max="78" width="14.33203125" style="2462" hidden="1" customWidth="1"/>
    <col min="79" max="79" width="12.83203125" style="2462" hidden="1" customWidth="1"/>
    <col min="80" max="80" width="14.33203125" style="2462" hidden="1" customWidth="1"/>
    <col min="81" max="82" width="14.33203125" style="2462" customWidth="1"/>
    <col min="83" max="83" width="11.83203125" style="2462" customWidth="1"/>
    <col min="84" max="84" width="22.83203125" style="2462" hidden="1" customWidth="1"/>
    <col min="85" max="85" width="13.83203125" style="2462" hidden="1" customWidth="1"/>
    <col min="86" max="86" width="16.33203125" style="2462" hidden="1" customWidth="1"/>
    <col min="87" max="87" width="15.1640625" style="2462" hidden="1" customWidth="1"/>
    <col min="88" max="88" width="16.33203125" style="2462" hidden="1" customWidth="1"/>
    <col min="89" max="90" width="16.33203125" style="2462" customWidth="1"/>
    <col min="91" max="91" width="12.33203125" style="2462" customWidth="1"/>
    <col min="92" max="92" width="22.83203125" style="2462" hidden="1" customWidth="1"/>
    <col min="93" max="93" width="14.5" style="2462" hidden="1" customWidth="1"/>
    <col min="94" max="94" width="16.5" style="2462" hidden="1" customWidth="1"/>
    <col min="95" max="95" width="14.5" style="2462" hidden="1" customWidth="1"/>
    <col min="96" max="96" width="16.5" style="2462" hidden="1" customWidth="1"/>
    <col min="97" max="98" width="16.5" style="2462" customWidth="1"/>
    <col min="99" max="99" width="18.5" style="2462" customWidth="1"/>
    <col min="100" max="100" width="22.83203125" style="2462" hidden="1" customWidth="1"/>
    <col min="101" max="101" width="18" style="2462" hidden="1" customWidth="1"/>
    <col min="102" max="102" width="22.83203125" style="2462" hidden="1" customWidth="1"/>
    <col min="103" max="103" width="20.1640625" style="2462" hidden="1" customWidth="1"/>
    <col min="104" max="104" width="22.83203125" style="2462" hidden="1" customWidth="1"/>
    <col min="105" max="106" width="21.5" style="2462" customWidth="1"/>
    <col min="107" max="107" width="12.83203125" style="2462" customWidth="1"/>
    <col min="108" max="108" width="22.83203125" style="2462" hidden="1" customWidth="1"/>
    <col min="109" max="109" width="14.33203125" style="2462" hidden="1" customWidth="1"/>
    <col min="110" max="110" width="22.83203125" style="2462" hidden="1" customWidth="1"/>
    <col min="111" max="111" width="14.5" style="2462" hidden="1" customWidth="1"/>
    <col min="112" max="112" width="22.83203125" style="2462" hidden="1" customWidth="1"/>
    <col min="113" max="113" width="18.1640625" style="2462" customWidth="1"/>
    <col min="114" max="114" width="16.5" style="2462" customWidth="1"/>
    <col min="115" max="16384" width="9.33203125" style="2462"/>
  </cols>
  <sheetData>
    <row r="1" spans="1:116" ht="20.25" x14ac:dyDescent="0.2">
      <c r="A1" s="4338" t="s">
        <v>1311</v>
      </c>
      <c r="B1" s="4338"/>
      <c r="C1" s="4338"/>
      <c r="D1" s="4338"/>
      <c r="E1" s="4338"/>
      <c r="F1" s="4338"/>
      <c r="G1" s="4338"/>
      <c r="H1" s="4338"/>
      <c r="I1" s="4338"/>
      <c r="J1" s="4338"/>
      <c r="K1" s="4338"/>
      <c r="L1" s="4338"/>
      <c r="M1" s="4338"/>
      <c r="N1" s="4338"/>
      <c r="O1" s="4338"/>
      <c r="P1" s="4338"/>
      <c r="Q1" s="4338"/>
      <c r="R1" s="4338"/>
      <c r="S1" s="4338"/>
      <c r="T1" s="4338"/>
      <c r="U1" s="4338"/>
      <c r="V1" s="4338"/>
      <c r="W1" s="4338"/>
      <c r="X1" s="4338"/>
      <c r="Y1" s="4338"/>
      <c r="Z1" s="4338"/>
      <c r="AA1" s="4338"/>
      <c r="AB1" s="4338"/>
      <c r="AC1" s="4338"/>
      <c r="AD1" s="4338"/>
      <c r="AE1" s="4338"/>
      <c r="AF1" s="4338"/>
      <c r="AG1" s="4338"/>
      <c r="AH1" s="4338"/>
      <c r="AI1" s="4338"/>
      <c r="AJ1" s="4338"/>
      <c r="AK1" s="4338"/>
      <c r="AL1" s="4338"/>
      <c r="AM1" s="4338"/>
      <c r="AN1" s="4338"/>
      <c r="AO1" s="4338"/>
      <c r="AP1" s="4338"/>
      <c r="AQ1" s="4338"/>
      <c r="AR1" s="4338"/>
      <c r="AS1" s="4338"/>
      <c r="AT1" s="4338"/>
      <c r="AU1" s="4338"/>
      <c r="AV1" s="4338"/>
      <c r="AW1" s="4338"/>
      <c r="AX1" s="4338"/>
      <c r="AY1" s="4338"/>
      <c r="AZ1" s="4338"/>
      <c r="BA1" s="4338"/>
      <c r="BB1" s="4338"/>
      <c r="BC1" s="4338"/>
      <c r="BD1" s="4338"/>
      <c r="BE1" s="4338"/>
      <c r="BF1" s="4338"/>
      <c r="BG1" s="4338"/>
      <c r="BH1" s="4338"/>
      <c r="BI1" s="4338"/>
      <c r="BJ1" s="4338"/>
      <c r="BK1" s="4338"/>
      <c r="BL1" s="4338"/>
      <c r="BM1" s="4338"/>
      <c r="BN1" s="4338"/>
      <c r="BO1" s="4338"/>
      <c r="BP1" s="4338"/>
      <c r="BQ1" s="4338"/>
      <c r="BR1" s="4338"/>
      <c r="BS1" s="4338"/>
      <c r="BT1" s="4338"/>
      <c r="BU1" s="4338"/>
      <c r="BV1" s="4338"/>
      <c r="BW1" s="4338"/>
      <c r="BX1" s="4338"/>
      <c r="BY1" s="4338"/>
      <c r="BZ1" s="4338"/>
      <c r="CA1" s="4338"/>
      <c r="CB1" s="4338"/>
      <c r="CC1" s="4338"/>
      <c r="CD1" s="4338"/>
      <c r="CE1" s="4338"/>
      <c r="CF1" s="4338"/>
      <c r="CG1" s="4338"/>
      <c r="CH1" s="4338"/>
      <c r="CI1" s="4338"/>
      <c r="CJ1" s="4338"/>
      <c r="CK1" s="4338"/>
      <c r="CL1" s="4338"/>
      <c r="CM1" s="4338"/>
      <c r="CN1" s="4338"/>
      <c r="CO1" s="4338"/>
      <c r="CP1" s="4338"/>
      <c r="CQ1" s="4338"/>
      <c r="CR1" s="4338"/>
      <c r="CS1" s="4338"/>
      <c r="CT1" s="4338"/>
      <c r="CU1" s="4338"/>
      <c r="CV1" s="4338"/>
      <c r="CW1" s="4338"/>
      <c r="CX1" s="4338"/>
      <c r="CY1" s="4338"/>
      <c r="CZ1" s="4338"/>
      <c r="DA1" s="4338"/>
      <c r="DB1" s="4338"/>
      <c r="DC1" s="4338"/>
      <c r="DD1" s="2866"/>
      <c r="DE1" s="2866"/>
      <c r="DF1" s="2866"/>
      <c r="DG1" s="2866"/>
      <c r="DH1" s="2866"/>
      <c r="DI1" s="2866"/>
      <c r="DJ1" s="3930"/>
    </row>
    <row r="2" spans="1:116" ht="21" customHeight="1" thickBot="1" x14ac:dyDescent="0.25">
      <c r="A2" s="4340"/>
      <c r="B2" s="4340"/>
      <c r="C2" s="4340"/>
      <c r="D2" s="4340"/>
      <c r="E2" s="4340"/>
      <c r="F2" s="4340"/>
      <c r="G2" s="4340"/>
      <c r="H2" s="4340"/>
      <c r="I2" s="4340"/>
      <c r="J2" s="4340"/>
      <c r="K2" s="4340"/>
      <c r="L2" s="4340"/>
      <c r="M2" s="4340"/>
      <c r="N2" s="4340"/>
      <c r="O2" s="4340"/>
      <c r="P2" s="4340"/>
      <c r="Q2" s="4340"/>
      <c r="R2" s="4340"/>
      <c r="S2" s="4340"/>
      <c r="T2" s="4340"/>
      <c r="U2" s="4340"/>
      <c r="V2" s="4340"/>
      <c r="W2" s="4340"/>
      <c r="X2" s="4340"/>
      <c r="Y2" s="4340"/>
      <c r="Z2" s="4340"/>
      <c r="AA2" s="4340"/>
      <c r="AB2" s="4340"/>
      <c r="AC2" s="4340"/>
      <c r="AD2" s="4340"/>
      <c r="AE2" s="4340"/>
      <c r="AF2" s="4340"/>
      <c r="AG2" s="4340"/>
      <c r="AH2" s="4340"/>
      <c r="AI2" s="4340"/>
      <c r="AJ2" s="4340"/>
      <c r="AK2" s="4340"/>
      <c r="AL2" s="4340"/>
      <c r="AM2" s="4340"/>
      <c r="AN2" s="4340"/>
      <c r="AO2" s="4340"/>
      <c r="AP2" s="4340"/>
      <c r="AQ2" s="4340"/>
      <c r="AR2" s="4340"/>
      <c r="AS2" s="4340"/>
      <c r="AT2" s="4340"/>
      <c r="AU2" s="4340"/>
      <c r="AV2" s="4340"/>
      <c r="AW2" s="4340"/>
      <c r="AX2" s="4340"/>
      <c r="AY2" s="4340"/>
      <c r="AZ2" s="4340"/>
      <c r="BA2" s="4340"/>
      <c r="BB2" s="4340"/>
      <c r="BC2" s="4340"/>
      <c r="BD2" s="4340"/>
      <c r="BE2" s="4340"/>
      <c r="BF2" s="4340"/>
      <c r="BG2" s="4340"/>
      <c r="BH2" s="4340"/>
      <c r="BI2" s="4340"/>
      <c r="BJ2" s="4340"/>
      <c r="BK2" s="4340"/>
      <c r="BL2" s="4340"/>
      <c r="BM2" s="4340"/>
      <c r="BN2" s="4340"/>
      <c r="BO2" s="4340"/>
      <c r="BP2" s="4340"/>
      <c r="BQ2" s="4340"/>
      <c r="BR2" s="4340"/>
      <c r="BS2" s="4340"/>
      <c r="BT2" s="4340"/>
      <c r="BU2" s="4340"/>
      <c r="BV2" s="4340"/>
      <c r="BW2" s="4340"/>
      <c r="BX2" s="4340"/>
      <c r="BY2" s="4340"/>
      <c r="BZ2" s="4340"/>
      <c r="CA2" s="4340"/>
      <c r="CB2" s="4340"/>
      <c r="CC2" s="4340"/>
      <c r="CD2" s="4340"/>
      <c r="CE2" s="4340"/>
      <c r="CF2" s="4340"/>
      <c r="CG2" s="4340"/>
      <c r="CH2" s="4340"/>
      <c r="CI2" s="4340"/>
      <c r="CJ2" s="4340"/>
      <c r="CK2" s="4340"/>
      <c r="CL2" s="4340"/>
      <c r="CM2" s="4340"/>
      <c r="CN2" s="4340"/>
      <c r="CO2" s="4340"/>
      <c r="CP2" s="4340"/>
      <c r="CQ2" s="4340"/>
      <c r="CR2" s="4340"/>
      <c r="CS2" s="4340"/>
      <c r="CT2" s="4340"/>
      <c r="CU2" s="4340"/>
      <c r="CV2" s="4340"/>
      <c r="CW2" s="4340"/>
      <c r="CX2" s="4340"/>
      <c r="CY2" s="4340"/>
      <c r="CZ2" s="4340"/>
      <c r="DA2" s="4340"/>
      <c r="DB2" s="4340"/>
      <c r="DC2" s="4340"/>
      <c r="DD2" s="4340"/>
      <c r="DE2" s="4340"/>
      <c r="DF2" s="2463"/>
      <c r="DG2" s="2463"/>
      <c r="DH2" s="2463"/>
      <c r="DI2" s="2463"/>
      <c r="DJ2" s="2463"/>
    </row>
    <row r="3" spans="1:116" s="2928" customFormat="1" ht="86.25" customHeight="1" thickBot="1" x14ac:dyDescent="0.3">
      <c r="A3" s="4341" t="s">
        <v>1312</v>
      </c>
      <c r="B3" s="4339" t="s">
        <v>1313</v>
      </c>
      <c r="C3" s="4320" t="s">
        <v>1314</v>
      </c>
      <c r="D3" s="4321"/>
      <c r="E3" s="4321"/>
      <c r="F3" s="4321"/>
      <c r="G3" s="4321"/>
      <c r="H3" s="4321"/>
      <c r="I3" s="4321"/>
      <c r="J3" s="4322"/>
      <c r="K3" s="4320" t="s">
        <v>1315</v>
      </c>
      <c r="L3" s="4321"/>
      <c r="M3" s="4321"/>
      <c r="N3" s="4321"/>
      <c r="O3" s="4321"/>
      <c r="P3" s="4321"/>
      <c r="Q3" s="4321"/>
      <c r="R3" s="4322"/>
      <c r="S3" s="4320" t="s">
        <v>1316</v>
      </c>
      <c r="T3" s="4321"/>
      <c r="U3" s="4321"/>
      <c r="V3" s="4321"/>
      <c r="W3" s="4321"/>
      <c r="X3" s="4321"/>
      <c r="Y3" s="4321"/>
      <c r="Z3" s="4322"/>
      <c r="AA3" s="4320" t="s">
        <v>1317</v>
      </c>
      <c r="AB3" s="4321"/>
      <c r="AC3" s="4321"/>
      <c r="AD3" s="4321"/>
      <c r="AE3" s="4321"/>
      <c r="AF3" s="4321"/>
      <c r="AG3" s="4321"/>
      <c r="AH3" s="4322"/>
      <c r="AI3" s="4326" t="s">
        <v>1318</v>
      </c>
      <c r="AJ3" s="4327"/>
      <c r="AK3" s="4327"/>
      <c r="AL3" s="4327"/>
      <c r="AM3" s="4327"/>
      <c r="AN3" s="4327"/>
      <c r="AO3" s="4327"/>
      <c r="AP3" s="4328"/>
      <c r="AQ3" s="4342" t="s">
        <v>1319</v>
      </c>
      <c r="AR3" s="4343"/>
      <c r="AS3" s="4343"/>
      <c r="AT3" s="4343"/>
      <c r="AU3" s="4343"/>
      <c r="AV3" s="4343"/>
      <c r="AW3" s="4343"/>
      <c r="AX3" s="4343"/>
      <c r="AY3" s="4343"/>
      <c r="AZ3" s="4343"/>
      <c r="BA3" s="4343"/>
      <c r="BB3" s="4343"/>
      <c r="BC3" s="4343"/>
      <c r="BD3" s="4343"/>
      <c r="BE3" s="4343"/>
      <c r="BF3" s="4344"/>
      <c r="BG3" s="4320" t="s">
        <v>1320</v>
      </c>
      <c r="BH3" s="4321"/>
      <c r="BI3" s="4321"/>
      <c r="BJ3" s="4321"/>
      <c r="BK3" s="4321"/>
      <c r="BL3" s="4321"/>
      <c r="BM3" s="4321"/>
      <c r="BN3" s="4321"/>
      <c r="BO3" s="4321"/>
      <c r="BP3" s="4321"/>
      <c r="BQ3" s="4321"/>
      <c r="BR3" s="4321"/>
      <c r="BS3" s="4321"/>
      <c r="BT3" s="4321"/>
      <c r="BU3" s="4321"/>
      <c r="BV3" s="4322"/>
      <c r="BW3" s="4320" t="s">
        <v>761</v>
      </c>
      <c r="BX3" s="4321"/>
      <c r="BY3" s="4321"/>
      <c r="BZ3" s="4321"/>
      <c r="CA3" s="4321"/>
      <c r="CB3" s="4321"/>
      <c r="CC3" s="4321"/>
      <c r="CD3" s="4322"/>
      <c r="CE3" s="4320" t="s">
        <v>1405</v>
      </c>
      <c r="CF3" s="4321"/>
      <c r="CG3" s="4321"/>
      <c r="CH3" s="4321"/>
      <c r="CI3" s="4321"/>
      <c r="CJ3" s="4321"/>
      <c r="CK3" s="4321"/>
      <c r="CL3" s="4322"/>
      <c r="CM3" s="4320" t="s">
        <v>1067</v>
      </c>
      <c r="CN3" s="4321"/>
      <c r="CO3" s="4321"/>
      <c r="CP3" s="4321"/>
      <c r="CQ3" s="4321"/>
      <c r="CR3" s="4321"/>
      <c r="CS3" s="4321"/>
      <c r="CT3" s="4322"/>
      <c r="CU3" s="4332" t="s">
        <v>1321</v>
      </c>
      <c r="CV3" s="4333"/>
      <c r="CW3" s="4333"/>
      <c r="CX3" s="4333"/>
      <c r="CY3" s="4333"/>
      <c r="CZ3" s="4333"/>
      <c r="DA3" s="4333"/>
      <c r="DB3" s="4333"/>
      <c r="DC3" s="4333"/>
      <c r="DD3" s="4333"/>
      <c r="DE3" s="4333"/>
      <c r="DF3" s="4333"/>
      <c r="DG3" s="4333"/>
      <c r="DH3" s="4333"/>
      <c r="DI3" s="4333"/>
      <c r="DJ3" s="4334"/>
    </row>
    <row r="4" spans="1:116" s="2928" customFormat="1" ht="33" customHeight="1" thickBot="1" x14ac:dyDescent="0.3">
      <c r="A4" s="4341"/>
      <c r="B4" s="4339"/>
      <c r="C4" s="4323"/>
      <c r="D4" s="4324"/>
      <c r="E4" s="4324"/>
      <c r="F4" s="4324"/>
      <c r="G4" s="4324"/>
      <c r="H4" s="4324"/>
      <c r="I4" s="4324"/>
      <c r="J4" s="4325"/>
      <c r="K4" s="4323"/>
      <c r="L4" s="4324"/>
      <c r="M4" s="4324"/>
      <c r="N4" s="4324"/>
      <c r="O4" s="4324"/>
      <c r="P4" s="4324"/>
      <c r="Q4" s="4324"/>
      <c r="R4" s="4325"/>
      <c r="S4" s="4323"/>
      <c r="T4" s="4324"/>
      <c r="U4" s="4324"/>
      <c r="V4" s="4324"/>
      <c r="W4" s="4324"/>
      <c r="X4" s="4324"/>
      <c r="Y4" s="4324"/>
      <c r="Z4" s="4325"/>
      <c r="AA4" s="4323"/>
      <c r="AB4" s="4324"/>
      <c r="AC4" s="4324"/>
      <c r="AD4" s="4324"/>
      <c r="AE4" s="4324"/>
      <c r="AF4" s="4324"/>
      <c r="AG4" s="4324"/>
      <c r="AH4" s="4325"/>
      <c r="AI4" s="4329" t="s">
        <v>1322</v>
      </c>
      <c r="AJ4" s="4330"/>
      <c r="AK4" s="4330"/>
      <c r="AL4" s="4330"/>
      <c r="AM4" s="4330"/>
      <c r="AN4" s="4330"/>
      <c r="AO4" s="4330"/>
      <c r="AP4" s="4331"/>
      <c r="AQ4" s="4342" t="s">
        <v>1323</v>
      </c>
      <c r="AR4" s="4343"/>
      <c r="AS4" s="4343"/>
      <c r="AT4" s="4343"/>
      <c r="AU4" s="4343"/>
      <c r="AV4" s="4343"/>
      <c r="AW4" s="4343"/>
      <c r="AX4" s="4344"/>
      <c r="AY4" s="4342" t="s">
        <v>1324</v>
      </c>
      <c r="AZ4" s="4343"/>
      <c r="BA4" s="4343"/>
      <c r="BB4" s="4343"/>
      <c r="BC4" s="4343"/>
      <c r="BD4" s="4343"/>
      <c r="BE4" s="4343"/>
      <c r="BF4" s="4344"/>
      <c r="BG4" s="4342" t="s">
        <v>1323</v>
      </c>
      <c r="BH4" s="4343"/>
      <c r="BI4" s="4343"/>
      <c r="BJ4" s="4343"/>
      <c r="BK4" s="4343"/>
      <c r="BL4" s="4343"/>
      <c r="BM4" s="4343"/>
      <c r="BN4" s="4344"/>
      <c r="BO4" s="4342" t="s">
        <v>1324</v>
      </c>
      <c r="BP4" s="4343"/>
      <c r="BQ4" s="4343"/>
      <c r="BR4" s="4343"/>
      <c r="BS4" s="4343"/>
      <c r="BT4" s="4343"/>
      <c r="BU4" s="4343"/>
      <c r="BV4" s="4344"/>
      <c r="BW4" s="4323"/>
      <c r="BX4" s="4324"/>
      <c r="BY4" s="4324"/>
      <c r="BZ4" s="4324"/>
      <c r="CA4" s="4324"/>
      <c r="CB4" s="4324"/>
      <c r="CC4" s="4324"/>
      <c r="CD4" s="4325"/>
      <c r="CE4" s="4323"/>
      <c r="CF4" s="4324"/>
      <c r="CG4" s="4324"/>
      <c r="CH4" s="4324"/>
      <c r="CI4" s="4324"/>
      <c r="CJ4" s="4324"/>
      <c r="CK4" s="4324"/>
      <c r="CL4" s="4325"/>
      <c r="CM4" s="4323"/>
      <c r="CN4" s="4324"/>
      <c r="CO4" s="4324"/>
      <c r="CP4" s="4324"/>
      <c r="CQ4" s="4324"/>
      <c r="CR4" s="4324"/>
      <c r="CS4" s="4324"/>
      <c r="CT4" s="4325"/>
      <c r="CU4" s="4335" t="s">
        <v>32</v>
      </c>
      <c r="CV4" s="4336"/>
      <c r="CW4" s="4336"/>
      <c r="CX4" s="4336"/>
      <c r="CY4" s="4336"/>
      <c r="CZ4" s="4336"/>
      <c r="DA4" s="4336"/>
      <c r="DB4" s="4337"/>
      <c r="DC4" s="4335" t="s">
        <v>68</v>
      </c>
      <c r="DD4" s="4336"/>
      <c r="DE4" s="4336"/>
      <c r="DF4" s="4336"/>
      <c r="DG4" s="4336"/>
      <c r="DH4" s="4336"/>
      <c r="DI4" s="4336"/>
      <c r="DJ4" s="4337"/>
    </row>
    <row r="5" spans="1:116" ht="56.25" customHeight="1" thickBot="1" x14ac:dyDescent="0.25">
      <c r="A5" s="4341"/>
      <c r="B5" s="2941"/>
      <c r="C5" s="2940" t="s">
        <v>1737</v>
      </c>
      <c r="D5" s="2941"/>
      <c r="E5" s="2940" t="s">
        <v>1938</v>
      </c>
      <c r="F5" s="2940"/>
      <c r="G5" s="2940" t="s">
        <v>1741</v>
      </c>
      <c r="H5" s="2940"/>
      <c r="I5" s="2940" t="s">
        <v>1742</v>
      </c>
      <c r="J5" s="2940" t="s">
        <v>289</v>
      </c>
      <c r="K5" s="2940" t="s">
        <v>1737</v>
      </c>
      <c r="L5" s="2940"/>
      <c r="M5" s="2940" t="s">
        <v>1938</v>
      </c>
      <c r="N5" s="2940"/>
      <c r="O5" s="2940" t="s">
        <v>1741</v>
      </c>
      <c r="P5" s="2940"/>
      <c r="Q5" s="2940" t="s">
        <v>1742</v>
      </c>
      <c r="R5" s="2940" t="s">
        <v>289</v>
      </c>
      <c r="S5" s="3180" t="s">
        <v>1737</v>
      </c>
      <c r="T5" s="2940"/>
      <c r="U5" s="2940" t="s">
        <v>1938</v>
      </c>
      <c r="V5" s="2940"/>
      <c r="W5" s="2940" t="s">
        <v>1741</v>
      </c>
      <c r="X5" s="3180"/>
      <c r="Y5" s="2940" t="s">
        <v>1742</v>
      </c>
      <c r="Z5" s="2940" t="s">
        <v>289</v>
      </c>
      <c r="AA5" s="2940" t="s">
        <v>1737</v>
      </c>
      <c r="AB5" s="2941"/>
      <c r="AC5" s="2940" t="s">
        <v>1938</v>
      </c>
      <c r="AD5" s="2940"/>
      <c r="AE5" s="3059" t="s">
        <v>1741</v>
      </c>
      <c r="AF5" s="3181"/>
      <c r="AG5" s="3059" t="s">
        <v>1742</v>
      </c>
      <c r="AH5" s="2940" t="s">
        <v>289</v>
      </c>
      <c r="AI5" s="3521" t="s">
        <v>1737</v>
      </c>
      <c r="AJ5" s="3521"/>
      <c r="AK5" s="3521" t="s">
        <v>1938</v>
      </c>
      <c r="AL5" s="3521"/>
      <c r="AM5" s="3522" t="s">
        <v>1741</v>
      </c>
      <c r="AN5" s="3181"/>
      <c r="AO5" s="3522" t="s">
        <v>1742</v>
      </c>
      <c r="AP5" s="2940" t="s">
        <v>289</v>
      </c>
      <c r="AQ5" s="2940" t="s">
        <v>1737</v>
      </c>
      <c r="AR5" s="2940"/>
      <c r="AS5" s="2940" t="s">
        <v>1938</v>
      </c>
      <c r="AT5" s="2940"/>
      <c r="AU5" s="3059" t="s">
        <v>1741</v>
      </c>
      <c r="AV5" s="3180"/>
      <c r="AW5" s="3059" t="s">
        <v>1742</v>
      </c>
      <c r="AX5" s="2940" t="s">
        <v>289</v>
      </c>
      <c r="AY5" s="3878" t="s">
        <v>1737</v>
      </c>
      <c r="AZ5" s="2940"/>
      <c r="BA5" s="2940" t="s">
        <v>1938</v>
      </c>
      <c r="BB5" s="2940"/>
      <c r="BC5" s="3059" t="s">
        <v>1741</v>
      </c>
      <c r="BD5" s="3180"/>
      <c r="BE5" s="3059" t="s">
        <v>1742</v>
      </c>
      <c r="BF5" s="2940" t="s">
        <v>289</v>
      </c>
      <c r="BG5" s="2940" t="s">
        <v>1737</v>
      </c>
      <c r="BH5" s="2940"/>
      <c r="BI5" s="2940" t="s">
        <v>1938</v>
      </c>
      <c r="BJ5" s="2940"/>
      <c r="BK5" s="3059" t="s">
        <v>1741</v>
      </c>
      <c r="BL5" s="3180"/>
      <c r="BM5" s="3059" t="s">
        <v>1742</v>
      </c>
      <c r="BN5" s="2940" t="s">
        <v>289</v>
      </c>
      <c r="BO5" s="2940" t="s">
        <v>1737</v>
      </c>
      <c r="BP5" s="2940"/>
      <c r="BQ5" s="2940" t="s">
        <v>1938</v>
      </c>
      <c r="BR5" s="2940"/>
      <c r="BS5" s="3059" t="s">
        <v>1741</v>
      </c>
      <c r="BT5" s="3180"/>
      <c r="BU5" s="3059" t="s">
        <v>1742</v>
      </c>
      <c r="BV5" s="2940" t="s">
        <v>289</v>
      </c>
      <c r="BW5" s="2940" t="s">
        <v>1737</v>
      </c>
      <c r="BX5" s="2940"/>
      <c r="BY5" s="2940" t="s">
        <v>1938</v>
      </c>
      <c r="BZ5" s="2940"/>
      <c r="CA5" s="3059" t="s">
        <v>1741</v>
      </c>
      <c r="CB5" s="3180"/>
      <c r="CC5" s="3963" t="s">
        <v>1742</v>
      </c>
      <c r="CD5" s="3964" t="s">
        <v>289</v>
      </c>
      <c r="CE5" s="3878" t="s">
        <v>1737</v>
      </c>
      <c r="CF5" s="2940"/>
      <c r="CG5" s="2940" t="s">
        <v>1938</v>
      </c>
      <c r="CH5" s="2940"/>
      <c r="CI5" s="3059" t="s">
        <v>1741</v>
      </c>
      <c r="CJ5" s="3180"/>
      <c r="CK5" s="3059" t="s">
        <v>1742</v>
      </c>
      <c r="CL5" s="2940" t="s">
        <v>289</v>
      </c>
      <c r="CM5" s="3878" t="s">
        <v>1737</v>
      </c>
      <c r="CN5" s="2940"/>
      <c r="CO5" s="2940" t="s">
        <v>1938</v>
      </c>
      <c r="CP5" s="2940"/>
      <c r="CQ5" s="3059" t="s">
        <v>1741</v>
      </c>
      <c r="CR5" s="2940"/>
      <c r="CS5" s="3059" t="s">
        <v>1742</v>
      </c>
      <c r="CT5" s="2940" t="s">
        <v>289</v>
      </c>
      <c r="CU5" s="3214" t="s">
        <v>1737</v>
      </c>
      <c r="CV5" s="4185"/>
      <c r="CW5" s="3214" t="s">
        <v>1938</v>
      </c>
      <c r="CX5" s="3214"/>
      <c r="CY5" s="3214" t="s">
        <v>1741</v>
      </c>
      <c r="CZ5" s="3214"/>
      <c r="DA5" s="3214" t="s">
        <v>1742</v>
      </c>
      <c r="DB5" s="3214" t="s">
        <v>289</v>
      </c>
      <c r="DC5" s="3214" t="s">
        <v>1737</v>
      </c>
      <c r="DD5" s="3214"/>
      <c r="DE5" s="3214" t="s">
        <v>1938</v>
      </c>
      <c r="DF5" s="3223"/>
      <c r="DG5" s="3214" t="s">
        <v>1741</v>
      </c>
      <c r="DH5" s="3223"/>
      <c r="DI5" s="4186" t="s">
        <v>1742</v>
      </c>
      <c r="DJ5" s="3273" t="s">
        <v>289</v>
      </c>
      <c r="DK5" s="2464"/>
      <c r="DL5" s="2464"/>
    </row>
    <row r="6" spans="1:116" s="2932" customFormat="1" ht="20.25" customHeight="1" x14ac:dyDescent="0.2">
      <c r="A6" s="2929" t="s">
        <v>1325</v>
      </c>
      <c r="B6" s="2943"/>
      <c r="C6" s="2945"/>
      <c r="D6" s="3187"/>
      <c r="E6" s="3193"/>
      <c r="F6" s="3193"/>
      <c r="G6" s="3194"/>
      <c r="H6" s="3194"/>
      <c r="I6" s="3936"/>
      <c r="J6" s="3194"/>
      <c r="K6" s="2946"/>
      <c r="L6" s="2946"/>
      <c r="M6" s="3193"/>
      <c r="N6" s="2946"/>
      <c r="O6" s="3194"/>
      <c r="P6" s="2946"/>
      <c r="Q6" s="3194"/>
      <c r="R6" s="3194"/>
      <c r="S6" s="2951"/>
      <c r="T6" s="2952"/>
      <c r="U6" s="2953"/>
      <c r="V6" s="2953"/>
      <c r="W6" s="3203"/>
      <c r="X6" s="2951"/>
      <c r="Y6" s="2953"/>
      <c r="Z6" s="3213"/>
      <c r="AA6" s="2951"/>
      <c r="AB6" s="2952"/>
      <c r="AC6" s="2953"/>
      <c r="AD6" s="2953"/>
      <c r="AE6" s="3203"/>
      <c r="AF6" s="2951"/>
      <c r="AG6" s="2953"/>
      <c r="AH6" s="2953"/>
      <c r="AI6" s="3523"/>
      <c r="AJ6" s="3524"/>
      <c r="AK6" s="3523"/>
      <c r="AL6" s="3523"/>
      <c r="AM6" s="3525"/>
      <c r="AN6" s="3211"/>
      <c r="AO6" s="3523"/>
      <c r="AP6" s="3945"/>
      <c r="AQ6" s="2951"/>
      <c r="AR6" s="2952"/>
      <c r="AS6" s="2953"/>
      <c r="AT6" s="2953"/>
      <c r="AU6" s="3203"/>
      <c r="AV6" s="2951"/>
      <c r="AW6" s="2953"/>
      <c r="AX6" s="3203"/>
      <c r="AY6" s="2951"/>
      <c r="AZ6" s="2952"/>
      <c r="BA6" s="2953"/>
      <c r="BB6" s="2953"/>
      <c r="BC6" s="3203"/>
      <c r="BD6" s="2951"/>
      <c r="BE6" s="2953"/>
      <c r="BF6" s="2953"/>
      <c r="BG6" s="2953"/>
      <c r="BH6" s="2952"/>
      <c r="BI6" s="2953"/>
      <c r="BJ6" s="2953"/>
      <c r="BK6" s="3203"/>
      <c r="BL6" s="2951"/>
      <c r="BM6" s="2953"/>
      <c r="BN6" s="2953"/>
      <c r="BO6" s="2953"/>
      <c r="BP6" s="2952"/>
      <c r="BQ6" s="2953"/>
      <c r="BR6" s="2953"/>
      <c r="BS6" s="3203"/>
      <c r="BT6" s="2951"/>
      <c r="BU6" s="2953"/>
      <c r="BV6" s="2953"/>
      <c r="BW6" s="2953"/>
      <c r="BX6" s="2952"/>
      <c r="BY6" s="2953"/>
      <c r="BZ6" s="2953"/>
      <c r="CA6" s="3213"/>
      <c r="CB6" s="2951"/>
      <c r="CC6" s="3954"/>
      <c r="CD6" s="3203"/>
      <c r="CE6" s="2951"/>
      <c r="CF6" s="2952"/>
      <c r="CG6" s="2953"/>
      <c r="CH6" s="2951"/>
      <c r="CI6" s="3213"/>
      <c r="CJ6" s="3947"/>
      <c r="CK6" s="3959"/>
      <c r="CL6" s="3948"/>
      <c r="CM6" s="2951"/>
      <c r="CN6" s="2951"/>
      <c r="CO6" s="2951"/>
      <c r="CP6" s="2951"/>
      <c r="CQ6" s="3213"/>
      <c r="CR6" s="2951"/>
      <c r="CS6" s="2951"/>
      <c r="CT6" s="3213"/>
      <c r="CU6" s="2935">
        <f t="shared" ref="CU6:DB8" si="0">SUM(K6-S6-AA6-AI6-AQ6-AY6-BG6-BO6-CE6)</f>
        <v>0</v>
      </c>
      <c r="CV6" s="2553">
        <f t="shared" si="0"/>
        <v>0</v>
      </c>
      <c r="CW6" s="2553">
        <f t="shared" si="0"/>
        <v>0</v>
      </c>
      <c r="CX6" s="2553">
        <f t="shared" si="0"/>
        <v>0</v>
      </c>
      <c r="CY6" s="3194">
        <f t="shared" si="0"/>
        <v>0</v>
      </c>
      <c r="CZ6" s="2935">
        <f t="shared" si="0"/>
        <v>0</v>
      </c>
      <c r="DA6" s="2553">
        <f t="shared" si="0"/>
        <v>0</v>
      </c>
      <c r="DB6" s="2553">
        <f t="shared" si="0"/>
        <v>0</v>
      </c>
      <c r="DC6" s="2553"/>
      <c r="DD6" s="2553"/>
      <c r="DE6" s="2553"/>
      <c r="DF6" s="3220"/>
      <c r="DG6" s="2930"/>
      <c r="DH6" s="2948"/>
      <c r="DI6" s="3937"/>
      <c r="DJ6" s="2930"/>
      <c r="DK6" s="2931"/>
      <c r="DL6" s="2931"/>
    </row>
    <row r="7" spans="1:116" s="2932" customFormat="1" ht="20.25" customHeight="1" x14ac:dyDescent="0.2">
      <c r="A7" s="2933" t="s">
        <v>1326</v>
      </c>
      <c r="B7" s="2943"/>
      <c r="C7" s="2947"/>
      <c r="D7" s="3188"/>
      <c r="E7" s="2553"/>
      <c r="F7" s="3007"/>
      <c r="G7" s="2934"/>
      <c r="H7" s="2934"/>
      <c r="I7" s="3196"/>
      <c r="J7" s="2930"/>
      <c r="K7" s="2935"/>
      <c r="L7" s="2935"/>
      <c r="M7" s="2553"/>
      <c r="N7" s="3192"/>
      <c r="O7" s="2934"/>
      <c r="P7" s="3192"/>
      <c r="Q7" s="2934"/>
      <c r="R7" s="2934"/>
      <c r="S7" s="2954"/>
      <c r="T7" s="2955"/>
      <c r="U7" s="2956"/>
      <c r="V7" s="2956"/>
      <c r="W7" s="3204"/>
      <c r="X7" s="2954"/>
      <c r="Y7" s="2956"/>
      <c r="Z7" s="3204"/>
      <c r="AA7" s="2954"/>
      <c r="AB7" s="2955"/>
      <c r="AC7" s="2956"/>
      <c r="AD7" s="2956"/>
      <c r="AE7" s="3204"/>
      <c r="AF7" s="2954"/>
      <c r="AG7" s="2956"/>
      <c r="AH7" s="2956"/>
      <c r="AI7" s="3526"/>
      <c r="AJ7" s="3527"/>
      <c r="AK7" s="3526"/>
      <c r="AL7" s="3526"/>
      <c r="AM7" s="3528"/>
      <c r="AN7" s="3033"/>
      <c r="AO7" s="3526"/>
      <c r="AP7" s="3528"/>
      <c r="AQ7" s="2954"/>
      <c r="AR7" s="2955"/>
      <c r="AS7" s="2956"/>
      <c r="AT7" s="2956"/>
      <c r="AU7" s="3204"/>
      <c r="AV7" s="2954"/>
      <c r="AW7" s="2956"/>
      <c r="AX7" s="3204"/>
      <c r="AY7" s="2954"/>
      <c r="AZ7" s="2955"/>
      <c r="BA7" s="2956"/>
      <c r="BB7" s="2956"/>
      <c r="BC7" s="3204"/>
      <c r="BD7" s="2954"/>
      <c r="BE7" s="2956"/>
      <c r="BF7" s="2956"/>
      <c r="BG7" s="2956"/>
      <c r="BH7" s="2955"/>
      <c r="BI7" s="2956"/>
      <c r="BJ7" s="2956"/>
      <c r="BK7" s="3204"/>
      <c r="BL7" s="2954"/>
      <c r="BM7" s="2956"/>
      <c r="BN7" s="2956"/>
      <c r="BO7" s="2956"/>
      <c r="BP7" s="2955"/>
      <c r="BQ7" s="2956"/>
      <c r="BR7" s="2956"/>
      <c r="BS7" s="3204"/>
      <c r="BT7" s="2954"/>
      <c r="BU7" s="2956"/>
      <c r="BV7" s="2956"/>
      <c r="BW7" s="2956"/>
      <c r="BX7" s="2955"/>
      <c r="BY7" s="2956"/>
      <c r="BZ7" s="2956"/>
      <c r="CA7" s="3204"/>
      <c r="CB7" s="2954"/>
      <c r="CC7" s="3940"/>
      <c r="CD7" s="3204"/>
      <c r="CE7" s="2954"/>
      <c r="CF7" s="2955"/>
      <c r="CG7" s="2956"/>
      <c r="CH7" s="2951"/>
      <c r="CI7" s="3203"/>
      <c r="CJ7" s="3947"/>
      <c r="CK7" s="2953"/>
      <c r="CL7" s="3948"/>
      <c r="CM7" s="2951"/>
      <c r="CN7" s="2951"/>
      <c r="CO7" s="2951"/>
      <c r="CP7" s="2951"/>
      <c r="CQ7" s="3204"/>
      <c r="CR7" s="2951"/>
      <c r="CS7" s="2951"/>
      <c r="CT7" s="3203"/>
      <c r="CU7" s="2935">
        <f t="shared" si="0"/>
        <v>0</v>
      </c>
      <c r="CV7" s="2553">
        <f t="shared" si="0"/>
        <v>0</v>
      </c>
      <c r="CW7" s="2553">
        <f t="shared" si="0"/>
        <v>0</v>
      </c>
      <c r="CX7" s="2553">
        <f t="shared" si="0"/>
        <v>0</v>
      </c>
      <c r="CY7" s="2930">
        <f t="shared" si="0"/>
        <v>0</v>
      </c>
      <c r="CZ7" s="2935">
        <f t="shared" si="0"/>
        <v>0</v>
      </c>
      <c r="DA7" s="2553">
        <f t="shared" si="0"/>
        <v>0</v>
      </c>
      <c r="DB7" s="2553">
        <f t="shared" si="0"/>
        <v>0</v>
      </c>
      <c r="DC7" s="2553"/>
      <c r="DD7" s="2553"/>
      <c r="DE7" s="2553"/>
      <c r="DF7" s="3220"/>
      <c r="DG7" s="2934"/>
      <c r="DH7" s="3215"/>
      <c r="DI7" s="3196"/>
      <c r="DJ7" s="2934"/>
      <c r="DK7" s="2931"/>
      <c r="DL7" s="2931"/>
    </row>
    <row r="8" spans="1:116" s="2932" customFormat="1" ht="20.25" customHeight="1" x14ac:dyDescent="0.2">
      <c r="A8" s="2933" t="s">
        <v>1327</v>
      </c>
      <c r="B8" s="2943"/>
      <c r="C8" s="2947">
        <f t="shared" ref="C8:S8" si="1">SUM(C9:C13)</f>
        <v>131224000</v>
      </c>
      <c r="D8" s="3188">
        <f t="shared" si="1"/>
        <v>22027036</v>
      </c>
      <c r="E8" s="2553">
        <f t="shared" si="1"/>
        <v>153251036</v>
      </c>
      <c r="F8" s="2553">
        <f t="shared" si="1"/>
        <v>26518944</v>
      </c>
      <c r="G8" s="2930">
        <f t="shared" si="1"/>
        <v>179769980</v>
      </c>
      <c r="H8" s="2930"/>
      <c r="I8" s="3937">
        <f t="shared" ref="I8:J8" si="2">SUM(I9:I13)</f>
        <v>179769982</v>
      </c>
      <c r="J8" s="2930">
        <f t="shared" si="2"/>
        <v>122836960</v>
      </c>
      <c r="K8" s="2935">
        <f t="shared" si="1"/>
        <v>131224000</v>
      </c>
      <c r="L8" s="2935">
        <f t="shared" si="1"/>
        <v>22027036</v>
      </c>
      <c r="M8" s="2553">
        <f t="shared" si="1"/>
        <v>153251036</v>
      </c>
      <c r="N8" s="2553">
        <f>SUM(N9:N13)</f>
        <v>26518944</v>
      </c>
      <c r="O8" s="2930">
        <f>SUM(O9:O13)</f>
        <v>179769980</v>
      </c>
      <c r="P8" s="2935"/>
      <c r="Q8" s="2930">
        <f>SUM(Q9:Q13)</f>
        <v>179769982</v>
      </c>
      <c r="R8" s="2930">
        <f>SUM(R9:R13)</f>
        <v>122836960</v>
      </c>
      <c r="S8" s="2954">
        <f t="shared" si="1"/>
        <v>0</v>
      </c>
      <c r="T8" s="2956"/>
      <c r="U8" s="2956"/>
      <c r="V8" s="2956"/>
      <c r="W8" s="3204"/>
      <c r="X8" s="2954"/>
      <c r="Y8" s="2956"/>
      <c r="Z8" s="3204"/>
      <c r="AA8" s="2954">
        <f>SUM(AA9:AA13)</f>
        <v>0</v>
      </c>
      <c r="AB8" s="2956"/>
      <c r="AC8" s="2956"/>
      <c r="AD8" s="2956"/>
      <c r="AE8" s="3204"/>
      <c r="AF8" s="2954"/>
      <c r="AG8" s="2956"/>
      <c r="AH8" s="2956"/>
      <c r="AI8" s="3526">
        <f>SUM(AI9:AI13)</f>
        <v>0</v>
      </c>
      <c r="AJ8" s="3526">
        <f>SUM(AJ9:AJ13)</f>
        <v>0</v>
      </c>
      <c r="AK8" s="3526">
        <f>SUM(AK9:AK13)</f>
        <v>0</v>
      </c>
      <c r="AL8" s="3526">
        <f>SUM(AL9:AL13)</f>
        <v>0</v>
      </c>
      <c r="AM8" s="3528">
        <f>SUM(AM9:AM13)</f>
        <v>0</v>
      </c>
      <c r="AN8" s="3033"/>
      <c r="AO8" s="3526"/>
      <c r="AP8" s="3528"/>
      <c r="AQ8" s="2954">
        <f>SUM(AQ9:AQ13)</f>
        <v>0</v>
      </c>
      <c r="AR8" s="2956"/>
      <c r="AS8" s="2956"/>
      <c r="AT8" s="2956"/>
      <c r="AU8" s="3204"/>
      <c r="AV8" s="2954"/>
      <c r="AW8" s="2956"/>
      <c r="AX8" s="3204"/>
      <c r="AY8" s="2954">
        <f>SUM(AY9:AY13)</f>
        <v>0</v>
      </c>
      <c r="AZ8" s="2956"/>
      <c r="BA8" s="2956"/>
      <c r="BB8" s="2956"/>
      <c r="BC8" s="3204"/>
      <c r="BD8" s="2954"/>
      <c r="BE8" s="2956"/>
      <c r="BF8" s="2956"/>
      <c r="BG8" s="2956">
        <f>SUM(BG9:BG13)</f>
        <v>0</v>
      </c>
      <c r="BH8" s="2956"/>
      <c r="BI8" s="2956"/>
      <c r="BJ8" s="2956"/>
      <c r="BK8" s="3204"/>
      <c r="BL8" s="2954"/>
      <c r="BM8" s="2956"/>
      <c r="BN8" s="2956"/>
      <c r="BO8" s="2956">
        <f>SUM(BO9:BO13)</f>
        <v>0</v>
      </c>
      <c r="BP8" s="2956"/>
      <c r="BQ8" s="2956"/>
      <c r="BR8" s="2956"/>
      <c r="BS8" s="3204"/>
      <c r="BT8" s="2954"/>
      <c r="BU8" s="2956"/>
      <c r="BV8" s="2956"/>
      <c r="BW8" s="2956"/>
      <c r="BX8" s="2956"/>
      <c r="BY8" s="2956"/>
      <c r="BZ8" s="2956"/>
      <c r="CA8" s="3204"/>
      <c r="CB8" s="2954"/>
      <c r="CC8" s="3940"/>
      <c r="CD8" s="3204"/>
      <c r="CE8" s="2954">
        <f>SUM(CE9:CE13)</f>
        <v>0</v>
      </c>
      <c r="CF8" s="2956">
        <f>SUM(CF9:CF13)</f>
        <v>0</v>
      </c>
      <c r="CG8" s="2956">
        <f>SUM(CG9:CG13)</f>
        <v>22027036</v>
      </c>
      <c r="CH8" s="2956">
        <f>SUM(CH9:CH13)</f>
        <v>10981662</v>
      </c>
      <c r="CI8" s="3204">
        <f>SUM(CI9:CI13)</f>
        <v>22027036</v>
      </c>
      <c r="CJ8" s="3940"/>
      <c r="CK8" s="2956">
        <f t="shared" ref="CK8:CL8" si="3">SUM(CK9:CK13)</f>
        <v>22027036</v>
      </c>
      <c r="CL8" s="3208">
        <f t="shared" si="3"/>
        <v>22027036</v>
      </c>
      <c r="CM8" s="2951"/>
      <c r="CN8" s="2951"/>
      <c r="CO8" s="2951"/>
      <c r="CP8" s="2951"/>
      <c r="CQ8" s="3204"/>
      <c r="CR8" s="2951"/>
      <c r="CS8" s="2951"/>
      <c r="CT8" s="3203"/>
      <c r="CU8" s="2935">
        <f t="shared" si="0"/>
        <v>131224000</v>
      </c>
      <c r="CV8" s="2553">
        <f t="shared" si="0"/>
        <v>22027036</v>
      </c>
      <c r="CW8" s="2553">
        <f t="shared" si="0"/>
        <v>131224000</v>
      </c>
      <c r="CX8" s="2553">
        <f t="shared" si="0"/>
        <v>15537282</v>
      </c>
      <c r="CY8" s="2930">
        <f t="shared" si="0"/>
        <v>157742944</v>
      </c>
      <c r="CZ8" s="2935">
        <f t="shared" si="0"/>
        <v>0</v>
      </c>
      <c r="DA8" s="2553">
        <f t="shared" si="0"/>
        <v>157742946</v>
      </c>
      <c r="DB8" s="2553">
        <f t="shared" si="0"/>
        <v>100809924</v>
      </c>
      <c r="DC8" s="2553"/>
      <c r="DD8" s="2553"/>
      <c r="DE8" s="2553"/>
      <c r="DF8" s="3220"/>
      <c r="DG8" s="2934"/>
      <c r="DH8" s="3215"/>
      <c r="DI8" s="3196"/>
      <c r="DJ8" s="2934"/>
      <c r="DK8" s="2931"/>
      <c r="DL8" s="2931"/>
    </row>
    <row r="9" spans="1:116" ht="20.25" customHeight="1" x14ac:dyDescent="0.25">
      <c r="A9" s="2468" t="s">
        <v>1328</v>
      </c>
      <c r="B9" s="2397"/>
      <c r="C9" s="2949">
        <v>0</v>
      </c>
      <c r="D9" s="3195"/>
      <c r="E9" s="2939"/>
      <c r="F9" s="2939"/>
      <c r="G9" s="2950"/>
      <c r="H9" s="2950"/>
      <c r="I9" s="3195"/>
      <c r="J9" s="2950"/>
      <c r="K9" s="3190">
        <f t="shared" ref="K9:O13" si="4">SUM(C9)</f>
        <v>0</v>
      </c>
      <c r="L9" s="2939">
        <f t="shared" si="4"/>
        <v>0</v>
      </c>
      <c r="M9" s="2939">
        <f t="shared" si="4"/>
        <v>0</v>
      </c>
      <c r="N9" s="2939">
        <f t="shared" si="4"/>
        <v>0</v>
      </c>
      <c r="O9" s="2950">
        <f t="shared" si="4"/>
        <v>0</v>
      </c>
      <c r="P9" s="3190"/>
      <c r="Q9" s="2950">
        <f t="shared" ref="Q9:R13" si="5">SUM(I9)</f>
        <v>0</v>
      </c>
      <c r="R9" s="2950">
        <f t="shared" si="5"/>
        <v>0</v>
      </c>
      <c r="S9" s="2957"/>
      <c r="T9" s="2958"/>
      <c r="U9" s="2959"/>
      <c r="V9" s="2959"/>
      <c r="W9" s="3205"/>
      <c r="X9" s="2957"/>
      <c r="Y9" s="2959"/>
      <c r="Z9" s="3205"/>
      <c r="AA9" s="2957"/>
      <c r="AB9" s="2958"/>
      <c r="AC9" s="2959"/>
      <c r="AD9" s="2959"/>
      <c r="AE9" s="3205"/>
      <c r="AF9" s="2957"/>
      <c r="AG9" s="2959"/>
      <c r="AH9" s="2959"/>
      <c r="AI9" s="3529"/>
      <c r="AJ9" s="3530"/>
      <c r="AK9" s="3529"/>
      <c r="AL9" s="3529"/>
      <c r="AM9" s="3531"/>
      <c r="AN9" s="3212"/>
      <c r="AO9" s="3529"/>
      <c r="AP9" s="3531"/>
      <c r="AQ9" s="2957"/>
      <c r="AR9" s="2958"/>
      <c r="AS9" s="2959"/>
      <c r="AT9" s="2959"/>
      <c r="AU9" s="3205"/>
      <c r="AV9" s="2957"/>
      <c r="AW9" s="2959"/>
      <c r="AX9" s="3205"/>
      <c r="AY9" s="2957"/>
      <c r="AZ9" s="2958"/>
      <c r="BA9" s="2959"/>
      <c r="BB9" s="2959"/>
      <c r="BC9" s="3205"/>
      <c r="BD9" s="2957"/>
      <c r="BE9" s="2959"/>
      <c r="BF9" s="2959"/>
      <c r="BG9" s="2959"/>
      <c r="BH9" s="2958"/>
      <c r="BI9" s="2959"/>
      <c r="BJ9" s="2959"/>
      <c r="BK9" s="3205"/>
      <c r="BL9" s="2957"/>
      <c r="BM9" s="2959"/>
      <c r="BN9" s="2959"/>
      <c r="BO9" s="2959"/>
      <c r="BP9" s="2958"/>
      <c r="BQ9" s="2959"/>
      <c r="BR9" s="2959"/>
      <c r="BS9" s="3205"/>
      <c r="BT9" s="2957"/>
      <c r="BU9" s="2959"/>
      <c r="BV9" s="2959"/>
      <c r="BW9" s="2959"/>
      <c r="BX9" s="2958"/>
      <c r="BY9" s="2959"/>
      <c r="BZ9" s="2959"/>
      <c r="CA9" s="3205"/>
      <c r="CB9" s="2957"/>
      <c r="CC9" s="3953"/>
      <c r="CD9" s="3205"/>
      <c r="CE9" s="2957"/>
      <c r="CF9" s="2958"/>
      <c r="CG9" s="2959"/>
      <c r="CH9" s="3039"/>
      <c r="CI9" s="3224"/>
      <c r="CJ9" s="3952"/>
      <c r="CK9" s="3960"/>
      <c r="CL9" s="3949"/>
      <c r="CM9" s="3039"/>
      <c r="CN9" s="3039"/>
      <c r="CO9" s="3039"/>
      <c r="CP9" s="3039"/>
      <c r="CQ9" s="3205"/>
      <c r="CR9" s="3039"/>
      <c r="CS9" s="3039"/>
      <c r="CT9" s="3224"/>
      <c r="CU9" s="2936">
        <f t="shared" ref="CU9:DB14" si="6">SUM(K9-S9-AA9-AI9-AQ9-AY9-BG9-BO9-CE9)-BW9</f>
        <v>0</v>
      </c>
      <c r="CV9" s="2465">
        <f t="shared" si="6"/>
        <v>0</v>
      </c>
      <c r="CW9" s="2465">
        <f t="shared" si="6"/>
        <v>0</v>
      </c>
      <c r="CX9" s="2465">
        <f t="shared" si="6"/>
        <v>0</v>
      </c>
      <c r="CY9" s="2466">
        <f t="shared" si="6"/>
        <v>0</v>
      </c>
      <c r="CZ9" s="2936">
        <f t="shared" si="6"/>
        <v>0</v>
      </c>
      <c r="DA9" s="2465">
        <f t="shared" si="6"/>
        <v>0</v>
      </c>
      <c r="DB9" s="2465">
        <f t="shared" si="6"/>
        <v>0</v>
      </c>
      <c r="DC9" s="2465"/>
      <c r="DD9" s="2465"/>
      <c r="DE9" s="2465"/>
      <c r="DF9" s="3183"/>
      <c r="DG9" s="2467"/>
      <c r="DH9" s="3216"/>
      <c r="DI9" s="3965"/>
      <c r="DJ9" s="2467"/>
      <c r="DK9" s="2464"/>
      <c r="DL9" s="2464"/>
    </row>
    <row r="10" spans="1:116" ht="20.25" customHeight="1" x14ac:dyDescent="0.25">
      <c r="A10" s="2468" t="s">
        <v>1329</v>
      </c>
      <c r="B10" s="2397"/>
      <c r="C10" s="2949">
        <f>SUM('3.2 Cofogos'!E80)</f>
        <v>38100000</v>
      </c>
      <c r="D10" s="3195">
        <f>SUM('3.2 Cofogos'!F80)</f>
        <v>0</v>
      </c>
      <c r="E10" s="2939">
        <f>SUM('3.2 Cofogos'!G80)</f>
        <v>38100000</v>
      </c>
      <c r="F10" s="2939">
        <f>SUM('3.2 Cofogos'!H80)</f>
        <v>217135</v>
      </c>
      <c r="G10" s="2950">
        <f>SUM('3.2 Cofogos'!I80)</f>
        <v>38317135</v>
      </c>
      <c r="H10" s="2950"/>
      <c r="I10" s="3195">
        <f>SUM('3.2 Cofogos'!K80)</f>
        <v>38317135</v>
      </c>
      <c r="J10" s="2950">
        <f>SUM('3.2 Cofogos'!L80)</f>
        <v>27969836</v>
      </c>
      <c r="K10" s="3190">
        <f t="shared" si="4"/>
        <v>38100000</v>
      </c>
      <c r="L10" s="2939">
        <f t="shared" si="4"/>
        <v>0</v>
      </c>
      <c r="M10" s="2939">
        <f t="shared" si="4"/>
        <v>38100000</v>
      </c>
      <c r="N10" s="2939">
        <f t="shared" si="4"/>
        <v>217135</v>
      </c>
      <c r="O10" s="2950">
        <f t="shared" si="4"/>
        <v>38317135</v>
      </c>
      <c r="P10" s="3190"/>
      <c r="Q10" s="2950">
        <f t="shared" si="5"/>
        <v>38317135</v>
      </c>
      <c r="R10" s="2950">
        <f t="shared" si="5"/>
        <v>27969836</v>
      </c>
      <c r="S10" s="2957"/>
      <c r="T10" s="2958"/>
      <c r="U10" s="2959"/>
      <c r="V10" s="2959"/>
      <c r="W10" s="3205"/>
      <c r="X10" s="2957"/>
      <c r="Y10" s="2959"/>
      <c r="Z10" s="3205"/>
      <c r="AA10" s="2957"/>
      <c r="AB10" s="2958"/>
      <c r="AC10" s="2959"/>
      <c r="AD10" s="2959"/>
      <c r="AE10" s="3205"/>
      <c r="AF10" s="2957"/>
      <c r="AG10" s="2959"/>
      <c r="AH10" s="2959"/>
      <c r="AI10" s="3529"/>
      <c r="AJ10" s="3530"/>
      <c r="AK10" s="3529"/>
      <c r="AL10" s="3529"/>
      <c r="AM10" s="3531"/>
      <c r="AN10" s="3212"/>
      <c r="AO10" s="3529"/>
      <c r="AP10" s="3531"/>
      <c r="AQ10" s="2957"/>
      <c r="AR10" s="2958"/>
      <c r="AS10" s="2959"/>
      <c r="AT10" s="2959"/>
      <c r="AU10" s="3205"/>
      <c r="AV10" s="2957"/>
      <c r="AW10" s="2959"/>
      <c r="AX10" s="3205"/>
      <c r="AY10" s="2957"/>
      <c r="AZ10" s="2958"/>
      <c r="BA10" s="2959"/>
      <c r="BB10" s="2959"/>
      <c r="BC10" s="3205"/>
      <c r="BD10" s="2957"/>
      <c r="BE10" s="2959"/>
      <c r="BF10" s="2959"/>
      <c r="BG10" s="2959"/>
      <c r="BH10" s="2958"/>
      <c r="BI10" s="2959"/>
      <c r="BJ10" s="2959"/>
      <c r="BK10" s="3205"/>
      <c r="BL10" s="2957"/>
      <c r="BM10" s="2959"/>
      <c r="BN10" s="2959"/>
      <c r="BO10" s="2959"/>
      <c r="BP10" s="2958"/>
      <c r="BQ10" s="2959"/>
      <c r="BR10" s="2959"/>
      <c r="BS10" s="3205"/>
      <c r="BT10" s="2957"/>
      <c r="BU10" s="2959"/>
      <c r="BV10" s="2959"/>
      <c r="BW10" s="2959"/>
      <c r="BX10" s="2958"/>
      <c r="BY10" s="2959"/>
      <c r="BZ10" s="2959"/>
      <c r="CA10" s="3205"/>
      <c r="CB10" s="2957"/>
      <c r="CC10" s="3953"/>
      <c r="CD10" s="3205"/>
      <c r="CE10" s="2957"/>
      <c r="CF10" s="2958"/>
      <c r="CG10" s="2959"/>
      <c r="CH10" s="3039"/>
      <c r="CI10" s="3224"/>
      <c r="CJ10" s="3952"/>
      <c r="CK10" s="3960"/>
      <c r="CL10" s="3949"/>
      <c r="CM10" s="3039"/>
      <c r="CN10" s="3039"/>
      <c r="CO10" s="3039"/>
      <c r="CP10" s="3039"/>
      <c r="CQ10" s="3205"/>
      <c r="CR10" s="3039"/>
      <c r="CS10" s="3039"/>
      <c r="CT10" s="3224"/>
      <c r="CU10" s="2936">
        <f t="shared" si="6"/>
        <v>38100000</v>
      </c>
      <c r="CV10" s="2465">
        <f t="shared" si="6"/>
        <v>0</v>
      </c>
      <c r="CW10" s="2465">
        <f t="shared" si="6"/>
        <v>38100000</v>
      </c>
      <c r="CX10" s="2465">
        <f t="shared" si="6"/>
        <v>217135</v>
      </c>
      <c r="CY10" s="2466">
        <f t="shared" si="6"/>
        <v>38317135</v>
      </c>
      <c r="CZ10" s="2936">
        <f t="shared" si="6"/>
        <v>0</v>
      </c>
      <c r="DA10" s="2465">
        <f t="shared" si="6"/>
        <v>38317135</v>
      </c>
      <c r="DB10" s="2465">
        <f t="shared" si="6"/>
        <v>27969836</v>
      </c>
      <c r="DC10" s="2465"/>
      <c r="DD10" s="2465"/>
      <c r="DE10" s="2465"/>
      <c r="DF10" s="3183"/>
      <c r="DG10" s="2467"/>
      <c r="DH10" s="3216"/>
      <c r="DI10" s="3965"/>
      <c r="DJ10" s="2467"/>
      <c r="DK10" s="2464"/>
      <c r="DL10" s="2464" t="s">
        <v>875</v>
      </c>
    </row>
    <row r="11" spans="1:116" ht="20.25" customHeight="1" x14ac:dyDescent="0.25">
      <c r="A11" s="2468" t="s">
        <v>1330</v>
      </c>
      <c r="B11" s="2397"/>
      <c r="C11" s="2949">
        <v>800000</v>
      </c>
      <c r="D11" s="3188"/>
      <c r="E11" s="2939">
        <v>800000</v>
      </c>
      <c r="F11" s="2939"/>
      <c r="G11" s="2950">
        <v>800000</v>
      </c>
      <c r="H11" s="2950"/>
      <c r="I11" s="3195">
        <v>800002</v>
      </c>
      <c r="J11" s="2949">
        <v>800000</v>
      </c>
      <c r="K11" s="3190">
        <f t="shared" si="4"/>
        <v>800000</v>
      </c>
      <c r="L11" s="2939">
        <f t="shared" si="4"/>
        <v>0</v>
      </c>
      <c r="M11" s="2939">
        <f t="shared" si="4"/>
        <v>800000</v>
      </c>
      <c r="N11" s="2939">
        <f t="shared" si="4"/>
        <v>0</v>
      </c>
      <c r="O11" s="2950">
        <f t="shared" si="4"/>
        <v>800000</v>
      </c>
      <c r="P11" s="3190"/>
      <c r="Q11" s="2950">
        <f t="shared" si="5"/>
        <v>800002</v>
      </c>
      <c r="R11" s="2950">
        <f t="shared" si="5"/>
        <v>800000</v>
      </c>
      <c r="S11" s="2957"/>
      <c r="T11" s="2958"/>
      <c r="U11" s="2959"/>
      <c r="V11" s="2959"/>
      <c r="W11" s="3205"/>
      <c r="X11" s="2957"/>
      <c r="Y11" s="2959"/>
      <c r="Z11" s="3205"/>
      <c r="AA11" s="2957"/>
      <c r="AB11" s="2958"/>
      <c r="AC11" s="2959"/>
      <c r="AD11" s="2959"/>
      <c r="AE11" s="3205"/>
      <c r="AF11" s="2957"/>
      <c r="AG11" s="2959"/>
      <c r="AH11" s="2959"/>
      <c r="AI11" s="3529"/>
      <c r="AJ11" s="3530"/>
      <c r="AK11" s="3529"/>
      <c r="AL11" s="3529"/>
      <c r="AM11" s="3531"/>
      <c r="AN11" s="3212"/>
      <c r="AO11" s="3529"/>
      <c r="AP11" s="3531"/>
      <c r="AQ11" s="2957"/>
      <c r="AR11" s="2958"/>
      <c r="AS11" s="2959"/>
      <c r="AT11" s="2959"/>
      <c r="AU11" s="3205"/>
      <c r="AV11" s="2957"/>
      <c r="AW11" s="2959"/>
      <c r="AX11" s="3205"/>
      <c r="AY11" s="2957"/>
      <c r="AZ11" s="2958"/>
      <c r="BA11" s="2959"/>
      <c r="BB11" s="2959"/>
      <c r="BC11" s="3205"/>
      <c r="BD11" s="2957"/>
      <c r="BE11" s="2959"/>
      <c r="BF11" s="2959"/>
      <c r="BG11" s="2959"/>
      <c r="BH11" s="2958"/>
      <c r="BI11" s="2959"/>
      <c r="BJ11" s="2959"/>
      <c r="BK11" s="3205"/>
      <c r="BL11" s="2957"/>
      <c r="BM11" s="2959"/>
      <c r="BN11" s="2959"/>
      <c r="BO11" s="2959"/>
      <c r="BP11" s="2958"/>
      <c r="BQ11" s="2959"/>
      <c r="BR11" s="2959"/>
      <c r="BS11" s="3205"/>
      <c r="BT11" s="2957"/>
      <c r="BU11" s="2959"/>
      <c r="BV11" s="2959"/>
      <c r="BW11" s="2959"/>
      <c r="BX11" s="2958"/>
      <c r="BY11" s="2959"/>
      <c r="BZ11" s="2959"/>
      <c r="CA11" s="3205"/>
      <c r="CB11" s="2957"/>
      <c r="CC11" s="3953"/>
      <c r="CD11" s="3205"/>
      <c r="CE11" s="2957"/>
      <c r="CF11" s="2958"/>
      <c r="CG11" s="2959"/>
      <c r="CH11" s="3039"/>
      <c r="CI11" s="3224"/>
      <c r="CJ11" s="3952"/>
      <c r="CK11" s="3960"/>
      <c r="CL11" s="3949"/>
      <c r="CM11" s="3039"/>
      <c r="CN11" s="3039"/>
      <c r="CO11" s="3039"/>
      <c r="CP11" s="3039"/>
      <c r="CQ11" s="3205"/>
      <c r="CR11" s="3039"/>
      <c r="CS11" s="3039"/>
      <c r="CT11" s="3224"/>
      <c r="CU11" s="2936">
        <f t="shared" si="6"/>
        <v>800000</v>
      </c>
      <c r="CV11" s="2465">
        <f t="shared" si="6"/>
        <v>0</v>
      </c>
      <c r="CW11" s="2465">
        <f t="shared" si="6"/>
        <v>800000</v>
      </c>
      <c r="CX11" s="2465">
        <f t="shared" si="6"/>
        <v>0</v>
      </c>
      <c r="CY11" s="2466">
        <f t="shared" si="6"/>
        <v>800000</v>
      </c>
      <c r="CZ11" s="2936">
        <f t="shared" si="6"/>
        <v>0</v>
      </c>
      <c r="DA11" s="2465">
        <f t="shared" si="6"/>
        <v>800002</v>
      </c>
      <c r="DB11" s="2465">
        <f t="shared" si="6"/>
        <v>800000</v>
      </c>
      <c r="DC11" s="2465"/>
      <c r="DD11" s="2465"/>
      <c r="DE11" s="2465"/>
      <c r="DF11" s="3183"/>
      <c r="DG11" s="2467"/>
      <c r="DH11" s="3216"/>
      <c r="DI11" s="3965"/>
      <c r="DJ11" s="2467"/>
      <c r="DK11" s="2464"/>
      <c r="DL11" s="2464"/>
    </row>
    <row r="12" spans="1:116" ht="20.25" customHeight="1" x14ac:dyDescent="0.25">
      <c r="A12" s="2468" t="s">
        <v>1331</v>
      </c>
      <c r="B12" s="2397"/>
      <c r="C12" s="2949">
        <f>SUM('3.2 Cofogos'!E75)</f>
        <v>40000000</v>
      </c>
      <c r="D12" s="3195">
        <f>SUM('3.2 Cofogos'!F75)</f>
        <v>10981662</v>
      </c>
      <c r="E12" s="2939">
        <f>SUM('3.2 Cofogos'!G75)</f>
        <v>50981662</v>
      </c>
      <c r="F12" s="2939">
        <f>SUM('3.2 Cofogos'!H75)</f>
        <v>18837310</v>
      </c>
      <c r="G12" s="2950">
        <f>SUM('3.2 Cofogos'!I75)</f>
        <v>69818972</v>
      </c>
      <c r="H12" s="2950"/>
      <c r="I12" s="3195">
        <f>SUM('3.2 Cofogos'!K75)</f>
        <v>69818972</v>
      </c>
      <c r="J12" s="2950">
        <f>SUM('3.2 Cofogos'!L75)</f>
        <v>40572158</v>
      </c>
      <c r="K12" s="3190">
        <f t="shared" si="4"/>
        <v>40000000</v>
      </c>
      <c r="L12" s="2939">
        <f t="shared" si="4"/>
        <v>10981662</v>
      </c>
      <c r="M12" s="2939">
        <f t="shared" si="4"/>
        <v>50981662</v>
      </c>
      <c r="N12" s="2939">
        <f t="shared" si="4"/>
        <v>18837310</v>
      </c>
      <c r="O12" s="2950">
        <f t="shared" si="4"/>
        <v>69818972</v>
      </c>
      <c r="P12" s="3190"/>
      <c r="Q12" s="2950">
        <f t="shared" si="5"/>
        <v>69818972</v>
      </c>
      <c r="R12" s="2950">
        <f t="shared" si="5"/>
        <v>40572158</v>
      </c>
      <c r="S12" s="2957"/>
      <c r="T12" s="2958"/>
      <c r="U12" s="2959"/>
      <c r="V12" s="2959"/>
      <c r="W12" s="3205"/>
      <c r="X12" s="2957"/>
      <c r="Y12" s="2959"/>
      <c r="Z12" s="3205"/>
      <c r="AA12" s="2957"/>
      <c r="AB12" s="2958"/>
      <c r="AC12" s="2959"/>
      <c r="AD12" s="2959"/>
      <c r="AE12" s="3205"/>
      <c r="AF12" s="2957"/>
      <c r="AG12" s="2959"/>
      <c r="AH12" s="2959"/>
      <c r="AI12" s="3529"/>
      <c r="AJ12" s="3530"/>
      <c r="AK12" s="3529"/>
      <c r="AL12" s="3529"/>
      <c r="AM12" s="3531"/>
      <c r="AN12" s="3212"/>
      <c r="AO12" s="3529"/>
      <c r="AP12" s="3531"/>
      <c r="AQ12" s="2957"/>
      <c r="AR12" s="2958"/>
      <c r="AS12" s="2959"/>
      <c r="AT12" s="2959"/>
      <c r="AU12" s="3205"/>
      <c r="AV12" s="2957"/>
      <c r="AW12" s="2959"/>
      <c r="AX12" s="3205"/>
      <c r="AY12" s="2957"/>
      <c r="AZ12" s="2958"/>
      <c r="BA12" s="2959"/>
      <c r="BB12" s="2959"/>
      <c r="BC12" s="3205"/>
      <c r="BD12" s="2957"/>
      <c r="BE12" s="2959"/>
      <c r="BF12" s="2959"/>
      <c r="BG12" s="2959"/>
      <c r="BH12" s="2958"/>
      <c r="BI12" s="2959"/>
      <c r="BJ12" s="2959"/>
      <c r="BK12" s="3205"/>
      <c r="BL12" s="2957"/>
      <c r="BM12" s="2959"/>
      <c r="BN12" s="2959"/>
      <c r="BO12" s="2959"/>
      <c r="BP12" s="2958"/>
      <c r="BQ12" s="2959"/>
      <c r="BR12" s="2959"/>
      <c r="BS12" s="3205"/>
      <c r="BT12" s="2957"/>
      <c r="BU12" s="2959"/>
      <c r="BV12" s="2959"/>
      <c r="BW12" s="2959"/>
      <c r="BX12" s="2958"/>
      <c r="BY12" s="2959"/>
      <c r="BZ12" s="2959"/>
      <c r="CA12" s="3205"/>
      <c r="CB12" s="2957"/>
      <c r="CC12" s="3953"/>
      <c r="CD12" s="3205"/>
      <c r="CE12" s="2957"/>
      <c r="CF12" s="2958"/>
      <c r="CG12" s="2959">
        <v>10981662</v>
      </c>
      <c r="CH12" s="2959">
        <v>10981662</v>
      </c>
      <c r="CI12" s="3205">
        <v>10981662</v>
      </c>
      <c r="CJ12" s="3953"/>
      <c r="CK12" s="2959">
        <v>10981662</v>
      </c>
      <c r="CL12" s="3957">
        <v>10981662</v>
      </c>
      <c r="CM12" s="3039"/>
      <c r="CN12" s="3039"/>
      <c r="CO12" s="3039"/>
      <c r="CP12" s="3039"/>
      <c r="CQ12" s="3205"/>
      <c r="CR12" s="3039"/>
      <c r="CS12" s="3039"/>
      <c r="CT12" s="3224"/>
      <c r="CU12" s="2936">
        <f t="shared" si="6"/>
        <v>40000000</v>
      </c>
      <c r="CV12" s="2465">
        <f t="shared" si="6"/>
        <v>10981662</v>
      </c>
      <c r="CW12" s="2465">
        <f t="shared" si="6"/>
        <v>40000000</v>
      </c>
      <c r="CX12" s="2465">
        <f t="shared" si="6"/>
        <v>7855648</v>
      </c>
      <c r="CY12" s="2466">
        <f t="shared" si="6"/>
        <v>58837310</v>
      </c>
      <c r="CZ12" s="2936">
        <f t="shared" si="6"/>
        <v>0</v>
      </c>
      <c r="DA12" s="2465">
        <f t="shared" si="6"/>
        <v>58837310</v>
      </c>
      <c r="DB12" s="2465">
        <f t="shared" si="6"/>
        <v>29590496</v>
      </c>
      <c r="DC12" s="2465"/>
      <c r="DD12" s="2465"/>
      <c r="DE12" s="2465"/>
      <c r="DF12" s="3183"/>
      <c r="DG12" s="2467"/>
      <c r="DH12" s="3216"/>
      <c r="DI12" s="3965"/>
      <c r="DJ12" s="2467"/>
      <c r="DK12" s="2464"/>
      <c r="DL12" s="2464"/>
    </row>
    <row r="13" spans="1:116" ht="20.25" customHeight="1" x14ac:dyDescent="0.25">
      <c r="A13" s="2468" t="s">
        <v>1332</v>
      </c>
      <c r="B13" s="2397"/>
      <c r="C13" s="2949">
        <f>SUM('3.2 Cofogos'!E88)</f>
        <v>52324000</v>
      </c>
      <c r="D13" s="3195">
        <f>SUM('3.2 Cofogos'!F88)</f>
        <v>11045374</v>
      </c>
      <c r="E13" s="2939">
        <f>SUM('3.2 Cofogos'!G88)</f>
        <v>63369374</v>
      </c>
      <c r="F13" s="2939">
        <f>SUM('3.2 Cofogos'!H88)</f>
        <v>7464499</v>
      </c>
      <c r="G13" s="2950">
        <f>SUM('3.2 Cofogos'!I88)</f>
        <v>70833873</v>
      </c>
      <c r="H13" s="2950"/>
      <c r="I13" s="3195">
        <f>SUM('3.2 Cofogos'!K88)</f>
        <v>70833873</v>
      </c>
      <c r="J13" s="2950">
        <f>SUM('3.2 Cofogos'!L88)</f>
        <v>53494966</v>
      </c>
      <c r="K13" s="3190">
        <f t="shared" si="4"/>
        <v>52324000</v>
      </c>
      <c r="L13" s="2939">
        <f t="shared" si="4"/>
        <v>11045374</v>
      </c>
      <c r="M13" s="2939">
        <f t="shared" si="4"/>
        <v>63369374</v>
      </c>
      <c r="N13" s="2939">
        <f t="shared" si="4"/>
        <v>7464499</v>
      </c>
      <c r="O13" s="2950">
        <f t="shared" si="4"/>
        <v>70833873</v>
      </c>
      <c r="P13" s="3190"/>
      <c r="Q13" s="2950">
        <f t="shared" si="5"/>
        <v>70833873</v>
      </c>
      <c r="R13" s="2950">
        <f t="shared" si="5"/>
        <v>53494966</v>
      </c>
      <c r="S13" s="2957"/>
      <c r="T13" s="2958"/>
      <c r="U13" s="2959"/>
      <c r="V13" s="2959"/>
      <c r="W13" s="3205"/>
      <c r="X13" s="2957"/>
      <c r="Y13" s="2959"/>
      <c r="Z13" s="3205"/>
      <c r="AA13" s="2957"/>
      <c r="AB13" s="2958"/>
      <c r="AC13" s="2959"/>
      <c r="AD13" s="2959"/>
      <c r="AE13" s="3205"/>
      <c r="AF13" s="2957"/>
      <c r="AG13" s="2959"/>
      <c r="AH13" s="2959"/>
      <c r="AI13" s="3529"/>
      <c r="AJ13" s="3530"/>
      <c r="AK13" s="3529"/>
      <c r="AL13" s="3529"/>
      <c r="AM13" s="3531"/>
      <c r="AN13" s="3212"/>
      <c r="AO13" s="3529"/>
      <c r="AP13" s="3531"/>
      <c r="AQ13" s="2957"/>
      <c r="AR13" s="2958"/>
      <c r="AS13" s="2959"/>
      <c r="AT13" s="2959"/>
      <c r="AU13" s="3205"/>
      <c r="AV13" s="2957"/>
      <c r="AW13" s="2959"/>
      <c r="AX13" s="3957"/>
      <c r="AY13" s="2957"/>
      <c r="AZ13" s="2958"/>
      <c r="BA13" s="2959"/>
      <c r="BB13" s="2959"/>
      <c r="BC13" s="3205"/>
      <c r="BD13" s="2957"/>
      <c r="BE13" s="2959"/>
      <c r="BF13" s="2959"/>
      <c r="BG13" s="2959"/>
      <c r="BH13" s="2958"/>
      <c r="BI13" s="2959"/>
      <c r="BJ13" s="2959"/>
      <c r="BK13" s="3205"/>
      <c r="BL13" s="2957"/>
      <c r="BM13" s="2959"/>
      <c r="BN13" s="2959"/>
      <c r="BO13" s="2959"/>
      <c r="BP13" s="2958"/>
      <c r="BQ13" s="2959"/>
      <c r="BR13" s="2959"/>
      <c r="BS13" s="3205"/>
      <c r="BT13" s="2957"/>
      <c r="BU13" s="2959"/>
      <c r="BV13" s="2959"/>
      <c r="BW13" s="2959"/>
      <c r="BX13" s="2958"/>
      <c r="BY13" s="2959"/>
      <c r="BZ13" s="2959"/>
      <c r="CA13" s="3205"/>
      <c r="CB13" s="2957"/>
      <c r="CC13" s="3953"/>
      <c r="CD13" s="3205"/>
      <c r="CE13" s="2957"/>
      <c r="CF13" s="2958"/>
      <c r="CG13" s="2959">
        <f>SUM(D13)</f>
        <v>11045374</v>
      </c>
      <c r="CH13" s="3039"/>
      <c r="CI13" s="3224">
        <v>11045374</v>
      </c>
      <c r="CJ13" s="3952"/>
      <c r="CK13" s="3960">
        <v>11045374</v>
      </c>
      <c r="CL13" s="3949">
        <v>11045374</v>
      </c>
      <c r="CM13" s="3039"/>
      <c r="CN13" s="3039"/>
      <c r="CO13" s="3039"/>
      <c r="CP13" s="3039"/>
      <c r="CQ13" s="3205"/>
      <c r="CR13" s="3039"/>
      <c r="CS13" s="3039"/>
      <c r="CT13" s="3224"/>
      <c r="CU13" s="2936">
        <f t="shared" si="6"/>
        <v>52324000</v>
      </c>
      <c r="CV13" s="2465">
        <f t="shared" si="6"/>
        <v>11045374</v>
      </c>
      <c r="CW13" s="2465">
        <f t="shared" si="6"/>
        <v>52324000</v>
      </c>
      <c r="CX13" s="2465">
        <f t="shared" si="6"/>
        <v>7464499</v>
      </c>
      <c r="CY13" s="2466">
        <f t="shared" si="6"/>
        <v>59788499</v>
      </c>
      <c r="CZ13" s="2936">
        <f t="shared" si="6"/>
        <v>0</v>
      </c>
      <c r="DA13" s="2465">
        <f t="shared" si="6"/>
        <v>59788499</v>
      </c>
      <c r="DB13" s="2465">
        <f t="shared" si="6"/>
        <v>42449592</v>
      </c>
      <c r="DC13" s="2465"/>
      <c r="DD13" s="2465"/>
      <c r="DE13" s="2465"/>
      <c r="DF13" s="3183"/>
      <c r="DG13" s="2467"/>
      <c r="DH13" s="3216"/>
      <c r="DI13" s="3965"/>
      <c r="DJ13" s="2467"/>
      <c r="DK13" s="2464"/>
      <c r="DL13" s="2464"/>
    </row>
    <row r="14" spans="1:116" s="2932" customFormat="1" ht="20.25" customHeight="1" x14ac:dyDescent="0.2">
      <c r="A14" s="2933" t="s">
        <v>1333</v>
      </c>
      <c r="B14" s="2943"/>
      <c r="C14" s="2947">
        <f t="shared" ref="C14:S14" si="7">SUM(C15:C19)</f>
        <v>128030000</v>
      </c>
      <c r="D14" s="3188">
        <f t="shared" si="7"/>
        <v>0</v>
      </c>
      <c r="E14" s="2553">
        <f t="shared" si="7"/>
        <v>128030000</v>
      </c>
      <c r="F14" s="2553">
        <f t="shared" si="7"/>
        <v>-1678913</v>
      </c>
      <c r="G14" s="2930">
        <f t="shared" si="7"/>
        <v>126351087</v>
      </c>
      <c r="H14" s="2930"/>
      <c r="I14" s="3937">
        <f t="shared" ref="I14:J14" si="8">SUM(I15:I19)</f>
        <v>126351087</v>
      </c>
      <c r="J14" s="2930">
        <f t="shared" si="8"/>
        <v>126351087</v>
      </c>
      <c r="K14" s="2935">
        <f t="shared" si="7"/>
        <v>128030000</v>
      </c>
      <c r="L14" s="2935">
        <f t="shared" si="7"/>
        <v>0</v>
      </c>
      <c r="M14" s="2553">
        <f t="shared" si="7"/>
        <v>128030000</v>
      </c>
      <c r="N14" s="2553">
        <f>SUM(N15:N19)</f>
        <v>-1678913</v>
      </c>
      <c r="O14" s="2930">
        <f>SUM(O15:O19)</f>
        <v>126351087</v>
      </c>
      <c r="P14" s="2935"/>
      <c r="Q14" s="2930">
        <f>SUM(Q15:Q19)</f>
        <v>126351087</v>
      </c>
      <c r="R14" s="2930">
        <f>SUM(R15:R19)</f>
        <v>126351095</v>
      </c>
      <c r="S14" s="2954">
        <f t="shared" si="7"/>
        <v>0</v>
      </c>
      <c r="T14" s="2955"/>
      <c r="U14" s="2956"/>
      <c r="V14" s="2956"/>
      <c r="W14" s="3204"/>
      <c r="X14" s="2954"/>
      <c r="Y14" s="2956"/>
      <c r="Z14" s="3204"/>
      <c r="AA14" s="2954">
        <f>SUM(AA15:AA19)</f>
        <v>0</v>
      </c>
      <c r="AB14" s="2955"/>
      <c r="AC14" s="2956"/>
      <c r="AD14" s="2956"/>
      <c r="AE14" s="3204"/>
      <c r="AF14" s="2954"/>
      <c r="AG14" s="2956"/>
      <c r="AH14" s="2956"/>
      <c r="AI14" s="3526">
        <f t="shared" ref="AI14:AY14" si="9">SUM(AI15:AI19)</f>
        <v>5349000</v>
      </c>
      <c r="AJ14" s="3527">
        <f t="shared" si="9"/>
        <v>0</v>
      </c>
      <c r="AK14" s="3526">
        <f t="shared" si="9"/>
        <v>5349000</v>
      </c>
      <c r="AL14" s="3526">
        <f t="shared" si="9"/>
        <v>-175157</v>
      </c>
      <c r="AM14" s="3528">
        <f t="shared" si="9"/>
        <v>5173843</v>
      </c>
      <c r="AN14" s="3528">
        <f t="shared" ref="AN14:AO14" si="10">SUM(AN15:AN19)</f>
        <v>0</v>
      </c>
      <c r="AO14" s="3528">
        <f t="shared" si="10"/>
        <v>5173843</v>
      </c>
      <c r="AP14" s="3528">
        <f t="shared" ref="AP14" si="11">SUM(AP15:AP19)</f>
        <v>5173843</v>
      </c>
      <c r="AQ14" s="2954">
        <f t="shared" si="9"/>
        <v>70681000</v>
      </c>
      <c r="AR14" s="2955">
        <f t="shared" si="9"/>
        <v>0</v>
      </c>
      <c r="AS14" s="2956">
        <f t="shared" si="9"/>
        <v>70681000</v>
      </c>
      <c r="AT14" s="2956">
        <f>SUM(AT15:AT19)</f>
        <v>-169900</v>
      </c>
      <c r="AU14" s="3204">
        <f>SUM(AU15:AU19)</f>
        <v>70511100</v>
      </c>
      <c r="AV14" s="3204"/>
      <c r="AW14" s="2956">
        <f t="shared" ref="AW14:AX14" si="12">SUM(AW15:AW19)</f>
        <v>70511100</v>
      </c>
      <c r="AX14" s="3208">
        <f t="shared" si="12"/>
        <v>70511108</v>
      </c>
      <c r="AY14" s="2954">
        <f t="shared" si="9"/>
        <v>0</v>
      </c>
      <c r="AZ14" s="2955"/>
      <c r="BA14" s="2956"/>
      <c r="BB14" s="2956"/>
      <c r="BC14" s="3204"/>
      <c r="BD14" s="2954"/>
      <c r="BE14" s="2956"/>
      <c r="BF14" s="2956"/>
      <c r="BG14" s="2956">
        <f>SUM(BG15:BG19)</f>
        <v>0</v>
      </c>
      <c r="BH14" s="2955"/>
      <c r="BI14" s="2956"/>
      <c r="BJ14" s="2956"/>
      <c r="BK14" s="3204"/>
      <c r="BL14" s="2954"/>
      <c r="BM14" s="2956"/>
      <c r="BN14" s="2956"/>
      <c r="BO14" s="2956">
        <f>SUM(BO15:BO19)</f>
        <v>0</v>
      </c>
      <c r="BP14" s="2955"/>
      <c r="BQ14" s="2956"/>
      <c r="BR14" s="2956"/>
      <c r="BS14" s="3204"/>
      <c r="BT14" s="2954"/>
      <c r="BU14" s="2956"/>
      <c r="BV14" s="2956"/>
      <c r="BW14" s="2956"/>
      <c r="BX14" s="2955"/>
      <c r="BY14" s="2956"/>
      <c r="BZ14" s="2956"/>
      <c r="CA14" s="3204"/>
      <c r="CB14" s="2954"/>
      <c r="CC14" s="3940"/>
      <c r="CD14" s="3204"/>
      <c r="CE14" s="2954">
        <f>SUM(CE15:CE19)</f>
        <v>0</v>
      </c>
      <c r="CF14" s="2955"/>
      <c r="CG14" s="2956"/>
      <c r="CH14" s="2951"/>
      <c r="CI14" s="3203"/>
      <c r="CJ14" s="3954"/>
      <c r="CK14" s="2953"/>
      <c r="CL14" s="3948"/>
      <c r="CM14" s="2951"/>
      <c r="CN14" s="2951"/>
      <c r="CO14" s="2951"/>
      <c r="CP14" s="2951"/>
      <c r="CQ14" s="3204"/>
      <c r="CR14" s="2951"/>
      <c r="CS14" s="2951"/>
      <c r="CT14" s="3203"/>
      <c r="CU14" s="2935">
        <f t="shared" si="6"/>
        <v>52000000</v>
      </c>
      <c r="CV14" s="2553">
        <f t="shared" si="6"/>
        <v>0</v>
      </c>
      <c r="CW14" s="2553">
        <f t="shared" si="6"/>
        <v>52000000</v>
      </c>
      <c r="CX14" s="2553">
        <f t="shared" si="6"/>
        <v>-1333856</v>
      </c>
      <c r="CY14" s="2930">
        <f t="shared" si="6"/>
        <v>50666144</v>
      </c>
      <c r="CZ14" s="2935">
        <f t="shared" si="6"/>
        <v>0</v>
      </c>
      <c r="DA14" s="2553">
        <f t="shared" si="6"/>
        <v>50666144</v>
      </c>
      <c r="DB14" s="2553">
        <f t="shared" si="6"/>
        <v>50666144</v>
      </c>
      <c r="DC14" s="2553"/>
      <c r="DD14" s="2553"/>
      <c r="DE14" s="2553"/>
      <c r="DF14" s="3220"/>
      <c r="DG14" s="2934"/>
      <c r="DH14" s="3215"/>
      <c r="DI14" s="3196"/>
      <c r="DJ14" s="2934"/>
      <c r="DK14" s="2931"/>
      <c r="DL14" s="2931"/>
    </row>
    <row r="15" spans="1:116" ht="20.25" customHeight="1" x14ac:dyDescent="0.25">
      <c r="A15" s="2468" t="s">
        <v>849</v>
      </c>
      <c r="B15" s="2397"/>
      <c r="C15" s="2949">
        <f>SUM('5.10.1. sz. mell.'!L60)</f>
        <v>37230000</v>
      </c>
      <c r="D15" s="3195">
        <f>SUM('5.10.1. sz. mell.'!M60)</f>
        <v>0</v>
      </c>
      <c r="E15" s="2939">
        <f>SUM('5.10.1. sz. mell.'!N60)</f>
        <v>37230000</v>
      </c>
      <c r="F15" s="2939">
        <f>SUM('5.10.1. sz. mell.'!O60)</f>
        <v>5113987</v>
      </c>
      <c r="G15" s="2950">
        <f>SUM('5.10.1. sz. mell.'!P60)</f>
        <v>42343987</v>
      </c>
      <c r="H15" s="2950"/>
      <c r="I15" s="3195">
        <f>SUM('5.10.1. sz. mell.'!R60)</f>
        <v>42343987</v>
      </c>
      <c r="J15" s="2950">
        <f>SUM('5.10.1. sz. mell.'!S60)</f>
        <v>42343987</v>
      </c>
      <c r="K15" s="3190">
        <f>SUM('5.10.1. sz. mell.'!L50)</f>
        <v>37230000</v>
      </c>
      <c r="L15" s="2939">
        <f>SUM('5.10.1. sz. mell.'!M50)</f>
        <v>0</v>
      </c>
      <c r="M15" s="2939">
        <f>SUM('5.10.1. sz. mell.'!N50)</f>
        <v>37230000</v>
      </c>
      <c r="N15" s="2939">
        <f>SUM('5.10.1. sz. mell.'!O50)</f>
        <v>5113987</v>
      </c>
      <c r="O15" s="2950">
        <f>SUM('5.10.1. sz. mell.'!P50)</f>
        <v>42343987</v>
      </c>
      <c r="P15" s="3190"/>
      <c r="Q15" s="2950">
        <f>SUM('5.10.1. sz. mell.'!R50)</f>
        <v>42343987</v>
      </c>
      <c r="R15" s="2950">
        <f>SUM('5.10.1. sz. mell.'!S50)</f>
        <v>42343987</v>
      </c>
      <c r="S15" s="2967"/>
      <c r="T15" s="2960"/>
      <c r="U15" s="2968"/>
      <c r="V15" s="2968"/>
      <c r="W15" s="3206"/>
      <c r="X15" s="2967"/>
      <c r="Y15" s="2968"/>
      <c r="Z15" s="3206"/>
      <c r="AA15" s="2967"/>
      <c r="AB15" s="2960"/>
      <c r="AC15" s="2968"/>
      <c r="AD15" s="2968"/>
      <c r="AE15" s="3206"/>
      <c r="AF15" s="2967"/>
      <c r="AG15" s="2968"/>
      <c r="AH15" s="2968"/>
      <c r="AI15" s="3532"/>
      <c r="AJ15" s="3533"/>
      <c r="AK15" s="3532"/>
      <c r="AL15" s="3532"/>
      <c r="AM15" s="3534"/>
      <c r="AN15" s="3534"/>
      <c r="AO15" s="3534"/>
      <c r="AP15" s="3534"/>
      <c r="AQ15" s="2967">
        <f>SUM('5.10.1. sz. mell.'!L43)</f>
        <v>19230000</v>
      </c>
      <c r="AR15" s="2960">
        <f>SUM('5.10.1. sz. mell.'!M43)</f>
        <v>0</v>
      </c>
      <c r="AS15" s="2968">
        <f>SUM('5.10.1. sz. mell.'!N43)</f>
        <v>19230000</v>
      </c>
      <c r="AT15" s="2968">
        <f>SUM('5.10.1. sz. mell.'!O43)</f>
        <v>96500</v>
      </c>
      <c r="AU15" s="3206">
        <f>SUM('5.10.1. sz. mell.'!P43)</f>
        <v>19326500</v>
      </c>
      <c r="AV15" s="3206"/>
      <c r="AW15" s="2968">
        <f>SUM('5.10.1. sz. mell.'!R43)</f>
        <v>19326500</v>
      </c>
      <c r="AX15" s="3958">
        <f>SUM('5.10.1. sz. mell.'!S43)</f>
        <v>19326500</v>
      </c>
      <c r="AY15" s="2967"/>
      <c r="AZ15" s="2960"/>
      <c r="BA15" s="2968"/>
      <c r="BB15" s="2968"/>
      <c r="BC15" s="3206"/>
      <c r="BD15" s="2967"/>
      <c r="BE15" s="2968"/>
      <c r="BF15" s="2968"/>
      <c r="BG15" s="2968"/>
      <c r="BH15" s="2960"/>
      <c r="BI15" s="2968"/>
      <c r="BJ15" s="2968"/>
      <c r="BK15" s="3206"/>
      <c r="BL15" s="2967"/>
      <c r="BM15" s="2968"/>
      <c r="BN15" s="2968"/>
      <c r="BO15" s="2968"/>
      <c r="BP15" s="2960"/>
      <c r="BQ15" s="2968"/>
      <c r="BR15" s="2968"/>
      <c r="BS15" s="3206"/>
      <c r="BT15" s="2967"/>
      <c r="BU15" s="2968"/>
      <c r="BV15" s="2968"/>
      <c r="BW15" s="2968"/>
      <c r="BX15" s="2960"/>
      <c r="BY15" s="2968"/>
      <c r="BZ15" s="2968"/>
      <c r="CA15" s="3206"/>
      <c r="CB15" s="2967"/>
      <c r="CC15" s="3942"/>
      <c r="CD15" s="3206"/>
      <c r="CE15" s="2967"/>
      <c r="CF15" s="2960"/>
      <c r="CG15" s="2968"/>
      <c r="CH15" s="3040"/>
      <c r="CI15" s="3225"/>
      <c r="CJ15" s="3955"/>
      <c r="CK15" s="3961"/>
      <c r="CL15" s="3950"/>
      <c r="CM15" s="3040"/>
      <c r="CN15" s="3040"/>
      <c r="CO15" s="3040"/>
      <c r="CP15" s="3040"/>
      <c r="CQ15" s="3206"/>
      <c r="CR15" s="3040"/>
      <c r="CS15" s="3040"/>
      <c r="CT15" s="3225"/>
      <c r="CU15" s="2937">
        <f t="shared" ref="CU15:CU55" si="13">SUM(K15-S15-AA15-AI15-AQ15-AY15-BG15-BO15-CE15)</f>
        <v>18000000</v>
      </c>
      <c r="CV15" s="2507">
        <f t="shared" ref="CV15:CV55" si="14">SUM(L15-T15-AB15-AJ15-AR15-AZ15-BH15-BP15-CF15)</f>
        <v>0</v>
      </c>
      <c r="CW15" s="2507">
        <f t="shared" ref="CW15:CW55" si="15">SUM(M15-U15-AC15-AK15-AS15-BA15-BI15-BQ15-CG15)</f>
        <v>18000000</v>
      </c>
      <c r="CX15" s="2507">
        <f t="shared" ref="CX15:CX55" si="16">SUM(N15-V15-AD15-AL15-AT15-BB15-BJ15-BR15-CH15)</f>
        <v>5017487</v>
      </c>
      <c r="CY15" s="2970">
        <f t="shared" ref="CY15:CY55" si="17">SUM(O15-W15-AE15-AM15-AU15-BC15-BK15-BS15-CI15)</f>
        <v>23017487</v>
      </c>
      <c r="CZ15" s="2937">
        <f t="shared" ref="CZ15:CZ55" si="18">SUM(P15-X15-AF15-AN15-AV15-BD15-BL15-BT15-CJ15)</f>
        <v>0</v>
      </c>
      <c r="DA15" s="2507">
        <f t="shared" ref="DA15:DB55" si="19">SUM(Q15-Y15-AG15-AO15-AW15-BE15-BM15-BU15-CK15)</f>
        <v>23017487</v>
      </c>
      <c r="DB15" s="2507">
        <f t="shared" si="19"/>
        <v>23017487</v>
      </c>
      <c r="DC15" s="2507"/>
      <c r="DD15" s="2465"/>
      <c r="DE15" s="2465"/>
      <c r="DF15" s="3183"/>
      <c r="DG15" s="2467"/>
      <c r="DH15" s="3216"/>
      <c r="DI15" s="3965"/>
      <c r="DJ15" s="2467"/>
      <c r="DK15" s="2464"/>
      <c r="DL15" s="2464"/>
    </row>
    <row r="16" spans="1:116" ht="20.25" customHeight="1" x14ac:dyDescent="0.25">
      <c r="A16" s="2468" t="s">
        <v>850</v>
      </c>
      <c r="B16" s="2397"/>
      <c r="C16" s="2949">
        <f>SUM('5.10.1. sz. mell.'!L87)</f>
        <v>13749000</v>
      </c>
      <c r="D16" s="3195">
        <f>SUM('5.10.1. sz. mell.'!M87)</f>
        <v>0</v>
      </c>
      <c r="E16" s="2939">
        <f>SUM('5.10.1. sz. mell.'!N87)</f>
        <v>13749000</v>
      </c>
      <c r="F16" s="2939">
        <f>SUM('5.10.1. sz. mell.'!O87)</f>
        <v>1579363</v>
      </c>
      <c r="G16" s="2950">
        <f>SUM('5.10.1. sz. mell.'!P87)</f>
        <v>15328363</v>
      </c>
      <c r="H16" s="2950"/>
      <c r="I16" s="3195">
        <f>SUM('5.10.1. sz. mell.'!R87)</f>
        <v>15328363</v>
      </c>
      <c r="J16" s="2950">
        <f>SUM('5.10.1. sz. mell.'!S87)</f>
        <v>15328363</v>
      </c>
      <c r="K16" s="3190">
        <f>SUM('5.10.1. sz. mell.'!L77)</f>
        <v>13749000</v>
      </c>
      <c r="L16" s="2939">
        <f>SUM('5.10.1. sz. mell.'!M77)</f>
        <v>0</v>
      </c>
      <c r="M16" s="2939">
        <f>SUM('5.10.1. sz. mell.'!N77)</f>
        <v>13749000</v>
      </c>
      <c r="N16" s="2939">
        <f>SUM('5.10.1. sz. mell.'!O77)</f>
        <v>1579363</v>
      </c>
      <c r="O16" s="2950">
        <f>SUM('5.10.1. sz. mell.'!P77)</f>
        <v>15328363</v>
      </c>
      <c r="P16" s="3190"/>
      <c r="Q16" s="2950">
        <f>SUM('5.10.1. sz. mell.'!R77)</f>
        <v>15328363</v>
      </c>
      <c r="R16" s="2950">
        <f>SUM('5.10.1. sz. mell.'!S77)</f>
        <v>15328363</v>
      </c>
      <c r="S16" s="2967"/>
      <c r="T16" s="2960"/>
      <c r="U16" s="2968"/>
      <c r="V16" s="2968"/>
      <c r="W16" s="3206"/>
      <c r="X16" s="2967"/>
      <c r="Y16" s="2968"/>
      <c r="Z16" s="3206"/>
      <c r="AA16" s="2967"/>
      <c r="AB16" s="2960"/>
      <c r="AC16" s="2968"/>
      <c r="AD16" s="2968"/>
      <c r="AE16" s="3206"/>
      <c r="AF16" s="2967"/>
      <c r="AG16" s="2968"/>
      <c r="AH16" s="2968"/>
      <c r="AI16" s="3532">
        <f>SUM('5.10.1. sz. mell.'!L64)</f>
        <v>2749000</v>
      </c>
      <c r="AJ16" s="3533">
        <f>SUM('5.10.1. sz. mell.'!M64)</f>
        <v>0</v>
      </c>
      <c r="AK16" s="3532">
        <f>SUM('5.10.1. sz. mell.'!N64)</f>
        <v>2749000</v>
      </c>
      <c r="AL16" s="3532">
        <f>SUM('5.10.1. sz. mell.'!O64)</f>
        <v>-153529</v>
      </c>
      <c r="AM16" s="3534">
        <f>SUM('5.10.1. sz. mell.'!P64)</f>
        <v>2595471</v>
      </c>
      <c r="AN16" s="3534">
        <f>SUM('5.10.1. sz. mell.'!Q64)</f>
        <v>0</v>
      </c>
      <c r="AO16" s="3534">
        <f>SUM('5.10.1. sz. mell.'!R64)</f>
        <v>2595471</v>
      </c>
      <c r="AP16" s="3534">
        <f>SUM('5.10.1. sz. mell.'!S64)</f>
        <v>2595471</v>
      </c>
      <c r="AQ16" s="2967">
        <f>SUM('5.10.1. sz. mell.'!L70)</f>
        <v>0</v>
      </c>
      <c r="AR16" s="2960">
        <f>SUM('5.10.1. sz. mell.'!M70)</f>
        <v>0</v>
      </c>
      <c r="AS16" s="2968">
        <f>SUM('5.10.1. sz. mell.'!N70)</f>
        <v>0</v>
      </c>
      <c r="AT16" s="2968">
        <f>SUM('5.10.1. sz. mell.'!O70)</f>
        <v>0</v>
      </c>
      <c r="AU16" s="3206">
        <f>SUM('5.10.1. sz. mell.'!P70)</f>
        <v>0</v>
      </c>
      <c r="AV16" s="3206"/>
      <c r="AW16" s="2968">
        <f>SUM('5.10.1. sz. mell.'!R70)</f>
        <v>0</v>
      </c>
      <c r="AX16" s="3958">
        <f>SUM('5.10.1. sz. mell.'!S70)</f>
        <v>0</v>
      </c>
      <c r="AY16" s="2967"/>
      <c r="AZ16" s="2960"/>
      <c r="BA16" s="2968"/>
      <c r="BB16" s="2968"/>
      <c r="BC16" s="3206"/>
      <c r="BD16" s="2967"/>
      <c r="BE16" s="2968"/>
      <c r="BF16" s="2968"/>
      <c r="BG16" s="2968"/>
      <c r="BH16" s="2960"/>
      <c r="BI16" s="2968"/>
      <c r="BJ16" s="2968"/>
      <c r="BK16" s="3206"/>
      <c r="BL16" s="2967"/>
      <c r="BM16" s="2968"/>
      <c r="BN16" s="2968"/>
      <c r="BO16" s="2968"/>
      <c r="BP16" s="2960"/>
      <c r="BQ16" s="2968"/>
      <c r="BR16" s="2968"/>
      <c r="BS16" s="3206"/>
      <c r="BT16" s="2967"/>
      <c r="BU16" s="2968"/>
      <c r="BV16" s="2968"/>
      <c r="BW16" s="2968"/>
      <c r="BX16" s="2960"/>
      <c r="BY16" s="2968"/>
      <c r="BZ16" s="2968"/>
      <c r="CA16" s="3206"/>
      <c r="CB16" s="2967"/>
      <c r="CC16" s="3942"/>
      <c r="CD16" s="3206"/>
      <c r="CE16" s="2967"/>
      <c r="CF16" s="2960"/>
      <c r="CG16" s="2968"/>
      <c r="CH16" s="3040"/>
      <c r="CI16" s="3225"/>
      <c r="CJ16" s="3955"/>
      <c r="CK16" s="3961"/>
      <c r="CL16" s="3950"/>
      <c r="CM16" s="3040"/>
      <c r="CN16" s="3040"/>
      <c r="CO16" s="3040"/>
      <c r="CP16" s="3040"/>
      <c r="CQ16" s="3206"/>
      <c r="CR16" s="3040"/>
      <c r="CS16" s="3040"/>
      <c r="CT16" s="3225"/>
      <c r="CU16" s="2937">
        <f t="shared" si="13"/>
        <v>11000000</v>
      </c>
      <c r="CV16" s="2507">
        <f t="shared" si="14"/>
        <v>0</v>
      </c>
      <c r="CW16" s="2507">
        <f t="shared" si="15"/>
        <v>11000000</v>
      </c>
      <c r="CX16" s="2507">
        <f t="shared" si="16"/>
        <v>1732892</v>
      </c>
      <c r="CY16" s="2970">
        <f t="shared" si="17"/>
        <v>12732892</v>
      </c>
      <c r="CZ16" s="2937">
        <f t="shared" si="18"/>
        <v>0</v>
      </c>
      <c r="DA16" s="2507">
        <f t="shared" si="19"/>
        <v>12732892</v>
      </c>
      <c r="DB16" s="2507">
        <f t="shared" si="19"/>
        <v>12732892</v>
      </c>
      <c r="DC16" s="2507"/>
      <c r="DD16" s="2465"/>
      <c r="DE16" s="2465"/>
      <c r="DF16" s="3183"/>
      <c r="DG16" s="2467"/>
      <c r="DH16" s="3216"/>
      <c r="DI16" s="3965"/>
      <c r="DJ16" s="2467"/>
      <c r="DK16" s="2464"/>
      <c r="DL16" s="2464"/>
    </row>
    <row r="17" spans="1:116" ht="20.25" customHeight="1" x14ac:dyDescent="0.25">
      <c r="A17" s="2468" t="s">
        <v>851</v>
      </c>
      <c r="B17" s="2397"/>
      <c r="C17" s="2949">
        <f>SUM('5.10.1. sz. mell.'!L110)</f>
        <v>16291000</v>
      </c>
      <c r="D17" s="3195">
        <f>SUM('5.10.1. sz. mell.'!M110)</f>
        <v>0</v>
      </c>
      <c r="E17" s="2939">
        <f>SUM('5.10.1. sz. mell.'!N110)</f>
        <v>16291000</v>
      </c>
      <c r="F17" s="2939">
        <f>SUM('5.10.1. sz. mell.'!O110)</f>
        <v>-370234</v>
      </c>
      <c r="G17" s="2950">
        <f>SUM('5.10.1. sz. mell.'!P110)</f>
        <v>15920766</v>
      </c>
      <c r="H17" s="2950"/>
      <c r="I17" s="3195">
        <f>SUM('5.10.1. sz. mell.'!R110)</f>
        <v>15920766</v>
      </c>
      <c r="J17" s="2950">
        <f>SUM('5.10.1. sz. mell.'!S110)</f>
        <v>15920766</v>
      </c>
      <c r="K17" s="3190">
        <f>SUM('5.10.1. sz. mell.'!L100)</f>
        <v>16291000</v>
      </c>
      <c r="L17" s="2939">
        <f>SUM('5.10.1. sz. mell.'!M100)</f>
        <v>0</v>
      </c>
      <c r="M17" s="2939">
        <f>SUM('5.10.1. sz. mell.'!N100)</f>
        <v>16291000</v>
      </c>
      <c r="N17" s="2939">
        <f>SUM('5.10.1. sz. mell.'!O100)</f>
        <v>-370234</v>
      </c>
      <c r="O17" s="2950">
        <f>SUM('5.10.1. sz. mell.'!P100)</f>
        <v>15920766</v>
      </c>
      <c r="P17" s="3190"/>
      <c r="Q17" s="2950">
        <f>SUM('5.10.1. sz. mell.'!R100)</f>
        <v>15920766</v>
      </c>
      <c r="R17" s="2950">
        <f>SUM('5.10.1. sz. mell.'!S100)</f>
        <v>15920774</v>
      </c>
      <c r="S17" s="2967"/>
      <c r="T17" s="2960"/>
      <c r="U17" s="2968"/>
      <c r="V17" s="2968"/>
      <c r="W17" s="3206"/>
      <c r="X17" s="2967"/>
      <c r="Y17" s="2968"/>
      <c r="Z17" s="3206"/>
      <c r="AA17" s="2967"/>
      <c r="AB17" s="2960"/>
      <c r="AC17" s="2968"/>
      <c r="AD17" s="2968"/>
      <c r="AE17" s="3206"/>
      <c r="AF17" s="2967"/>
      <c r="AG17" s="2968"/>
      <c r="AH17" s="2968"/>
      <c r="AI17" s="3532">
        <f>SUM('5.10.1. sz. mell.'!L91)</f>
        <v>0</v>
      </c>
      <c r="AJ17" s="3532">
        <f>SUM('5.10.1. sz. mell.'!M91)</f>
        <v>0</v>
      </c>
      <c r="AK17" s="3532">
        <f>SUM('5.10.1. sz. mell.'!N91)</f>
        <v>0</v>
      </c>
      <c r="AL17" s="3532"/>
      <c r="AM17" s="3534"/>
      <c r="AN17" s="3534"/>
      <c r="AO17" s="3534"/>
      <c r="AP17" s="3534"/>
      <c r="AQ17" s="2967">
        <f>SUM('5.10.1. sz. mell.'!L93)</f>
        <v>8291000</v>
      </c>
      <c r="AR17" s="2960">
        <f>SUM('5.10.1. sz. mell.'!M93)</f>
        <v>0</v>
      </c>
      <c r="AS17" s="2968">
        <f>SUM('5.10.1. sz. mell.'!N93)</f>
        <v>8291000</v>
      </c>
      <c r="AT17" s="2968">
        <f>SUM('5.10.1. sz. mell.'!O93)</f>
        <v>-125800</v>
      </c>
      <c r="AU17" s="3206">
        <f>SUM('5.10.1. sz. mell.'!P93)</f>
        <v>8165200</v>
      </c>
      <c r="AV17" s="3206"/>
      <c r="AW17" s="2968">
        <f>SUM('5.10.1. sz. mell.'!R93)</f>
        <v>8165200</v>
      </c>
      <c r="AX17" s="3958">
        <f>SUM('5.10.1. sz. mell.'!S93)</f>
        <v>8165208</v>
      </c>
      <c r="AY17" s="2967"/>
      <c r="AZ17" s="2960"/>
      <c r="BA17" s="2968"/>
      <c r="BB17" s="2968"/>
      <c r="BC17" s="3206"/>
      <c r="BD17" s="2967"/>
      <c r="BE17" s="2968"/>
      <c r="BF17" s="2968"/>
      <c r="BG17" s="2968"/>
      <c r="BH17" s="2960"/>
      <c r="BI17" s="2968"/>
      <c r="BJ17" s="2968"/>
      <c r="BK17" s="3206"/>
      <c r="BL17" s="2967"/>
      <c r="BM17" s="2968"/>
      <c r="BN17" s="2968"/>
      <c r="BO17" s="2968"/>
      <c r="BP17" s="2960"/>
      <c r="BQ17" s="2968"/>
      <c r="BR17" s="2968"/>
      <c r="BS17" s="3206"/>
      <c r="BT17" s="2967"/>
      <c r="BU17" s="2968"/>
      <c r="BV17" s="2968"/>
      <c r="BW17" s="2968"/>
      <c r="BX17" s="2960"/>
      <c r="BY17" s="2968"/>
      <c r="BZ17" s="2968"/>
      <c r="CA17" s="3206"/>
      <c r="CB17" s="2967"/>
      <c r="CC17" s="3942"/>
      <c r="CD17" s="3206"/>
      <c r="CE17" s="2967"/>
      <c r="CF17" s="2960"/>
      <c r="CG17" s="2968"/>
      <c r="CH17" s="3040"/>
      <c r="CI17" s="3225"/>
      <c r="CJ17" s="3955"/>
      <c r="CK17" s="3961"/>
      <c r="CL17" s="3950"/>
      <c r="CM17" s="3040"/>
      <c r="CN17" s="3040"/>
      <c r="CO17" s="3040"/>
      <c r="CP17" s="3040"/>
      <c r="CQ17" s="3206"/>
      <c r="CR17" s="3040"/>
      <c r="CS17" s="3040"/>
      <c r="CT17" s="3225"/>
      <c r="CU17" s="2937">
        <f t="shared" si="13"/>
        <v>8000000</v>
      </c>
      <c r="CV17" s="2507">
        <f t="shared" si="14"/>
        <v>0</v>
      </c>
      <c r="CW17" s="2507">
        <f t="shared" si="15"/>
        <v>8000000</v>
      </c>
      <c r="CX17" s="2507">
        <f t="shared" si="16"/>
        <v>-244434</v>
      </c>
      <c r="CY17" s="2970">
        <f t="shared" si="17"/>
        <v>7755566</v>
      </c>
      <c r="CZ17" s="2937">
        <f t="shared" si="18"/>
        <v>0</v>
      </c>
      <c r="DA17" s="2507">
        <f t="shared" si="19"/>
        <v>7755566</v>
      </c>
      <c r="DB17" s="2507">
        <f t="shared" si="19"/>
        <v>7755566</v>
      </c>
      <c r="DC17" s="2507"/>
      <c r="DD17" s="2465"/>
      <c r="DE17" s="2465"/>
      <c r="DF17" s="3183"/>
      <c r="DG17" s="2467"/>
      <c r="DH17" s="3216"/>
      <c r="DI17" s="3965"/>
      <c r="DJ17" s="2467"/>
      <c r="DK17" s="2464"/>
      <c r="DL17" s="2464"/>
    </row>
    <row r="18" spans="1:116" ht="20.25" customHeight="1" x14ac:dyDescent="0.25">
      <c r="A18" s="2468" t="s">
        <v>852</v>
      </c>
      <c r="B18" s="2397"/>
      <c r="C18" s="2949">
        <f>SUM('5.10.1. sz. mell.'!L133)</f>
        <v>49160000</v>
      </c>
      <c r="D18" s="3195">
        <f>SUM('5.10.1. sz. mell.'!M133)</f>
        <v>0</v>
      </c>
      <c r="E18" s="2939">
        <f>SUM('5.10.1. sz. mell.'!N133)</f>
        <v>49160000</v>
      </c>
      <c r="F18" s="2939">
        <f>SUM('5.10.1. sz. mell.'!O133)</f>
        <v>-6140600</v>
      </c>
      <c r="G18" s="2950">
        <f>SUM('5.10.1. sz. mell.'!P133)</f>
        <v>43019400</v>
      </c>
      <c r="H18" s="2950"/>
      <c r="I18" s="3195">
        <f>SUM('5.10.1. sz. mell.'!R133)</f>
        <v>43019400</v>
      </c>
      <c r="J18" s="2950">
        <f>SUM('5.10.1. sz. mell.'!S133)</f>
        <v>43019400</v>
      </c>
      <c r="K18" s="3190">
        <f>SUM('5.10.1. sz. mell.'!L123)</f>
        <v>49160000</v>
      </c>
      <c r="L18" s="2939">
        <f>SUM('5.10.1. sz. mell.'!M123)</f>
        <v>0</v>
      </c>
      <c r="M18" s="2939">
        <f>SUM('5.10.1. sz. mell.'!N123)</f>
        <v>49160000</v>
      </c>
      <c r="N18" s="2939">
        <f>SUM('5.10.1. sz. mell.'!O123)</f>
        <v>-6140600</v>
      </c>
      <c r="O18" s="2950">
        <f>SUM('5.10.1. sz. mell.'!P123)</f>
        <v>43019400</v>
      </c>
      <c r="P18" s="3190"/>
      <c r="Q18" s="2950">
        <f>SUM('5.10.1. sz. mell.'!R123)</f>
        <v>43019400</v>
      </c>
      <c r="R18" s="2950">
        <f>SUM('5.10.1. sz. mell.'!S123)</f>
        <v>43019400</v>
      </c>
      <c r="S18" s="2967"/>
      <c r="T18" s="2960"/>
      <c r="U18" s="2968"/>
      <c r="V18" s="2968"/>
      <c r="W18" s="3206"/>
      <c r="X18" s="2967"/>
      <c r="Y18" s="2968"/>
      <c r="Z18" s="3206"/>
      <c r="AA18" s="2967"/>
      <c r="AB18" s="2960"/>
      <c r="AC18" s="2968"/>
      <c r="AD18" s="2968"/>
      <c r="AE18" s="3206"/>
      <c r="AF18" s="2967"/>
      <c r="AG18" s="2968"/>
      <c r="AH18" s="2968"/>
      <c r="AI18" s="3532"/>
      <c r="AJ18" s="3533"/>
      <c r="AK18" s="3532"/>
      <c r="AL18" s="3532"/>
      <c r="AM18" s="3534"/>
      <c r="AN18" s="3534"/>
      <c r="AO18" s="3534"/>
      <c r="AP18" s="3534"/>
      <c r="AQ18" s="2967">
        <f>SUM('5.10.1. sz. mell.'!L116)</f>
        <v>43160000</v>
      </c>
      <c r="AR18" s="2960">
        <f>SUM('5.10.1. sz. mell.'!M116)</f>
        <v>0</v>
      </c>
      <c r="AS18" s="2968">
        <f>SUM('5.10.1. sz. mell.'!N116)</f>
        <v>43160000</v>
      </c>
      <c r="AT18" s="2968">
        <f>SUM('5.10.1. sz. mell.'!O116)</f>
        <v>-140600</v>
      </c>
      <c r="AU18" s="3206">
        <f>SUM('5.10.1. sz. mell.'!P116)</f>
        <v>43019400</v>
      </c>
      <c r="AV18" s="3206"/>
      <c r="AW18" s="2968">
        <f>SUM('5.10.1. sz. mell.'!R116)</f>
        <v>43019400</v>
      </c>
      <c r="AX18" s="3958">
        <f>SUM('5.10.1. sz. mell.'!S116)</f>
        <v>43019400</v>
      </c>
      <c r="AY18" s="2967"/>
      <c r="AZ18" s="2960"/>
      <c r="BA18" s="2968"/>
      <c r="BB18" s="2968"/>
      <c r="BC18" s="3206"/>
      <c r="BD18" s="2967"/>
      <c r="BE18" s="2968"/>
      <c r="BF18" s="2968"/>
      <c r="BG18" s="2968"/>
      <c r="BH18" s="2960"/>
      <c r="BI18" s="2968"/>
      <c r="BJ18" s="2968"/>
      <c r="BK18" s="3204"/>
      <c r="BL18" s="2967"/>
      <c r="BM18" s="2968"/>
      <c r="BN18" s="2968"/>
      <c r="BO18" s="2968"/>
      <c r="BP18" s="2960"/>
      <c r="BQ18" s="2968"/>
      <c r="BR18" s="2968"/>
      <c r="BS18" s="3206"/>
      <c r="BT18" s="2967"/>
      <c r="BU18" s="2968"/>
      <c r="BV18" s="2968"/>
      <c r="BW18" s="2968"/>
      <c r="BX18" s="2960"/>
      <c r="BY18" s="2968"/>
      <c r="BZ18" s="2968"/>
      <c r="CA18" s="3206"/>
      <c r="CB18" s="2967"/>
      <c r="CC18" s="3942"/>
      <c r="CD18" s="3206"/>
      <c r="CE18" s="2967"/>
      <c r="CF18" s="2960"/>
      <c r="CG18" s="2968"/>
      <c r="CH18" s="3040"/>
      <c r="CI18" s="3225"/>
      <c r="CJ18" s="3955"/>
      <c r="CK18" s="3961"/>
      <c r="CL18" s="3950"/>
      <c r="CM18" s="3040"/>
      <c r="CN18" s="3040"/>
      <c r="CO18" s="3040"/>
      <c r="CP18" s="3040"/>
      <c r="CQ18" s="3206"/>
      <c r="CR18" s="3040"/>
      <c r="CS18" s="3040"/>
      <c r="CT18" s="3225"/>
      <c r="CU18" s="2937">
        <f t="shared" si="13"/>
        <v>6000000</v>
      </c>
      <c r="CV18" s="2507">
        <f t="shared" si="14"/>
        <v>0</v>
      </c>
      <c r="CW18" s="2507">
        <f t="shared" si="15"/>
        <v>6000000</v>
      </c>
      <c r="CX18" s="2507">
        <f t="shared" si="16"/>
        <v>-6000000</v>
      </c>
      <c r="CY18" s="2970">
        <f t="shared" si="17"/>
        <v>0</v>
      </c>
      <c r="CZ18" s="2937">
        <f t="shared" si="18"/>
        <v>0</v>
      </c>
      <c r="DA18" s="2507">
        <f t="shared" si="19"/>
        <v>0</v>
      </c>
      <c r="DB18" s="2507">
        <f t="shared" si="19"/>
        <v>0</v>
      </c>
      <c r="DC18" s="2507"/>
      <c r="DD18" s="2465"/>
      <c r="DE18" s="2465"/>
      <c r="DF18" s="3183"/>
      <c r="DG18" s="2467"/>
      <c r="DH18" s="3216"/>
      <c r="DI18" s="3965"/>
      <c r="DJ18" s="2467"/>
      <c r="DK18" s="2464"/>
      <c r="DL18" s="2464"/>
    </row>
    <row r="19" spans="1:116" ht="20.25" customHeight="1" x14ac:dyDescent="0.25">
      <c r="A19" s="2468" t="s">
        <v>1804</v>
      </c>
      <c r="B19" s="2397"/>
      <c r="C19" s="2949">
        <f>SUM('5.10.1. sz. mell.'!L163)</f>
        <v>11600000</v>
      </c>
      <c r="D19" s="3195">
        <f>SUM('5.10.1. sz. mell.'!M163)</f>
        <v>0</v>
      </c>
      <c r="E19" s="2939">
        <f>SUM('5.10.1. sz. mell.'!N163)</f>
        <v>11600000</v>
      </c>
      <c r="F19" s="2939">
        <f>SUM('5.10.1. sz. mell.'!O163)</f>
        <v>-1861429</v>
      </c>
      <c r="G19" s="2950">
        <f>SUM('5.10.1. sz. mell.'!P163)</f>
        <v>9738571</v>
      </c>
      <c r="H19" s="2950"/>
      <c r="I19" s="3195">
        <f>SUM('5.10.1. sz. mell.'!R163)</f>
        <v>9738571</v>
      </c>
      <c r="J19" s="2950">
        <f>SUM('5.10.1. sz. mell.'!S163)</f>
        <v>9738571</v>
      </c>
      <c r="K19" s="3190">
        <f>SUM('5.10.1. sz. mell.'!L153)</f>
        <v>11600000</v>
      </c>
      <c r="L19" s="2939">
        <f>SUM('5.10.1. sz. mell.'!M153)</f>
        <v>0</v>
      </c>
      <c r="M19" s="2939">
        <f>SUM('5.10.1. sz. mell.'!N153)</f>
        <v>11600000</v>
      </c>
      <c r="N19" s="2939">
        <f>SUM('5.10.1. sz. mell.'!O153)</f>
        <v>-1861429</v>
      </c>
      <c r="O19" s="2950">
        <f>SUM('5.10.1. sz. mell.'!P153)</f>
        <v>9738571</v>
      </c>
      <c r="P19" s="3190"/>
      <c r="Q19" s="2950">
        <f>SUM('5.10.1. sz. mell.'!R153)</f>
        <v>9738571</v>
      </c>
      <c r="R19" s="2950">
        <f>SUM('5.10.1. sz. mell.'!S153)</f>
        <v>9738571</v>
      </c>
      <c r="S19" s="2967"/>
      <c r="T19" s="2960"/>
      <c r="U19" s="2968"/>
      <c r="V19" s="2968"/>
      <c r="W19" s="3206"/>
      <c r="X19" s="2967"/>
      <c r="Y19" s="2968"/>
      <c r="Z19" s="3206"/>
      <c r="AA19" s="2967"/>
      <c r="AB19" s="2960"/>
      <c r="AC19" s="2968"/>
      <c r="AD19" s="2968"/>
      <c r="AE19" s="3206"/>
      <c r="AF19" s="2967"/>
      <c r="AG19" s="2968"/>
      <c r="AH19" s="2968"/>
      <c r="AI19" s="3532">
        <f>SUM('5.10.1. sz. mell.'!L137)</f>
        <v>2600000</v>
      </c>
      <c r="AJ19" s="3533">
        <f>SUM('5.10.1. sz. mell.'!M137)</f>
        <v>0</v>
      </c>
      <c r="AK19" s="3532">
        <f>SUM('5.10.1. sz. mell.'!N137)</f>
        <v>2600000</v>
      </c>
      <c r="AL19" s="3532">
        <f>SUM('5.10.1. sz. mell.'!O137)</f>
        <v>-21628</v>
      </c>
      <c r="AM19" s="3534">
        <f>SUM('5.10.1. sz. mell.'!P137)</f>
        <v>2578372</v>
      </c>
      <c r="AN19" s="3534">
        <f>SUM('5.10.1. sz. mell.'!Q137)</f>
        <v>0</v>
      </c>
      <c r="AO19" s="3534">
        <f>SUM('5.10.1. sz. mell.'!R137)</f>
        <v>2578372</v>
      </c>
      <c r="AP19" s="3534">
        <f>SUM('5.10.1. sz. mell.'!S137)</f>
        <v>2578372</v>
      </c>
      <c r="AQ19" s="2967"/>
      <c r="AR19" s="2960"/>
      <c r="AS19" s="2968"/>
      <c r="AT19" s="2968"/>
      <c r="AU19" s="3206"/>
      <c r="AV19" s="3206"/>
      <c r="AW19" s="2968"/>
      <c r="AX19" s="3958"/>
      <c r="AY19" s="2967"/>
      <c r="AZ19" s="2960"/>
      <c r="BA19" s="2968"/>
      <c r="BB19" s="2968"/>
      <c r="BC19" s="3206"/>
      <c r="BD19" s="2967"/>
      <c r="BE19" s="2968"/>
      <c r="BF19" s="2968"/>
      <c r="BG19" s="2968"/>
      <c r="BH19" s="2960"/>
      <c r="BI19" s="2968"/>
      <c r="BJ19" s="2968"/>
      <c r="BK19" s="3206"/>
      <c r="BL19" s="2967"/>
      <c r="BM19" s="2968"/>
      <c r="BN19" s="2968"/>
      <c r="BO19" s="2968"/>
      <c r="BP19" s="2960"/>
      <c r="BQ19" s="2968"/>
      <c r="BR19" s="2968"/>
      <c r="BS19" s="3206"/>
      <c r="BT19" s="2967"/>
      <c r="BU19" s="2968"/>
      <c r="BV19" s="2968"/>
      <c r="BW19" s="2968"/>
      <c r="BX19" s="2960"/>
      <c r="BY19" s="2968"/>
      <c r="BZ19" s="2968"/>
      <c r="CA19" s="3206"/>
      <c r="CB19" s="2967"/>
      <c r="CC19" s="3942"/>
      <c r="CD19" s="3206"/>
      <c r="CE19" s="2967"/>
      <c r="CF19" s="2960"/>
      <c r="CG19" s="2968"/>
      <c r="CH19" s="3040"/>
      <c r="CI19" s="3225"/>
      <c r="CJ19" s="3955"/>
      <c r="CK19" s="3961"/>
      <c r="CL19" s="3950"/>
      <c r="CM19" s="3040"/>
      <c r="CN19" s="3040"/>
      <c r="CO19" s="3040"/>
      <c r="CP19" s="3040"/>
      <c r="CQ19" s="3206"/>
      <c r="CR19" s="3040"/>
      <c r="CS19" s="3040"/>
      <c r="CT19" s="3225"/>
      <c r="CU19" s="2937">
        <f t="shared" si="13"/>
        <v>9000000</v>
      </c>
      <c r="CV19" s="2507">
        <f t="shared" si="14"/>
        <v>0</v>
      </c>
      <c r="CW19" s="2507">
        <f t="shared" si="15"/>
        <v>9000000</v>
      </c>
      <c r="CX19" s="2507">
        <f t="shared" si="16"/>
        <v>-1839801</v>
      </c>
      <c r="CY19" s="2970">
        <f t="shared" si="17"/>
        <v>7160199</v>
      </c>
      <c r="CZ19" s="2937">
        <f t="shared" si="18"/>
        <v>0</v>
      </c>
      <c r="DA19" s="2507">
        <f t="shared" si="19"/>
        <v>7160199</v>
      </c>
      <c r="DB19" s="2507">
        <f t="shared" si="19"/>
        <v>7160199</v>
      </c>
      <c r="DC19" s="2507"/>
      <c r="DD19" s="2465"/>
      <c r="DE19" s="2465"/>
      <c r="DF19" s="3183"/>
      <c r="DG19" s="2467"/>
      <c r="DH19" s="3216"/>
      <c r="DI19" s="3965"/>
      <c r="DJ19" s="2467"/>
      <c r="DK19" s="2464"/>
      <c r="DL19" s="2464"/>
    </row>
    <row r="20" spans="1:116" s="2932" customFormat="1" ht="20.25" customHeight="1" x14ac:dyDescent="0.2">
      <c r="A20" s="2933" t="s">
        <v>1334</v>
      </c>
      <c r="B20" s="2943"/>
      <c r="C20" s="3007">
        <v>0</v>
      </c>
      <c r="D20" s="3196">
        <v>0</v>
      </c>
      <c r="E20" s="3007">
        <v>0</v>
      </c>
      <c r="F20" s="3007"/>
      <c r="G20" s="2934">
        <v>0</v>
      </c>
      <c r="H20" s="2934"/>
      <c r="I20" s="3196"/>
      <c r="J20" s="2934"/>
      <c r="K20" s="2935">
        <f>SUM(C20)</f>
        <v>0</v>
      </c>
      <c r="L20" s="2935">
        <f>SUM(D20)</f>
        <v>0</v>
      </c>
      <c r="M20" s="2553">
        <f>SUM(E20)</f>
        <v>0</v>
      </c>
      <c r="N20" s="2553">
        <f>SUM(F20)</f>
        <v>0</v>
      </c>
      <c r="O20" s="2930">
        <f>SUM(G20)</f>
        <v>0</v>
      </c>
      <c r="P20" s="2935"/>
      <c r="Q20" s="2930">
        <f>SUM(I20)</f>
        <v>0</v>
      </c>
      <c r="R20" s="2930">
        <f>SUM(J20)</f>
        <v>0</v>
      </c>
      <c r="S20" s="2954"/>
      <c r="T20" s="2955"/>
      <c r="U20" s="2956"/>
      <c r="V20" s="2956"/>
      <c r="W20" s="3204"/>
      <c r="X20" s="2954"/>
      <c r="Y20" s="2956"/>
      <c r="Z20" s="3204"/>
      <c r="AA20" s="2954"/>
      <c r="AB20" s="2955"/>
      <c r="AC20" s="2956"/>
      <c r="AD20" s="2956"/>
      <c r="AE20" s="3204"/>
      <c r="AF20" s="2954"/>
      <c r="AG20" s="2956"/>
      <c r="AH20" s="2956"/>
      <c r="AI20" s="3526"/>
      <c r="AJ20" s="3527"/>
      <c r="AK20" s="3526"/>
      <c r="AL20" s="3526"/>
      <c r="AM20" s="3528"/>
      <c r="AN20" s="3528"/>
      <c r="AO20" s="3528"/>
      <c r="AP20" s="3528"/>
      <c r="AQ20" s="2954"/>
      <c r="AR20" s="2955"/>
      <c r="AS20" s="2956"/>
      <c r="AT20" s="2956"/>
      <c r="AU20" s="3204"/>
      <c r="AV20" s="3204"/>
      <c r="AW20" s="2956"/>
      <c r="AX20" s="3208"/>
      <c r="AY20" s="2954"/>
      <c r="AZ20" s="2955"/>
      <c r="BA20" s="2956"/>
      <c r="BB20" s="2956"/>
      <c r="BC20" s="3204"/>
      <c r="BD20" s="2954"/>
      <c r="BE20" s="2956"/>
      <c r="BF20" s="2956"/>
      <c r="BG20" s="2956"/>
      <c r="BH20" s="2955"/>
      <c r="BI20" s="2956"/>
      <c r="BJ20" s="2956"/>
      <c r="BK20" s="3204"/>
      <c r="BL20" s="2954"/>
      <c r="BM20" s="2956"/>
      <c r="BN20" s="2956"/>
      <c r="BO20" s="2956"/>
      <c r="BP20" s="2955"/>
      <c r="BQ20" s="2956"/>
      <c r="BR20" s="2956"/>
      <c r="BS20" s="3204"/>
      <c r="BT20" s="2954"/>
      <c r="BU20" s="2956"/>
      <c r="BV20" s="2956"/>
      <c r="BW20" s="2956"/>
      <c r="BX20" s="2955"/>
      <c r="BY20" s="2956"/>
      <c r="BZ20" s="2956"/>
      <c r="CA20" s="3204"/>
      <c r="CB20" s="2954"/>
      <c r="CC20" s="3940"/>
      <c r="CD20" s="3204"/>
      <c r="CE20" s="2954"/>
      <c r="CF20" s="2955"/>
      <c r="CG20" s="2956"/>
      <c r="CH20" s="2951"/>
      <c r="CI20" s="3203"/>
      <c r="CJ20" s="3954"/>
      <c r="CK20" s="2953"/>
      <c r="CL20" s="3948"/>
      <c r="CM20" s="2951"/>
      <c r="CN20" s="2951"/>
      <c r="CO20" s="2951"/>
      <c r="CP20" s="2951"/>
      <c r="CQ20" s="3204"/>
      <c r="CR20" s="2951"/>
      <c r="CS20" s="2951"/>
      <c r="CT20" s="3203"/>
      <c r="CU20" s="2935">
        <f t="shared" si="13"/>
        <v>0</v>
      </c>
      <c r="CV20" s="2553">
        <f t="shared" si="14"/>
        <v>0</v>
      </c>
      <c r="CW20" s="2553">
        <f t="shared" si="15"/>
        <v>0</v>
      </c>
      <c r="CX20" s="2553">
        <f t="shared" si="16"/>
        <v>0</v>
      </c>
      <c r="CY20" s="2930">
        <f t="shared" si="17"/>
        <v>0</v>
      </c>
      <c r="CZ20" s="2935">
        <f t="shared" si="18"/>
        <v>0</v>
      </c>
      <c r="DA20" s="2553">
        <f t="shared" si="19"/>
        <v>0</v>
      </c>
      <c r="DB20" s="2553">
        <f t="shared" si="19"/>
        <v>0</v>
      </c>
      <c r="DC20" s="2553"/>
      <c r="DD20" s="2553"/>
      <c r="DE20" s="2553"/>
      <c r="DF20" s="3220"/>
      <c r="DG20" s="2934"/>
      <c r="DH20" s="3215"/>
      <c r="DI20" s="3196"/>
      <c r="DJ20" s="2934"/>
      <c r="DK20" s="2931"/>
      <c r="DL20" s="2931"/>
    </row>
    <row r="21" spans="1:116" s="2932" customFormat="1" ht="20.25" customHeight="1" x14ac:dyDescent="0.2">
      <c r="A21" s="2933" t="s">
        <v>1335</v>
      </c>
      <c r="B21" s="2943"/>
      <c r="C21" s="2947">
        <f t="shared" ref="C21:AA21" si="20">SUM(C22:C23)</f>
        <v>66675000</v>
      </c>
      <c r="D21" s="3188">
        <f t="shared" si="20"/>
        <v>19050000</v>
      </c>
      <c r="E21" s="2553">
        <f t="shared" si="20"/>
        <v>85725000</v>
      </c>
      <c r="F21" s="2553">
        <f t="shared" si="20"/>
        <v>85725000</v>
      </c>
      <c r="G21" s="2930">
        <f t="shared" si="20"/>
        <v>85725000</v>
      </c>
      <c r="H21" s="2930"/>
      <c r="I21" s="3937">
        <f t="shared" ref="I21:J21" si="21">SUM(I22:I23)</f>
        <v>85725000</v>
      </c>
      <c r="J21" s="2930">
        <f t="shared" si="21"/>
        <v>85725000</v>
      </c>
      <c r="K21" s="2935">
        <f t="shared" si="20"/>
        <v>66675000</v>
      </c>
      <c r="L21" s="2935">
        <f t="shared" si="20"/>
        <v>19050000</v>
      </c>
      <c r="M21" s="2553">
        <f t="shared" si="20"/>
        <v>85725000</v>
      </c>
      <c r="N21" s="2553">
        <f>SUM(N22:N23)</f>
        <v>85725000</v>
      </c>
      <c r="O21" s="2930">
        <f>SUM(O22:O23)</f>
        <v>85725000</v>
      </c>
      <c r="P21" s="2935"/>
      <c r="Q21" s="2930">
        <f>SUM(Q22:Q23)</f>
        <v>85725000</v>
      </c>
      <c r="R21" s="2930">
        <f>SUM(R22:R23)</f>
        <v>85725000</v>
      </c>
      <c r="S21" s="2954">
        <f t="shared" si="20"/>
        <v>0</v>
      </c>
      <c r="T21" s="2955">
        <f t="shared" si="20"/>
        <v>0</v>
      </c>
      <c r="U21" s="2955">
        <f t="shared" si="20"/>
        <v>0</v>
      </c>
      <c r="V21" s="2955"/>
      <c r="W21" s="3207"/>
      <c r="X21" s="3201"/>
      <c r="Y21" s="2955"/>
      <c r="Z21" s="3207"/>
      <c r="AA21" s="2954">
        <f t="shared" si="20"/>
        <v>0</v>
      </c>
      <c r="AB21" s="2955"/>
      <c r="AC21" s="2956"/>
      <c r="AD21" s="2956"/>
      <c r="AE21" s="3204"/>
      <c r="AF21" s="2954"/>
      <c r="AG21" s="2956"/>
      <c r="AH21" s="2956"/>
      <c r="AI21" s="3526">
        <f>SUM(AI22:AI23)</f>
        <v>0</v>
      </c>
      <c r="AJ21" s="3527"/>
      <c r="AK21" s="3527"/>
      <c r="AL21" s="3527"/>
      <c r="AM21" s="3535"/>
      <c r="AN21" s="3535"/>
      <c r="AO21" s="3535"/>
      <c r="AP21" s="3535"/>
      <c r="AQ21" s="2954">
        <f>SUM(AQ22:AQ23)</f>
        <v>0</v>
      </c>
      <c r="AR21" s="2956">
        <f>SUM(AR22:AR23)</f>
        <v>0</v>
      </c>
      <c r="AS21" s="2956">
        <f>SUM(AS22:AS23)</f>
        <v>0</v>
      </c>
      <c r="AT21" s="2956">
        <f>SUM(AT22:AT23)</f>
        <v>0</v>
      </c>
      <c r="AU21" s="3204">
        <f>SUM(AU22:AU23)</f>
        <v>0</v>
      </c>
      <c r="AV21" s="3204">
        <f t="shared" ref="AV21:AW21" si="22">SUM(AV22:AV23)</f>
        <v>0</v>
      </c>
      <c r="AW21" s="2956">
        <f t="shared" si="22"/>
        <v>0</v>
      </c>
      <c r="AX21" s="3208"/>
      <c r="AY21" s="2954">
        <f>SUM(AY22:AY23)</f>
        <v>0</v>
      </c>
      <c r="AZ21" s="2955"/>
      <c r="BA21" s="2955"/>
      <c r="BB21" s="2955"/>
      <c r="BC21" s="3207"/>
      <c r="BD21" s="3201"/>
      <c r="BE21" s="2955"/>
      <c r="BF21" s="2955"/>
      <c r="BG21" s="2956">
        <f>SUM(BG22:BG23)</f>
        <v>0</v>
      </c>
      <c r="BH21" s="2956">
        <f>SUM(BH22:BH23)</f>
        <v>0</v>
      </c>
      <c r="BI21" s="2956">
        <f>SUM(BI22:BI23)</f>
        <v>0</v>
      </c>
      <c r="BJ21" s="2956">
        <f>SUM(BJ22:BJ23)</f>
        <v>0</v>
      </c>
      <c r="BK21" s="3204">
        <f>SUM(BK22:BK23)</f>
        <v>0</v>
      </c>
      <c r="BL21" s="2954"/>
      <c r="BM21" s="2956"/>
      <c r="BN21" s="2956"/>
      <c r="BO21" s="2956">
        <f>SUM(BO22:BO23)</f>
        <v>0</v>
      </c>
      <c r="BP21" s="2956">
        <f>SUM(BP22:BP23)</f>
        <v>0</v>
      </c>
      <c r="BQ21" s="2956">
        <f>SUM(BQ22:BQ23)</f>
        <v>0</v>
      </c>
      <c r="BR21" s="2956">
        <f>SUM(BR22:BR23)</f>
        <v>0</v>
      </c>
      <c r="BS21" s="3204">
        <f>SUM(BS22:BS23)</f>
        <v>0</v>
      </c>
      <c r="BT21" s="3201"/>
      <c r="BU21" s="2955"/>
      <c r="BV21" s="2955"/>
      <c r="BW21" s="2956"/>
      <c r="BX21" s="2955"/>
      <c r="BY21" s="2956"/>
      <c r="BZ21" s="2956"/>
      <c r="CA21" s="3204"/>
      <c r="CB21" s="2954"/>
      <c r="CC21" s="3940"/>
      <c r="CD21" s="3204"/>
      <c r="CE21" s="2954">
        <f t="shared" ref="CE21:CI21" si="23">SUM(CE22:CE23)</f>
        <v>0</v>
      </c>
      <c r="CF21" s="2956">
        <f t="shared" si="23"/>
        <v>0</v>
      </c>
      <c r="CG21" s="2956">
        <f t="shared" si="23"/>
        <v>19050000</v>
      </c>
      <c r="CH21" s="2956">
        <f t="shared" si="23"/>
        <v>19050000</v>
      </c>
      <c r="CI21" s="3204">
        <f t="shared" si="23"/>
        <v>19050000</v>
      </c>
      <c r="CJ21" s="3940"/>
      <c r="CK21" s="2956">
        <f t="shared" ref="CK21:CL21" si="24">SUM(CK22:CK23)</f>
        <v>19050000</v>
      </c>
      <c r="CL21" s="3208">
        <f t="shared" si="24"/>
        <v>19050000</v>
      </c>
      <c r="CM21" s="2951"/>
      <c r="CN21" s="2951"/>
      <c r="CO21" s="2951"/>
      <c r="CP21" s="2951"/>
      <c r="CQ21" s="3204"/>
      <c r="CR21" s="2951"/>
      <c r="CS21" s="2951"/>
      <c r="CT21" s="3203"/>
      <c r="CU21" s="2935">
        <f t="shared" si="13"/>
        <v>66675000</v>
      </c>
      <c r="CV21" s="2553">
        <f t="shared" si="14"/>
        <v>19050000</v>
      </c>
      <c r="CW21" s="2553">
        <f t="shared" si="15"/>
        <v>66675000</v>
      </c>
      <c r="CX21" s="2553">
        <f t="shared" si="16"/>
        <v>66675000</v>
      </c>
      <c r="CY21" s="2930">
        <f t="shared" si="17"/>
        <v>66675000</v>
      </c>
      <c r="CZ21" s="2935">
        <f t="shared" si="18"/>
        <v>0</v>
      </c>
      <c r="DA21" s="2553">
        <f t="shared" si="19"/>
        <v>66675000</v>
      </c>
      <c r="DB21" s="2553">
        <f t="shared" si="19"/>
        <v>66675000</v>
      </c>
      <c r="DC21" s="2553"/>
      <c r="DD21" s="2553"/>
      <c r="DE21" s="2553"/>
      <c r="DF21" s="3220"/>
      <c r="DG21" s="2934"/>
      <c r="DH21" s="3215"/>
      <c r="DI21" s="3196"/>
      <c r="DJ21" s="2934"/>
      <c r="DK21" s="2931"/>
      <c r="DL21" s="2931"/>
    </row>
    <row r="22" spans="1:116" s="2976" customFormat="1" ht="20.25" customHeight="1" x14ac:dyDescent="0.25">
      <c r="A22" s="3227" t="s">
        <v>1402</v>
      </c>
      <c r="B22" s="2969"/>
      <c r="C22" s="2971">
        <v>63500000</v>
      </c>
      <c r="D22" s="3197">
        <f>SUM(E22-C22)</f>
        <v>19050000</v>
      </c>
      <c r="E22" s="2972">
        <v>82550000</v>
      </c>
      <c r="F22" s="2972">
        <v>82550000</v>
      </c>
      <c r="G22" s="2973">
        <v>82550000</v>
      </c>
      <c r="H22" s="2973"/>
      <c r="I22" s="3197">
        <v>82550000</v>
      </c>
      <c r="J22" s="2973">
        <v>82550000</v>
      </c>
      <c r="K22" s="3191">
        <f t="shared" ref="K22:O24" si="25">SUM(C22)</f>
        <v>63500000</v>
      </c>
      <c r="L22" s="2972">
        <f t="shared" si="25"/>
        <v>19050000</v>
      </c>
      <c r="M22" s="2972">
        <f t="shared" si="25"/>
        <v>82550000</v>
      </c>
      <c r="N22" s="2972">
        <f t="shared" si="25"/>
        <v>82550000</v>
      </c>
      <c r="O22" s="2973">
        <f t="shared" si="25"/>
        <v>82550000</v>
      </c>
      <c r="P22" s="3191"/>
      <c r="Q22" s="2973">
        <f t="shared" ref="Q22:R24" si="26">SUM(I22)</f>
        <v>82550000</v>
      </c>
      <c r="R22" s="2973">
        <f t="shared" si="26"/>
        <v>82550000</v>
      </c>
      <c r="S22" s="2967"/>
      <c r="T22" s="2960"/>
      <c r="U22" s="2968"/>
      <c r="V22" s="2968"/>
      <c r="W22" s="3206"/>
      <c r="X22" s="2967"/>
      <c r="Y22" s="2968"/>
      <c r="Z22" s="3206"/>
      <c r="AA22" s="2967"/>
      <c r="AB22" s="2960"/>
      <c r="AC22" s="2968"/>
      <c r="AD22" s="2968"/>
      <c r="AE22" s="3206"/>
      <c r="AF22" s="2967"/>
      <c r="AG22" s="2968"/>
      <c r="AH22" s="2968"/>
      <c r="AI22" s="3532"/>
      <c r="AJ22" s="3533"/>
      <c r="AK22" s="3532"/>
      <c r="AL22" s="3532"/>
      <c r="AM22" s="3534"/>
      <c r="AN22" s="3534"/>
      <c r="AO22" s="3534"/>
      <c r="AP22" s="3534"/>
      <c r="AQ22" s="2967"/>
      <c r="AR22" s="2960"/>
      <c r="AS22" s="2968"/>
      <c r="AT22" s="2968"/>
      <c r="AU22" s="3206"/>
      <c r="AV22" s="2967"/>
      <c r="AW22" s="2968"/>
      <c r="AX22" s="3958"/>
      <c r="AY22" s="2967"/>
      <c r="AZ22" s="2960"/>
      <c r="BA22" s="2968"/>
      <c r="BB22" s="2968"/>
      <c r="BC22" s="3206"/>
      <c r="BD22" s="2967"/>
      <c r="BE22" s="2968"/>
      <c r="BF22" s="2968"/>
      <c r="BG22" s="2968"/>
      <c r="BH22" s="2960"/>
      <c r="BI22" s="2968"/>
      <c r="BJ22" s="2968"/>
      <c r="BK22" s="3206"/>
      <c r="BL22" s="2967"/>
      <c r="BM22" s="2968"/>
      <c r="BN22" s="2968"/>
      <c r="BO22" s="2968"/>
      <c r="BP22" s="2960"/>
      <c r="BQ22" s="2968"/>
      <c r="BR22" s="2968"/>
      <c r="BS22" s="3206"/>
      <c r="BT22" s="2967"/>
      <c r="BU22" s="2968"/>
      <c r="BV22" s="2968"/>
      <c r="BW22" s="2968"/>
      <c r="BX22" s="2960"/>
      <c r="BY22" s="2968"/>
      <c r="BZ22" s="2968"/>
      <c r="CA22" s="3206"/>
      <c r="CB22" s="2967"/>
      <c r="CC22" s="3942"/>
      <c r="CD22" s="3206"/>
      <c r="CE22" s="2967"/>
      <c r="CF22" s="2960"/>
      <c r="CG22" s="2968">
        <v>19050000</v>
      </c>
      <c r="CH22" s="2968">
        <v>19050000</v>
      </c>
      <c r="CI22" s="3206">
        <v>19050000</v>
      </c>
      <c r="CJ22" s="3942"/>
      <c r="CK22" s="2968">
        <v>19050000</v>
      </c>
      <c r="CL22" s="3958">
        <v>19050000</v>
      </c>
      <c r="CM22" s="3040"/>
      <c r="CN22" s="3040"/>
      <c r="CO22" s="3040"/>
      <c r="CP22" s="3040"/>
      <c r="CQ22" s="3206"/>
      <c r="CR22" s="3040"/>
      <c r="CS22" s="3040"/>
      <c r="CT22" s="3225"/>
      <c r="CU22" s="2937">
        <f t="shared" si="13"/>
        <v>63500000</v>
      </c>
      <c r="CV22" s="2507">
        <f t="shared" si="14"/>
        <v>19050000</v>
      </c>
      <c r="CW22" s="2507">
        <f t="shared" si="15"/>
        <v>63500000</v>
      </c>
      <c r="CX22" s="2507">
        <f t="shared" si="16"/>
        <v>63500000</v>
      </c>
      <c r="CY22" s="2970">
        <f t="shared" si="17"/>
        <v>63500000</v>
      </c>
      <c r="CZ22" s="2937">
        <f t="shared" si="18"/>
        <v>0</v>
      </c>
      <c r="DA22" s="2507">
        <f t="shared" si="19"/>
        <v>63500000</v>
      </c>
      <c r="DB22" s="2507">
        <f t="shared" si="19"/>
        <v>63500000</v>
      </c>
      <c r="DC22" s="2507"/>
      <c r="DD22" s="2507"/>
      <c r="DE22" s="2507"/>
      <c r="DF22" s="3221"/>
      <c r="DG22" s="2974"/>
      <c r="DH22" s="3217"/>
      <c r="DI22" s="3966"/>
      <c r="DJ22" s="2974"/>
      <c r="DK22" s="2975"/>
      <c r="DL22" s="2975"/>
    </row>
    <row r="23" spans="1:116" s="2976" customFormat="1" ht="20.25" customHeight="1" x14ac:dyDescent="0.25">
      <c r="A23" s="3227" t="s">
        <v>1336</v>
      </c>
      <c r="B23" s="2969"/>
      <c r="C23" s="2971">
        <v>3175000</v>
      </c>
      <c r="D23" s="3197"/>
      <c r="E23" s="2972">
        <v>3175000</v>
      </c>
      <c r="F23" s="2972">
        <v>3175000</v>
      </c>
      <c r="G23" s="2973">
        <v>3175000</v>
      </c>
      <c r="H23" s="2973"/>
      <c r="I23" s="3197">
        <v>3175000</v>
      </c>
      <c r="J23" s="2973">
        <v>3175000</v>
      </c>
      <c r="K23" s="3191">
        <f t="shared" si="25"/>
        <v>3175000</v>
      </c>
      <c r="L23" s="2972">
        <f t="shared" si="25"/>
        <v>0</v>
      </c>
      <c r="M23" s="2972">
        <f t="shared" si="25"/>
        <v>3175000</v>
      </c>
      <c r="N23" s="2972">
        <f t="shared" si="25"/>
        <v>3175000</v>
      </c>
      <c r="O23" s="2973">
        <f t="shared" si="25"/>
        <v>3175000</v>
      </c>
      <c r="P23" s="3191"/>
      <c r="Q23" s="2973">
        <f t="shared" si="26"/>
        <v>3175000</v>
      </c>
      <c r="R23" s="2973">
        <f t="shared" si="26"/>
        <v>3175000</v>
      </c>
      <c r="S23" s="2967"/>
      <c r="T23" s="2960"/>
      <c r="U23" s="2968"/>
      <c r="V23" s="2968"/>
      <c r="W23" s="3206"/>
      <c r="X23" s="2967"/>
      <c r="Y23" s="2968"/>
      <c r="Z23" s="3206"/>
      <c r="AA23" s="2967"/>
      <c r="AB23" s="2960"/>
      <c r="AC23" s="2968"/>
      <c r="AD23" s="2968"/>
      <c r="AE23" s="3206"/>
      <c r="AF23" s="2967"/>
      <c r="AG23" s="2968"/>
      <c r="AH23" s="2968"/>
      <c r="AI23" s="3532"/>
      <c r="AJ23" s="3533"/>
      <c r="AK23" s="3532"/>
      <c r="AL23" s="3532"/>
      <c r="AM23" s="3534"/>
      <c r="AN23" s="3534"/>
      <c r="AO23" s="3534"/>
      <c r="AP23" s="3534"/>
      <c r="AQ23" s="2967"/>
      <c r="AR23" s="2960"/>
      <c r="AS23" s="2968"/>
      <c r="AT23" s="2968"/>
      <c r="AU23" s="3206"/>
      <c r="AV23" s="2967"/>
      <c r="AW23" s="2968"/>
      <c r="AX23" s="3206"/>
      <c r="AY23" s="2967"/>
      <c r="AZ23" s="2960"/>
      <c r="BA23" s="2968"/>
      <c r="BB23" s="2968"/>
      <c r="BC23" s="3206"/>
      <c r="BD23" s="2967"/>
      <c r="BE23" s="2968"/>
      <c r="BF23" s="2968"/>
      <c r="BG23" s="2968"/>
      <c r="BH23" s="2960"/>
      <c r="BI23" s="2968"/>
      <c r="BJ23" s="2968"/>
      <c r="BK23" s="3206"/>
      <c r="BL23" s="2967"/>
      <c r="BM23" s="2968"/>
      <c r="BN23" s="2968"/>
      <c r="BO23" s="2968"/>
      <c r="BP23" s="2960"/>
      <c r="BQ23" s="2968"/>
      <c r="BR23" s="2968"/>
      <c r="BS23" s="3206"/>
      <c r="BT23" s="2967"/>
      <c r="BU23" s="2968"/>
      <c r="BV23" s="2968"/>
      <c r="BW23" s="2968"/>
      <c r="BX23" s="2960"/>
      <c r="BY23" s="2968"/>
      <c r="BZ23" s="2968"/>
      <c r="CA23" s="3206"/>
      <c r="CB23" s="2967"/>
      <c r="CC23" s="3942"/>
      <c r="CD23" s="3206"/>
      <c r="CE23" s="2967"/>
      <c r="CF23" s="2960"/>
      <c r="CG23" s="2968"/>
      <c r="CH23" s="3040"/>
      <c r="CI23" s="3225"/>
      <c r="CJ23" s="3955"/>
      <c r="CK23" s="3961"/>
      <c r="CL23" s="3950"/>
      <c r="CM23" s="3040"/>
      <c r="CN23" s="3040"/>
      <c r="CO23" s="3040"/>
      <c r="CP23" s="3040"/>
      <c r="CQ23" s="3206"/>
      <c r="CR23" s="3040"/>
      <c r="CS23" s="3040"/>
      <c r="CT23" s="3225"/>
      <c r="CU23" s="2937">
        <f t="shared" si="13"/>
        <v>3175000</v>
      </c>
      <c r="CV23" s="2507">
        <f t="shared" si="14"/>
        <v>0</v>
      </c>
      <c r="CW23" s="2507">
        <f t="shared" si="15"/>
        <v>3175000</v>
      </c>
      <c r="CX23" s="2507">
        <f t="shared" si="16"/>
        <v>3175000</v>
      </c>
      <c r="CY23" s="2970">
        <f t="shared" si="17"/>
        <v>3175000</v>
      </c>
      <c r="CZ23" s="2937">
        <f t="shared" si="18"/>
        <v>0</v>
      </c>
      <c r="DA23" s="2507">
        <f t="shared" si="19"/>
        <v>3175000</v>
      </c>
      <c r="DB23" s="2507">
        <f t="shared" si="19"/>
        <v>3175000</v>
      </c>
      <c r="DC23" s="2507"/>
      <c r="DD23" s="2507"/>
      <c r="DE23" s="2507"/>
      <c r="DF23" s="3221"/>
      <c r="DG23" s="2974"/>
      <c r="DH23" s="3217"/>
      <c r="DI23" s="3966"/>
      <c r="DJ23" s="2974"/>
      <c r="DK23" s="2975"/>
      <c r="DL23" s="2975"/>
    </row>
    <row r="24" spans="1:116" s="2932" customFormat="1" ht="20.25" customHeight="1" x14ac:dyDescent="0.2">
      <c r="A24" s="2933" t="s">
        <v>1337</v>
      </c>
      <c r="B24" s="2943"/>
      <c r="C24" s="2947">
        <f>SUM('5.1.d.sz.mell'!K21+'5.1.d.sz.mell'!S21+'5.2.d.sz.mell.'!K21+'5.2.d.sz.mell.'!S21+'5.3.d.sz.mell'!K19+'5.3.d.sz.mell'!S19+'5.4.d.sz.mell'!K18+'5.4.d.sz.mell'!S18)</f>
        <v>400255199</v>
      </c>
      <c r="D24" s="3188">
        <f>SUM(E24-C24)</f>
        <v>5640721</v>
      </c>
      <c r="E24" s="2553">
        <f>SUM('5.1.d.sz.mell'!M21+'5.1.d.sz.mell'!U21+'5.2.d.sz.mell.'!M21+'5.2.d.sz.mell.'!U21+'5.3.d.sz.mell'!M19+'5.3.d.sz.mell'!U19+'5.4.d.sz.mell'!M18+'5.4.d.sz.mell'!U18)</f>
        <v>405895920</v>
      </c>
      <c r="F24" s="2553">
        <f>SUM('5.1.d.sz.mell'!N21+'5.1.d.sz.mell'!V21+'5.2.d.sz.mell.'!N21+'5.2.d.sz.mell.'!V21+'5.3.d.sz.mell'!N19+'5.3.d.sz.mell'!V19+'5.4.d.sz.mell'!N18+'5.4.d.sz.mell'!V18)</f>
        <v>0</v>
      </c>
      <c r="G24" s="2930">
        <f>SUM('5.1.d.sz.mell'!O21+'5.1.d.sz.mell'!W21+'5.2.d.sz.mell.'!O21+'5.2.d.sz.mell.'!W21+'5.3.d.sz.mell'!O19+'5.3.d.sz.mell'!W19+'5.4.d.sz.mell'!O18+'5.4.d.sz.mell'!W18)</f>
        <v>412081519</v>
      </c>
      <c r="H24" s="2930"/>
      <c r="I24" s="3937">
        <f>SUM('5.1.d.sz.mell'!Q21+'5.1.d.sz.mell'!Y21+'5.2.d.sz.mell.'!Q21+'5.2.d.sz.mell.'!Y21+'5.3.d.sz.mell'!Q19+'5.3.d.sz.mell'!Y19+'5.4.d.sz.mell'!Q18+'5.4.d.sz.mell'!Y18)</f>
        <v>410518886</v>
      </c>
      <c r="J24" s="2930">
        <f>SUM('5.1.d.sz.mell'!R21+'5.1.d.sz.mell'!Z21+'5.2.d.sz.mell.'!R21+'5.2.d.sz.mell.'!Z21+'5.3.d.sz.mell'!R19+'5.3.d.sz.mell'!Z19+'5.4.d.sz.mell'!R18+'5.4.d.sz.mell'!Z18)</f>
        <v>409548317</v>
      </c>
      <c r="K24" s="2935">
        <f t="shared" si="25"/>
        <v>400255199</v>
      </c>
      <c r="L24" s="2935">
        <f t="shared" si="25"/>
        <v>5640721</v>
      </c>
      <c r="M24" s="2553">
        <f t="shared" si="25"/>
        <v>405895920</v>
      </c>
      <c r="N24" s="2553">
        <f t="shared" si="25"/>
        <v>0</v>
      </c>
      <c r="O24" s="2930">
        <f t="shared" si="25"/>
        <v>412081519</v>
      </c>
      <c r="P24" s="2935"/>
      <c r="Q24" s="2930">
        <f t="shared" si="26"/>
        <v>410518886</v>
      </c>
      <c r="R24" s="2930">
        <f t="shared" si="26"/>
        <v>409548317</v>
      </c>
      <c r="S24" s="4066">
        <f>SUM('5.1.d.sz.mell'!K9+'5.1.d.sz.mell'!S9+'5.2.d.sz.mell.'!K9+'5.2.d.sz.mell.'!S9+'5.3.d.sz.mell'!K9+'5.3.d.sz.mell'!S9+'5.4.d.sz.mell'!K9+'5.4.d.sz.mell'!S9)</f>
        <v>386112619</v>
      </c>
      <c r="T24" s="2955">
        <f>SUM('5.1.d.sz.mell'!L9+'5.1.d.sz.mell'!T9+'5.2.d.sz.mell.'!L9+'5.2.d.sz.mell.'!T9+'5.3.d.sz.mell'!L9+'5.3.d.sz.mell'!T9+'5.4.d.sz.mell'!L9+'5.4.d.sz.mell'!T9)</f>
        <v>0</v>
      </c>
      <c r="U24" s="4067">
        <f>SUM('5.1.d.sz.mell'!M9+'5.1.d.sz.mell'!U9+'5.2.d.sz.mell.'!M9+'5.2.d.sz.mell.'!U9+'5.3.d.sz.mell'!M9+'5.3.d.sz.mell'!U9+'5.4.d.sz.mell'!M9+'5.4.d.sz.mell'!U9)</f>
        <v>387807109</v>
      </c>
      <c r="V24" s="4067">
        <f>SUM('5.1.d.sz.mell'!N9+'5.1.d.sz.mell'!V9+'5.2.d.sz.mell.'!N9+'5.2.d.sz.mell.'!V9+'5.3.d.sz.mell'!N9+'5.3.d.sz.mell'!V9+'5.4.d.sz.mell'!N9+'5.4.d.sz.mell'!V9)</f>
        <v>0</v>
      </c>
      <c r="W24" s="4068">
        <f>SUM('5.1.d.sz.mell'!O9+'5.1.d.sz.mell'!W9+'5.2.d.sz.mell.'!O9+'5.2.d.sz.mell.'!W9+'5.3.d.sz.mell'!O9+'5.3.d.sz.mell'!W9+'5.4.d.sz.mell'!O9+'5.4.d.sz.mell'!W9)</f>
        <v>387899961</v>
      </c>
      <c r="X24" s="4068"/>
      <c r="Y24" s="4068">
        <f>SUM('5.1.d.sz.mell'!Q9+'5.1.d.sz.mell'!Y9+'5.2.d.sz.mell.'!Q9+'5.2.d.sz.mell.'!Y9+'5.3.d.sz.mell'!Q9+'5.3.d.sz.mell'!Y9+'5.4.d.sz.mell'!Q9+'5.4.d.sz.mell'!Y9)</f>
        <v>390037966</v>
      </c>
      <c r="Z24" s="4068">
        <f>SUM('5.1.d.sz.mell'!R9+'5.1.d.sz.mell'!Z9+'5.2.d.sz.mell.'!R9+'5.2.d.sz.mell.'!Z9+'5.3.d.sz.mell'!R9+'5.3.d.sz.mell'!Z9+'5.4.d.sz.mell'!R9+'5.4.d.sz.mell'!Z9)</f>
        <v>390037966</v>
      </c>
      <c r="AA24" s="2954"/>
      <c r="AB24" s="2955"/>
      <c r="AC24" s="2956"/>
      <c r="AD24" s="2956"/>
      <c r="AE24" s="3204"/>
      <c r="AF24" s="2954"/>
      <c r="AG24" s="2956"/>
      <c r="AH24" s="2956"/>
      <c r="AI24" s="3526"/>
      <c r="AJ24" s="3527"/>
      <c r="AK24" s="3526"/>
      <c r="AL24" s="3526"/>
      <c r="AM24" s="3528"/>
      <c r="AN24" s="3528"/>
      <c r="AO24" s="3528"/>
      <c r="AP24" s="3528"/>
      <c r="AQ24" s="2954"/>
      <c r="AR24" s="2955"/>
      <c r="AS24" s="2956"/>
      <c r="AT24" s="2956"/>
      <c r="AU24" s="3204"/>
      <c r="AV24" s="2954"/>
      <c r="AW24" s="2956"/>
      <c r="AX24" s="3204"/>
      <c r="AY24" s="2954"/>
      <c r="AZ24" s="2955"/>
      <c r="BA24" s="2956"/>
      <c r="BB24" s="2956"/>
      <c r="BC24" s="3204"/>
      <c r="BD24" s="2954"/>
      <c r="BE24" s="2956"/>
      <c r="BF24" s="2956"/>
      <c r="BG24" s="2956"/>
      <c r="BH24" s="2955"/>
      <c r="BI24" s="2956"/>
      <c r="BJ24" s="2956"/>
      <c r="BK24" s="3204"/>
      <c r="BL24" s="2954"/>
      <c r="BM24" s="2956"/>
      <c r="BN24" s="2956"/>
      <c r="BO24" s="2956"/>
      <c r="BP24" s="2955"/>
      <c r="BQ24" s="2956"/>
      <c r="BR24" s="2956"/>
      <c r="BS24" s="3204"/>
      <c r="BT24" s="2954"/>
      <c r="BU24" s="2956"/>
      <c r="BV24" s="2956"/>
      <c r="BW24" s="2956"/>
      <c r="BX24" s="2955"/>
      <c r="BY24" s="2956"/>
      <c r="BZ24" s="2956"/>
      <c r="CA24" s="3204"/>
      <c r="CB24" s="2954"/>
      <c r="CC24" s="3940"/>
      <c r="CD24" s="3204"/>
      <c r="CE24" s="2954"/>
      <c r="CF24" s="2955"/>
      <c r="CG24" s="2956">
        <v>2337809</v>
      </c>
      <c r="CH24" s="2956">
        <v>2337809</v>
      </c>
      <c r="CI24" s="3204">
        <v>2337809</v>
      </c>
      <c r="CJ24" s="3940"/>
      <c r="CK24" s="2956">
        <v>2337809</v>
      </c>
      <c r="CL24" s="3208">
        <v>2337809</v>
      </c>
      <c r="CM24" s="2951"/>
      <c r="CN24" s="2951"/>
      <c r="CO24" s="2951"/>
      <c r="CP24" s="2951"/>
      <c r="CQ24" s="3204"/>
      <c r="CR24" s="2951"/>
      <c r="CS24" s="2951"/>
      <c r="CT24" s="3203"/>
      <c r="CU24" s="2935">
        <f t="shared" si="13"/>
        <v>14142580</v>
      </c>
      <c r="CV24" s="2553">
        <f t="shared" si="14"/>
        <v>5640721</v>
      </c>
      <c r="CW24" s="2553">
        <f t="shared" si="15"/>
        <v>15751002</v>
      </c>
      <c r="CX24" s="2553">
        <f t="shared" si="16"/>
        <v>-2337809</v>
      </c>
      <c r="CY24" s="2930">
        <f t="shared" si="17"/>
        <v>21843749</v>
      </c>
      <c r="CZ24" s="2935">
        <f t="shared" si="18"/>
        <v>0</v>
      </c>
      <c r="DA24" s="2553">
        <f t="shared" si="19"/>
        <v>18143111</v>
      </c>
      <c r="DB24" s="2553">
        <f t="shared" si="19"/>
        <v>17172542</v>
      </c>
      <c r="DC24" s="2553"/>
      <c r="DD24" s="2553"/>
      <c r="DE24" s="2553"/>
      <c r="DF24" s="3220"/>
      <c r="DG24" s="2934"/>
      <c r="DH24" s="3215"/>
      <c r="DI24" s="3196"/>
      <c r="DJ24" s="2934"/>
      <c r="DK24" s="2931"/>
      <c r="DL24" s="2931"/>
    </row>
    <row r="25" spans="1:116" s="2932" customFormat="1" ht="20.25" customHeight="1" x14ac:dyDescent="0.2">
      <c r="A25" s="2933" t="s">
        <v>1338</v>
      </c>
      <c r="B25" s="2943"/>
      <c r="C25" s="2947">
        <f>SUM(C26:C27)</f>
        <v>162332612</v>
      </c>
      <c r="D25" s="3188">
        <f>SUM(E25-C25)</f>
        <v>23211708</v>
      </c>
      <c r="E25" s="2553">
        <f t="shared" ref="E25:CH25" si="27">SUM(E26:E27)</f>
        <v>185544320</v>
      </c>
      <c r="F25" s="2553">
        <f t="shared" si="27"/>
        <v>0</v>
      </c>
      <c r="G25" s="2930">
        <f t="shared" si="27"/>
        <v>190621515</v>
      </c>
      <c r="H25" s="2930"/>
      <c r="I25" s="3937">
        <f t="shared" ref="I25:J25" si="28">SUM(I26:I27)</f>
        <v>169184336</v>
      </c>
      <c r="J25" s="2930">
        <f t="shared" si="28"/>
        <v>169023093</v>
      </c>
      <c r="K25" s="2935">
        <f t="shared" si="27"/>
        <v>162332612</v>
      </c>
      <c r="L25" s="2935">
        <f t="shared" si="27"/>
        <v>23211708</v>
      </c>
      <c r="M25" s="2553">
        <f t="shared" si="27"/>
        <v>185544320</v>
      </c>
      <c r="N25" s="2553">
        <f>SUM(N26:N27)</f>
        <v>0</v>
      </c>
      <c r="O25" s="2930">
        <f>SUM(O26:O27)</f>
        <v>190621515</v>
      </c>
      <c r="P25" s="2935"/>
      <c r="Q25" s="2930">
        <f>SUM(Q26:Q27)</f>
        <v>169184336</v>
      </c>
      <c r="R25" s="2930">
        <f>SUM(R26:R27)</f>
        <v>169023093</v>
      </c>
      <c r="S25" s="4066">
        <f t="shared" si="27"/>
        <v>25547940</v>
      </c>
      <c r="T25" s="4066">
        <f t="shared" si="27"/>
        <v>0</v>
      </c>
      <c r="U25" s="4066">
        <f t="shared" si="27"/>
        <v>27822719</v>
      </c>
      <c r="V25" s="4066">
        <f>SUM(V26:V27)</f>
        <v>0</v>
      </c>
      <c r="W25" s="4068">
        <f>SUM(W26:W27)</f>
        <v>30915432</v>
      </c>
      <c r="X25" s="4068"/>
      <c r="Y25" s="4068">
        <f t="shared" ref="Y25:Z25" si="29">SUM(Y26:Y27)</f>
        <v>32561027</v>
      </c>
      <c r="Z25" s="4068">
        <f t="shared" si="29"/>
        <v>32561027</v>
      </c>
      <c r="AA25" s="2954">
        <f t="shared" si="27"/>
        <v>0</v>
      </c>
      <c r="AB25" s="2954">
        <f t="shared" si="27"/>
        <v>0</v>
      </c>
      <c r="AC25" s="2954">
        <f t="shared" si="27"/>
        <v>0</v>
      </c>
      <c r="AD25" s="2954"/>
      <c r="AE25" s="3208"/>
      <c r="AF25" s="2954"/>
      <c r="AG25" s="2954"/>
      <c r="AH25" s="2954"/>
      <c r="AI25" s="3536">
        <f t="shared" si="27"/>
        <v>30277989</v>
      </c>
      <c r="AJ25" s="3536">
        <f t="shared" si="27"/>
        <v>0</v>
      </c>
      <c r="AK25" s="3536">
        <f t="shared" si="27"/>
        <v>30689610</v>
      </c>
      <c r="AL25" s="3536">
        <f>SUM(AL26:AL27)</f>
        <v>0</v>
      </c>
      <c r="AM25" s="3528">
        <f>SUM(AM26:AM27)</f>
        <v>30692141</v>
      </c>
      <c r="AN25" s="3528">
        <f t="shared" ref="AN25:AO25" si="30">SUM(AN26:AN27)</f>
        <v>0</v>
      </c>
      <c r="AO25" s="3528">
        <f t="shared" si="30"/>
        <v>23131387</v>
      </c>
      <c r="AP25" s="3528">
        <f t="shared" ref="AP25" si="31">SUM(AP26:AP27)</f>
        <v>23131387</v>
      </c>
      <c r="AQ25" s="2954">
        <f t="shared" si="27"/>
        <v>0</v>
      </c>
      <c r="AR25" s="2954">
        <f t="shared" si="27"/>
        <v>0</v>
      </c>
      <c r="AS25" s="2954">
        <f t="shared" si="27"/>
        <v>0</v>
      </c>
      <c r="AT25" s="2954">
        <f t="shared" si="27"/>
        <v>0</v>
      </c>
      <c r="AU25" s="3204">
        <f t="shared" si="27"/>
        <v>0</v>
      </c>
      <c r="AV25" s="2954"/>
      <c r="AW25" s="2954"/>
      <c r="AX25" s="3208"/>
      <c r="AY25" s="2954">
        <f t="shared" si="27"/>
        <v>0</v>
      </c>
      <c r="AZ25" s="2954">
        <f t="shared" si="27"/>
        <v>0</v>
      </c>
      <c r="BA25" s="2954">
        <f t="shared" si="27"/>
        <v>0</v>
      </c>
      <c r="BB25" s="2954">
        <f t="shared" si="27"/>
        <v>0</v>
      </c>
      <c r="BC25" s="2954">
        <f t="shared" si="27"/>
        <v>0</v>
      </c>
      <c r="BD25" s="2954"/>
      <c r="BE25" s="2954"/>
      <c r="BF25" s="2954"/>
      <c r="BG25" s="2954">
        <f t="shared" si="27"/>
        <v>0</v>
      </c>
      <c r="BH25" s="2954">
        <f t="shared" si="27"/>
        <v>0</v>
      </c>
      <c r="BI25" s="2954">
        <f t="shared" si="27"/>
        <v>402500</v>
      </c>
      <c r="BJ25" s="2954">
        <f t="shared" si="27"/>
        <v>402500</v>
      </c>
      <c r="BK25" s="2954">
        <f t="shared" si="27"/>
        <v>402500</v>
      </c>
      <c r="BL25" s="2954">
        <f t="shared" si="27"/>
        <v>0</v>
      </c>
      <c r="BM25" s="2954">
        <f t="shared" si="27"/>
        <v>402500</v>
      </c>
      <c r="BN25" s="2954">
        <f t="shared" si="27"/>
        <v>402500</v>
      </c>
      <c r="BO25" s="2954">
        <f t="shared" si="27"/>
        <v>0</v>
      </c>
      <c r="BP25" s="2954">
        <f t="shared" si="27"/>
        <v>0</v>
      </c>
      <c r="BQ25" s="2954">
        <f t="shared" si="27"/>
        <v>0</v>
      </c>
      <c r="BR25" s="2954">
        <f t="shared" si="27"/>
        <v>0</v>
      </c>
      <c r="BS25" s="3204">
        <f t="shared" si="27"/>
        <v>0</v>
      </c>
      <c r="BT25" s="2954"/>
      <c r="BU25" s="2954"/>
      <c r="BV25" s="2954"/>
      <c r="BW25" s="2954">
        <f t="shared" si="27"/>
        <v>0</v>
      </c>
      <c r="BX25" s="2954">
        <f t="shared" si="27"/>
        <v>0</v>
      </c>
      <c r="BY25" s="2954">
        <f t="shared" si="27"/>
        <v>0</v>
      </c>
      <c r="BZ25" s="2954"/>
      <c r="CA25" s="3204"/>
      <c r="CB25" s="2954"/>
      <c r="CC25" s="3941"/>
      <c r="CD25" s="3204"/>
      <c r="CE25" s="2954">
        <f t="shared" si="27"/>
        <v>0</v>
      </c>
      <c r="CF25" s="2954">
        <f t="shared" si="27"/>
        <v>0</v>
      </c>
      <c r="CG25" s="2954">
        <f t="shared" si="27"/>
        <v>18223108</v>
      </c>
      <c r="CH25" s="2954">
        <f t="shared" si="27"/>
        <v>18223108</v>
      </c>
      <c r="CI25" s="3204">
        <f>SUM(CI26:CI27)</f>
        <v>18223108</v>
      </c>
      <c r="CJ25" s="3940"/>
      <c r="CK25" s="2956">
        <f t="shared" ref="CK25:CL25" si="32">SUM(CK26:CK27)</f>
        <v>18223108</v>
      </c>
      <c r="CL25" s="3208">
        <f t="shared" si="32"/>
        <v>18223108</v>
      </c>
      <c r="CM25" s="2951"/>
      <c r="CN25" s="2951"/>
      <c r="CO25" s="2951"/>
      <c r="CP25" s="2951"/>
      <c r="CQ25" s="3204"/>
      <c r="CR25" s="2951"/>
      <c r="CS25" s="2951"/>
      <c r="CT25" s="3203"/>
      <c r="CU25" s="2935">
        <f t="shared" si="13"/>
        <v>106506683</v>
      </c>
      <c r="CV25" s="2553">
        <f t="shared" si="14"/>
        <v>23211708</v>
      </c>
      <c r="CW25" s="2553">
        <f t="shared" si="15"/>
        <v>108406383</v>
      </c>
      <c r="CX25" s="2553">
        <f t="shared" si="16"/>
        <v>-18625608</v>
      </c>
      <c r="CY25" s="2930">
        <f t="shared" si="17"/>
        <v>110388334</v>
      </c>
      <c r="CZ25" s="2935">
        <f t="shared" si="18"/>
        <v>0</v>
      </c>
      <c r="DA25" s="2553">
        <f t="shared" si="19"/>
        <v>94866314</v>
      </c>
      <c r="DB25" s="2553">
        <f t="shared" si="19"/>
        <v>94705071</v>
      </c>
      <c r="DC25" s="2553"/>
      <c r="DD25" s="2553"/>
      <c r="DE25" s="2553"/>
      <c r="DF25" s="3220"/>
      <c r="DG25" s="2934"/>
      <c r="DH25" s="3215"/>
      <c r="DI25" s="3196"/>
      <c r="DJ25" s="2934"/>
      <c r="DK25" s="2931"/>
      <c r="DL25" s="2931"/>
    </row>
    <row r="26" spans="1:116" ht="20.25" customHeight="1" x14ac:dyDescent="0.25">
      <c r="A26" s="2468" t="s">
        <v>1339</v>
      </c>
      <c r="B26" s="2397"/>
      <c r="C26" s="2949">
        <f>SUM('5.8.d.sz.mell'!C21)</f>
        <v>32596481</v>
      </c>
      <c r="D26" s="3198">
        <f>SUM(E26-C26)</f>
        <v>3093449</v>
      </c>
      <c r="E26" s="2939">
        <f>SUM('5.8.d.sz.mell'!E21)</f>
        <v>35689930</v>
      </c>
      <c r="F26" s="2939">
        <f>SUM('5.8.d.sz.mell'!F21)</f>
        <v>0</v>
      </c>
      <c r="G26" s="2950">
        <f>SUM('5.8.d.sz.mell'!G21)</f>
        <v>38123233</v>
      </c>
      <c r="H26" s="2950"/>
      <c r="I26" s="3195">
        <f>SUM('5.8.d.sz.mell'!I21)</f>
        <v>37379714</v>
      </c>
      <c r="J26" s="2950">
        <f>SUM('5.8.d.sz.mell'!J21)</f>
        <v>37379714</v>
      </c>
      <c r="K26" s="3190">
        <f t="shared" ref="K26:O27" si="33">SUM(C26)</f>
        <v>32596481</v>
      </c>
      <c r="L26" s="2939">
        <f t="shared" si="33"/>
        <v>3093449</v>
      </c>
      <c r="M26" s="2939">
        <f t="shared" si="33"/>
        <v>35689930</v>
      </c>
      <c r="N26" s="2939">
        <f t="shared" si="33"/>
        <v>0</v>
      </c>
      <c r="O26" s="2950">
        <f t="shared" si="33"/>
        <v>38123233</v>
      </c>
      <c r="P26" s="3190"/>
      <c r="Q26" s="2950">
        <f>SUM(I26)</f>
        <v>37379714</v>
      </c>
      <c r="R26" s="2950">
        <f>SUM(J26)</f>
        <v>37379714</v>
      </c>
      <c r="S26" s="2967">
        <f>SUM('5.8.d.sz.mell'!C10)</f>
        <v>12773970</v>
      </c>
      <c r="T26" s="2960">
        <f>SUM('5.8.d.sz.mell'!D10)</f>
        <v>0</v>
      </c>
      <c r="U26" s="2968">
        <f>SUM('5.8.d.sz.mell'!E10)</f>
        <v>13490237</v>
      </c>
      <c r="V26" s="2968">
        <f>SUM('5.8.d.sz.mell'!F10)</f>
        <v>0</v>
      </c>
      <c r="W26" s="3206">
        <f>SUM('5.8.d.sz.mell'!G10)</f>
        <v>15253362</v>
      </c>
      <c r="X26" s="3206"/>
      <c r="Y26" s="3206">
        <f>SUM('5.8.d.sz.mell'!I10)</f>
        <v>15751866</v>
      </c>
      <c r="Z26" s="3206">
        <f>SUM('5.8.d.sz.mell'!J10)</f>
        <v>15751866</v>
      </c>
      <c r="AA26" s="2967"/>
      <c r="AB26" s="2960"/>
      <c r="AC26" s="2968"/>
      <c r="AD26" s="2968"/>
      <c r="AE26" s="3206"/>
      <c r="AF26" s="2967"/>
      <c r="AG26" s="2968"/>
      <c r="AH26" s="2968"/>
      <c r="AI26" s="3532">
        <f>SUM('5.8.d.sz.mell'!C7)</f>
        <v>844000</v>
      </c>
      <c r="AJ26" s="3533">
        <f>SUM('5.8.d.sz.mell'!D7)</f>
        <v>0</v>
      </c>
      <c r="AK26" s="3532">
        <f>SUM('5.8.d.sz.mell'!E7)</f>
        <v>854681</v>
      </c>
      <c r="AL26" s="3532">
        <f>SUM('5.8.d.sz.mell'!F7)</f>
        <v>0</v>
      </c>
      <c r="AM26" s="3534">
        <f>SUM('5.8.d.sz.mell'!G7)</f>
        <v>857212</v>
      </c>
      <c r="AN26" s="3534">
        <f>SUM('5.8.d.sz.mell'!H7)</f>
        <v>0</v>
      </c>
      <c r="AO26" s="3534">
        <f>SUM('5.8.d.sz.mell'!I7)</f>
        <v>1109248</v>
      </c>
      <c r="AP26" s="3534">
        <f>SUM('5.8.d.sz.mell'!J7)</f>
        <v>1109248</v>
      </c>
      <c r="AQ26" s="2967"/>
      <c r="AR26" s="2960"/>
      <c r="AS26" s="2968"/>
      <c r="AT26" s="2968"/>
      <c r="AU26" s="3204"/>
      <c r="AV26" s="2967"/>
      <c r="AW26" s="2968"/>
      <c r="AX26" s="3206"/>
      <c r="AY26" s="2967"/>
      <c r="AZ26" s="2960"/>
      <c r="BA26" s="2968"/>
      <c r="BB26" s="2968"/>
      <c r="BC26" s="3206"/>
      <c r="BD26" s="2967"/>
      <c r="BE26" s="2968"/>
      <c r="BF26" s="2968"/>
      <c r="BG26" s="2968"/>
      <c r="BH26" s="2960"/>
      <c r="BI26" s="2968"/>
      <c r="BJ26" s="2968"/>
      <c r="BK26" s="3206"/>
      <c r="BL26" s="2967"/>
      <c r="BM26" s="2968"/>
      <c r="BN26" s="2968"/>
      <c r="BO26" s="2968"/>
      <c r="BP26" s="2960"/>
      <c r="BQ26" s="2968"/>
      <c r="BR26" s="2968"/>
      <c r="BS26" s="3206"/>
      <c r="BT26" s="2967"/>
      <c r="BU26" s="2968"/>
      <c r="BV26" s="2968"/>
      <c r="BW26" s="2968"/>
      <c r="BX26" s="2960"/>
      <c r="BY26" s="2968"/>
      <c r="BZ26" s="2968"/>
      <c r="CA26" s="3206"/>
      <c r="CB26" s="2967"/>
      <c r="CC26" s="3942"/>
      <c r="CD26" s="3206"/>
      <c r="CE26" s="2967"/>
      <c r="CF26" s="2960"/>
      <c r="CG26" s="2968">
        <v>429485</v>
      </c>
      <c r="CH26" s="2968">
        <v>429485</v>
      </c>
      <c r="CI26" s="3206">
        <v>429485</v>
      </c>
      <c r="CJ26" s="3942"/>
      <c r="CK26" s="2968">
        <v>429485</v>
      </c>
      <c r="CL26" s="3958">
        <v>429485</v>
      </c>
      <c r="CM26" s="3040"/>
      <c r="CN26" s="3040"/>
      <c r="CO26" s="3040"/>
      <c r="CP26" s="3040"/>
      <c r="CQ26" s="3206"/>
      <c r="CR26" s="3040"/>
      <c r="CS26" s="3040"/>
      <c r="CT26" s="3225"/>
      <c r="CU26" s="2937">
        <f t="shared" si="13"/>
        <v>18978511</v>
      </c>
      <c r="CV26" s="2507">
        <f t="shared" si="14"/>
        <v>3093449</v>
      </c>
      <c r="CW26" s="2507">
        <f t="shared" si="15"/>
        <v>20915527</v>
      </c>
      <c r="CX26" s="2507">
        <f t="shared" si="16"/>
        <v>-429485</v>
      </c>
      <c r="CY26" s="2970">
        <f t="shared" si="17"/>
        <v>21583174</v>
      </c>
      <c r="CZ26" s="2937">
        <f t="shared" si="18"/>
        <v>0</v>
      </c>
      <c r="DA26" s="2507">
        <f t="shared" si="19"/>
        <v>20089115</v>
      </c>
      <c r="DB26" s="2507">
        <f t="shared" si="19"/>
        <v>20089115</v>
      </c>
      <c r="DC26" s="2507"/>
      <c r="DD26" s="2507"/>
      <c r="DE26" s="2507"/>
      <c r="DF26" s="3183"/>
      <c r="DG26" s="2467"/>
      <c r="DH26" s="3216"/>
      <c r="DI26" s="3965"/>
      <c r="DJ26" s="2467"/>
      <c r="DK26" s="2464"/>
      <c r="DL26" s="2464"/>
    </row>
    <row r="27" spans="1:116" ht="20.25" customHeight="1" x14ac:dyDescent="0.25">
      <c r="A27" s="2468" t="s">
        <v>1340</v>
      </c>
      <c r="B27" s="2397"/>
      <c r="C27" s="2949">
        <f>SUM('5.7.d.sz.mell'!S21+'5.7.d.sz.mell'!AA21)</f>
        <v>129736131</v>
      </c>
      <c r="D27" s="3198">
        <f>SUM(E27-C27)</f>
        <v>20118259</v>
      </c>
      <c r="E27" s="2939">
        <f>SUM('5.7.d.sz.mell'!U21+'5.7.d.sz.mell'!AC21)</f>
        <v>149854390</v>
      </c>
      <c r="F27" s="2939">
        <f>SUM('5.7.d.sz.mell'!V21+'5.7.d.sz.mell'!AD21)</f>
        <v>0</v>
      </c>
      <c r="G27" s="2950">
        <f>SUM('5.7.d.sz.mell'!W21+'5.7.d.sz.mell'!AE21)</f>
        <v>152498282</v>
      </c>
      <c r="H27" s="2950"/>
      <c r="I27" s="3195">
        <f>SUM('5.7.d.sz.mell'!Y21+'5.7.d.sz.mell'!AG21)</f>
        <v>131804622</v>
      </c>
      <c r="J27" s="2950">
        <f>SUM('5.7.d.sz.mell'!Z21+'5.7.d.sz.mell'!AH21)</f>
        <v>131643379</v>
      </c>
      <c r="K27" s="3190">
        <f t="shared" si="33"/>
        <v>129736131</v>
      </c>
      <c r="L27" s="2939">
        <f t="shared" si="33"/>
        <v>20118259</v>
      </c>
      <c r="M27" s="2939">
        <f t="shared" si="33"/>
        <v>149854390</v>
      </c>
      <c r="N27" s="2939">
        <f t="shared" si="33"/>
        <v>0</v>
      </c>
      <c r="O27" s="2950">
        <f t="shared" si="33"/>
        <v>152498282</v>
      </c>
      <c r="P27" s="3190"/>
      <c r="Q27" s="2950">
        <f>SUM(I27)</f>
        <v>131804622</v>
      </c>
      <c r="R27" s="2950">
        <f>SUM(J27)</f>
        <v>131643379</v>
      </c>
      <c r="S27" s="2967">
        <f>SUM('5.7.d.sz.mell'!S9+'5.7.d.sz.mell'!AA9)</f>
        <v>12773970</v>
      </c>
      <c r="T27" s="2960">
        <f>SUM('5.7.d.sz.mell'!T9+'5.7.d.sz.mell'!AB9)</f>
        <v>0</v>
      </c>
      <c r="U27" s="2968">
        <f>SUM('5.7.d.sz.mell'!U9+'5.7.d.sz.mell'!AC9)</f>
        <v>14332482</v>
      </c>
      <c r="V27" s="2968">
        <f>SUM('5.7.d.sz.mell'!V9+'5.7.d.sz.mell'!AD9)</f>
        <v>0</v>
      </c>
      <c r="W27" s="3206">
        <f>SUM('5.7.d.sz.mell'!W9+'5.7.d.sz.mell'!AE9)</f>
        <v>15662070</v>
      </c>
      <c r="X27" s="3206"/>
      <c r="Y27" s="3206">
        <f>SUM('5.7.d.sz.mell'!Y9+'5.7.d.sz.mell'!AG9)</f>
        <v>16809161</v>
      </c>
      <c r="Z27" s="3206">
        <f>SUM('5.7.d.sz.mell'!Z9+'5.7.d.sz.mell'!AH9)</f>
        <v>16809161</v>
      </c>
      <c r="AA27" s="2967"/>
      <c r="AB27" s="2960"/>
      <c r="AC27" s="2968"/>
      <c r="AD27" s="2968"/>
      <c r="AE27" s="3206"/>
      <c r="AF27" s="2967"/>
      <c r="AG27" s="2968"/>
      <c r="AH27" s="2968"/>
      <c r="AI27" s="3532">
        <f>SUM('5.7.d.sz.mell'!S7)</f>
        <v>29433989</v>
      </c>
      <c r="AJ27" s="3533">
        <f>SUM('5.7.d.sz.mell'!T7)</f>
        <v>0</v>
      </c>
      <c r="AK27" s="3532">
        <f>SUM('5.7.d.sz.mell'!U7)</f>
        <v>29834929</v>
      </c>
      <c r="AL27" s="3532">
        <f>SUM('5.7.d.sz.mell'!V7)</f>
        <v>0</v>
      </c>
      <c r="AM27" s="3534">
        <f>SUM('5.7.d.sz.mell'!W7)</f>
        <v>29834929</v>
      </c>
      <c r="AN27" s="3534">
        <f>SUM('5.7.d.sz.mell'!X7)</f>
        <v>0</v>
      </c>
      <c r="AO27" s="3534">
        <f>SUM('5.7.d.sz.mell'!Y7)</f>
        <v>22022139</v>
      </c>
      <c r="AP27" s="3534">
        <f>SUM('5.7.d.sz.mell'!Z7)</f>
        <v>22022139</v>
      </c>
      <c r="AQ27" s="2967"/>
      <c r="AR27" s="2960"/>
      <c r="AS27" s="2968"/>
      <c r="AT27" s="2968"/>
      <c r="AU27" s="3204"/>
      <c r="AV27" s="2967"/>
      <c r="AW27" s="2968"/>
      <c r="AX27" s="3206"/>
      <c r="AY27" s="2967"/>
      <c r="AZ27" s="2960"/>
      <c r="BA27" s="2968"/>
      <c r="BB27" s="2968"/>
      <c r="BC27" s="3206"/>
      <c r="BD27" s="2967"/>
      <c r="BE27" s="2968"/>
      <c r="BF27" s="2968"/>
      <c r="BG27" s="2968"/>
      <c r="BH27" s="2960"/>
      <c r="BI27" s="2968">
        <v>402500</v>
      </c>
      <c r="BJ27" s="2968">
        <v>402500</v>
      </c>
      <c r="BK27" s="2968">
        <v>402500</v>
      </c>
      <c r="BL27" s="2967"/>
      <c r="BM27" s="2968">
        <v>402500</v>
      </c>
      <c r="BN27" s="2968">
        <v>402500</v>
      </c>
      <c r="BO27" s="2968"/>
      <c r="BP27" s="2960"/>
      <c r="BQ27" s="2968"/>
      <c r="BR27" s="2968"/>
      <c r="BS27" s="3206"/>
      <c r="BT27" s="2967"/>
      <c r="BU27" s="2968"/>
      <c r="BV27" s="2968"/>
      <c r="BW27" s="2968"/>
      <c r="BX27" s="2960"/>
      <c r="BY27" s="2968"/>
      <c r="BZ27" s="2968"/>
      <c r="CA27" s="3206"/>
      <c r="CB27" s="2967"/>
      <c r="CC27" s="3942"/>
      <c r="CD27" s="3206"/>
      <c r="CE27" s="2967"/>
      <c r="CF27" s="2960"/>
      <c r="CG27" s="2968">
        <v>17793623</v>
      </c>
      <c r="CH27" s="2968">
        <v>17793623</v>
      </c>
      <c r="CI27" s="3206">
        <v>17793623</v>
      </c>
      <c r="CJ27" s="3942"/>
      <c r="CK27" s="2968">
        <v>17793623</v>
      </c>
      <c r="CL27" s="3958">
        <v>17793623</v>
      </c>
      <c r="CM27" s="3040"/>
      <c r="CN27" s="3040"/>
      <c r="CO27" s="3040"/>
      <c r="CP27" s="3040"/>
      <c r="CQ27" s="3206"/>
      <c r="CR27" s="3040"/>
      <c r="CS27" s="3040"/>
      <c r="CT27" s="3225"/>
      <c r="CU27" s="2937">
        <f t="shared" si="13"/>
        <v>87528172</v>
      </c>
      <c r="CV27" s="2507">
        <f t="shared" si="14"/>
        <v>20118259</v>
      </c>
      <c r="CW27" s="2507">
        <f t="shared" si="15"/>
        <v>87490856</v>
      </c>
      <c r="CX27" s="2507">
        <f t="shared" si="16"/>
        <v>-18196123</v>
      </c>
      <c r="CY27" s="2970">
        <f t="shared" si="17"/>
        <v>88805160</v>
      </c>
      <c r="CZ27" s="2937">
        <f t="shared" si="18"/>
        <v>0</v>
      </c>
      <c r="DA27" s="2507">
        <f t="shared" si="19"/>
        <v>74777199</v>
      </c>
      <c r="DB27" s="2507">
        <f t="shared" si="19"/>
        <v>74615956</v>
      </c>
      <c r="DC27" s="2507"/>
      <c r="DD27" s="2507"/>
      <c r="DE27" s="2507"/>
      <c r="DF27" s="3183"/>
      <c r="DG27" s="2467"/>
      <c r="DH27" s="3216"/>
      <c r="DI27" s="3965"/>
      <c r="DJ27" s="2467"/>
      <c r="DK27" s="2464"/>
      <c r="DL27" s="2464"/>
    </row>
    <row r="28" spans="1:116" s="2932" customFormat="1" ht="20.25" customHeight="1" x14ac:dyDescent="0.2">
      <c r="A28" s="2933" t="s">
        <v>1341</v>
      </c>
      <c r="B28" s="2943"/>
      <c r="C28" s="2947">
        <f>SUM(C29:C33)</f>
        <v>580564009</v>
      </c>
      <c r="D28" s="3188">
        <f t="shared" ref="D28:CF28" si="34">SUM(D29:D33)</f>
        <v>56852798</v>
      </c>
      <c r="E28" s="2553">
        <f t="shared" si="34"/>
        <v>637416807</v>
      </c>
      <c r="F28" s="2553">
        <f t="shared" si="34"/>
        <v>8031181</v>
      </c>
      <c r="G28" s="2930">
        <f t="shared" si="34"/>
        <v>658827010</v>
      </c>
      <c r="H28" s="2930"/>
      <c r="I28" s="3937">
        <f t="shared" ref="I28:J28" si="35">SUM(I29:I33)</f>
        <v>658541447</v>
      </c>
      <c r="J28" s="2930">
        <f t="shared" si="35"/>
        <v>653192640</v>
      </c>
      <c r="K28" s="2935">
        <f t="shared" si="34"/>
        <v>580564009</v>
      </c>
      <c r="L28" s="2935">
        <f t="shared" si="34"/>
        <v>56852798</v>
      </c>
      <c r="M28" s="2553">
        <f t="shared" si="34"/>
        <v>637416807</v>
      </c>
      <c r="N28" s="2553">
        <f>SUM(N29:N33)</f>
        <v>8031181</v>
      </c>
      <c r="O28" s="2930">
        <f>SUM(O29:O33)</f>
        <v>658827010</v>
      </c>
      <c r="P28" s="2935"/>
      <c r="Q28" s="2930">
        <f>SUM(Q29:Q33)</f>
        <v>658541447</v>
      </c>
      <c r="R28" s="2930">
        <f>SUM(R29:R33)</f>
        <v>653192640</v>
      </c>
      <c r="S28" s="4066">
        <f t="shared" si="34"/>
        <v>184217571</v>
      </c>
      <c r="T28" s="4066">
        <f t="shared" si="34"/>
        <v>0</v>
      </c>
      <c r="U28" s="4066">
        <f t="shared" si="34"/>
        <v>202720715</v>
      </c>
      <c r="V28" s="4066">
        <f>SUM(V29:V33)</f>
        <v>53764114</v>
      </c>
      <c r="W28" s="4068">
        <f>SUM(W29:W33)</f>
        <v>234280452</v>
      </c>
      <c r="X28" s="4068"/>
      <c r="Y28" s="4068">
        <f t="shared" ref="Y28:Z28" si="36">SUM(Y29:Y33)</f>
        <v>229072682</v>
      </c>
      <c r="Z28" s="4068">
        <f t="shared" si="36"/>
        <v>229072682</v>
      </c>
      <c r="AA28" s="2954">
        <f t="shared" si="34"/>
        <v>0</v>
      </c>
      <c r="AB28" s="2954">
        <f t="shared" si="34"/>
        <v>0</v>
      </c>
      <c r="AC28" s="2954">
        <f t="shared" si="34"/>
        <v>0</v>
      </c>
      <c r="AD28" s="2954"/>
      <c r="AE28" s="3208"/>
      <c r="AF28" s="2954"/>
      <c r="AG28" s="2954"/>
      <c r="AH28" s="2954"/>
      <c r="AI28" s="3536">
        <f t="shared" si="34"/>
        <v>161252031</v>
      </c>
      <c r="AJ28" s="3536">
        <f t="shared" si="34"/>
        <v>0</v>
      </c>
      <c r="AK28" s="3536">
        <f t="shared" si="34"/>
        <v>160936367</v>
      </c>
      <c r="AL28" s="3536">
        <f>SUM(AL29:AL33)</f>
        <v>0</v>
      </c>
      <c r="AM28" s="3528">
        <f>SUM(AM29:AM33)</f>
        <v>160940774</v>
      </c>
      <c r="AN28" s="3528">
        <f t="shared" ref="AN28:AO28" si="37">SUM(AN29:AN33)</f>
        <v>0</v>
      </c>
      <c r="AO28" s="3528">
        <f t="shared" si="37"/>
        <v>164654876</v>
      </c>
      <c r="AP28" s="3528">
        <f t="shared" ref="AP28" si="38">SUM(AP29:AP33)</f>
        <v>164682648</v>
      </c>
      <c r="AQ28" s="2954">
        <f t="shared" si="34"/>
        <v>0</v>
      </c>
      <c r="AR28" s="2954">
        <f t="shared" si="34"/>
        <v>0</v>
      </c>
      <c r="AS28" s="2954">
        <f t="shared" si="34"/>
        <v>0</v>
      </c>
      <c r="AT28" s="2954">
        <f t="shared" si="34"/>
        <v>0</v>
      </c>
      <c r="AU28" s="3204">
        <f t="shared" si="34"/>
        <v>0</v>
      </c>
      <c r="AV28" s="2954"/>
      <c r="AW28" s="2954"/>
      <c r="AX28" s="3208"/>
      <c r="AY28" s="2954">
        <f t="shared" si="34"/>
        <v>0</v>
      </c>
      <c r="AZ28" s="2954">
        <f t="shared" si="34"/>
        <v>0</v>
      </c>
      <c r="BA28" s="2954">
        <f t="shared" si="34"/>
        <v>0</v>
      </c>
      <c r="BB28" s="2954">
        <f t="shared" si="34"/>
        <v>0</v>
      </c>
      <c r="BC28" s="2954">
        <f t="shared" si="34"/>
        <v>0</v>
      </c>
      <c r="BD28" s="2954"/>
      <c r="BE28" s="2954"/>
      <c r="BF28" s="2954"/>
      <c r="BG28" s="2954">
        <f t="shared" si="34"/>
        <v>0</v>
      </c>
      <c r="BH28" s="2954">
        <f t="shared" si="34"/>
        <v>0</v>
      </c>
      <c r="BI28" s="2954">
        <f t="shared" si="34"/>
        <v>0</v>
      </c>
      <c r="BJ28" s="2954"/>
      <c r="BK28" s="3208"/>
      <c r="BL28" s="2954"/>
      <c r="BM28" s="2954"/>
      <c r="BN28" s="2954"/>
      <c r="BO28" s="2954">
        <f t="shared" si="34"/>
        <v>0</v>
      </c>
      <c r="BP28" s="2954">
        <f t="shared" si="34"/>
        <v>0</v>
      </c>
      <c r="BQ28" s="2954">
        <f t="shared" si="34"/>
        <v>0</v>
      </c>
      <c r="BR28" s="2954">
        <f t="shared" si="34"/>
        <v>0</v>
      </c>
      <c r="BS28" s="3204">
        <f t="shared" si="34"/>
        <v>0</v>
      </c>
      <c r="BT28" s="2954"/>
      <c r="BU28" s="2954"/>
      <c r="BV28" s="2954"/>
      <c r="BW28" s="2954">
        <f t="shared" si="34"/>
        <v>0</v>
      </c>
      <c r="BX28" s="2954">
        <f t="shared" si="34"/>
        <v>0</v>
      </c>
      <c r="BY28" s="2954">
        <f t="shared" si="34"/>
        <v>0</v>
      </c>
      <c r="BZ28" s="2954"/>
      <c r="CA28" s="3204"/>
      <c r="CB28" s="2954"/>
      <c r="CC28" s="3941"/>
      <c r="CD28" s="3204"/>
      <c r="CE28" s="2954">
        <f t="shared" si="34"/>
        <v>0</v>
      </c>
      <c r="CF28" s="2954">
        <f t="shared" si="34"/>
        <v>0</v>
      </c>
      <c r="CG28" s="2954">
        <f>SUM(CG29:CG33)</f>
        <v>42624666</v>
      </c>
      <c r="CH28" s="2954">
        <f>SUM(CH29:CH33)</f>
        <v>458037751</v>
      </c>
      <c r="CI28" s="3204">
        <f>SUM(CI29:CI33)</f>
        <v>42624666</v>
      </c>
      <c r="CJ28" s="3940"/>
      <c r="CK28" s="2956">
        <f t="shared" ref="CK28:CL28" si="39">SUM(CK29:CK33)</f>
        <v>42624666</v>
      </c>
      <c r="CL28" s="3208">
        <f t="shared" si="39"/>
        <v>42624666</v>
      </c>
      <c r="CM28" s="2951"/>
      <c r="CN28" s="2951"/>
      <c r="CO28" s="2951"/>
      <c r="CP28" s="2951"/>
      <c r="CQ28" s="3204"/>
      <c r="CR28" s="2951"/>
      <c r="CS28" s="2951"/>
      <c r="CT28" s="3203"/>
      <c r="CU28" s="2935">
        <f t="shared" si="13"/>
        <v>235094407</v>
      </c>
      <c r="CV28" s="2553">
        <f t="shared" si="14"/>
        <v>56852798</v>
      </c>
      <c r="CW28" s="2553">
        <f t="shared" si="15"/>
        <v>231135059</v>
      </c>
      <c r="CX28" s="2553">
        <f t="shared" si="16"/>
        <v>-503770684</v>
      </c>
      <c r="CY28" s="2930">
        <f t="shared" si="17"/>
        <v>220981118</v>
      </c>
      <c r="CZ28" s="2935">
        <f t="shared" si="18"/>
        <v>0</v>
      </c>
      <c r="DA28" s="2553">
        <f t="shared" si="19"/>
        <v>222189223</v>
      </c>
      <c r="DB28" s="2553">
        <f t="shared" si="19"/>
        <v>216812644</v>
      </c>
      <c r="DC28" s="2553"/>
      <c r="DD28" s="2553">
        <f t="shared" ref="DD28" si="40">SUM(T28-AB28-AJ28-AR28-AZ28-BH28-BP28-BX28-CN28)</f>
        <v>0</v>
      </c>
      <c r="DE28" s="2553">
        <f t="shared" ref="DE28" si="41">SUM(U28-AC28-AK28-AS28-BA28-BI28-BQ28-BY28-CO28)</f>
        <v>41784348</v>
      </c>
      <c r="DF28" s="2553">
        <f t="shared" ref="DF28" si="42">SUM(V28-AD28-AL28-AT28-BB28-BJ28-BR28-BZ28-CP28)</f>
        <v>53764114</v>
      </c>
      <c r="DG28" s="2553">
        <f t="shared" ref="DG28" si="43">SUM(W28-AE28-AM28-AU28-BC28-BK28-BS28-CA28-CQ28)</f>
        <v>73339678</v>
      </c>
      <c r="DH28" s="2553">
        <f t="shared" ref="DH28" si="44">SUM(X28-AF28-AN28-AV28-BD28-BL28-BT28-CB28-CR28)</f>
        <v>0</v>
      </c>
      <c r="DI28" s="3937">
        <f>SUM(DI29:DI33)</f>
        <v>20000</v>
      </c>
      <c r="DJ28" s="2930">
        <f>SUM(DJ29:DJ33)</f>
        <v>20000</v>
      </c>
      <c r="DK28" s="2931"/>
      <c r="DL28" s="2931"/>
    </row>
    <row r="29" spans="1:116" s="2976" customFormat="1" ht="20.25" customHeight="1" x14ac:dyDescent="0.25">
      <c r="A29" s="2470" t="s">
        <v>1342</v>
      </c>
      <c r="B29" s="2969"/>
      <c r="C29" s="2949">
        <f>SUM('5.6.d sz. mell.'!K19)</f>
        <v>69266233</v>
      </c>
      <c r="D29" s="3195">
        <f>SUM(E29-C29)</f>
        <v>3705257</v>
      </c>
      <c r="E29" s="2939">
        <f>SUM('5.6.d sz. mell.'!M19)</f>
        <v>72971490</v>
      </c>
      <c r="F29" s="2939">
        <f>SUM('5.6.d sz. mell.'!N19)</f>
        <v>0</v>
      </c>
      <c r="G29" s="2950">
        <f>SUM('5.6.d sz. mell.'!O19)</f>
        <v>74305212</v>
      </c>
      <c r="H29" s="2950"/>
      <c r="I29" s="3195">
        <f>SUM('5.6.d sz. mell.'!Q19)</f>
        <v>71698391</v>
      </c>
      <c r="J29" s="2950">
        <f>SUM('5.6.d sz. mell.'!R19)</f>
        <v>71573530</v>
      </c>
      <c r="K29" s="3190">
        <f t="shared" ref="K29:K56" si="45">SUM(C29)</f>
        <v>69266233</v>
      </c>
      <c r="L29" s="2939">
        <f t="shared" ref="L29:L56" si="46">SUM(D29)</f>
        <v>3705257</v>
      </c>
      <c r="M29" s="2939">
        <f t="shared" ref="M29:M56" si="47">SUM(E29)</f>
        <v>72971490</v>
      </c>
      <c r="N29" s="2939">
        <f t="shared" ref="N29:N56" si="48">SUM(F29)</f>
        <v>0</v>
      </c>
      <c r="O29" s="2950">
        <f t="shared" ref="O29:O56" si="49">SUM(G29)</f>
        <v>74305212</v>
      </c>
      <c r="P29" s="3190"/>
      <c r="Q29" s="2950">
        <f t="shared" ref="Q29:Q55" si="50">SUM(I29)</f>
        <v>71698391</v>
      </c>
      <c r="R29" s="2950">
        <f t="shared" ref="R29:R55" si="51">SUM(J29)</f>
        <v>71573530</v>
      </c>
      <c r="S29" s="2967">
        <f>SUM('5.6.d sz. mell.'!K9)</f>
        <v>29560200</v>
      </c>
      <c r="T29" s="2960">
        <f>SUM('5.6.d sz. mell.'!L9)</f>
        <v>0</v>
      </c>
      <c r="U29" s="2968">
        <f>SUM('5.6.d sz. mell.'!M9)</f>
        <v>30061634</v>
      </c>
      <c r="V29" s="2968">
        <f>SUM('5.6.d sz. mell.'!N9)</f>
        <v>0</v>
      </c>
      <c r="W29" s="3206">
        <f>SUM('5.6.d sz. mell.'!O9)</f>
        <v>36702009</v>
      </c>
      <c r="X29" s="3206"/>
      <c r="Y29" s="3206">
        <f>SUM('5.6.d sz. mell.'!Q9)</f>
        <v>39285544</v>
      </c>
      <c r="Z29" s="3206">
        <f>SUM('5.6.d sz. mell.'!R9)</f>
        <v>39285544</v>
      </c>
      <c r="AA29" s="2967"/>
      <c r="AB29" s="2960"/>
      <c r="AC29" s="2968"/>
      <c r="AD29" s="2968"/>
      <c r="AE29" s="3206"/>
      <c r="AF29" s="2967"/>
      <c r="AG29" s="2968"/>
      <c r="AH29" s="2968"/>
      <c r="AI29" s="3532">
        <f>SUM('5.6.d sz. mell.'!K7)</f>
        <v>4000000</v>
      </c>
      <c r="AJ29" s="3533">
        <f>SUM('5.6.d sz. mell.'!L7)</f>
        <v>0</v>
      </c>
      <c r="AK29" s="3532">
        <f>SUM('5.6.d sz. mell.'!M7)</f>
        <v>4000000</v>
      </c>
      <c r="AL29" s="3532">
        <f>SUM('5.6.d sz. mell.'!N7)</f>
        <v>0</v>
      </c>
      <c r="AM29" s="3534">
        <f>SUM('5.6.d sz. mell.'!O7)</f>
        <v>4000000</v>
      </c>
      <c r="AN29" s="3534">
        <f>SUM('5.6.d sz. mell.'!P7)</f>
        <v>0</v>
      </c>
      <c r="AO29" s="3534">
        <f>SUM('5.6.d sz. mell.'!Q7)</f>
        <v>5522969</v>
      </c>
      <c r="AP29" s="3534">
        <f>SUM('5.6.d sz. mell.'!R7)</f>
        <v>5522969</v>
      </c>
      <c r="AQ29" s="2967"/>
      <c r="AR29" s="2960"/>
      <c r="AS29" s="2968"/>
      <c r="AT29" s="2968"/>
      <c r="AU29" s="3206"/>
      <c r="AV29" s="2967"/>
      <c r="AW29" s="2968"/>
      <c r="AX29" s="3206"/>
      <c r="AY29" s="2967"/>
      <c r="AZ29" s="2960"/>
      <c r="BA29" s="2968"/>
      <c r="BB29" s="2968"/>
      <c r="BC29" s="3206"/>
      <c r="BD29" s="2967"/>
      <c r="BE29" s="2968"/>
      <c r="BF29" s="2968"/>
      <c r="BG29" s="2968"/>
      <c r="BH29" s="2960"/>
      <c r="BI29" s="2968"/>
      <c r="BJ29" s="2968"/>
      <c r="BK29" s="3206"/>
      <c r="BL29" s="2967"/>
      <c r="BM29" s="2968"/>
      <c r="BN29" s="2968"/>
      <c r="BO29" s="2968"/>
      <c r="BP29" s="2960"/>
      <c r="BQ29" s="2968"/>
      <c r="BR29" s="2968"/>
      <c r="BS29" s="3206"/>
      <c r="BT29" s="2967"/>
      <c r="BU29" s="2968"/>
      <c r="BV29" s="2968"/>
      <c r="BW29" s="2968"/>
      <c r="BX29" s="2960"/>
      <c r="BY29" s="2968"/>
      <c r="BZ29" s="2968"/>
      <c r="CA29" s="3206"/>
      <c r="CB29" s="2967"/>
      <c r="CC29" s="3942"/>
      <c r="CD29" s="3206"/>
      <c r="CE29" s="2967"/>
      <c r="CF29" s="2960"/>
      <c r="CG29" s="2968">
        <f>SUM(D29)</f>
        <v>3705257</v>
      </c>
      <c r="CH29" s="2968">
        <f>SUM(E29)</f>
        <v>72971490</v>
      </c>
      <c r="CI29" s="3206">
        <v>3705257</v>
      </c>
      <c r="CJ29" s="3942"/>
      <c r="CK29" s="2968">
        <v>3705257</v>
      </c>
      <c r="CL29" s="3958">
        <v>3705257</v>
      </c>
      <c r="CM29" s="3040"/>
      <c r="CN29" s="3040"/>
      <c r="CO29" s="3040"/>
      <c r="CP29" s="3040"/>
      <c r="CQ29" s="3206"/>
      <c r="CR29" s="3040"/>
      <c r="CS29" s="3040"/>
      <c r="CT29" s="3225"/>
      <c r="CU29" s="2937">
        <f t="shared" si="13"/>
        <v>35706033</v>
      </c>
      <c r="CV29" s="2507">
        <f t="shared" si="14"/>
        <v>3705257</v>
      </c>
      <c r="CW29" s="2507">
        <f t="shared" si="15"/>
        <v>35204599</v>
      </c>
      <c r="CX29" s="2507">
        <f t="shared" si="16"/>
        <v>-72971490</v>
      </c>
      <c r="CY29" s="2970">
        <f t="shared" si="17"/>
        <v>29897946</v>
      </c>
      <c r="CZ29" s="2937">
        <f t="shared" si="18"/>
        <v>0</v>
      </c>
      <c r="DA29" s="2507">
        <f t="shared" si="19"/>
        <v>23184621</v>
      </c>
      <c r="DB29" s="2507">
        <f t="shared" si="19"/>
        <v>23059760</v>
      </c>
      <c r="DC29" s="2507"/>
      <c r="DD29" s="2507"/>
      <c r="DE29" s="2507"/>
      <c r="DF29" s="3221"/>
      <c r="DG29" s="2974"/>
      <c r="DH29" s="3217"/>
      <c r="DI29" s="3966"/>
      <c r="DJ29" s="2974"/>
      <c r="DK29" s="2975"/>
      <c r="DL29" s="2975"/>
    </row>
    <row r="30" spans="1:116" s="2976" customFormat="1" ht="20.25" customHeight="1" x14ac:dyDescent="0.25">
      <c r="A30" s="2470" t="s">
        <v>1343</v>
      </c>
      <c r="B30" s="2969"/>
      <c r="C30" s="2949">
        <f>SUM('5.9.d.sz.mell.'!K20+'5.9.d.sz.mell.'!AA20)</f>
        <v>45464734</v>
      </c>
      <c r="D30" s="3195">
        <f>SUM(E30-C30)</f>
        <v>2141946</v>
      </c>
      <c r="E30" s="2939">
        <f>SUM('5.9.d.sz.mell.'!M20+'5.9.d.sz.mell.'!AC20)</f>
        <v>47606680</v>
      </c>
      <c r="F30" s="2939">
        <f>SUM('5.9.d.sz.mell.'!N20+'5.9.d.sz.mell.'!AD20)</f>
        <v>0</v>
      </c>
      <c r="G30" s="2950">
        <f>SUM('5.9.d.sz.mell.'!O20+'5.9.d.sz.mell.'!AE20)</f>
        <v>49529230</v>
      </c>
      <c r="H30" s="2950"/>
      <c r="I30" s="3195">
        <f>SUM('5.9.d.sz.mell.'!Q20+'5.9.d.sz.mell.'!AG20)</f>
        <v>47300007</v>
      </c>
      <c r="J30" s="2950">
        <f>SUM('5.9.d.sz.mell.'!R20+'5.9.d.sz.mell.'!AH20)</f>
        <v>47300007</v>
      </c>
      <c r="K30" s="3190">
        <f t="shared" si="45"/>
        <v>45464734</v>
      </c>
      <c r="L30" s="2939">
        <f t="shared" si="46"/>
        <v>2141946</v>
      </c>
      <c r="M30" s="2939">
        <f t="shared" si="47"/>
        <v>47606680</v>
      </c>
      <c r="N30" s="2939">
        <f t="shared" si="48"/>
        <v>0</v>
      </c>
      <c r="O30" s="2950">
        <f t="shared" si="49"/>
        <v>49529230</v>
      </c>
      <c r="P30" s="3190"/>
      <c r="Q30" s="2950">
        <f t="shared" si="50"/>
        <v>47300007</v>
      </c>
      <c r="R30" s="2950">
        <f t="shared" si="51"/>
        <v>47300007</v>
      </c>
      <c r="S30" s="2967">
        <f>SUM('5.9.d.sz.mell.'!K9+'5.9.d.sz.mell.'!AA9)</f>
        <v>10711000</v>
      </c>
      <c r="T30" s="2960">
        <f>SUM('5.9.d.sz.mell.'!L9+'5.9.d.sz.mell.'!AB9)</f>
        <v>0</v>
      </c>
      <c r="U30" s="2968">
        <f>SUM('5.9.d.sz.mell.'!M9+'5.9.d.sz.mell.'!AC9)</f>
        <v>12685944</v>
      </c>
      <c r="V30" s="2968">
        <f>SUM('5.9.d.sz.mell.'!N9+'5.9.d.sz.mell.'!AD9)</f>
        <v>0</v>
      </c>
      <c r="W30" s="3206">
        <f>SUM('5.9.d.sz.mell.'!O9+'5.9.d.sz.mell.'!AE9)</f>
        <v>13724328</v>
      </c>
      <c r="X30" s="3206"/>
      <c r="Y30" s="3206">
        <f>SUM('5.9.d.sz.mell.'!Q9+'5.9.d.sz.mell.'!AG9)</f>
        <v>12821048</v>
      </c>
      <c r="Z30" s="3206">
        <f>SUM('5.9.d.sz.mell.'!R9+'5.9.d.sz.mell.'!AH9)</f>
        <v>12821048</v>
      </c>
      <c r="AA30" s="2967"/>
      <c r="AB30" s="2960"/>
      <c r="AC30" s="2968"/>
      <c r="AD30" s="2968"/>
      <c r="AE30" s="3206"/>
      <c r="AF30" s="2967"/>
      <c r="AG30" s="2968"/>
      <c r="AH30" s="2968"/>
      <c r="AI30" s="3532">
        <f>SUM('5.9.d.sz.mell.'!K7+'5.9.d.sz.mell.'!AA7)</f>
        <v>3064000</v>
      </c>
      <c r="AJ30" s="3533">
        <f>SUM('5.9.d.sz.mell.'!L7+'5.9.d.sz.mell.'!AB7)</f>
        <v>0</v>
      </c>
      <c r="AK30" s="3532">
        <f>SUM('5.9.d.sz.mell.'!M7+'5.9.d.sz.mell.'!AC7)</f>
        <v>3068376</v>
      </c>
      <c r="AL30" s="3532">
        <f>SUM('5.9.d.sz.mell.'!N7+'5.9.d.sz.mell.'!AD7)</f>
        <v>0</v>
      </c>
      <c r="AM30" s="3534">
        <f>SUM('5.9.d.sz.mell.'!O7+'5.9.d.sz.mell.'!AE7)</f>
        <v>3072783</v>
      </c>
      <c r="AN30" s="3534">
        <f>SUM('5.9.d.sz.mell.'!P7+'5.9.d.sz.mell.'!AF7)</f>
        <v>0</v>
      </c>
      <c r="AO30" s="3534">
        <f>SUM('5.9.d.sz.mell.'!Q7+'5.9.d.sz.mell.'!AG7)</f>
        <v>3350409</v>
      </c>
      <c r="AP30" s="3534">
        <f>SUM('5.9.d.sz.mell.'!R7+'5.9.d.sz.mell.'!AH7)</f>
        <v>3350409</v>
      </c>
      <c r="AQ30" s="2967"/>
      <c r="AR30" s="2960"/>
      <c r="AS30" s="2968"/>
      <c r="AT30" s="2968"/>
      <c r="AU30" s="3206"/>
      <c r="AV30" s="2967"/>
      <c r="AW30" s="2968"/>
      <c r="AX30" s="3206"/>
      <c r="AY30" s="2967"/>
      <c r="AZ30" s="2960"/>
      <c r="BA30" s="2968"/>
      <c r="BB30" s="2968"/>
      <c r="BC30" s="3206"/>
      <c r="BD30" s="2967"/>
      <c r="BE30" s="2968"/>
      <c r="BF30" s="2968"/>
      <c r="BG30" s="2968"/>
      <c r="BH30" s="2960"/>
      <c r="BI30" s="2968"/>
      <c r="BJ30" s="2968"/>
      <c r="BK30" s="3206"/>
      <c r="BL30" s="2967"/>
      <c r="BM30" s="2968"/>
      <c r="BN30" s="2968"/>
      <c r="BO30" s="2968"/>
      <c r="BP30" s="2960"/>
      <c r="BQ30" s="2968"/>
      <c r="BR30" s="2968"/>
      <c r="BS30" s="3206"/>
      <c r="BT30" s="2967"/>
      <c r="BU30" s="2968"/>
      <c r="BV30" s="2968"/>
      <c r="BW30" s="2968"/>
      <c r="BX30" s="2960"/>
      <c r="BY30" s="2968"/>
      <c r="BZ30" s="2968"/>
      <c r="CA30" s="3206"/>
      <c r="CB30" s="2967"/>
      <c r="CC30" s="3942"/>
      <c r="CD30" s="3206"/>
      <c r="CE30" s="2967"/>
      <c r="CF30" s="2960"/>
      <c r="CG30" s="2968">
        <v>185386</v>
      </c>
      <c r="CH30" s="2968">
        <v>185386</v>
      </c>
      <c r="CI30" s="3206">
        <v>185386</v>
      </c>
      <c r="CJ30" s="3942"/>
      <c r="CK30" s="2968">
        <v>185386</v>
      </c>
      <c r="CL30" s="3958">
        <v>185386</v>
      </c>
      <c r="CM30" s="3040"/>
      <c r="CN30" s="3040"/>
      <c r="CO30" s="3040"/>
      <c r="CP30" s="3040"/>
      <c r="CQ30" s="3206"/>
      <c r="CR30" s="3040"/>
      <c r="CS30" s="3040"/>
      <c r="CT30" s="3225"/>
      <c r="CU30" s="2937">
        <f t="shared" si="13"/>
        <v>31689734</v>
      </c>
      <c r="CV30" s="2507">
        <f t="shared" si="14"/>
        <v>2141946</v>
      </c>
      <c r="CW30" s="2507">
        <f t="shared" si="15"/>
        <v>31666974</v>
      </c>
      <c r="CX30" s="2507">
        <f t="shared" si="16"/>
        <v>-185386</v>
      </c>
      <c r="CY30" s="2970">
        <f t="shared" si="17"/>
        <v>32546733</v>
      </c>
      <c r="CZ30" s="2937">
        <f t="shared" si="18"/>
        <v>0</v>
      </c>
      <c r="DA30" s="2507">
        <f>SUM(Q30-Y30-AG30-AO30-AW30-BE30-BM30-BU30-CK30)-DI30</f>
        <v>30923164</v>
      </c>
      <c r="DB30" s="2507">
        <f>SUM(R30-Z30-AH30-AP30-AX30-BF30-BN30-BV30-CL30)-DJ30</f>
        <v>30923164</v>
      </c>
      <c r="DC30" s="2507"/>
      <c r="DD30" s="2507"/>
      <c r="DE30" s="2507"/>
      <c r="DF30" s="3221"/>
      <c r="DG30" s="2974"/>
      <c r="DH30" s="3217"/>
      <c r="DI30" s="3966">
        <v>20000</v>
      </c>
      <c r="DJ30" s="2974">
        <v>20000</v>
      </c>
      <c r="DK30" s="2975"/>
      <c r="DL30" s="2975"/>
    </row>
    <row r="31" spans="1:116" s="2976" customFormat="1" ht="20.25" customHeight="1" x14ac:dyDescent="0.25">
      <c r="A31" s="3228" t="s">
        <v>1344</v>
      </c>
      <c r="B31" s="3003"/>
      <c r="C31" s="2949">
        <f>SUM('3.2 Cofogos'!E244+'3.2 Cofogos'!E254)</f>
        <v>87686190</v>
      </c>
      <c r="D31" s="3195">
        <f>SUM(E31-C31)</f>
        <v>11206072</v>
      </c>
      <c r="E31" s="2939">
        <f>SUM('3.2 Cofogos'!G244+'3.2 Cofogos'!G254)</f>
        <v>98892262</v>
      </c>
      <c r="F31" s="2939">
        <f>SUM('3.2 Cofogos'!H244+'3.2 Cofogos'!H254)</f>
        <v>6868903</v>
      </c>
      <c r="G31" s="2950">
        <f>SUM('3.2 Cofogos'!I244+'3.2 Cofogos'!I254)</f>
        <v>111316929</v>
      </c>
      <c r="H31" s="2950"/>
      <c r="I31" s="3195">
        <f>SUM('3.2 Cofogos'!K244+'3.2 Cofogos'!K254)</f>
        <v>111316929</v>
      </c>
      <c r="J31" s="2950">
        <f>SUM('3.2 Cofogos'!L244+'3.2 Cofogos'!L254)</f>
        <v>111316929</v>
      </c>
      <c r="K31" s="3190">
        <f t="shared" si="45"/>
        <v>87686190</v>
      </c>
      <c r="L31" s="2939">
        <f t="shared" si="46"/>
        <v>11206072</v>
      </c>
      <c r="M31" s="2939">
        <f t="shared" si="47"/>
        <v>98892262</v>
      </c>
      <c r="N31" s="2939">
        <f t="shared" si="48"/>
        <v>6868903</v>
      </c>
      <c r="O31" s="2950">
        <f t="shared" si="49"/>
        <v>111316929</v>
      </c>
      <c r="P31" s="3190"/>
      <c r="Q31" s="2950">
        <f t="shared" si="50"/>
        <v>111316929</v>
      </c>
      <c r="R31" s="2950">
        <f t="shared" si="51"/>
        <v>111316929</v>
      </c>
      <c r="S31" s="3004">
        <v>38880000</v>
      </c>
      <c r="T31" s="3005"/>
      <c r="U31">
        <v>40100612</v>
      </c>
      <c r="V31" s="3005">
        <v>40100613</v>
      </c>
      <c r="W31" s="3209">
        <v>69319403</v>
      </c>
      <c r="X31" s="3209"/>
      <c r="Y31" s="3209">
        <v>63137769</v>
      </c>
      <c r="Z31" s="3209">
        <v>63137769</v>
      </c>
      <c r="AA31" s="3004"/>
      <c r="AB31" s="2960"/>
      <c r="AC31" s="3005"/>
      <c r="AD31" s="3005"/>
      <c r="AE31" s="3209"/>
      <c r="AF31" s="3004"/>
      <c r="AG31" s="3005"/>
      <c r="AH31" s="3005"/>
      <c r="AI31" s="3537"/>
      <c r="AJ31" s="3533"/>
      <c r="AK31" s="3537"/>
      <c r="AL31" s="3537"/>
      <c r="AM31" s="3538"/>
      <c r="AN31" s="3538"/>
      <c r="AO31" s="3538"/>
      <c r="AP31" s="3538"/>
      <c r="AQ31" s="3004"/>
      <c r="AR31" s="2960"/>
      <c r="AS31" s="3005"/>
      <c r="AT31" s="3005"/>
      <c r="AU31" s="3209"/>
      <c r="AV31" s="3004"/>
      <c r="AW31" s="3005"/>
      <c r="AX31" s="3209"/>
      <c r="AY31" s="3004"/>
      <c r="AZ31" s="2960"/>
      <c r="BA31" s="3005"/>
      <c r="BB31" s="3005"/>
      <c r="BC31" s="3209"/>
      <c r="BD31" s="3004"/>
      <c r="BE31" s="3005"/>
      <c r="BF31" s="3005"/>
      <c r="BG31" s="3005"/>
      <c r="BH31" s="2960"/>
      <c r="BI31" s="3005"/>
      <c r="BJ31" s="3005"/>
      <c r="BK31" s="3209"/>
      <c r="BL31" s="3004"/>
      <c r="BM31" s="3005"/>
      <c r="BN31" s="3005"/>
      <c r="BO31" s="3005"/>
      <c r="BP31" s="2960"/>
      <c r="BQ31" s="3005"/>
      <c r="BR31" s="3005"/>
      <c r="BS31" s="3209"/>
      <c r="BT31" s="3004"/>
      <c r="BU31" s="3005"/>
      <c r="BV31" s="3005"/>
      <c r="BW31" s="3005"/>
      <c r="BX31" s="2960"/>
      <c r="BY31" s="3005"/>
      <c r="BZ31" s="3005"/>
      <c r="CA31" s="3209"/>
      <c r="CB31" s="3004"/>
      <c r="CC31" s="3943"/>
      <c r="CD31" s="3209"/>
      <c r="CE31" s="3004"/>
      <c r="CF31" s="2960"/>
      <c r="CG31" s="3005">
        <v>0</v>
      </c>
      <c r="CH31" s="3041"/>
      <c r="CI31" s="3226"/>
      <c r="CJ31" s="3956"/>
      <c r="CK31" s="3962"/>
      <c r="CL31" s="3951"/>
      <c r="CM31" s="3041"/>
      <c r="CN31" s="3041"/>
      <c r="CO31" s="3041"/>
      <c r="CP31" s="3041"/>
      <c r="CQ31" s="3209"/>
      <c r="CR31" s="3041"/>
      <c r="CS31" s="3041"/>
      <c r="CT31" s="3226"/>
      <c r="CU31" s="2937">
        <f t="shared" si="13"/>
        <v>48806190</v>
      </c>
      <c r="CV31" s="2507">
        <f t="shared" si="14"/>
        <v>11206072</v>
      </c>
      <c r="CW31" s="2507">
        <f t="shared" si="15"/>
        <v>58791650</v>
      </c>
      <c r="CX31" s="2507">
        <f t="shared" si="16"/>
        <v>-33231710</v>
      </c>
      <c r="CY31" s="2970">
        <f t="shared" si="17"/>
        <v>41997526</v>
      </c>
      <c r="CZ31" s="2937">
        <f t="shared" si="18"/>
        <v>0</v>
      </c>
      <c r="DA31" s="2507">
        <f t="shared" si="19"/>
        <v>48179160</v>
      </c>
      <c r="DB31" s="2507">
        <f t="shared" si="19"/>
        <v>48179160</v>
      </c>
      <c r="DC31" s="2507"/>
      <c r="DD31" s="2507"/>
      <c r="DE31" s="2507"/>
      <c r="DF31" s="3222"/>
      <c r="DG31" s="2974"/>
      <c r="DH31" s="3217"/>
      <c r="DI31" s="3966"/>
      <c r="DJ31" s="2974"/>
      <c r="DK31" s="2975"/>
      <c r="DL31" s="2975"/>
    </row>
    <row r="32" spans="1:116" s="2976" customFormat="1" ht="20.25" customHeight="1" x14ac:dyDescent="0.25">
      <c r="A32" s="2470" t="s">
        <v>1345</v>
      </c>
      <c r="B32" s="2969"/>
      <c r="C32" s="2949">
        <f>SUM('5.5.d.sz.mell'!C19)+'3.2 Cofogos'!E228+'3.2 Cofogos'!E218+'5.9.d.sz.mell.'!S20+'5.6.d sz. mell.'!S19+'5.6.d sz. mell.'!AA19+'5.1.d.sz.mell'!AA21+'5.1.d.sz.mell'!AI21+'5.2.d.sz.mell.'!AA21+'5.2.d.sz.mell.'!AI21+'5.3.d.sz.mell'!AA19+'5.3.d.sz.mell'!AI19+'5.4.d.sz.mell'!AA18+'5.4.d.sz.mell'!AI18</f>
        <v>346146852</v>
      </c>
      <c r="D32" s="3195">
        <f>SUM(E32-C32)</f>
        <v>16734023</v>
      </c>
      <c r="E32" s="2939">
        <f>SUM('5.5.d.sz.mell'!E19)+'3.2 Cofogos'!G228+'3.2 Cofogos'!G218+'5.9.d.sz.mell.'!U20+'5.6.d sz. mell.'!U19+'5.6.d sz. mell.'!AC19+'5.1.d.sz.mell'!AC21+'5.1.d.sz.mell'!AK21+'5.2.d.sz.mell.'!AC21+'5.2.d.sz.mell.'!AK21+'5.3.d.sz.mell'!AC19+'5.3.d.sz.mell'!AK19+'5.4.d.sz.mell'!AC18+'5.4.d.sz.mell'!AK18</f>
        <v>362880875</v>
      </c>
      <c r="F32" s="2939">
        <f>SUM('5.5.d.sz.mell'!F19)+'3.2 Cofogos'!H228+'3.2 Cofogos'!H218+'5.9.d.sz.mell.'!V20+'5.6.d sz. mell.'!V19+'5.6.d sz. mell.'!AD19+'5.1.d.sz.mell'!AD21+'5.1.d.sz.mell'!AL21+'5.2.d.sz.mell.'!AD21+'5.2.d.sz.mell.'!AL21+'5.3.d.sz.mell'!AD19+'5.3.d.sz.mell'!AL19+'5.4.d.sz.mell'!AD18+'5.4.d.sz.mell'!AL18</f>
        <v>962278</v>
      </c>
      <c r="G32" s="2950">
        <f>SUM('5.5.d.sz.mell'!G19)+'3.2 Cofogos'!I228+'3.2 Cofogos'!I218+'5.9.d.sz.mell.'!W20+'5.6.d sz. mell.'!W19+'5.6.d sz. mell.'!AE19+'5.1.d.sz.mell'!AE21+'5.1.d.sz.mell'!AM21+'5.2.d.sz.mell.'!AE21+'5.2.d.sz.mell.'!AM21+'5.3.d.sz.mell'!AE19+'5.3.d.sz.mell'!AM19+'5.4.d.sz.mell'!AE18+'5.4.d.sz.mell'!AM18</f>
        <v>368410139</v>
      </c>
      <c r="H32" s="2950"/>
      <c r="I32" s="3195">
        <f>SUM('5.5.d.sz.mell'!I19)+'3.2 Cofogos'!K228+'3.2 Cofogos'!K218+'5.9.d.sz.mell.'!Y20+'5.6.d sz. mell.'!Y19+'5.6.d sz. mell.'!AG19+'5.1.d.sz.mell'!AG21+'5.1.d.sz.mell'!AO21+'5.2.d.sz.mell.'!AG21+'5.2.d.sz.mell.'!AO21+'5.3.d.sz.mell'!AG19+'5.3.d.sz.mell'!AO19+'5.4.d.sz.mell'!AG18+'5.4.d.sz.mell'!AO18</f>
        <v>372960620</v>
      </c>
      <c r="J32" s="2950">
        <f>SUM('5.5.d.sz.mell'!J19)+'3.2 Cofogos'!L228+'3.2 Cofogos'!L218+'5.9.d.sz.mell.'!Z20+'5.6.d sz. mell.'!Z19+'5.6.d sz. mell.'!AH19+'5.1.d.sz.mell'!AH21+'5.1.d.sz.mell'!AP21+'5.2.d.sz.mell.'!AH21+'5.2.d.sz.mell.'!AP21+'5.3.d.sz.mell'!AH19+'5.3.d.sz.mell'!AP19+'5.4.d.sz.mell'!AH18+'5.4.d.sz.mell'!AP18</f>
        <v>370747034</v>
      </c>
      <c r="K32" s="3190">
        <f t="shared" si="45"/>
        <v>346146852</v>
      </c>
      <c r="L32" s="2939">
        <f t="shared" si="46"/>
        <v>16734023</v>
      </c>
      <c r="M32" s="2939">
        <f t="shared" si="47"/>
        <v>362880875</v>
      </c>
      <c r="N32" s="2939">
        <f t="shared" si="48"/>
        <v>962278</v>
      </c>
      <c r="O32" s="2950">
        <f t="shared" si="49"/>
        <v>368410139</v>
      </c>
      <c r="P32" s="3190"/>
      <c r="Q32" s="2950">
        <f t="shared" si="50"/>
        <v>372960620</v>
      </c>
      <c r="R32" s="2950">
        <f t="shared" si="51"/>
        <v>370747034</v>
      </c>
      <c r="S32" s="2967">
        <f>SUM('5.1.d.sz.mell'!AA9+'5.2.d.sz.mell.'!AA9+'5.3.d.sz.mell'!AA9+'5.4.d.sz.mell'!AA9+'5.5.d.sz.mell'!C8+'5.6.d sz. mell.'!S9+'5.9.d.sz.mell.'!S9)</f>
        <v>105066371</v>
      </c>
      <c r="T32" s="2960">
        <f>SUM('5.1.d.sz.mell'!AB9+'5.2.d.sz.mell.'!AB9+'5.3.d.sz.mell'!AB9+'5.4.d.sz.mell'!AB9+'5.5.d.sz.mell'!D8+'5.6.d sz. mell.'!T9+'5.9.d.sz.mell.'!T9)</f>
        <v>0</v>
      </c>
      <c r="U32" s="2968">
        <f>SUM('5.1.d.sz.mell'!AC9+'5.2.d.sz.mell.'!AC9+'5.3.d.sz.mell'!AC9+'5.4.d.sz.mell'!AC9+'5.5.d.sz.mell'!E8+'5.6.d sz. mell.'!U9+'5.9.d.sz.mell.'!U9)</f>
        <v>106209025</v>
      </c>
      <c r="V32" s="2968">
        <f>SUM('5.1.d.sz.mell'!AD9+'5.2.d.sz.mell.'!AD9+'5.3.d.sz.mell'!AD9+'5.4.d.sz.mell'!AD9+'5.5.d.sz.mell'!F8+'5.6.d sz. mell.'!V9+'5.9.d.sz.mell.'!V9)</f>
        <v>0</v>
      </c>
      <c r="W32" s="3206">
        <f>SUM('5.1.d.sz.mell'!AE9+'5.2.d.sz.mell.'!AE9+'5.3.d.sz.mell'!AE9+'5.4.d.sz.mell'!AE9+'5.5.d.sz.mell'!G8+'5.6.d sz. mell.'!W9+'5.9.d.sz.mell.'!W9)</f>
        <v>106780286</v>
      </c>
      <c r="X32" s="3206"/>
      <c r="Y32" s="3206">
        <f>SUM('5.1.d.sz.mell'!AG9+'5.2.d.sz.mell.'!AG9+'5.3.d.sz.mell'!AG9+'5.4.d.sz.mell'!AG9+'5.5.d.sz.mell'!I8+'5.6.d sz. mell.'!Y9+'5.9.d.sz.mell.'!Y9)</f>
        <v>104306931</v>
      </c>
      <c r="Z32" s="3206">
        <f>SUM('5.1.d.sz.mell'!AH9+'5.2.d.sz.mell.'!AH9+'5.3.d.sz.mell'!AH9+'5.4.d.sz.mell'!AH9+'5.5.d.sz.mell'!J8+'5.6.d sz. mell.'!Z9+'5.9.d.sz.mell.'!Z9)</f>
        <v>104306931</v>
      </c>
      <c r="AA32" s="2967"/>
      <c r="AB32" s="2960"/>
      <c r="AC32" s="2968"/>
      <c r="AD32" s="2968"/>
      <c r="AE32" s="3206"/>
      <c r="AF32" s="2967"/>
      <c r="AG32" s="2968"/>
      <c r="AH32" s="2968"/>
      <c r="AI32" s="3532">
        <f>SUM('5.5.d.sz.mell'!C6)+'5.6.d sz. mell.'!S7+'5.6.d sz. mell.'!AA7+'5.9.d.sz.mell.'!S7</f>
        <v>154188031</v>
      </c>
      <c r="AJ32" s="3533">
        <f>SUM('5.5.d.sz.mell'!D6)+'5.6.d sz. mell.'!T7+'5.6.d sz. mell.'!AB7+'5.9.d.sz.mell.'!T7</f>
        <v>0</v>
      </c>
      <c r="AK32" s="3532">
        <f>SUM('5.5.d.sz.mell'!E6)+'5.6.d sz. mell.'!U7+'5.6.d sz. mell.'!AC7+'5.9.d.sz.mell.'!U7</f>
        <v>153867991</v>
      </c>
      <c r="AL32" s="3532">
        <f>SUM('5.5.d.sz.mell'!F6)+'5.6.d sz. mell.'!V7+'5.6.d sz. mell.'!AD7+'5.9.d.sz.mell.'!V7</f>
        <v>0</v>
      </c>
      <c r="AM32" s="3534">
        <f>SUM('5.5.d.sz.mell'!G6)+'5.6.d sz. mell.'!W7+'5.6.d sz. mell.'!AE7+'5.9.d.sz.mell.'!W7</f>
        <v>153867991</v>
      </c>
      <c r="AN32" s="3534">
        <f>SUM('5.5.d.sz.mell'!H6)+'5.6.d sz. mell.'!X7+'5.6.d sz. mell.'!AF7+'5.9.d.sz.mell.'!X7</f>
        <v>0</v>
      </c>
      <c r="AO32" s="3534">
        <f>SUM('5.5.d.sz.mell'!I6)+'5.6.d sz. mell.'!Y7+'5.6.d sz. mell.'!AG7+'5.9.d.sz.mell.'!Y7</f>
        <v>155781498</v>
      </c>
      <c r="AP32" s="3534">
        <f>SUM('5.5.d.sz.mell'!J6)+'5.6.d sz. mell.'!Z7+'5.6.d sz. mell.'!AH7+'5.9.d.sz.mell.'!Z7</f>
        <v>155809270</v>
      </c>
      <c r="AQ32" s="2967"/>
      <c r="AR32" s="2960"/>
      <c r="AS32" s="2968"/>
      <c r="AT32" s="2968"/>
      <c r="AU32" s="3206"/>
      <c r="AV32" s="2967"/>
      <c r="AW32" s="2968"/>
      <c r="AX32" s="3206"/>
      <c r="AY32" s="2967"/>
      <c r="AZ32" s="2960"/>
      <c r="BA32" s="2968"/>
      <c r="BB32" s="2968"/>
      <c r="BC32" s="3206"/>
      <c r="BD32" s="2967"/>
      <c r="BE32" s="2968"/>
      <c r="BF32" s="2968"/>
      <c r="BG32" s="2968"/>
      <c r="BH32" s="2960"/>
      <c r="BI32" s="2968"/>
      <c r="BJ32" s="2968"/>
      <c r="BK32" s="3206"/>
      <c r="BL32" s="2967"/>
      <c r="BM32" s="2968"/>
      <c r="BN32" s="2968"/>
      <c r="BO32" s="2968"/>
      <c r="BP32" s="2960"/>
      <c r="BQ32" s="2968"/>
      <c r="BR32" s="2968"/>
      <c r="BS32" s="3206"/>
      <c r="BT32" s="2967"/>
      <c r="BU32" s="2968"/>
      <c r="BV32" s="2968"/>
      <c r="BW32" s="2968"/>
      <c r="BX32" s="2960"/>
      <c r="BY32" s="2968"/>
      <c r="BZ32" s="2968"/>
      <c r="CA32" s="3206"/>
      <c r="CB32" s="2967"/>
      <c r="CC32" s="3942"/>
      <c r="CD32" s="3206"/>
      <c r="CE32" s="2967"/>
      <c r="CF32" s="2960"/>
      <c r="CG32" s="2968">
        <f>SUM(D32)</f>
        <v>16734023</v>
      </c>
      <c r="CH32" s="2968">
        <f>SUM(E32)</f>
        <v>362880875</v>
      </c>
      <c r="CI32" s="3206">
        <v>16734023</v>
      </c>
      <c r="CJ32" s="3942"/>
      <c r="CK32" s="2968">
        <v>16734023</v>
      </c>
      <c r="CL32" s="3958">
        <v>16734023</v>
      </c>
      <c r="CM32" s="3040"/>
      <c r="CN32" s="3040"/>
      <c r="CO32" s="3040"/>
      <c r="CP32" s="3040"/>
      <c r="CQ32" s="3206"/>
      <c r="CR32" s="3040"/>
      <c r="CS32" s="3040"/>
      <c r="CT32" s="3225"/>
      <c r="CU32" s="2937">
        <f t="shared" si="13"/>
        <v>86892450</v>
      </c>
      <c r="CV32" s="2507">
        <f t="shared" si="14"/>
        <v>16734023</v>
      </c>
      <c r="CW32" s="2507">
        <f t="shared" si="15"/>
        <v>86069836</v>
      </c>
      <c r="CX32" s="2507">
        <f t="shared" si="16"/>
        <v>-361918597</v>
      </c>
      <c r="CY32" s="2970">
        <f t="shared" si="17"/>
        <v>91027839</v>
      </c>
      <c r="CZ32" s="2937">
        <f t="shared" si="18"/>
        <v>0</v>
      </c>
      <c r="DA32" s="2507">
        <f t="shared" si="19"/>
        <v>96138168</v>
      </c>
      <c r="DB32" s="2507">
        <f t="shared" si="19"/>
        <v>93896810</v>
      </c>
      <c r="DC32" s="2507"/>
      <c r="DD32" s="2507"/>
      <c r="DE32" s="2507"/>
      <c r="DF32" s="3221"/>
      <c r="DG32" s="2974"/>
      <c r="DH32" s="3217"/>
      <c r="DI32" s="3966"/>
      <c r="DJ32" s="2974"/>
      <c r="DK32" s="2975"/>
      <c r="DL32" s="2975"/>
    </row>
    <row r="33" spans="1:116" s="2976" customFormat="1" ht="20.25" customHeight="1" x14ac:dyDescent="0.25">
      <c r="A33" s="3228" t="s">
        <v>1346</v>
      </c>
      <c r="B33" s="2969"/>
      <c r="C33" s="2949">
        <f>SUM('3.2 Cofogos'!E273)</f>
        <v>32000000</v>
      </c>
      <c r="D33" s="3195">
        <f>SUM(E33-C33)</f>
        <v>23065500</v>
      </c>
      <c r="E33" s="2939">
        <f>SUM('3.2 Cofogos'!G273)</f>
        <v>55065500</v>
      </c>
      <c r="F33" s="2939">
        <f>SUM('3.2 Cofogos'!H273)</f>
        <v>200000</v>
      </c>
      <c r="G33" s="2950">
        <f>SUM('3.2 Cofogos'!I273)</f>
        <v>55265500</v>
      </c>
      <c r="H33" s="2950"/>
      <c r="I33" s="3195">
        <f>SUM('3.2 Cofogos'!K273)</f>
        <v>55265500</v>
      </c>
      <c r="J33" s="2950">
        <f>SUM('3.2 Cofogos'!L273)</f>
        <v>52255140</v>
      </c>
      <c r="K33" s="3190">
        <f t="shared" si="45"/>
        <v>32000000</v>
      </c>
      <c r="L33" s="2939">
        <f t="shared" si="46"/>
        <v>23065500</v>
      </c>
      <c r="M33" s="2939">
        <f t="shared" si="47"/>
        <v>55065500</v>
      </c>
      <c r="N33" s="2939">
        <f t="shared" si="48"/>
        <v>200000</v>
      </c>
      <c r="O33" s="2950">
        <f t="shared" si="49"/>
        <v>55265500</v>
      </c>
      <c r="P33" s="3190"/>
      <c r="Q33" s="2950">
        <f t="shared" si="50"/>
        <v>55265500</v>
      </c>
      <c r="R33" s="2950">
        <f t="shared" si="51"/>
        <v>52255140</v>
      </c>
      <c r="S33" s="2967"/>
      <c r="T33" s="2960"/>
      <c r="U33" s="2968">
        <v>13663500</v>
      </c>
      <c r="V33" s="3024">
        <v>13663501</v>
      </c>
      <c r="W33" s="3206">
        <v>7754426</v>
      </c>
      <c r="X33" s="3202"/>
      <c r="Y33" s="2968">
        <v>9521390</v>
      </c>
      <c r="Z33" s="3206">
        <v>9521390</v>
      </c>
      <c r="AA33" s="2967"/>
      <c r="AB33" s="2960"/>
      <c r="AC33" s="2968"/>
      <c r="AD33" s="2968"/>
      <c r="AE33" s="3206"/>
      <c r="AF33" s="2967"/>
      <c r="AG33" s="2968"/>
      <c r="AH33" s="2968"/>
      <c r="AI33" s="3532"/>
      <c r="AJ33" s="3533"/>
      <c r="AK33" s="3532"/>
      <c r="AL33" s="3532"/>
      <c r="AM33" s="3534"/>
      <c r="AN33" s="3202"/>
      <c r="AO33" s="3532"/>
      <c r="AP33" s="3534"/>
      <c r="AQ33" s="2967"/>
      <c r="AR33" s="2960"/>
      <c r="AS33" s="2968"/>
      <c r="AT33" s="2968"/>
      <c r="AU33" s="3206"/>
      <c r="AV33" s="2967"/>
      <c r="AW33" s="2968"/>
      <c r="AX33" s="3206"/>
      <c r="AY33" s="2967"/>
      <c r="AZ33" s="2960"/>
      <c r="BA33" s="2968"/>
      <c r="BB33" s="2968"/>
      <c r="BC33" s="3206"/>
      <c r="BD33" s="2967"/>
      <c r="BE33" s="2968"/>
      <c r="BF33" s="2968"/>
      <c r="BG33" s="2968"/>
      <c r="BH33" s="2960"/>
      <c r="BI33" s="2968"/>
      <c r="BJ33" s="2968"/>
      <c r="BK33" s="3206"/>
      <c r="BL33" s="2967"/>
      <c r="BM33" s="2968"/>
      <c r="BN33" s="2968"/>
      <c r="BO33" s="2968"/>
      <c r="BP33" s="2960"/>
      <c r="BQ33" s="2968"/>
      <c r="BR33" s="2968"/>
      <c r="BS33" s="3206"/>
      <c r="BT33" s="2967"/>
      <c r="BU33" s="2968"/>
      <c r="BV33" s="2968"/>
      <c r="BW33" s="2968"/>
      <c r="BX33" s="2960"/>
      <c r="BY33" s="2968"/>
      <c r="BZ33" s="2968"/>
      <c r="CA33" s="3206"/>
      <c r="CB33" s="2967"/>
      <c r="CC33" s="3942"/>
      <c r="CD33" s="3206"/>
      <c r="CE33" s="2967"/>
      <c r="CF33" s="2960"/>
      <c r="CG33" s="2968">
        <v>22000000</v>
      </c>
      <c r="CH33" s="2968">
        <v>22000000</v>
      </c>
      <c r="CI33" s="3206">
        <v>22000000</v>
      </c>
      <c r="CJ33" s="3942"/>
      <c r="CK33" s="2968">
        <v>22000000</v>
      </c>
      <c r="CL33" s="3958">
        <v>22000000</v>
      </c>
      <c r="CM33" s="3040"/>
      <c r="CN33" s="3040"/>
      <c r="CO33" s="3040"/>
      <c r="CP33" s="3040"/>
      <c r="CQ33" s="3206"/>
      <c r="CR33" s="3040"/>
      <c r="CS33" s="3040"/>
      <c r="CT33" s="3225"/>
      <c r="CU33" s="2937">
        <f t="shared" si="13"/>
        <v>32000000</v>
      </c>
      <c r="CV33" s="2507">
        <f t="shared" si="14"/>
        <v>23065500</v>
      </c>
      <c r="CW33" s="2507">
        <f t="shared" si="15"/>
        <v>19402000</v>
      </c>
      <c r="CX33" s="2507">
        <f t="shared" si="16"/>
        <v>-35463501</v>
      </c>
      <c r="CY33" s="2970">
        <f t="shared" si="17"/>
        <v>25511074</v>
      </c>
      <c r="CZ33" s="2937">
        <f t="shared" si="18"/>
        <v>0</v>
      </c>
      <c r="DA33" s="2507">
        <f t="shared" si="19"/>
        <v>23744110</v>
      </c>
      <c r="DB33" s="2507">
        <f t="shared" si="19"/>
        <v>20733750</v>
      </c>
      <c r="DC33" s="2507"/>
      <c r="DD33" s="2507"/>
      <c r="DE33" s="2507"/>
      <c r="DF33" s="3221"/>
      <c r="DG33" s="2974"/>
      <c r="DH33" s="3217"/>
      <c r="DI33" s="3966"/>
      <c r="DJ33" s="2974"/>
      <c r="DK33" s="2975"/>
      <c r="DL33" s="2975"/>
    </row>
    <row r="34" spans="1:116" s="2932" customFormat="1" ht="20.25" customHeight="1" x14ac:dyDescent="0.2">
      <c r="A34" s="2977" t="s">
        <v>1347</v>
      </c>
      <c r="B34" s="2943"/>
      <c r="C34" s="2947">
        <f>SUM('3.2 Cofogos'!E21+'3.2 Cofogos'!E258)+'5.7.d.sz.mell'!K21</f>
        <v>34671000</v>
      </c>
      <c r="D34" s="2947">
        <f>SUM('3.2 Cofogos'!F21+'3.2 Cofogos'!F258)+'5.7.d.sz.mell'!L21</f>
        <v>-2545871</v>
      </c>
      <c r="E34" s="2947">
        <f>SUM('3.2 Cofogos'!G21+'3.2 Cofogos'!G258)+'5.7.d.sz.mell'!M21</f>
        <v>32208312</v>
      </c>
      <c r="F34" s="2947">
        <f>SUM('3.2 Cofogos'!H21+'3.2 Cofogos'!H258)+'5.7.d.sz.mell'!N21</f>
        <v>7509526</v>
      </c>
      <c r="G34" s="2947">
        <f>SUM('3.2 Cofogos'!I21+'3.2 Cofogos'!I258)+'5.7.d.sz.mell'!O21</f>
        <v>39717838</v>
      </c>
      <c r="H34" s="2947"/>
      <c r="I34" s="3200">
        <f>SUM('3.2 Cofogos'!K21+'3.2 Cofogos'!K258)+'5.7.d.sz.mell'!Q21</f>
        <v>40494154</v>
      </c>
      <c r="J34" s="3939">
        <f>SUM('3.2 Cofogos'!L21+'3.2 Cofogos'!L258)+'5.7.d.sz.mell'!R21</f>
        <v>35438323</v>
      </c>
      <c r="K34" s="3192">
        <f t="shared" si="45"/>
        <v>34671000</v>
      </c>
      <c r="L34" s="3007">
        <f t="shared" si="46"/>
        <v>-2545871</v>
      </c>
      <c r="M34" s="3007">
        <f t="shared" si="47"/>
        <v>32208312</v>
      </c>
      <c r="N34" s="3007">
        <f t="shared" si="48"/>
        <v>7509526</v>
      </c>
      <c r="O34" s="2934">
        <f t="shared" si="49"/>
        <v>39717838</v>
      </c>
      <c r="P34" s="3192"/>
      <c r="Q34" s="2934">
        <f t="shared" si="50"/>
        <v>40494154</v>
      </c>
      <c r="R34" s="2934">
        <f t="shared" si="51"/>
        <v>35438323</v>
      </c>
      <c r="S34" s="2954"/>
      <c r="T34" s="2955"/>
      <c r="U34" s="2956"/>
      <c r="V34" s="2956"/>
      <c r="W34" s="3204"/>
      <c r="X34" s="2954"/>
      <c r="Y34" s="2956"/>
      <c r="Z34" s="3204"/>
      <c r="AA34" s="2954"/>
      <c r="AB34" s="2955"/>
      <c r="AC34" s="2956"/>
      <c r="AD34" s="2956"/>
      <c r="AE34" s="3204"/>
      <c r="AF34" s="2954"/>
      <c r="AG34" s="2956"/>
      <c r="AH34" s="2956"/>
      <c r="AI34" s="3526">
        <f>SUM('3.1. Cofog'!L8+'3.1. Cofog'!L84)+'5.7.d.sz.mell'!K7</f>
        <v>19335000</v>
      </c>
      <c r="AJ34" s="3527">
        <f>SUM('3.1. Cofog'!M8+'3.1. Cofog'!M84)+'5.7.d.sz.mell'!L7</f>
        <v>0</v>
      </c>
      <c r="AK34" s="3526">
        <f>SUM('3.1. Cofog'!N8+'3.1. Cofog'!N84)+'5.7.d.sz.mell'!M7</f>
        <v>19335000</v>
      </c>
      <c r="AL34" s="3526">
        <f>SUM('3.1. Cofog'!O8+'3.1. Cofog'!O84)+'5.7.d.sz.mell'!N7</f>
        <v>-303180</v>
      </c>
      <c r="AM34" s="3528">
        <f>SUM('3.1. Cofog'!P8+'3.1. Cofog'!P84)+'5.7.d.sz.mell'!O7</f>
        <v>19031820</v>
      </c>
      <c r="AN34" s="3528">
        <f>SUM('3.1. Cofog'!Q8+'3.1. Cofog'!Q84)+'5.7.d.sz.mell'!P7</f>
        <v>0</v>
      </c>
      <c r="AO34" s="3528">
        <f>SUM('3.1. Cofog'!R8+'3.1. Cofog'!R84)+'5.7.d.sz.mell'!Q7</f>
        <v>19891319</v>
      </c>
      <c r="AP34" s="3528">
        <f>SUM('3.1. Cofog'!S8+'3.1. Cofog'!S84)+'5.7.d.sz.mell'!R7</f>
        <v>19891324</v>
      </c>
      <c r="AQ34" s="2954"/>
      <c r="AR34" s="2955"/>
      <c r="AS34" s="2956"/>
      <c r="AT34" s="2956"/>
      <c r="AU34" s="3204"/>
      <c r="AV34" s="2954"/>
      <c r="AW34" s="2956"/>
      <c r="AX34" s="3204"/>
      <c r="AY34" s="2954"/>
      <c r="AZ34" s="2955"/>
      <c r="BA34" s="2956"/>
      <c r="BB34" s="2956"/>
      <c r="BC34" s="3204"/>
      <c r="BD34" s="2954"/>
      <c r="BE34" s="2956"/>
      <c r="BF34" s="2956"/>
      <c r="BG34" s="2956"/>
      <c r="BH34" s="2955"/>
      <c r="BI34" s="2956"/>
      <c r="BJ34" s="2956"/>
      <c r="BK34" s="3204"/>
      <c r="BL34" s="2954"/>
      <c r="BM34" s="2956"/>
      <c r="BN34" s="2956"/>
      <c r="BO34" s="2956"/>
      <c r="BP34" s="2955"/>
      <c r="BQ34" s="2956"/>
      <c r="BR34" s="2956"/>
      <c r="BS34" s="3204"/>
      <c r="BT34" s="2954"/>
      <c r="BU34" s="2956"/>
      <c r="BV34" s="2956"/>
      <c r="BW34" s="2956"/>
      <c r="BX34" s="2955"/>
      <c r="BY34" s="2956"/>
      <c r="BZ34" s="2956"/>
      <c r="CA34" s="3204"/>
      <c r="CB34" s="2954"/>
      <c r="CC34" s="3940"/>
      <c r="CD34" s="3204"/>
      <c r="CE34" s="2954"/>
      <c r="CF34" s="2955"/>
      <c r="CG34" s="2956"/>
      <c r="CH34" s="2951"/>
      <c r="CI34" s="3203"/>
      <c r="CJ34" s="3954"/>
      <c r="CK34" s="2953"/>
      <c r="CL34" s="3948"/>
      <c r="CM34" s="2951"/>
      <c r="CN34" s="2951"/>
      <c r="CO34" s="2951"/>
      <c r="CP34" s="2951"/>
      <c r="CQ34" s="3204"/>
      <c r="CR34" s="2951"/>
      <c r="CS34" s="2951"/>
      <c r="CT34" s="3203"/>
      <c r="CU34" s="2935">
        <f t="shared" si="13"/>
        <v>15336000</v>
      </c>
      <c r="CV34" s="2553">
        <f t="shared" si="14"/>
        <v>-2545871</v>
      </c>
      <c r="CW34" s="2553">
        <f t="shared" si="15"/>
        <v>12873312</v>
      </c>
      <c r="CX34" s="2553">
        <f t="shared" si="16"/>
        <v>7812706</v>
      </c>
      <c r="CY34" s="2930">
        <f t="shared" si="17"/>
        <v>20686018</v>
      </c>
      <c r="CZ34" s="2935">
        <f t="shared" si="18"/>
        <v>0</v>
      </c>
      <c r="DA34" s="2553">
        <f t="shared" si="19"/>
        <v>20602835</v>
      </c>
      <c r="DB34" s="2553">
        <f t="shared" si="19"/>
        <v>15546999</v>
      </c>
      <c r="DC34" s="2553"/>
      <c r="DD34" s="2553"/>
      <c r="DE34" s="2553"/>
      <c r="DF34" s="3220"/>
      <c r="DG34" s="2934"/>
      <c r="DH34" s="3215"/>
      <c r="DI34" s="3196"/>
      <c r="DJ34" s="2934"/>
      <c r="DK34" s="2931"/>
      <c r="DL34" s="2931"/>
    </row>
    <row r="35" spans="1:116" s="2932" customFormat="1" ht="47.25" customHeight="1" x14ac:dyDescent="0.2">
      <c r="A35" s="3025" t="s">
        <v>1348</v>
      </c>
      <c r="B35" s="2943"/>
      <c r="C35" s="2978">
        <v>156000</v>
      </c>
      <c r="D35" s="3199"/>
      <c r="E35" s="2979">
        <v>156000</v>
      </c>
      <c r="F35" s="2979">
        <v>156000</v>
      </c>
      <c r="G35" s="2980">
        <v>156000</v>
      </c>
      <c r="H35" s="2980"/>
      <c r="I35" s="3199">
        <v>156000</v>
      </c>
      <c r="J35" s="2980">
        <v>156000</v>
      </c>
      <c r="K35" s="3022">
        <f t="shared" si="45"/>
        <v>156000</v>
      </c>
      <c r="L35" s="2979">
        <f t="shared" si="46"/>
        <v>0</v>
      </c>
      <c r="M35" s="2979">
        <f t="shared" si="47"/>
        <v>156000</v>
      </c>
      <c r="N35" s="2979">
        <f t="shared" si="48"/>
        <v>156000</v>
      </c>
      <c r="O35" s="2980">
        <f t="shared" si="49"/>
        <v>156000</v>
      </c>
      <c r="P35" s="3022"/>
      <c r="Q35" s="2980">
        <f t="shared" si="50"/>
        <v>156000</v>
      </c>
      <c r="R35" s="2980">
        <f t="shared" si="51"/>
        <v>156000</v>
      </c>
      <c r="S35" s="2954"/>
      <c r="T35" s="2955"/>
      <c r="U35" s="2956"/>
      <c r="V35" s="2956"/>
      <c r="W35" s="3204"/>
      <c r="X35" s="2954"/>
      <c r="Y35" s="2956"/>
      <c r="Z35" s="3204"/>
      <c r="AA35" s="2954"/>
      <c r="AB35" s="2955"/>
      <c r="AC35" s="2956"/>
      <c r="AD35" s="2956"/>
      <c r="AE35" s="3204"/>
      <c r="AF35" s="2954"/>
      <c r="AG35" s="2956"/>
      <c r="AH35" s="2956"/>
      <c r="AI35" s="3526"/>
      <c r="AJ35" s="3527"/>
      <c r="AK35" s="3526"/>
      <c r="AL35" s="3526"/>
      <c r="AM35" s="3528"/>
      <c r="AN35" s="3033"/>
      <c r="AO35" s="3526"/>
      <c r="AP35" s="3528"/>
      <c r="AQ35" s="2954"/>
      <c r="AR35" s="2955"/>
      <c r="AS35" s="2956"/>
      <c r="AT35" s="2956"/>
      <c r="AU35" s="3204"/>
      <c r="AV35" s="2954"/>
      <c r="AW35" s="2956"/>
      <c r="AX35" s="3204"/>
      <c r="AY35" s="2954"/>
      <c r="AZ35" s="2955"/>
      <c r="BA35" s="2956"/>
      <c r="BB35" s="2956"/>
      <c r="BC35" s="3204"/>
      <c r="BD35" s="2954"/>
      <c r="BE35" s="2956"/>
      <c r="BF35" s="2956"/>
      <c r="BG35" s="2956"/>
      <c r="BH35" s="2955"/>
      <c r="BI35" s="2956"/>
      <c r="BJ35" s="2956"/>
      <c r="BK35" s="3204"/>
      <c r="BL35" s="2954"/>
      <c r="BM35" s="2956"/>
      <c r="BN35" s="2956"/>
      <c r="BO35" s="2956"/>
      <c r="BP35" s="2955"/>
      <c r="BQ35" s="2956"/>
      <c r="BR35" s="2956"/>
      <c r="BS35" s="3204"/>
      <c r="BT35" s="2954"/>
      <c r="BU35" s="2956"/>
      <c r="BV35" s="2956"/>
      <c r="BW35" s="2956"/>
      <c r="BX35" s="2955"/>
      <c r="BY35" s="2956"/>
      <c r="BZ35" s="2956"/>
      <c r="CA35" s="3204"/>
      <c r="CB35" s="2954"/>
      <c r="CC35" s="3940"/>
      <c r="CD35" s="3204"/>
      <c r="CE35" s="2954"/>
      <c r="CF35" s="2955"/>
      <c r="CG35" s="2956"/>
      <c r="CH35" s="2951"/>
      <c r="CI35" s="3203"/>
      <c r="CJ35" s="3954"/>
      <c r="CK35" s="2953"/>
      <c r="CL35" s="3948"/>
      <c r="CM35" s="2951"/>
      <c r="CN35" s="2951"/>
      <c r="CO35" s="2951"/>
      <c r="CP35" s="2951"/>
      <c r="CQ35" s="3204"/>
      <c r="CR35" s="2951"/>
      <c r="CS35" s="2951"/>
      <c r="CT35" s="3203"/>
      <c r="CU35" s="2935">
        <f t="shared" si="13"/>
        <v>156000</v>
      </c>
      <c r="CV35" s="2553">
        <f t="shared" si="14"/>
        <v>0</v>
      </c>
      <c r="CW35" s="2553">
        <f t="shared" si="15"/>
        <v>156000</v>
      </c>
      <c r="CX35" s="2553">
        <f t="shared" si="16"/>
        <v>156000</v>
      </c>
      <c r="CY35" s="2930">
        <f t="shared" si="17"/>
        <v>156000</v>
      </c>
      <c r="CZ35" s="2935">
        <f t="shared" si="18"/>
        <v>0</v>
      </c>
      <c r="DA35" s="2553">
        <f t="shared" si="19"/>
        <v>156000</v>
      </c>
      <c r="DB35" s="2553">
        <f t="shared" si="19"/>
        <v>156000</v>
      </c>
      <c r="DC35" s="2553"/>
      <c r="DD35" s="2553"/>
      <c r="DE35" s="2553"/>
      <c r="DF35" s="3220"/>
      <c r="DG35" s="2934"/>
      <c r="DH35" s="3215"/>
      <c r="DI35" s="3196"/>
      <c r="DJ35" s="2934"/>
      <c r="DK35" s="2931"/>
      <c r="DL35" s="2931"/>
    </row>
    <row r="36" spans="1:116" s="2932" customFormat="1" ht="20.25" customHeight="1" x14ac:dyDescent="0.2">
      <c r="A36" s="2977" t="s">
        <v>1349</v>
      </c>
      <c r="B36" s="2943"/>
      <c r="C36" s="2978">
        <v>4000000</v>
      </c>
      <c r="D36" s="3199"/>
      <c r="E36" s="2979">
        <v>4000000</v>
      </c>
      <c r="F36" s="2979">
        <v>4000000</v>
      </c>
      <c r="G36" s="2980">
        <v>4000000</v>
      </c>
      <c r="H36" s="2980"/>
      <c r="I36" s="3199">
        <v>4000000</v>
      </c>
      <c r="J36" s="2980">
        <v>4000000</v>
      </c>
      <c r="K36" s="3022">
        <f t="shared" si="45"/>
        <v>4000000</v>
      </c>
      <c r="L36" s="2979">
        <f t="shared" si="46"/>
        <v>0</v>
      </c>
      <c r="M36" s="2979">
        <f t="shared" si="47"/>
        <v>4000000</v>
      </c>
      <c r="N36" s="2979">
        <f t="shared" si="48"/>
        <v>4000000</v>
      </c>
      <c r="O36" s="2980">
        <f t="shared" si="49"/>
        <v>4000000</v>
      </c>
      <c r="P36" s="3022"/>
      <c r="Q36" s="2980">
        <f t="shared" si="50"/>
        <v>4000000</v>
      </c>
      <c r="R36" s="2980">
        <f t="shared" si="51"/>
        <v>4000000</v>
      </c>
      <c r="S36" s="2954"/>
      <c r="T36" s="2955"/>
      <c r="U36" s="2956"/>
      <c r="V36" s="2956"/>
      <c r="W36" s="3204"/>
      <c r="X36" s="2954"/>
      <c r="Y36" s="2956"/>
      <c r="Z36" s="3204"/>
      <c r="AA36" s="2954"/>
      <c r="AB36" s="2955"/>
      <c r="AC36" s="2956"/>
      <c r="AD36" s="2956"/>
      <c r="AE36" s="3204"/>
      <c r="AF36" s="2954"/>
      <c r="AG36" s="2956"/>
      <c r="AH36" s="2956"/>
      <c r="AI36" s="3526"/>
      <c r="AJ36" s="3527"/>
      <c r="AK36" s="3526"/>
      <c r="AL36" s="3526"/>
      <c r="AM36" s="3528"/>
      <c r="AN36" s="3033"/>
      <c r="AO36" s="3526"/>
      <c r="AP36" s="3528"/>
      <c r="AQ36" s="2954"/>
      <c r="AR36" s="2955"/>
      <c r="AS36" s="2956"/>
      <c r="AT36" s="2956"/>
      <c r="AU36" s="3204"/>
      <c r="AV36" s="2954"/>
      <c r="AW36" s="2956"/>
      <c r="AX36" s="3204"/>
      <c r="AY36" s="2954"/>
      <c r="AZ36" s="2955"/>
      <c r="BA36" s="2956"/>
      <c r="BB36" s="2956"/>
      <c r="BC36" s="3204"/>
      <c r="BD36" s="2954"/>
      <c r="BE36" s="2956"/>
      <c r="BF36" s="2956"/>
      <c r="BG36" s="2956"/>
      <c r="BH36" s="2955"/>
      <c r="BI36" s="2956"/>
      <c r="BJ36" s="2956"/>
      <c r="BK36" s="3204"/>
      <c r="BL36" s="2954"/>
      <c r="BM36" s="2956"/>
      <c r="BN36" s="2956"/>
      <c r="BO36" s="2956"/>
      <c r="BP36" s="2955"/>
      <c r="BQ36" s="2956"/>
      <c r="BR36" s="2956"/>
      <c r="BS36" s="3204"/>
      <c r="BT36" s="2954"/>
      <c r="BU36" s="2956"/>
      <c r="BV36" s="2956"/>
      <c r="BW36" s="2956"/>
      <c r="BX36" s="2955"/>
      <c r="BY36" s="2956"/>
      <c r="BZ36" s="2956"/>
      <c r="CA36" s="3204"/>
      <c r="CB36" s="2954"/>
      <c r="CC36" s="3940"/>
      <c r="CD36" s="3204"/>
      <c r="CE36" s="2954"/>
      <c r="CF36" s="2955"/>
      <c r="CG36" s="2956"/>
      <c r="CH36" s="2951"/>
      <c r="CI36" s="3203"/>
      <c r="CJ36" s="3954"/>
      <c r="CK36" s="2953"/>
      <c r="CL36" s="3948"/>
      <c r="CM36" s="2951"/>
      <c r="CN36" s="2951"/>
      <c r="CO36" s="2951"/>
      <c r="CP36" s="2951"/>
      <c r="CQ36" s="3204"/>
      <c r="CR36" s="2951"/>
      <c r="CS36" s="2951"/>
      <c r="CT36" s="3203"/>
      <c r="CU36" s="2935">
        <f t="shared" si="13"/>
        <v>4000000</v>
      </c>
      <c r="CV36" s="2553">
        <f t="shared" si="14"/>
        <v>0</v>
      </c>
      <c r="CW36" s="2553">
        <f t="shared" si="15"/>
        <v>4000000</v>
      </c>
      <c r="CX36" s="2553">
        <f t="shared" si="16"/>
        <v>4000000</v>
      </c>
      <c r="CY36" s="2930">
        <f t="shared" si="17"/>
        <v>4000000</v>
      </c>
      <c r="CZ36" s="2935">
        <f t="shared" si="18"/>
        <v>0</v>
      </c>
      <c r="DA36" s="2553">
        <f t="shared" si="19"/>
        <v>4000000</v>
      </c>
      <c r="DB36" s="2553">
        <f t="shared" si="19"/>
        <v>4000000</v>
      </c>
      <c r="DC36" s="2553"/>
      <c r="DD36" s="2553"/>
      <c r="DE36" s="2553"/>
      <c r="DF36" s="3220"/>
      <c r="DG36" s="2934"/>
      <c r="DH36" s="3215"/>
      <c r="DI36" s="3196"/>
      <c r="DJ36" s="2934"/>
      <c r="DK36" s="2931"/>
      <c r="DL36" s="2931"/>
    </row>
    <row r="37" spans="1:116" s="2932" customFormat="1" ht="20.25" customHeight="1" x14ac:dyDescent="0.2">
      <c r="A37" s="2933" t="s">
        <v>1350</v>
      </c>
      <c r="B37" s="2943"/>
      <c r="C37" s="2947">
        <v>0</v>
      </c>
      <c r="D37" s="3188">
        <v>0</v>
      </c>
      <c r="E37" s="2553">
        <v>0</v>
      </c>
      <c r="F37" s="2553">
        <v>0</v>
      </c>
      <c r="G37" s="2930">
        <v>0</v>
      </c>
      <c r="H37" s="2930"/>
      <c r="I37" s="3937">
        <v>0</v>
      </c>
      <c r="J37" s="2930">
        <v>0</v>
      </c>
      <c r="K37" s="2935">
        <f t="shared" si="45"/>
        <v>0</v>
      </c>
      <c r="L37" s="2935">
        <f t="shared" si="46"/>
        <v>0</v>
      </c>
      <c r="M37" s="2553">
        <f t="shared" si="47"/>
        <v>0</v>
      </c>
      <c r="N37" s="2553">
        <f t="shared" si="48"/>
        <v>0</v>
      </c>
      <c r="O37" s="2930">
        <f t="shared" si="49"/>
        <v>0</v>
      </c>
      <c r="P37" s="2935"/>
      <c r="Q37" s="2930">
        <f t="shared" si="50"/>
        <v>0</v>
      </c>
      <c r="R37" s="2930">
        <f t="shared" si="51"/>
        <v>0</v>
      </c>
      <c r="S37" s="2954"/>
      <c r="T37" s="2955"/>
      <c r="U37" s="2956"/>
      <c r="V37" s="2956"/>
      <c r="W37" s="3204"/>
      <c r="X37" s="2954"/>
      <c r="Y37" s="2956"/>
      <c r="Z37" s="3204"/>
      <c r="AA37" s="2954"/>
      <c r="AB37" s="2955"/>
      <c r="AC37" s="2956"/>
      <c r="AD37" s="2956"/>
      <c r="AE37" s="3204"/>
      <c r="AF37" s="2954"/>
      <c r="AG37" s="2956"/>
      <c r="AH37" s="2956"/>
      <c r="AI37" s="3526"/>
      <c r="AJ37" s="3527"/>
      <c r="AK37" s="3526"/>
      <c r="AL37" s="3526"/>
      <c r="AM37" s="3528"/>
      <c r="AN37" s="3033"/>
      <c r="AO37" s="3526"/>
      <c r="AP37" s="3528"/>
      <c r="AQ37" s="2954"/>
      <c r="AR37" s="2955"/>
      <c r="AS37" s="2956"/>
      <c r="AT37" s="2956"/>
      <c r="AU37" s="3204"/>
      <c r="AV37" s="2954"/>
      <c r="AW37" s="2956"/>
      <c r="AX37" s="3204"/>
      <c r="AY37" s="2954"/>
      <c r="AZ37" s="2955"/>
      <c r="BA37" s="2956"/>
      <c r="BB37" s="2956"/>
      <c r="BC37" s="3204"/>
      <c r="BD37" s="2954"/>
      <c r="BE37" s="2956"/>
      <c r="BF37" s="2956"/>
      <c r="BG37" s="2956"/>
      <c r="BH37" s="2955"/>
      <c r="BI37" s="2956"/>
      <c r="BJ37" s="2956"/>
      <c r="BK37" s="3204"/>
      <c r="BL37" s="2954"/>
      <c r="BM37" s="2956"/>
      <c r="BN37" s="2956"/>
      <c r="BO37" s="2956"/>
      <c r="BP37" s="2955"/>
      <c r="BQ37" s="2956"/>
      <c r="BR37" s="2956"/>
      <c r="BS37" s="3204"/>
      <c r="BT37" s="2954"/>
      <c r="BU37" s="2956"/>
      <c r="BV37" s="2956"/>
      <c r="BW37" s="2956"/>
      <c r="BX37" s="2955"/>
      <c r="BY37" s="2956"/>
      <c r="BZ37" s="2956"/>
      <c r="CA37" s="3204"/>
      <c r="CB37" s="2954"/>
      <c r="CC37" s="3940"/>
      <c r="CD37" s="3204"/>
      <c r="CE37" s="2954"/>
      <c r="CF37" s="2955"/>
      <c r="CG37" s="2956"/>
      <c r="CH37" s="2951"/>
      <c r="CI37" s="3203"/>
      <c r="CJ37" s="3954"/>
      <c r="CK37" s="2953"/>
      <c r="CL37" s="3948"/>
      <c r="CM37" s="2951"/>
      <c r="CN37" s="2951"/>
      <c r="CO37" s="2951"/>
      <c r="CP37" s="2951"/>
      <c r="CQ37" s="3204"/>
      <c r="CR37" s="2951"/>
      <c r="CS37" s="2951"/>
      <c r="CT37" s="3203"/>
      <c r="CU37" s="2935">
        <f t="shared" si="13"/>
        <v>0</v>
      </c>
      <c r="CV37" s="2553">
        <f t="shared" si="14"/>
        <v>0</v>
      </c>
      <c r="CW37" s="2553">
        <f t="shared" si="15"/>
        <v>0</v>
      </c>
      <c r="CX37" s="2553">
        <f t="shared" si="16"/>
        <v>0</v>
      </c>
      <c r="CY37" s="2930">
        <f t="shared" si="17"/>
        <v>0</v>
      </c>
      <c r="CZ37" s="2935">
        <f t="shared" si="18"/>
        <v>0</v>
      </c>
      <c r="DA37" s="2553">
        <f t="shared" si="19"/>
        <v>0</v>
      </c>
      <c r="DB37" s="2553">
        <f t="shared" si="19"/>
        <v>0</v>
      </c>
      <c r="DC37" s="2553"/>
      <c r="DD37" s="2553"/>
      <c r="DE37" s="2553"/>
      <c r="DF37" s="3220"/>
      <c r="DG37" s="2934"/>
      <c r="DH37" s="3215"/>
      <c r="DI37" s="3196"/>
      <c r="DJ37" s="2934"/>
      <c r="DK37" s="2931"/>
      <c r="DL37" s="2931"/>
    </row>
    <row r="38" spans="1:116" s="2932" customFormat="1" ht="20.25" customHeight="1" x14ac:dyDescent="0.2">
      <c r="A38" s="2933" t="s">
        <v>1351</v>
      </c>
      <c r="B38" s="2943"/>
      <c r="C38" s="2947">
        <v>20447000</v>
      </c>
      <c r="D38" s="3188"/>
      <c r="E38" s="2553">
        <v>20447000</v>
      </c>
      <c r="F38" s="2553">
        <v>20447000</v>
      </c>
      <c r="G38" s="2930">
        <v>20447000</v>
      </c>
      <c r="H38" s="2930"/>
      <c r="I38" s="3937">
        <v>20447000</v>
      </c>
      <c r="J38" s="2930">
        <v>20447000</v>
      </c>
      <c r="K38" s="2935">
        <f t="shared" si="45"/>
        <v>20447000</v>
      </c>
      <c r="L38" s="2935">
        <f t="shared" si="46"/>
        <v>0</v>
      </c>
      <c r="M38" s="2553">
        <f t="shared" si="47"/>
        <v>20447000</v>
      </c>
      <c r="N38" s="2553">
        <f t="shared" si="48"/>
        <v>20447000</v>
      </c>
      <c r="O38" s="2930">
        <f t="shared" si="49"/>
        <v>20447000</v>
      </c>
      <c r="P38" s="2935"/>
      <c r="Q38" s="2930">
        <f t="shared" si="50"/>
        <v>20447000</v>
      </c>
      <c r="R38" s="2930">
        <f t="shared" si="51"/>
        <v>20447000</v>
      </c>
      <c r="S38" s="2954"/>
      <c r="T38" s="2955"/>
      <c r="U38" s="2956"/>
      <c r="V38" s="2956"/>
      <c r="W38" s="3204"/>
      <c r="X38" s="2954"/>
      <c r="Y38" s="2956"/>
      <c r="Z38" s="3204"/>
      <c r="AA38" s="2954"/>
      <c r="AB38" s="2955"/>
      <c r="AC38" s="2956"/>
      <c r="AD38" s="2956"/>
      <c r="AE38" s="3204"/>
      <c r="AF38" s="2954"/>
      <c r="AG38" s="2956"/>
      <c r="AH38" s="2956"/>
      <c r="AI38" s="3526"/>
      <c r="AJ38" s="3527"/>
      <c r="AK38" s="3526"/>
      <c r="AL38" s="3526"/>
      <c r="AM38" s="3528"/>
      <c r="AN38" s="3033"/>
      <c r="AO38" s="3526"/>
      <c r="AP38" s="3528"/>
      <c r="AQ38" s="2954"/>
      <c r="AR38" s="2955"/>
      <c r="AS38" s="2956"/>
      <c r="AT38" s="2956"/>
      <c r="AU38" s="3204"/>
      <c r="AV38" s="2954"/>
      <c r="AW38" s="2956"/>
      <c r="AX38" s="3204"/>
      <c r="AY38" s="2954"/>
      <c r="AZ38" s="2955"/>
      <c r="BA38" s="2956"/>
      <c r="BB38" s="2956"/>
      <c r="BC38" s="3204"/>
      <c r="BD38" s="2954"/>
      <c r="BE38" s="2956"/>
      <c r="BF38" s="2956"/>
      <c r="BG38" s="2956"/>
      <c r="BH38" s="2955"/>
      <c r="BI38" s="2956"/>
      <c r="BJ38" s="2956"/>
      <c r="BK38" s="3204"/>
      <c r="BL38" s="2954"/>
      <c r="BM38" s="2956"/>
      <c r="BN38" s="2956"/>
      <c r="BO38" s="2956"/>
      <c r="BP38" s="2955"/>
      <c r="BQ38" s="2956"/>
      <c r="BR38" s="2956"/>
      <c r="BS38" s="3204"/>
      <c r="BT38" s="2954"/>
      <c r="BU38" s="2956"/>
      <c r="BV38" s="2956"/>
      <c r="BW38" s="2956"/>
      <c r="BX38" s="2955"/>
      <c r="BY38" s="2956"/>
      <c r="BZ38" s="2956"/>
      <c r="CA38" s="3204"/>
      <c r="CB38" s="2954"/>
      <c r="CC38" s="3940"/>
      <c r="CD38" s="3204"/>
      <c r="CE38" s="2954"/>
      <c r="CF38" s="2955"/>
      <c r="CG38" s="2956"/>
      <c r="CH38" s="2951"/>
      <c r="CI38" s="3203"/>
      <c r="CJ38" s="3954"/>
      <c r="CK38" s="2953"/>
      <c r="CL38" s="3948"/>
      <c r="CM38" s="2951"/>
      <c r="CN38" s="2951"/>
      <c r="CO38" s="2951"/>
      <c r="CP38" s="2951"/>
      <c r="CQ38" s="3204"/>
      <c r="CR38" s="2951"/>
      <c r="CS38" s="2951"/>
      <c r="CT38" s="3203"/>
      <c r="CU38" s="2935">
        <f t="shared" si="13"/>
        <v>20447000</v>
      </c>
      <c r="CV38" s="2553">
        <f t="shared" si="14"/>
        <v>0</v>
      </c>
      <c r="CW38" s="2553">
        <f t="shared" si="15"/>
        <v>20447000</v>
      </c>
      <c r="CX38" s="2553">
        <f t="shared" si="16"/>
        <v>20447000</v>
      </c>
      <c r="CY38" s="2930">
        <f t="shared" si="17"/>
        <v>20447000</v>
      </c>
      <c r="CZ38" s="2935">
        <f t="shared" si="18"/>
        <v>0</v>
      </c>
      <c r="DA38" s="2553">
        <f t="shared" si="19"/>
        <v>20447000</v>
      </c>
      <c r="DB38" s="2553">
        <f t="shared" si="19"/>
        <v>20447000</v>
      </c>
      <c r="DC38" s="2553"/>
      <c r="DD38" s="2553"/>
      <c r="DE38" s="2553"/>
      <c r="DF38" s="3220"/>
      <c r="DG38" s="2934"/>
      <c r="DH38" s="3215"/>
      <c r="DI38" s="3196"/>
      <c r="DJ38" s="2934"/>
      <c r="DK38" s="2931"/>
      <c r="DL38" s="2931"/>
    </row>
    <row r="39" spans="1:116" s="2932" customFormat="1" ht="20.25" customHeight="1" x14ac:dyDescent="0.2">
      <c r="A39" s="2933" t="s">
        <v>1352</v>
      </c>
      <c r="B39" s="2943"/>
      <c r="C39" s="2947">
        <v>0</v>
      </c>
      <c r="D39" s="3188">
        <v>0</v>
      </c>
      <c r="E39" s="2553">
        <v>0</v>
      </c>
      <c r="F39" s="2553">
        <v>0</v>
      </c>
      <c r="G39" s="2930">
        <v>0</v>
      </c>
      <c r="H39" s="2930"/>
      <c r="I39" s="3937">
        <v>0</v>
      </c>
      <c r="J39" s="2930">
        <v>0</v>
      </c>
      <c r="K39" s="2935">
        <f t="shared" si="45"/>
        <v>0</v>
      </c>
      <c r="L39" s="2935">
        <f t="shared" si="46"/>
        <v>0</v>
      </c>
      <c r="M39" s="2553">
        <f t="shared" si="47"/>
        <v>0</v>
      </c>
      <c r="N39" s="2553">
        <f t="shared" si="48"/>
        <v>0</v>
      </c>
      <c r="O39" s="2930">
        <f t="shared" si="49"/>
        <v>0</v>
      </c>
      <c r="P39" s="2935"/>
      <c r="Q39" s="2930">
        <f t="shared" si="50"/>
        <v>0</v>
      </c>
      <c r="R39" s="2930">
        <f t="shared" si="51"/>
        <v>0</v>
      </c>
      <c r="S39" s="2954"/>
      <c r="T39" s="2955"/>
      <c r="U39" s="2956"/>
      <c r="V39" s="2956"/>
      <c r="W39" s="3204"/>
      <c r="X39" s="2954"/>
      <c r="Y39" s="2956"/>
      <c r="Z39" s="3204"/>
      <c r="AA39" s="2954"/>
      <c r="AB39" s="2955"/>
      <c r="AC39" s="2956"/>
      <c r="AD39" s="2956"/>
      <c r="AE39" s="3204"/>
      <c r="AF39" s="2954"/>
      <c r="AG39" s="2956"/>
      <c r="AH39" s="2956"/>
      <c r="AI39" s="3526"/>
      <c r="AJ39" s="3527"/>
      <c r="AK39" s="3526"/>
      <c r="AL39" s="3526"/>
      <c r="AM39" s="3528"/>
      <c r="AN39" s="3033"/>
      <c r="AO39" s="3526"/>
      <c r="AP39" s="3528"/>
      <c r="AQ39" s="2954"/>
      <c r="AR39" s="2955"/>
      <c r="AS39" s="2956"/>
      <c r="AT39" s="2956"/>
      <c r="AU39" s="3204"/>
      <c r="AV39" s="2954"/>
      <c r="AW39" s="2956"/>
      <c r="AX39" s="3204"/>
      <c r="AY39" s="2954"/>
      <c r="AZ39" s="2955"/>
      <c r="BA39" s="2956"/>
      <c r="BB39" s="2956"/>
      <c r="BC39" s="3204"/>
      <c r="BD39" s="2954"/>
      <c r="BE39" s="2956"/>
      <c r="BF39" s="2956"/>
      <c r="BG39" s="2956"/>
      <c r="BH39" s="2955"/>
      <c r="BI39" s="2956"/>
      <c r="BJ39" s="2956"/>
      <c r="BK39" s="3204"/>
      <c r="BL39" s="2954"/>
      <c r="BM39" s="2956"/>
      <c r="BN39" s="2956"/>
      <c r="BO39" s="2956"/>
      <c r="BP39" s="2955"/>
      <c r="BQ39" s="2956"/>
      <c r="BR39" s="2956"/>
      <c r="BS39" s="3204"/>
      <c r="BT39" s="2954"/>
      <c r="BU39" s="2956"/>
      <c r="BV39" s="2956"/>
      <c r="BW39" s="2956"/>
      <c r="BX39" s="2955"/>
      <c r="BY39" s="2956"/>
      <c r="BZ39" s="2956"/>
      <c r="CA39" s="3204"/>
      <c r="CB39" s="2954"/>
      <c r="CC39" s="3940"/>
      <c r="CD39" s="3204"/>
      <c r="CE39" s="2954"/>
      <c r="CF39" s="2955"/>
      <c r="CG39" s="2956"/>
      <c r="CH39" s="2951"/>
      <c r="CI39" s="3203"/>
      <c r="CJ39" s="3954"/>
      <c r="CK39" s="2953"/>
      <c r="CL39" s="3948"/>
      <c r="CM39" s="2951"/>
      <c r="CN39" s="2951"/>
      <c r="CO39" s="2951"/>
      <c r="CP39" s="2951"/>
      <c r="CQ39" s="3204"/>
      <c r="CR39" s="2951"/>
      <c r="CS39" s="2951"/>
      <c r="CT39" s="3203"/>
      <c r="CU39" s="2935">
        <f t="shared" si="13"/>
        <v>0</v>
      </c>
      <c r="CV39" s="2553">
        <f t="shared" si="14"/>
        <v>0</v>
      </c>
      <c r="CW39" s="2553">
        <f t="shared" si="15"/>
        <v>0</v>
      </c>
      <c r="CX39" s="2553">
        <f t="shared" si="16"/>
        <v>0</v>
      </c>
      <c r="CY39" s="2930">
        <f t="shared" si="17"/>
        <v>0</v>
      </c>
      <c r="CZ39" s="2935">
        <f t="shared" si="18"/>
        <v>0</v>
      </c>
      <c r="DA39" s="2553">
        <f t="shared" si="19"/>
        <v>0</v>
      </c>
      <c r="DB39" s="2553">
        <f t="shared" si="19"/>
        <v>0</v>
      </c>
      <c r="DC39" s="2553"/>
      <c r="DD39" s="2553"/>
      <c r="DE39" s="2553"/>
      <c r="DF39" s="3220"/>
      <c r="DG39" s="2934"/>
      <c r="DH39" s="3215"/>
      <c r="DI39" s="3196"/>
      <c r="DJ39" s="2934"/>
      <c r="DK39" s="2931"/>
      <c r="DL39" s="2931"/>
    </row>
    <row r="40" spans="1:116" s="2932" customFormat="1" ht="20.25" customHeight="1" x14ac:dyDescent="0.2">
      <c r="A40" s="2933" t="s">
        <v>1353</v>
      </c>
      <c r="B40" s="2943"/>
      <c r="C40" s="2947">
        <v>0</v>
      </c>
      <c r="D40" s="3188">
        <v>0</v>
      </c>
      <c r="E40" s="2553">
        <v>0</v>
      </c>
      <c r="F40" s="2553">
        <v>0</v>
      </c>
      <c r="G40" s="2930">
        <v>0</v>
      </c>
      <c r="H40" s="2930"/>
      <c r="I40" s="3937">
        <v>0</v>
      </c>
      <c r="J40" s="2930">
        <v>0</v>
      </c>
      <c r="K40" s="2935">
        <f t="shared" si="45"/>
        <v>0</v>
      </c>
      <c r="L40" s="2935">
        <f t="shared" si="46"/>
        <v>0</v>
      </c>
      <c r="M40" s="2553">
        <f t="shared" si="47"/>
        <v>0</v>
      </c>
      <c r="N40" s="2553">
        <f t="shared" si="48"/>
        <v>0</v>
      </c>
      <c r="O40" s="2930">
        <f t="shared" si="49"/>
        <v>0</v>
      </c>
      <c r="P40" s="2935"/>
      <c r="Q40" s="2930">
        <f t="shared" si="50"/>
        <v>0</v>
      </c>
      <c r="R40" s="2930">
        <f t="shared" si="51"/>
        <v>0</v>
      </c>
      <c r="S40" s="2954"/>
      <c r="T40" s="2955"/>
      <c r="U40" s="2956"/>
      <c r="V40" s="2956"/>
      <c r="W40" s="3204"/>
      <c r="X40" s="2954"/>
      <c r="Y40" s="2956"/>
      <c r="Z40" s="3204"/>
      <c r="AA40" s="2954"/>
      <c r="AB40" s="2955"/>
      <c r="AC40" s="2956"/>
      <c r="AD40" s="2956"/>
      <c r="AE40" s="3204"/>
      <c r="AF40" s="2954"/>
      <c r="AG40" s="2956"/>
      <c r="AH40" s="2956"/>
      <c r="AI40" s="3526"/>
      <c r="AJ40" s="3527"/>
      <c r="AK40" s="3526"/>
      <c r="AL40" s="3526"/>
      <c r="AM40" s="3528"/>
      <c r="AN40" s="3033"/>
      <c r="AO40" s="3526"/>
      <c r="AP40" s="3528"/>
      <c r="AQ40" s="2954"/>
      <c r="AR40" s="2955"/>
      <c r="AS40" s="2956"/>
      <c r="AT40" s="2956"/>
      <c r="AU40" s="3204"/>
      <c r="AV40" s="2954"/>
      <c r="AW40" s="2956"/>
      <c r="AX40" s="3204"/>
      <c r="AY40" s="2954"/>
      <c r="AZ40" s="2955"/>
      <c r="BA40" s="2956"/>
      <c r="BB40" s="2956"/>
      <c r="BC40" s="3204"/>
      <c r="BD40" s="2954"/>
      <c r="BE40" s="2956"/>
      <c r="BF40" s="2956"/>
      <c r="BG40" s="2956"/>
      <c r="BH40" s="2955"/>
      <c r="BI40" s="2956"/>
      <c r="BJ40" s="2956"/>
      <c r="BK40" s="3204"/>
      <c r="BL40" s="2954"/>
      <c r="BM40" s="2956"/>
      <c r="BN40" s="2956"/>
      <c r="BO40" s="2956"/>
      <c r="BP40" s="2955"/>
      <c r="BQ40" s="2956"/>
      <c r="BR40" s="2956"/>
      <c r="BS40" s="3204"/>
      <c r="BT40" s="2954"/>
      <c r="BU40" s="2956"/>
      <c r="BV40" s="2956"/>
      <c r="BW40" s="2956"/>
      <c r="BX40" s="2955"/>
      <c r="BY40" s="2956"/>
      <c r="BZ40" s="2956"/>
      <c r="CA40" s="3204"/>
      <c r="CB40" s="2954"/>
      <c r="CC40" s="3940"/>
      <c r="CD40" s="3204"/>
      <c r="CE40" s="2954"/>
      <c r="CF40" s="2955"/>
      <c r="CG40" s="2956"/>
      <c r="CH40" s="2951"/>
      <c r="CI40" s="3203"/>
      <c r="CJ40" s="3954"/>
      <c r="CK40" s="2953"/>
      <c r="CL40" s="3948"/>
      <c r="CM40" s="2951"/>
      <c r="CN40" s="2951"/>
      <c r="CO40" s="2951"/>
      <c r="CP40" s="2951"/>
      <c r="CQ40" s="3204"/>
      <c r="CR40" s="2951"/>
      <c r="CS40" s="2951"/>
      <c r="CT40" s="3203"/>
      <c r="CU40" s="2935">
        <f t="shared" si="13"/>
        <v>0</v>
      </c>
      <c r="CV40" s="2553">
        <f t="shared" si="14"/>
        <v>0</v>
      </c>
      <c r="CW40" s="2553">
        <f t="shared" si="15"/>
        <v>0</v>
      </c>
      <c r="CX40" s="2553">
        <f t="shared" si="16"/>
        <v>0</v>
      </c>
      <c r="CY40" s="2930">
        <f t="shared" si="17"/>
        <v>0</v>
      </c>
      <c r="CZ40" s="2935">
        <f t="shared" si="18"/>
        <v>0</v>
      </c>
      <c r="DA40" s="2553">
        <f t="shared" si="19"/>
        <v>0</v>
      </c>
      <c r="DB40" s="2553">
        <f t="shared" si="19"/>
        <v>0</v>
      </c>
      <c r="DC40" s="2553"/>
      <c r="DD40" s="2553"/>
      <c r="DE40" s="2553"/>
      <c r="DF40" s="3220"/>
      <c r="DG40" s="2934"/>
      <c r="DH40" s="3215"/>
      <c r="DI40" s="3196"/>
      <c r="DJ40" s="2934"/>
      <c r="DK40" s="2931"/>
      <c r="DL40" s="2931"/>
    </row>
    <row r="41" spans="1:116" s="2932" customFormat="1" ht="20.25" customHeight="1" x14ac:dyDescent="0.2">
      <c r="A41" s="2933" t="s">
        <v>1354</v>
      </c>
      <c r="B41" s="2943"/>
      <c r="C41" s="2947">
        <v>0</v>
      </c>
      <c r="D41" s="3188">
        <v>0</v>
      </c>
      <c r="E41" s="2553">
        <v>0</v>
      </c>
      <c r="F41" s="2553">
        <v>0</v>
      </c>
      <c r="G41" s="2930">
        <v>0</v>
      </c>
      <c r="H41" s="2930"/>
      <c r="I41" s="3937">
        <v>0</v>
      </c>
      <c r="J41" s="2930">
        <v>0</v>
      </c>
      <c r="K41" s="2935">
        <f t="shared" si="45"/>
        <v>0</v>
      </c>
      <c r="L41" s="2935">
        <f t="shared" si="46"/>
        <v>0</v>
      </c>
      <c r="M41" s="2553">
        <f t="shared" si="47"/>
        <v>0</v>
      </c>
      <c r="N41" s="2553">
        <f t="shared" si="48"/>
        <v>0</v>
      </c>
      <c r="O41" s="2930">
        <f t="shared" si="49"/>
        <v>0</v>
      </c>
      <c r="P41" s="2935"/>
      <c r="Q41" s="2930">
        <f t="shared" si="50"/>
        <v>0</v>
      </c>
      <c r="R41" s="2930">
        <f t="shared" si="51"/>
        <v>0</v>
      </c>
      <c r="S41" s="2954"/>
      <c r="T41" s="2955"/>
      <c r="U41" s="2956"/>
      <c r="V41" s="2956"/>
      <c r="W41" s="3204"/>
      <c r="X41" s="2954"/>
      <c r="Y41" s="2956"/>
      <c r="Z41" s="3204"/>
      <c r="AA41" s="2954"/>
      <c r="AB41" s="2955"/>
      <c r="AC41" s="2956"/>
      <c r="AD41" s="2956"/>
      <c r="AE41" s="3204"/>
      <c r="AF41" s="2954"/>
      <c r="AG41" s="2956"/>
      <c r="AH41" s="2956"/>
      <c r="AI41" s="3526"/>
      <c r="AJ41" s="3527"/>
      <c r="AK41" s="3526"/>
      <c r="AL41" s="3526"/>
      <c r="AM41" s="3528"/>
      <c r="AN41" s="3033"/>
      <c r="AO41" s="3526"/>
      <c r="AP41" s="3528"/>
      <c r="AQ41" s="2954"/>
      <c r="AR41" s="2955"/>
      <c r="AS41" s="2956"/>
      <c r="AT41" s="2956"/>
      <c r="AU41" s="3204"/>
      <c r="AV41" s="2954"/>
      <c r="AW41" s="2956"/>
      <c r="AX41" s="3204"/>
      <c r="AY41" s="2954"/>
      <c r="AZ41" s="2955"/>
      <c r="BA41" s="2956"/>
      <c r="BB41" s="2956"/>
      <c r="BC41" s="3204"/>
      <c r="BD41" s="2954"/>
      <c r="BE41" s="2956"/>
      <c r="BF41" s="2956"/>
      <c r="BG41" s="2956"/>
      <c r="BH41" s="2955"/>
      <c r="BI41" s="2956"/>
      <c r="BJ41" s="2956"/>
      <c r="BK41" s="3204"/>
      <c r="BL41" s="2954"/>
      <c r="BM41" s="2956"/>
      <c r="BN41" s="2956"/>
      <c r="BO41" s="2956"/>
      <c r="BP41" s="2955"/>
      <c r="BQ41" s="2956"/>
      <c r="BR41" s="2956"/>
      <c r="BS41" s="3204"/>
      <c r="BT41" s="2954"/>
      <c r="BU41" s="2956"/>
      <c r="BV41" s="2956"/>
      <c r="BW41" s="2956"/>
      <c r="BX41" s="2955"/>
      <c r="BY41" s="2956"/>
      <c r="BZ41" s="2956"/>
      <c r="CA41" s="3204"/>
      <c r="CB41" s="2954"/>
      <c r="CC41" s="3940"/>
      <c r="CD41" s="3204"/>
      <c r="CE41" s="2954"/>
      <c r="CF41" s="2955"/>
      <c r="CG41" s="2956"/>
      <c r="CH41" s="2951"/>
      <c r="CI41" s="3203"/>
      <c r="CJ41" s="3954"/>
      <c r="CK41" s="2953"/>
      <c r="CL41" s="3948"/>
      <c r="CM41" s="2951"/>
      <c r="CN41" s="2951"/>
      <c r="CO41" s="2951"/>
      <c r="CP41" s="2951"/>
      <c r="CQ41" s="3204"/>
      <c r="CR41" s="2951"/>
      <c r="CS41" s="2951"/>
      <c r="CT41" s="3203"/>
      <c r="CU41" s="2935">
        <f t="shared" si="13"/>
        <v>0</v>
      </c>
      <c r="CV41" s="2553">
        <f t="shared" si="14"/>
        <v>0</v>
      </c>
      <c r="CW41" s="2553">
        <f t="shared" si="15"/>
        <v>0</v>
      </c>
      <c r="CX41" s="2553">
        <f t="shared" si="16"/>
        <v>0</v>
      </c>
      <c r="CY41" s="2930">
        <f t="shared" si="17"/>
        <v>0</v>
      </c>
      <c r="CZ41" s="2935">
        <f t="shared" si="18"/>
        <v>0</v>
      </c>
      <c r="DA41" s="2553">
        <f t="shared" si="19"/>
        <v>0</v>
      </c>
      <c r="DB41" s="2553">
        <f t="shared" si="19"/>
        <v>0</v>
      </c>
      <c r="DC41" s="2553"/>
      <c r="DD41" s="2553"/>
      <c r="DE41" s="2553"/>
      <c r="DF41" s="3220"/>
      <c r="DG41" s="2934"/>
      <c r="DH41" s="3215"/>
      <c r="DI41" s="3196"/>
      <c r="DJ41" s="2934"/>
      <c r="DK41" s="2931"/>
      <c r="DL41" s="2931"/>
    </row>
    <row r="42" spans="1:116" s="2932" customFormat="1" ht="20.25" customHeight="1" x14ac:dyDescent="0.2">
      <c r="A42" s="2977" t="s">
        <v>1355</v>
      </c>
      <c r="B42" s="2943"/>
      <c r="C42" s="2947">
        <f>SUM('3.2 Cofogos'!E60)</f>
        <v>20010120</v>
      </c>
      <c r="D42" s="3188">
        <f>SUM('3.2 Cofogos'!F60)</f>
        <v>14211721</v>
      </c>
      <c r="E42" s="2553">
        <f>SUM('3.2 Cofogos'!G60)</f>
        <v>34221841</v>
      </c>
      <c r="F42" s="2553">
        <f>SUM('3.2 Cofogos'!H60)</f>
        <v>16803575</v>
      </c>
      <c r="G42" s="2930">
        <f>SUM('3.2 Cofogos'!I60)</f>
        <v>51025416</v>
      </c>
      <c r="H42" s="2930"/>
      <c r="I42" s="3937">
        <f>SUM('3.2 Cofogos'!K60)</f>
        <v>51025416</v>
      </c>
      <c r="J42" s="2930">
        <f>SUM('3.2 Cofogos'!L60)</f>
        <v>39631115</v>
      </c>
      <c r="K42" s="2935">
        <f t="shared" si="45"/>
        <v>20010120</v>
      </c>
      <c r="L42" s="2935">
        <f t="shared" si="46"/>
        <v>14211721</v>
      </c>
      <c r="M42" s="2553">
        <f t="shared" si="47"/>
        <v>34221841</v>
      </c>
      <c r="N42" s="2553">
        <f t="shared" si="48"/>
        <v>16803575</v>
      </c>
      <c r="O42" s="2930">
        <f t="shared" si="49"/>
        <v>51025416</v>
      </c>
      <c r="P42" s="2935"/>
      <c r="Q42" s="2930">
        <f t="shared" si="50"/>
        <v>51025416</v>
      </c>
      <c r="R42" s="2930">
        <f t="shared" si="51"/>
        <v>39631115</v>
      </c>
      <c r="S42" s="2954"/>
      <c r="T42" s="2955"/>
      <c r="U42" s="2956"/>
      <c r="V42" s="2956"/>
      <c r="W42" s="3204"/>
      <c r="X42" s="2954"/>
      <c r="Y42" s="2956"/>
      <c r="Z42" s="3204"/>
      <c r="AA42" s="2954"/>
      <c r="AB42" s="2955"/>
      <c r="AC42" s="2956"/>
      <c r="AD42" s="2956"/>
      <c r="AE42" s="3204"/>
      <c r="AF42" s="2954"/>
      <c r="AG42" s="2956"/>
      <c r="AH42" s="2956"/>
      <c r="AI42" s="3526"/>
      <c r="AJ42" s="3527"/>
      <c r="AK42" s="3526"/>
      <c r="AL42" s="3526"/>
      <c r="AM42" s="3528"/>
      <c r="AN42" s="3033"/>
      <c r="AO42" s="3526"/>
      <c r="AP42" s="3528"/>
      <c r="AQ42" s="2954"/>
      <c r="AR42" s="2955"/>
      <c r="AS42" s="2956"/>
      <c r="AT42" s="2956"/>
      <c r="AU42" s="3204"/>
      <c r="AV42" s="2954"/>
      <c r="AW42" s="2956"/>
      <c r="AX42" s="3204"/>
      <c r="AY42" s="2954"/>
      <c r="AZ42" s="2955"/>
      <c r="BA42" s="2956"/>
      <c r="BB42" s="2956"/>
      <c r="BC42" s="3204"/>
      <c r="BD42" s="2954"/>
      <c r="BE42" s="2956"/>
      <c r="BF42" s="2956"/>
      <c r="BG42" s="2956"/>
      <c r="BH42" s="2955"/>
      <c r="BI42" s="2956"/>
      <c r="BJ42" s="2956"/>
      <c r="BK42" s="3204"/>
      <c r="BL42" s="2954"/>
      <c r="BM42" s="2956"/>
      <c r="BN42" s="2956"/>
      <c r="BO42" s="2956"/>
      <c r="BP42" s="2955"/>
      <c r="BQ42" s="2956"/>
      <c r="BR42" s="2956"/>
      <c r="BS42" s="3204"/>
      <c r="BT42" s="2954"/>
      <c r="BU42" s="2956"/>
      <c r="BV42" s="2956"/>
      <c r="BW42" s="2956"/>
      <c r="BX42" s="2955"/>
      <c r="BY42" s="2956"/>
      <c r="BZ42" s="2956"/>
      <c r="CA42" s="3204"/>
      <c r="CB42" s="2954"/>
      <c r="CC42" s="3940"/>
      <c r="CD42" s="3204"/>
      <c r="CE42" s="2954"/>
      <c r="CF42" s="2955"/>
      <c r="CG42" s="2956">
        <v>5210000</v>
      </c>
      <c r="CH42" s="2956">
        <v>5210000</v>
      </c>
      <c r="CI42" s="3204">
        <v>5210000</v>
      </c>
      <c r="CJ42" s="3940"/>
      <c r="CK42" s="2956">
        <v>5210000</v>
      </c>
      <c r="CL42" s="3208">
        <v>5210000</v>
      </c>
      <c r="CM42" s="2951"/>
      <c r="CN42" s="2951"/>
      <c r="CO42" s="2951"/>
      <c r="CP42" s="2951"/>
      <c r="CQ42" s="3204"/>
      <c r="CR42" s="2951"/>
      <c r="CS42" s="2951"/>
      <c r="CT42" s="3203"/>
      <c r="CU42" s="2935">
        <f t="shared" si="13"/>
        <v>20010120</v>
      </c>
      <c r="CV42" s="2553">
        <f t="shared" si="14"/>
        <v>14211721</v>
      </c>
      <c r="CW42" s="2553">
        <f t="shared" si="15"/>
        <v>29011841</v>
      </c>
      <c r="CX42" s="2553">
        <f t="shared" si="16"/>
        <v>11593575</v>
      </c>
      <c r="CY42" s="2930">
        <f t="shared" si="17"/>
        <v>45815416</v>
      </c>
      <c r="CZ42" s="2935">
        <f t="shared" si="18"/>
        <v>0</v>
      </c>
      <c r="DA42" s="2553">
        <f t="shared" si="19"/>
        <v>45815416</v>
      </c>
      <c r="DB42" s="2553">
        <f t="shared" si="19"/>
        <v>34421115</v>
      </c>
      <c r="DC42" s="2553"/>
      <c r="DD42" s="2553"/>
      <c r="DE42" s="2553"/>
      <c r="DF42" s="3220"/>
      <c r="DG42" s="2934"/>
      <c r="DH42" s="3215"/>
      <c r="DI42" s="3196"/>
      <c r="DJ42" s="2934"/>
      <c r="DK42" s="2931"/>
      <c r="DL42" s="2931"/>
    </row>
    <row r="43" spans="1:116" s="2932" customFormat="1" ht="31.5" customHeight="1" x14ac:dyDescent="0.2">
      <c r="A43" s="2981" t="s">
        <v>1356</v>
      </c>
      <c r="B43" s="2943"/>
      <c r="C43" s="2947">
        <f>SUM('3.1. Cofog'!L96)</f>
        <v>10000000</v>
      </c>
      <c r="D43" s="3188">
        <f>SUM('3.1. Cofog'!M96)</f>
        <v>0</v>
      </c>
      <c r="E43" s="2553">
        <f>SUM('3.1. Cofog'!N96)</f>
        <v>10000000</v>
      </c>
      <c r="F43" s="2553">
        <f>SUM('3.1. Cofog'!O96)</f>
        <v>19489003</v>
      </c>
      <c r="G43" s="2930">
        <f>SUM('3.1. Cofog'!P96)</f>
        <v>29489003</v>
      </c>
      <c r="H43" s="2930"/>
      <c r="I43" s="3937">
        <f>SUM('3.1. Cofog'!R96)</f>
        <v>29489003</v>
      </c>
      <c r="J43" s="2930">
        <f>SUM('3.1. Cofog'!S96)</f>
        <v>29489003</v>
      </c>
      <c r="K43" s="2935">
        <f t="shared" si="45"/>
        <v>10000000</v>
      </c>
      <c r="L43" s="2935">
        <f t="shared" si="46"/>
        <v>0</v>
      </c>
      <c r="M43" s="2553">
        <f t="shared" si="47"/>
        <v>10000000</v>
      </c>
      <c r="N43" s="2553">
        <f t="shared" si="48"/>
        <v>19489003</v>
      </c>
      <c r="O43" s="2930">
        <f t="shared" si="49"/>
        <v>29489003</v>
      </c>
      <c r="P43" s="2935"/>
      <c r="Q43" s="2930">
        <f t="shared" si="50"/>
        <v>29489003</v>
      </c>
      <c r="R43" s="2930">
        <f t="shared" si="51"/>
        <v>29489003</v>
      </c>
      <c r="S43" s="2954"/>
      <c r="T43" s="2982"/>
      <c r="U43" s="2956"/>
      <c r="V43" s="2956"/>
      <c r="W43" s="3204"/>
      <c r="X43" s="2954"/>
      <c r="Y43" s="2956"/>
      <c r="Z43" s="3204"/>
      <c r="AA43" s="2954"/>
      <c r="AB43" s="2982"/>
      <c r="AC43" s="2956"/>
      <c r="AD43" s="2956"/>
      <c r="AE43" s="3204"/>
      <c r="AF43" s="2954"/>
      <c r="AG43" s="2956"/>
      <c r="AH43" s="2956"/>
      <c r="AI43" s="3526"/>
      <c r="AJ43" s="3539"/>
      <c r="AK43" s="3526"/>
      <c r="AL43" s="3526"/>
      <c r="AM43" s="3528"/>
      <c r="AN43" s="3033"/>
      <c r="AO43" s="3526"/>
      <c r="AP43" s="3528"/>
      <c r="AQ43" s="2954"/>
      <c r="AR43" s="2982"/>
      <c r="AS43" s="2956"/>
      <c r="AT43" s="2956"/>
      <c r="AU43" s="3204"/>
      <c r="AV43" s="2954"/>
      <c r="AW43" s="2956"/>
      <c r="AX43" s="3204"/>
      <c r="AY43" s="2954"/>
      <c r="AZ43" s="2982"/>
      <c r="BA43" s="2956"/>
      <c r="BB43" s="2956"/>
      <c r="BC43" s="3204"/>
      <c r="BD43" s="2954"/>
      <c r="BE43" s="2956"/>
      <c r="BF43" s="2956"/>
      <c r="BG43" s="2956"/>
      <c r="BH43" s="2982"/>
      <c r="BI43" s="2956"/>
      <c r="BJ43" s="2956"/>
      <c r="BK43" s="3204"/>
      <c r="BL43" s="2954"/>
      <c r="BM43" s="2956"/>
      <c r="BN43" s="2956"/>
      <c r="BO43" s="2956"/>
      <c r="BP43" s="2982"/>
      <c r="BQ43" s="2956"/>
      <c r="BR43" s="2956"/>
      <c r="BS43" s="3204"/>
      <c r="BT43" s="2954"/>
      <c r="BU43" s="2956"/>
      <c r="BV43" s="2956"/>
      <c r="BW43" s="2956"/>
      <c r="BX43" s="2982"/>
      <c r="BY43" s="2956"/>
      <c r="BZ43" s="2956"/>
      <c r="CA43" s="3204"/>
      <c r="CB43" s="2954"/>
      <c r="CC43" s="3940"/>
      <c r="CD43" s="3204"/>
      <c r="CE43" s="2954"/>
      <c r="CF43" s="2982"/>
      <c r="CG43" s="2956"/>
      <c r="CH43" s="2951"/>
      <c r="CI43" s="3203"/>
      <c r="CJ43" s="3954"/>
      <c r="CK43" s="2953"/>
      <c r="CL43" s="3948"/>
      <c r="CM43" s="2951"/>
      <c r="CN43" s="2951"/>
      <c r="CO43" s="2951"/>
      <c r="CP43" s="2951"/>
      <c r="CQ43" s="3204"/>
      <c r="CR43" s="2951"/>
      <c r="CS43" s="2951"/>
      <c r="CT43" s="3203"/>
      <c r="CU43" s="2935">
        <f t="shared" si="13"/>
        <v>10000000</v>
      </c>
      <c r="CV43" s="2553">
        <f t="shared" si="14"/>
        <v>0</v>
      </c>
      <c r="CW43" s="2553">
        <f t="shared" si="15"/>
        <v>10000000</v>
      </c>
      <c r="CX43" s="2553">
        <f t="shared" si="16"/>
        <v>19489003</v>
      </c>
      <c r="CY43" s="2930">
        <f t="shared" si="17"/>
        <v>29489003</v>
      </c>
      <c r="CZ43" s="2935">
        <f t="shared" si="18"/>
        <v>0</v>
      </c>
      <c r="DA43" s="2553">
        <f t="shared" si="19"/>
        <v>29489003</v>
      </c>
      <c r="DB43" s="2553">
        <f t="shared" si="19"/>
        <v>29489003</v>
      </c>
      <c r="DC43" s="2553"/>
      <c r="DD43" s="2553"/>
      <c r="DE43" s="2553"/>
      <c r="DF43" s="3220"/>
      <c r="DG43" s="2983"/>
      <c r="DH43" s="3218"/>
      <c r="DI43" s="3967"/>
      <c r="DJ43" s="2983"/>
    </row>
    <row r="44" spans="1:116" s="2932" customFormat="1" ht="45.75" customHeight="1" x14ac:dyDescent="0.2">
      <c r="A44" s="3025" t="s">
        <v>1357</v>
      </c>
      <c r="B44" s="2943"/>
      <c r="C44" s="2978">
        <v>12950000</v>
      </c>
      <c r="D44" s="3199"/>
      <c r="E44" s="2979">
        <v>12950000</v>
      </c>
      <c r="F44" s="2979">
        <v>12950000</v>
      </c>
      <c r="G44" s="2979">
        <v>12950000</v>
      </c>
      <c r="H44" s="2979"/>
      <c r="I44" s="2978">
        <v>12950000</v>
      </c>
      <c r="J44" s="2930">
        <v>12950000</v>
      </c>
      <c r="K44" s="3022">
        <f t="shared" si="45"/>
        <v>12950000</v>
      </c>
      <c r="L44" s="2979">
        <f t="shared" si="46"/>
        <v>0</v>
      </c>
      <c r="M44" s="2979">
        <f t="shared" si="47"/>
        <v>12950000</v>
      </c>
      <c r="N44" s="2979">
        <f t="shared" si="48"/>
        <v>12950000</v>
      </c>
      <c r="O44" s="2980">
        <f t="shared" si="49"/>
        <v>12950000</v>
      </c>
      <c r="P44" s="3022"/>
      <c r="Q44" s="2980">
        <f t="shared" si="50"/>
        <v>12950000</v>
      </c>
      <c r="R44" s="2980">
        <f t="shared" si="51"/>
        <v>12950000</v>
      </c>
      <c r="S44" s="2954"/>
      <c r="T44" s="2982"/>
      <c r="U44" s="2956"/>
      <c r="V44" s="2956"/>
      <c r="W44" s="3204"/>
      <c r="X44" s="2954"/>
      <c r="Y44" s="2956"/>
      <c r="Z44" s="3204"/>
      <c r="AA44" s="2954"/>
      <c r="AB44" s="2982"/>
      <c r="AC44" s="2956"/>
      <c r="AD44" s="2956"/>
      <c r="AE44" s="3204"/>
      <c r="AF44" s="2954"/>
      <c r="AG44" s="2956"/>
      <c r="AH44" s="2956"/>
      <c r="AI44" s="3526">
        <v>12950000</v>
      </c>
      <c r="AJ44" s="3526">
        <v>12950000</v>
      </c>
      <c r="AK44" s="3526">
        <v>12950000</v>
      </c>
      <c r="AL44" s="3526">
        <v>12950000</v>
      </c>
      <c r="AM44" s="3526">
        <v>12950000</v>
      </c>
      <c r="AN44" s="3526">
        <v>12950000</v>
      </c>
      <c r="AO44" s="3526">
        <v>12950000</v>
      </c>
      <c r="AP44" s="3528">
        <v>12950000</v>
      </c>
      <c r="AQ44" s="2954"/>
      <c r="AR44" s="2982"/>
      <c r="AS44" s="2956"/>
      <c r="AT44" s="2956"/>
      <c r="AU44" s="3204"/>
      <c r="AV44" s="2954"/>
      <c r="AW44" s="2956"/>
      <c r="AX44" s="3204"/>
      <c r="AY44" s="2954"/>
      <c r="AZ44" s="2982"/>
      <c r="BA44" s="2956"/>
      <c r="BB44" s="2956"/>
      <c r="BC44" s="3204"/>
      <c r="BD44" s="2954"/>
      <c r="BE44" s="2956"/>
      <c r="BF44" s="2956"/>
      <c r="BG44" s="2956"/>
      <c r="BH44" s="2982"/>
      <c r="BI44" s="2956"/>
      <c r="BJ44" s="2956"/>
      <c r="BK44" s="3204"/>
      <c r="BL44" s="2954"/>
      <c r="BM44" s="2956"/>
      <c r="BN44" s="2956"/>
      <c r="BO44" s="2956"/>
      <c r="BP44" s="2982"/>
      <c r="BQ44" s="2956"/>
      <c r="BR44" s="2956"/>
      <c r="BS44" s="3204"/>
      <c r="BT44" s="2954"/>
      <c r="BU44" s="2956"/>
      <c r="BV44" s="2956"/>
      <c r="BW44" s="2956"/>
      <c r="BX44" s="2982"/>
      <c r="BY44" s="2956"/>
      <c r="BZ44" s="2956"/>
      <c r="CA44" s="3204"/>
      <c r="CB44" s="2954"/>
      <c r="CC44" s="3940"/>
      <c r="CD44" s="3204"/>
      <c r="CE44" s="2954"/>
      <c r="CF44" s="2982"/>
      <c r="CG44" s="2956"/>
      <c r="CH44" s="2951"/>
      <c r="CI44" s="3203"/>
      <c r="CJ44" s="3954"/>
      <c r="CK44" s="2953"/>
      <c r="CL44" s="3948"/>
      <c r="CM44" s="2951"/>
      <c r="CN44" s="2951"/>
      <c r="CO44" s="2951"/>
      <c r="CP44" s="2951"/>
      <c r="CQ44" s="3204"/>
      <c r="CR44" s="2951"/>
      <c r="CS44" s="2951"/>
      <c r="CT44" s="3203"/>
      <c r="CU44" s="2935">
        <f t="shared" si="13"/>
        <v>0</v>
      </c>
      <c r="CV44" s="2553">
        <f t="shared" si="14"/>
        <v>-12950000</v>
      </c>
      <c r="CW44" s="2553">
        <f t="shared" si="15"/>
        <v>0</v>
      </c>
      <c r="CX44" s="2553">
        <f t="shared" si="16"/>
        <v>0</v>
      </c>
      <c r="CY44" s="2930">
        <f t="shared" si="17"/>
        <v>0</v>
      </c>
      <c r="CZ44" s="2935">
        <f t="shared" si="18"/>
        <v>-12950000</v>
      </c>
      <c r="DA44" s="2553">
        <f t="shared" si="19"/>
        <v>0</v>
      </c>
      <c r="DB44" s="2553">
        <f t="shared" si="19"/>
        <v>0</v>
      </c>
      <c r="DC44" s="2553"/>
      <c r="DD44" s="2553"/>
      <c r="DE44" s="2553"/>
      <c r="DF44" s="3220"/>
      <c r="DG44" s="2983"/>
      <c r="DH44" s="3218"/>
      <c r="DI44" s="3967"/>
      <c r="DJ44" s="2983"/>
    </row>
    <row r="45" spans="1:116" s="2932" customFormat="1" ht="20.25" customHeight="1" x14ac:dyDescent="0.2">
      <c r="A45" s="2981" t="s">
        <v>1358</v>
      </c>
      <c r="B45" s="2943"/>
      <c r="C45" s="2947">
        <f>SUM('3.2 Cofogos'!E106)</f>
        <v>15563338</v>
      </c>
      <c r="D45" s="3188">
        <f>SUM('3.2 Cofogos'!F106)</f>
        <v>-18806</v>
      </c>
      <c r="E45" s="2553">
        <f>SUM('3.2 Cofogos'!G106)</f>
        <v>15544532</v>
      </c>
      <c r="F45" s="2553">
        <f>SUM('3.2 Cofogos'!H106)</f>
        <v>940075</v>
      </c>
      <c r="G45" s="2930">
        <f>SUM('3.2 Cofogos'!I106)</f>
        <v>16484607</v>
      </c>
      <c r="H45" s="2930"/>
      <c r="I45" s="3937">
        <f>SUM('3.2 Cofogos'!K106)</f>
        <v>16484607</v>
      </c>
      <c r="J45" s="2930">
        <f>SUM('3.2 Cofogos'!L106)</f>
        <v>15435578</v>
      </c>
      <c r="K45" s="2935">
        <f t="shared" si="45"/>
        <v>15563338</v>
      </c>
      <c r="L45" s="2935">
        <f t="shared" si="46"/>
        <v>-18806</v>
      </c>
      <c r="M45" s="2553">
        <f t="shared" si="47"/>
        <v>15544532</v>
      </c>
      <c r="N45" s="2553">
        <f t="shared" si="48"/>
        <v>940075</v>
      </c>
      <c r="O45" s="2930">
        <f t="shared" si="49"/>
        <v>16484607</v>
      </c>
      <c r="P45" s="2935"/>
      <c r="Q45" s="2930">
        <f t="shared" si="50"/>
        <v>16484607</v>
      </c>
      <c r="R45" s="2930">
        <f t="shared" si="51"/>
        <v>15435578</v>
      </c>
      <c r="S45" s="2954"/>
      <c r="T45" s="2982"/>
      <c r="U45" s="2956"/>
      <c r="V45" s="2956"/>
      <c r="W45" s="3204"/>
      <c r="X45" s="2954"/>
      <c r="Y45" s="2956"/>
      <c r="Z45" s="3204"/>
      <c r="AA45" s="2954"/>
      <c r="AB45" s="2982"/>
      <c r="AC45" s="2956"/>
      <c r="AD45" s="2956"/>
      <c r="AE45" s="3204"/>
      <c r="AF45" s="2954"/>
      <c r="AG45" s="2956"/>
      <c r="AH45" s="2956"/>
      <c r="AI45" s="3526"/>
      <c r="AJ45" s="3539"/>
      <c r="AK45" s="3526"/>
      <c r="AL45" s="3526"/>
      <c r="AM45" s="3528"/>
      <c r="AN45" s="3033"/>
      <c r="AO45" s="3526"/>
      <c r="AP45" s="3528"/>
      <c r="AQ45" s="2954"/>
      <c r="AR45" s="2982"/>
      <c r="AS45" s="2956"/>
      <c r="AT45" s="2956"/>
      <c r="AU45" s="3204"/>
      <c r="AV45" s="2954"/>
      <c r="AW45" s="2956"/>
      <c r="AX45" s="3204"/>
      <c r="AY45" s="2954"/>
      <c r="AZ45" s="2982"/>
      <c r="BA45" s="2956"/>
      <c r="BB45" s="2956"/>
      <c r="BC45" s="3204"/>
      <c r="BD45" s="2954"/>
      <c r="BE45" s="2956"/>
      <c r="BF45" s="2956"/>
      <c r="BG45" s="2956"/>
      <c r="BH45" s="2982"/>
      <c r="BI45" s="2956"/>
      <c r="BJ45" s="2956"/>
      <c r="BK45" s="3204"/>
      <c r="BL45" s="2954"/>
      <c r="BM45" s="2956"/>
      <c r="BN45" s="2956"/>
      <c r="BO45" s="2956"/>
      <c r="BP45" s="2982"/>
      <c r="BQ45" s="2956"/>
      <c r="BR45" s="2956"/>
      <c r="BS45" s="3204"/>
      <c r="BT45" s="2954"/>
      <c r="BU45" s="2956"/>
      <c r="BV45" s="2956"/>
      <c r="BW45" s="2956"/>
      <c r="BX45" s="2982"/>
      <c r="BY45" s="2956"/>
      <c r="BZ45" s="2956"/>
      <c r="CA45" s="3204"/>
      <c r="CB45" s="2954"/>
      <c r="CC45" s="3940"/>
      <c r="CD45" s="3204"/>
      <c r="CE45" s="2954"/>
      <c r="CF45" s="2982"/>
      <c r="CG45" s="2956"/>
      <c r="CH45" s="2951"/>
      <c r="CI45" s="3203"/>
      <c r="CJ45" s="3954"/>
      <c r="CK45" s="2953"/>
      <c r="CL45" s="3948"/>
      <c r="CM45" s="2951"/>
      <c r="CN45" s="2951"/>
      <c r="CO45" s="2951"/>
      <c r="CP45" s="2951"/>
      <c r="CQ45" s="3204"/>
      <c r="CR45" s="2951"/>
      <c r="CS45" s="2951"/>
      <c r="CT45" s="3203"/>
      <c r="CU45" s="2935">
        <f t="shared" si="13"/>
        <v>15563338</v>
      </c>
      <c r="CV45" s="2553">
        <f t="shared" si="14"/>
        <v>-18806</v>
      </c>
      <c r="CW45" s="2553">
        <f t="shared" si="15"/>
        <v>15544532</v>
      </c>
      <c r="CX45" s="2553">
        <f t="shared" si="16"/>
        <v>940075</v>
      </c>
      <c r="CY45" s="2930">
        <f t="shared" si="17"/>
        <v>16484607</v>
      </c>
      <c r="CZ45" s="2935">
        <f t="shared" si="18"/>
        <v>0</v>
      </c>
      <c r="DA45" s="2553">
        <f t="shared" si="19"/>
        <v>16484607</v>
      </c>
      <c r="DB45" s="2553">
        <f t="shared" si="19"/>
        <v>15435578</v>
      </c>
      <c r="DC45" s="2553"/>
      <c r="DD45" s="2553"/>
      <c r="DE45" s="2553"/>
      <c r="DF45" s="3220"/>
      <c r="DG45" s="2983"/>
      <c r="DH45" s="3218"/>
      <c r="DI45" s="3967"/>
      <c r="DJ45" s="2983"/>
    </row>
    <row r="46" spans="1:116" s="2932" customFormat="1" ht="20.25" customHeight="1" x14ac:dyDescent="0.2">
      <c r="A46" s="2981" t="s">
        <v>1359</v>
      </c>
      <c r="B46" s="2943"/>
      <c r="C46" s="2947">
        <v>0</v>
      </c>
      <c r="D46" s="3188">
        <v>0</v>
      </c>
      <c r="E46" s="2553">
        <v>0</v>
      </c>
      <c r="F46" s="3007"/>
      <c r="G46" s="2934"/>
      <c r="H46" s="2934"/>
      <c r="I46" s="3196"/>
      <c r="J46" s="2930"/>
      <c r="K46" s="2935">
        <f t="shared" si="45"/>
        <v>0</v>
      </c>
      <c r="L46" s="2935">
        <f t="shared" si="46"/>
        <v>0</v>
      </c>
      <c r="M46" s="2553">
        <f t="shared" si="47"/>
        <v>0</v>
      </c>
      <c r="N46" s="2553">
        <f t="shared" si="48"/>
        <v>0</v>
      </c>
      <c r="O46" s="2930">
        <f t="shared" si="49"/>
        <v>0</v>
      </c>
      <c r="P46" s="2935"/>
      <c r="Q46" s="2930">
        <f t="shared" si="50"/>
        <v>0</v>
      </c>
      <c r="R46" s="2930">
        <f t="shared" si="51"/>
        <v>0</v>
      </c>
      <c r="S46" s="2954"/>
      <c r="T46" s="2982"/>
      <c r="U46" s="2956"/>
      <c r="V46" s="2956"/>
      <c r="W46" s="3204"/>
      <c r="X46" s="2954"/>
      <c r="Y46" s="2956"/>
      <c r="Z46" s="3204"/>
      <c r="AA46" s="2954"/>
      <c r="AB46" s="2982"/>
      <c r="AC46" s="2956"/>
      <c r="AD46" s="2956"/>
      <c r="AE46" s="3204"/>
      <c r="AF46" s="2954"/>
      <c r="AG46" s="2956"/>
      <c r="AH46" s="2956"/>
      <c r="AI46" s="3526"/>
      <c r="AJ46" s="3539"/>
      <c r="AK46" s="3526"/>
      <c r="AL46" s="3526"/>
      <c r="AM46" s="3528"/>
      <c r="AN46" s="3033"/>
      <c r="AO46" s="3526"/>
      <c r="AP46" s="3528"/>
      <c r="AQ46" s="2954"/>
      <c r="AR46" s="2982"/>
      <c r="AS46" s="2956"/>
      <c r="AT46" s="2956"/>
      <c r="AU46" s="3204"/>
      <c r="AV46" s="2954"/>
      <c r="AW46" s="2956"/>
      <c r="AX46" s="3204"/>
      <c r="AY46" s="2954"/>
      <c r="AZ46" s="2982"/>
      <c r="BA46" s="2956"/>
      <c r="BB46" s="2956"/>
      <c r="BC46" s="3204"/>
      <c r="BD46" s="2954"/>
      <c r="BE46" s="2956"/>
      <c r="BF46" s="2956"/>
      <c r="BG46" s="2956"/>
      <c r="BH46" s="2982"/>
      <c r="BI46" s="2956"/>
      <c r="BJ46" s="2956"/>
      <c r="BK46" s="3204"/>
      <c r="BL46" s="2954"/>
      <c r="BM46" s="2956"/>
      <c r="BN46" s="2956"/>
      <c r="BO46" s="2956"/>
      <c r="BP46" s="2982"/>
      <c r="BQ46" s="2956"/>
      <c r="BR46" s="2956"/>
      <c r="BS46" s="3204"/>
      <c r="BT46" s="2954"/>
      <c r="BU46" s="2956"/>
      <c r="BV46" s="2956"/>
      <c r="BW46" s="2956"/>
      <c r="BX46" s="2982"/>
      <c r="BY46" s="2956"/>
      <c r="BZ46" s="2956"/>
      <c r="CA46" s="3204"/>
      <c r="CB46" s="2954"/>
      <c r="CC46" s="3940"/>
      <c r="CD46" s="3204"/>
      <c r="CE46" s="2954"/>
      <c r="CF46" s="2982"/>
      <c r="CG46" s="2956"/>
      <c r="CH46" s="2951"/>
      <c r="CI46" s="3203"/>
      <c r="CJ46" s="3954"/>
      <c r="CK46" s="2953"/>
      <c r="CL46" s="3948"/>
      <c r="CM46" s="2951"/>
      <c r="CN46" s="2951"/>
      <c r="CO46" s="2951"/>
      <c r="CP46" s="2951"/>
      <c r="CQ46" s="3204"/>
      <c r="CR46" s="2951"/>
      <c r="CS46" s="2951"/>
      <c r="CT46" s="3203"/>
      <c r="CU46" s="2935">
        <f t="shared" si="13"/>
        <v>0</v>
      </c>
      <c r="CV46" s="2553">
        <f t="shared" si="14"/>
        <v>0</v>
      </c>
      <c r="CW46" s="2553">
        <f t="shared" si="15"/>
        <v>0</v>
      </c>
      <c r="CX46" s="2553">
        <f t="shared" si="16"/>
        <v>0</v>
      </c>
      <c r="CY46" s="2930">
        <f t="shared" si="17"/>
        <v>0</v>
      </c>
      <c r="CZ46" s="2935">
        <f t="shared" si="18"/>
        <v>0</v>
      </c>
      <c r="DA46" s="2553">
        <f t="shared" si="19"/>
        <v>0</v>
      </c>
      <c r="DB46" s="2553">
        <f t="shared" si="19"/>
        <v>0</v>
      </c>
      <c r="DC46" s="2553"/>
      <c r="DD46" s="2553"/>
      <c r="DE46" s="2553"/>
      <c r="DF46" s="3220"/>
      <c r="DG46" s="2983"/>
      <c r="DH46" s="3218"/>
      <c r="DI46" s="3967"/>
      <c r="DJ46" s="2983"/>
    </row>
    <row r="47" spans="1:116" s="2932" customFormat="1" ht="20.25" customHeight="1" x14ac:dyDescent="0.2">
      <c r="A47" s="2981" t="s">
        <v>1360</v>
      </c>
      <c r="B47" s="2943"/>
      <c r="C47" s="2947"/>
      <c r="D47" s="3188"/>
      <c r="E47" s="2553"/>
      <c r="F47" s="3007"/>
      <c r="G47" s="2934"/>
      <c r="H47" s="2934"/>
      <c r="I47" s="3196"/>
      <c r="J47" s="2930"/>
      <c r="K47" s="2935">
        <f t="shared" si="45"/>
        <v>0</v>
      </c>
      <c r="L47" s="2935">
        <f t="shared" si="46"/>
        <v>0</v>
      </c>
      <c r="M47" s="2553">
        <f t="shared" si="47"/>
        <v>0</v>
      </c>
      <c r="N47" s="2553">
        <f t="shared" si="48"/>
        <v>0</v>
      </c>
      <c r="O47" s="2930">
        <f t="shared" si="49"/>
        <v>0</v>
      </c>
      <c r="P47" s="2935"/>
      <c r="Q47" s="2930">
        <f t="shared" si="50"/>
        <v>0</v>
      </c>
      <c r="R47" s="2930">
        <f t="shared" si="51"/>
        <v>0</v>
      </c>
      <c r="S47" s="2954"/>
      <c r="T47" s="2982"/>
      <c r="U47" s="2956"/>
      <c r="V47" s="2956"/>
      <c r="W47" s="3204"/>
      <c r="X47" s="2954"/>
      <c r="Y47" s="2956"/>
      <c r="Z47" s="3204"/>
      <c r="AA47" s="2954"/>
      <c r="AB47" s="2982"/>
      <c r="AC47" s="2956"/>
      <c r="AD47" s="2956"/>
      <c r="AE47" s="3204"/>
      <c r="AF47" s="2954"/>
      <c r="AG47" s="2956"/>
      <c r="AH47" s="2956"/>
      <c r="AI47" s="3526"/>
      <c r="AJ47" s="3539"/>
      <c r="AK47" s="3526"/>
      <c r="AL47" s="3526"/>
      <c r="AM47" s="3528"/>
      <c r="AN47" s="3033"/>
      <c r="AO47" s="3526"/>
      <c r="AP47" s="3528"/>
      <c r="AQ47" s="2954"/>
      <c r="AR47" s="2982"/>
      <c r="AS47" s="2956"/>
      <c r="AT47" s="2956"/>
      <c r="AU47" s="3204"/>
      <c r="AV47" s="2954"/>
      <c r="AW47" s="2956"/>
      <c r="AX47" s="3204"/>
      <c r="AY47" s="2954"/>
      <c r="AZ47" s="2982"/>
      <c r="BA47" s="2956"/>
      <c r="BB47" s="2956"/>
      <c r="BC47" s="3204"/>
      <c r="BD47" s="2954"/>
      <c r="BE47" s="2956"/>
      <c r="BF47" s="2956"/>
      <c r="BG47" s="2956"/>
      <c r="BH47" s="2982"/>
      <c r="BI47" s="2956"/>
      <c r="BJ47" s="2956"/>
      <c r="BK47" s="3204"/>
      <c r="BL47" s="2954"/>
      <c r="BM47" s="2956"/>
      <c r="BN47" s="2956"/>
      <c r="BO47" s="2956"/>
      <c r="BP47" s="2982"/>
      <c r="BQ47" s="2956"/>
      <c r="BR47" s="2956"/>
      <c r="BS47" s="3204"/>
      <c r="BT47" s="2954"/>
      <c r="BU47" s="2956"/>
      <c r="BV47" s="2956"/>
      <c r="BW47" s="2956"/>
      <c r="BX47" s="2982"/>
      <c r="BY47" s="2956"/>
      <c r="BZ47" s="2956"/>
      <c r="CA47" s="3204"/>
      <c r="CB47" s="2954"/>
      <c r="CC47" s="3940"/>
      <c r="CD47" s="3204"/>
      <c r="CE47" s="2954"/>
      <c r="CF47" s="2982"/>
      <c r="CG47" s="2956"/>
      <c r="CH47" s="2951"/>
      <c r="CI47" s="3203"/>
      <c r="CJ47" s="3954"/>
      <c r="CK47" s="2953"/>
      <c r="CL47" s="3948"/>
      <c r="CM47" s="2951"/>
      <c r="CN47" s="2951"/>
      <c r="CO47" s="2951"/>
      <c r="CP47" s="2951"/>
      <c r="CQ47" s="3204"/>
      <c r="CR47" s="2951"/>
      <c r="CS47" s="2951"/>
      <c r="CT47" s="3203"/>
      <c r="CU47" s="2935">
        <f t="shared" si="13"/>
        <v>0</v>
      </c>
      <c r="CV47" s="2553">
        <f t="shared" si="14"/>
        <v>0</v>
      </c>
      <c r="CW47" s="2553">
        <f t="shared" si="15"/>
        <v>0</v>
      </c>
      <c r="CX47" s="2553">
        <f t="shared" si="16"/>
        <v>0</v>
      </c>
      <c r="CY47" s="2930">
        <f t="shared" si="17"/>
        <v>0</v>
      </c>
      <c r="CZ47" s="2935">
        <f t="shared" si="18"/>
        <v>0</v>
      </c>
      <c r="DA47" s="2553">
        <f t="shared" si="19"/>
        <v>0</v>
      </c>
      <c r="DB47" s="2553">
        <f t="shared" si="19"/>
        <v>0</v>
      </c>
      <c r="DC47" s="2553"/>
      <c r="DD47" s="2553"/>
      <c r="DE47" s="2553"/>
      <c r="DF47" s="3220"/>
      <c r="DG47" s="2983"/>
      <c r="DH47" s="3218"/>
      <c r="DI47" s="3967"/>
      <c r="DJ47" s="2983"/>
    </row>
    <row r="48" spans="1:116" s="2932" customFormat="1" ht="20.25" customHeight="1" x14ac:dyDescent="0.2">
      <c r="A48" s="2981" t="s">
        <v>1361</v>
      </c>
      <c r="B48" s="2943"/>
      <c r="C48" s="2978">
        <v>11300000</v>
      </c>
      <c r="D48" s="3199"/>
      <c r="E48" s="2979">
        <v>11300000</v>
      </c>
      <c r="F48" s="2979">
        <v>11300000</v>
      </c>
      <c r="G48" s="2980">
        <v>11300000</v>
      </c>
      <c r="H48" s="2980"/>
      <c r="I48" s="2978">
        <v>11300000</v>
      </c>
      <c r="J48" s="2930">
        <v>11300000</v>
      </c>
      <c r="K48" s="3022">
        <f t="shared" si="45"/>
        <v>11300000</v>
      </c>
      <c r="L48" s="2979">
        <f t="shared" si="46"/>
        <v>0</v>
      </c>
      <c r="M48" s="2979">
        <f t="shared" si="47"/>
        <v>11300000</v>
      </c>
      <c r="N48" s="2979">
        <f t="shared" si="48"/>
        <v>11300000</v>
      </c>
      <c r="O48" s="2980">
        <f t="shared" si="49"/>
        <v>11300000</v>
      </c>
      <c r="P48" s="3022"/>
      <c r="Q48" s="2980">
        <f t="shared" si="50"/>
        <v>11300000</v>
      </c>
      <c r="R48" s="2980">
        <f t="shared" si="51"/>
        <v>11300000</v>
      </c>
      <c r="S48" s="2954"/>
      <c r="T48" s="2982"/>
      <c r="U48" s="2956"/>
      <c r="V48" s="2956"/>
      <c r="W48" s="3204"/>
      <c r="X48" s="2954"/>
      <c r="Y48" s="2956"/>
      <c r="Z48" s="3204"/>
      <c r="AA48" s="2954"/>
      <c r="AB48" s="2982"/>
      <c r="AC48" s="2956"/>
      <c r="AD48" s="2956"/>
      <c r="AE48" s="3204"/>
      <c r="AF48" s="2954"/>
      <c r="AG48" s="2956"/>
      <c r="AH48" s="2956"/>
      <c r="AI48" s="3526"/>
      <c r="AJ48" s="3539"/>
      <c r="AK48" s="3526"/>
      <c r="AL48" s="3526"/>
      <c r="AM48" s="3528"/>
      <c r="AN48" s="3033"/>
      <c r="AO48" s="3526"/>
      <c r="AP48" s="3528"/>
      <c r="AQ48" s="2954"/>
      <c r="AR48" s="2982"/>
      <c r="AS48" s="2956"/>
      <c r="AT48" s="2956"/>
      <c r="AU48" s="3204"/>
      <c r="AV48" s="2954"/>
      <c r="AW48" s="2956"/>
      <c r="AX48" s="3204"/>
      <c r="AY48" s="2954"/>
      <c r="AZ48" s="2982"/>
      <c r="BA48" s="2956"/>
      <c r="BB48" s="2956"/>
      <c r="BC48" s="3204"/>
      <c r="BD48" s="2954"/>
      <c r="BE48" s="2956"/>
      <c r="BF48" s="2956"/>
      <c r="BG48" s="2956"/>
      <c r="BH48" s="2982"/>
      <c r="BI48" s="2956"/>
      <c r="BJ48" s="2956"/>
      <c r="BK48" s="3204"/>
      <c r="BL48" s="2954"/>
      <c r="BM48" s="2956"/>
      <c r="BN48" s="2956"/>
      <c r="BO48" s="2956"/>
      <c r="BP48" s="2982"/>
      <c r="BQ48" s="2956"/>
      <c r="BR48" s="2956"/>
      <c r="BS48" s="3204"/>
      <c r="BT48" s="2954"/>
      <c r="BU48" s="2956"/>
      <c r="BV48" s="2956"/>
      <c r="BW48" s="2956"/>
      <c r="BX48" s="2982"/>
      <c r="BY48" s="2956"/>
      <c r="BZ48" s="2956"/>
      <c r="CA48" s="3204"/>
      <c r="CB48" s="2954"/>
      <c r="CC48" s="3940"/>
      <c r="CD48" s="3204"/>
      <c r="CE48" s="2954"/>
      <c r="CF48" s="2982"/>
      <c r="CG48" s="2956"/>
      <c r="CH48" s="2951"/>
      <c r="CI48" s="3203"/>
      <c r="CJ48" s="3954"/>
      <c r="CK48" s="2953"/>
      <c r="CL48" s="3948"/>
      <c r="CM48" s="2951"/>
      <c r="CN48" s="2951"/>
      <c r="CO48" s="2951"/>
      <c r="CP48" s="2951"/>
      <c r="CQ48" s="3204"/>
      <c r="CR48" s="2951"/>
      <c r="CS48" s="2951"/>
      <c r="CT48" s="3203"/>
      <c r="CU48" s="2935">
        <f t="shared" si="13"/>
        <v>11300000</v>
      </c>
      <c r="CV48" s="2553">
        <f t="shared" si="14"/>
        <v>0</v>
      </c>
      <c r="CW48" s="2553">
        <f t="shared" si="15"/>
        <v>11300000</v>
      </c>
      <c r="CX48" s="2553">
        <f t="shared" si="16"/>
        <v>11300000</v>
      </c>
      <c r="CY48" s="2930">
        <f t="shared" si="17"/>
        <v>11300000</v>
      </c>
      <c r="CZ48" s="2935">
        <f t="shared" si="18"/>
        <v>0</v>
      </c>
      <c r="DA48" s="2553">
        <f t="shared" si="19"/>
        <v>11300000</v>
      </c>
      <c r="DB48" s="2553">
        <f t="shared" si="19"/>
        <v>11300000</v>
      </c>
      <c r="DC48" s="2553"/>
      <c r="DD48" s="2553"/>
      <c r="DE48" s="2553"/>
      <c r="DF48" s="3220"/>
      <c r="DG48" s="2983"/>
      <c r="DH48" s="3218"/>
      <c r="DI48" s="3967"/>
      <c r="DJ48" s="2983"/>
    </row>
    <row r="49" spans="1:114" s="2932" customFormat="1" ht="20.25" customHeight="1" x14ac:dyDescent="0.2">
      <c r="A49" s="2981" t="s">
        <v>1362</v>
      </c>
      <c r="B49" s="2943"/>
      <c r="C49" s="2947">
        <v>0</v>
      </c>
      <c r="D49" s="3188">
        <v>0</v>
      </c>
      <c r="E49" s="2553">
        <v>0</v>
      </c>
      <c r="F49" s="3007"/>
      <c r="G49" s="2934"/>
      <c r="H49" s="2934"/>
      <c r="I49" s="3196"/>
      <c r="J49" s="2930"/>
      <c r="K49" s="2935">
        <f t="shared" si="45"/>
        <v>0</v>
      </c>
      <c r="L49" s="2935">
        <f t="shared" si="46"/>
        <v>0</v>
      </c>
      <c r="M49" s="2553">
        <f t="shared" si="47"/>
        <v>0</v>
      </c>
      <c r="N49" s="2553">
        <f t="shared" si="48"/>
        <v>0</v>
      </c>
      <c r="O49" s="2930">
        <f t="shared" si="49"/>
        <v>0</v>
      </c>
      <c r="P49" s="2935"/>
      <c r="Q49" s="2930">
        <f t="shared" si="50"/>
        <v>0</v>
      </c>
      <c r="R49" s="2930">
        <f t="shared" si="51"/>
        <v>0</v>
      </c>
      <c r="S49" s="2954"/>
      <c r="T49" s="2982"/>
      <c r="U49" s="2956"/>
      <c r="V49" s="2956"/>
      <c r="W49" s="3204"/>
      <c r="X49" s="2954"/>
      <c r="Y49" s="2956"/>
      <c r="Z49" s="3204"/>
      <c r="AA49" s="2954"/>
      <c r="AB49" s="2982"/>
      <c r="AC49" s="2956"/>
      <c r="AD49" s="2956"/>
      <c r="AE49" s="3204"/>
      <c r="AF49" s="2954"/>
      <c r="AG49" s="2956"/>
      <c r="AH49" s="2956"/>
      <c r="AI49" s="3526"/>
      <c r="AJ49" s="3539"/>
      <c r="AK49" s="3526"/>
      <c r="AL49" s="3526"/>
      <c r="AM49" s="3528"/>
      <c r="AN49" s="3033"/>
      <c r="AO49" s="3526"/>
      <c r="AP49" s="3528"/>
      <c r="AQ49" s="2954"/>
      <c r="AR49" s="2982"/>
      <c r="AS49" s="2956"/>
      <c r="AT49" s="2956"/>
      <c r="AU49" s="3204"/>
      <c r="AV49" s="2954"/>
      <c r="AW49" s="2956"/>
      <c r="AX49" s="3204"/>
      <c r="AY49" s="2954"/>
      <c r="AZ49" s="2982"/>
      <c r="BA49" s="2956"/>
      <c r="BB49" s="2956"/>
      <c r="BC49" s="3204"/>
      <c r="BD49" s="2954"/>
      <c r="BE49" s="2956"/>
      <c r="BF49" s="2956"/>
      <c r="BG49" s="2956"/>
      <c r="BH49" s="2982"/>
      <c r="BI49" s="2956"/>
      <c r="BJ49" s="2956"/>
      <c r="BK49" s="3204"/>
      <c r="BL49" s="2954"/>
      <c r="BM49" s="2956"/>
      <c r="BN49" s="2956"/>
      <c r="BO49" s="2956"/>
      <c r="BP49" s="2982"/>
      <c r="BQ49" s="2956"/>
      <c r="BR49" s="2956"/>
      <c r="BS49" s="3204"/>
      <c r="BT49" s="2954"/>
      <c r="BU49" s="2956"/>
      <c r="BV49" s="2956"/>
      <c r="BW49" s="2956"/>
      <c r="BX49" s="2982"/>
      <c r="BY49" s="2956"/>
      <c r="BZ49" s="2956"/>
      <c r="CA49" s="3204"/>
      <c r="CB49" s="2954"/>
      <c r="CC49" s="3940"/>
      <c r="CD49" s="3204"/>
      <c r="CE49" s="2954"/>
      <c r="CF49" s="2982"/>
      <c r="CG49" s="2956"/>
      <c r="CH49" s="2951"/>
      <c r="CI49" s="3203"/>
      <c r="CJ49" s="3954"/>
      <c r="CK49" s="2953"/>
      <c r="CL49" s="3948"/>
      <c r="CM49" s="2951"/>
      <c r="CN49" s="2951"/>
      <c r="CO49" s="2951"/>
      <c r="CP49" s="2951"/>
      <c r="CQ49" s="3204"/>
      <c r="CR49" s="2951"/>
      <c r="CS49" s="2951"/>
      <c r="CT49" s="3203"/>
      <c r="CU49" s="2935">
        <f t="shared" si="13"/>
        <v>0</v>
      </c>
      <c r="CV49" s="2553">
        <f t="shared" si="14"/>
        <v>0</v>
      </c>
      <c r="CW49" s="2553">
        <f t="shared" si="15"/>
        <v>0</v>
      </c>
      <c r="CX49" s="2553">
        <f t="shared" si="16"/>
        <v>0</v>
      </c>
      <c r="CY49" s="2930">
        <f t="shared" si="17"/>
        <v>0</v>
      </c>
      <c r="CZ49" s="2935">
        <f t="shared" si="18"/>
        <v>0</v>
      </c>
      <c r="DA49" s="2553">
        <f t="shared" si="19"/>
        <v>0</v>
      </c>
      <c r="DB49" s="2553">
        <f t="shared" si="19"/>
        <v>0</v>
      </c>
      <c r="DC49" s="2553"/>
      <c r="DD49" s="2553"/>
      <c r="DE49" s="2553"/>
      <c r="DF49" s="3220"/>
      <c r="DG49" s="2983"/>
      <c r="DH49" s="3218"/>
      <c r="DI49" s="3967"/>
      <c r="DJ49" s="2983"/>
    </row>
    <row r="50" spans="1:114" s="2932" customFormat="1" ht="20.25" customHeight="1" x14ac:dyDescent="0.2">
      <c r="A50" s="2981" t="s">
        <v>1363</v>
      </c>
      <c r="B50" s="2943"/>
      <c r="C50" s="2947">
        <v>0</v>
      </c>
      <c r="D50" s="3188">
        <v>0</v>
      </c>
      <c r="E50" s="2553">
        <v>0</v>
      </c>
      <c r="F50" s="3007"/>
      <c r="G50" s="2934"/>
      <c r="H50" s="2934"/>
      <c r="I50" s="3196"/>
      <c r="J50" s="2930"/>
      <c r="K50" s="2935">
        <f t="shared" si="45"/>
        <v>0</v>
      </c>
      <c r="L50" s="2935">
        <f t="shared" si="46"/>
        <v>0</v>
      </c>
      <c r="M50" s="2553">
        <f t="shared" si="47"/>
        <v>0</v>
      </c>
      <c r="N50" s="2553">
        <f t="shared" si="48"/>
        <v>0</v>
      </c>
      <c r="O50" s="2930">
        <f t="shared" si="49"/>
        <v>0</v>
      </c>
      <c r="P50" s="2935"/>
      <c r="Q50" s="2930">
        <f t="shared" si="50"/>
        <v>0</v>
      </c>
      <c r="R50" s="2930">
        <f t="shared" si="51"/>
        <v>0</v>
      </c>
      <c r="S50" s="2954"/>
      <c r="T50" s="2982"/>
      <c r="U50" s="2956"/>
      <c r="V50" s="2956"/>
      <c r="W50" s="3204"/>
      <c r="X50" s="2954"/>
      <c r="Y50" s="2956"/>
      <c r="Z50" s="3204"/>
      <c r="AA50" s="2954"/>
      <c r="AB50" s="2982"/>
      <c r="AC50" s="2956"/>
      <c r="AD50" s="2956"/>
      <c r="AE50" s="3204"/>
      <c r="AF50" s="2954"/>
      <c r="AG50" s="2956"/>
      <c r="AH50" s="2956"/>
      <c r="AI50" s="3526"/>
      <c r="AJ50" s="3539"/>
      <c r="AK50" s="3526"/>
      <c r="AL50" s="3526"/>
      <c r="AM50" s="3528"/>
      <c r="AN50" s="3033"/>
      <c r="AO50" s="3526"/>
      <c r="AP50" s="3528"/>
      <c r="AQ50" s="2954"/>
      <c r="AR50" s="2982"/>
      <c r="AS50" s="2956"/>
      <c r="AT50" s="2956"/>
      <c r="AU50" s="3204"/>
      <c r="AV50" s="2954"/>
      <c r="AW50" s="2956"/>
      <c r="AX50" s="3204"/>
      <c r="AY50" s="2954"/>
      <c r="AZ50" s="2982"/>
      <c r="BA50" s="2956"/>
      <c r="BB50" s="2956"/>
      <c r="BC50" s="3204"/>
      <c r="BD50" s="2954"/>
      <c r="BE50" s="2956"/>
      <c r="BF50" s="2956"/>
      <c r="BG50" s="2956"/>
      <c r="BH50" s="2982"/>
      <c r="BI50" s="2956"/>
      <c r="BJ50" s="2956"/>
      <c r="BK50" s="3204"/>
      <c r="BL50" s="2954"/>
      <c r="BM50" s="2956"/>
      <c r="BN50" s="2956"/>
      <c r="BO50" s="2956"/>
      <c r="BP50" s="2982"/>
      <c r="BQ50" s="2956"/>
      <c r="BR50" s="2956"/>
      <c r="BS50" s="3204"/>
      <c r="BT50" s="2954"/>
      <c r="BU50" s="2956"/>
      <c r="BV50" s="2956"/>
      <c r="BW50" s="2956"/>
      <c r="BX50" s="2982"/>
      <c r="BY50" s="2956"/>
      <c r="BZ50" s="2956"/>
      <c r="CA50" s="3204"/>
      <c r="CB50" s="2954"/>
      <c r="CC50" s="3940"/>
      <c r="CD50" s="3204"/>
      <c r="CE50" s="2954"/>
      <c r="CF50" s="2982"/>
      <c r="CG50" s="2956"/>
      <c r="CH50" s="2951"/>
      <c r="CI50" s="3203"/>
      <c r="CJ50" s="3954"/>
      <c r="CK50" s="2953"/>
      <c r="CL50" s="3948"/>
      <c r="CM50" s="2951"/>
      <c r="CN50" s="2951"/>
      <c r="CO50" s="2951"/>
      <c r="CP50" s="2951"/>
      <c r="CQ50" s="3204"/>
      <c r="CR50" s="2951"/>
      <c r="CS50" s="2951"/>
      <c r="CT50" s="3203"/>
      <c r="CU50" s="2935">
        <f t="shared" si="13"/>
        <v>0</v>
      </c>
      <c r="CV50" s="2553">
        <f t="shared" si="14"/>
        <v>0</v>
      </c>
      <c r="CW50" s="2553">
        <f t="shared" si="15"/>
        <v>0</v>
      </c>
      <c r="CX50" s="2553">
        <f t="shared" si="16"/>
        <v>0</v>
      </c>
      <c r="CY50" s="2930">
        <f t="shared" si="17"/>
        <v>0</v>
      </c>
      <c r="CZ50" s="2935">
        <f t="shared" si="18"/>
        <v>0</v>
      </c>
      <c r="DA50" s="2553">
        <f t="shared" si="19"/>
        <v>0</v>
      </c>
      <c r="DB50" s="2553">
        <f t="shared" si="19"/>
        <v>0</v>
      </c>
      <c r="DC50" s="2553"/>
      <c r="DD50" s="2553"/>
      <c r="DE50" s="2553"/>
      <c r="DF50" s="3220"/>
      <c r="DG50" s="2930"/>
      <c r="DH50" s="2935"/>
      <c r="DI50" s="3937"/>
      <c r="DJ50" s="2930"/>
    </row>
    <row r="51" spans="1:114" s="2932" customFormat="1" ht="20.25" customHeight="1" x14ac:dyDescent="0.2">
      <c r="A51" s="3025" t="s">
        <v>1364</v>
      </c>
      <c r="B51" s="2943"/>
      <c r="C51" s="2947">
        <f>SUM('3.2 Cofogos'!E198)</f>
        <v>73914000</v>
      </c>
      <c r="D51" s="3200">
        <f>SUM('3.2 Cofogos'!F198)</f>
        <v>-21749448</v>
      </c>
      <c r="E51" s="2553">
        <f>SUM('3.2 Cofogos'!G198)</f>
        <v>52164552</v>
      </c>
      <c r="F51" s="2553">
        <f>SUM('3.2 Cofogos'!H198)</f>
        <v>-42164552</v>
      </c>
      <c r="G51" s="2930">
        <f>SUM('3.2 Cofogos'!I198)</f>
        <v>10000000</v>
      </c>
      <c r="H51" s="2930"/>
      <c r="I51" s="3937">
        <f>SUM('3.2 Cofogos'!K201)</f>
        <v>0</v>
      </c>
      <c r="J51" s="2930">
        <f>SUM('3.2 Cofogos'!L201)</f>
        <v>0</v>
      </c>
      <c r="K51" s="2935">
        <f t="shared" si="45"/>
        <v>73914000</v>
      </c>
      <c r="L51" s="2935">
        <f t="shared" si="46"/>
        <v>-21749448</v>
      </c>
      <c r="M51" s="2553">
        <f t="shared" si="47"/>
        <v>52164552</v>
      </c>
      <c r="N51" s="2553">
        <f t="shared" si="48"/>
        <v>-42164552</v>
      </c>
      <c r="O51" s="2930">
        <f t="shared" si="49"/>
        <v>10000000</v>
      </c>
      <c r="P51" s="2935"/>
      <c r="Q51" s="2930">
        <f>SUM('3.1. Cofog'!R9)*1.27</f>
        <v>73244536.010000005</v>
      </c>
      <c r="R51" s="2930">
        <f>SUM('3.1. Cofog'!S9)*1.27</f>
        <v>73244536.010000005</v>
      </c>
      <c r="S51" s="2954"/>
      <c r="T51" s="2982"/>
      <c r="U51" s="2956"/>
      <c r="V51" s="2956"/>
      <c r="W51" s="3204"/>
      <c r="X51" s="2954"/>
      <c r="Y51" s="2956"/>
      <c r="Z51" s="3204"/>
      <c r="AA51" s="2954"/>
      <c r="AB51" s="2982"/>
      <c r="AC51" s="2956"/>
      <c r="AD51" s="2956"/>
      <c r="AE51" s="3204"/>
      <c r="AF51" s="2954"/>
      <c r="AG51" s="2956"/>
      <c r="AH51" s="2956"/>
      <c r="AI51" s="3526">
        <f>SUM('3.1. Cofog'!L9)*1.27</f>
        <v>73914000</v>
      </c>
      <c r="AJ51" s="3526">
        <f>SUM('3.1. Cofog'!M9)*1.27</f>
        <v>297844368.75</v>
      </c>
      <c r="AK51" s="3526">
        <f>SUM('3.1. Cofog'!N9)*1.27</f>
        <v>371758368.75</v>
      </c>
      <c r="AL51" s="3526">
        <f>SUM('3.1. Cofog'!O9)*1.27</f>
        <v>-298513832.74000001</v>
      </c>
      <c r="AM51" s="3526">
        <f>SUM('3.1. Cofog'!P9)*1.27</f>
        <v>73244536.010000005</v>
      </c>
      <c r="AN51" s="3526">
        <f>SUM('3.1. Cofog'!Q9)*1.27</f>
        <v>0</v>
      </c>
      <c r="AO51" s="3526">
        <f>SUM('3.1. Cofog'!R9)*1.27</f>
        <v>73244536.010000005</v>
      </c>
      <c r="AP51" s="3528">
        <f>SUM('3.1. Cofog'!S9)*1.27</f>
        <v>73244536.010000005</v>
      </c>
      <c r="AQ51" s="2954"/>
      <c r="AR51" s="2982"/>
      <c r="AS51" s="2956"/>
      <c r="AT51" s="2956"/>
      <c r="AU51" s="3204"/>
      <c r="AV51" s="2954"/>
      <c r="AW51" s="2956"/>
      <c r="AX51" s="3204"/>
      <c r="AY51" s="2954"/>
      <c r="AZ51" s="2982"/>
      <c r="BA51" s="2956"/>
      <c r="BB51" s="2956"/>
      <c r="BC51" s="3204"/>
      <c r="BD51" s="2954"/>
      <c r="BE51" s="2956"/>
      <c r="BF51" s="2956"/>
      <c r="BG51" s="2956"/>
      <c r="BH51" s="2982"/>
      <c r="BI51" s="2956"/>
      <c r="BJ51" s="2956"/>
      <c r="BK51" s="3204"/>
      <c r="BL51" s="2954"/>
      <c r="BM51" s="2956"/>
      <c r="BN51" s="2956"/>
      <c r="BO51" s="2956"/>
      <c r="BP51" s="2982"/>
      <c r="BQ51" s="2956"/>
      <c r="BR51" s="2956"/>
      <c r="BS51" s="3204"/>
      <c r="BT51" s="2954"/>
      <c r="BU51" s="2956"/>
      <c r="BV51" s="2956"/>
      <c r="BW51" s="2956"/>
      <c r="BX51" s="2982"/>
      <c r="BY51" s="2956"/>
      <c r="BZ51" s="2956"/>
      <c r="CA51" s="3204"/>
      <c r="CB51" s="2954"/>
      <c r="CC51" s="3940"/>
      <c r="CD51" s="3204"/>
      <c r="CE51" s="2954"/>
      <c r="CF51" s="2982"/>
      <c r="CG51" s="2956"/>
      <c r="CH51" s="2951"/>
      <c r="CI51" s="3203"/>
      <c r="CJ51" s="3954"/>
      <c r="CK51" s="2953"/>
      <c r="CL51" s="3948"/>
      <c r="CM51" s="2951"/>
      <c r="CN51" s="2951"/>
      <c r="CO51" s="2951"/>
      <c r="CP51" s="2951"/>
      <c r="CQ51" s="3204"/>
      <c r="CR51" s="2951"/>
      <c r="CS51" s="2951"/>
      <c r="CT51" s="3203"/>
      <c r="CU51" s="2935">
        <f t="shared" si="13"/>
        <v>0</v>
      </c>
      <c r="CV51" s="2553">
        <f t="shared" si="14"/>
        <v>-319593816.75</v>
      </c>
      <c r="CW51" s="2553">
        <f t="shared" si="15"/>
        <v>-319593816.75</v>
      </c>
      <c r="CX51" s="2553">
        <f t="shared" si="16"/>
        <v>256349280.74000001</v>
      </c>
      <c r="CY51" s="2930">
        <f t="shared" si="17"/>
        <v>-63244536.010000005</v>
      </c>
      <c r="CZ51" s="2935">
        <f t="shared" si="18"/>
        <v>0</v>
      </c>
      <c r="DA51" s="4187">
        <f t="shared" si="19"/>
        <v>0</v>
      </c>
      <c r="DB51" s="4187">
        <f>SUM(R51-Z51-AH51-AP51-AX51-BF51-BN51-BV51-CL51)</f>
        <v>0</v>
      </c>
      <c r="DC51" s="2553"/>
      <c r="DD51" s="2553"/>
      <c r="DE51" s="2553"/>
      <c r="DF51" s="3220"/>
      <c r="DG51" s="2930"/>
      <c r="DH51" s="2935"/>
      <c r="DI51" s="3937"/>
      <c r="DJ51" s="2930"/>
    </row>
    <row r="52" spans="1:114" s="2932" customFormat="1" ht="20.25" customHeight="1" x14ac:dyDescent="0.2">
      <c r="A52" s="2981" t="s">
        <v>1427</v>
      </c>
      <c r="B52" s="2984"/>
      <c r="C52" s="2947">
        <f>SUM('3.2 Cofogos'!E279)</f>
        <v>20000000</v>
      </c>
      <c r="D52" s="3188">
        <f>SUM('3.2 Cofogos'!F279)</f>
        <v>-20000000</v>
      </c>
      <c r="E52" s="2553">
        <f>SUM('3.2 Cofogos'!G279)</f>
        <v>0</v>
      </c>
      <c r="F52" s="2553">
        <f>SUM('3.2 Cofogos'!H279)</f>
        <v>23583583</v>
      </c>
      <c r="G52" s="2930">
        <f>SUM('3.2 Cofogos'!I279)</f>
        <v>23583583</v>
      </c>
      <c r="H52" s="2930"/>
      <c r="I52" s="3937">
        <f>SUM('3.2 Cofogos'!K279)</f>
        <v>23583583</v>
      </c>
      <c r="J52" s="2930">
        <f>SUM('3.2 Cofogos'!L279)</f>
        <v>23583583</v>
      </c>
      <c r="K52" s="2935">
        <f t="shared" si="45"/>
        <v>20000000</v>
      </c>
      <c r="L52" s="2935">
        <f t="shared" si="46"/>
        <v>-20000000</v>
      </c>
      <c r="M52" s="2553">
        <f t="shared" si="47"/>
        <v>0</v>
      </c>
      <c r="N52" s="2553">
        <f t="shared" si="48"/>
        <v>23583583</v>
      </c>
      <c r="O52" s="2930">
        <f t="shared" si="49"/>
        <v>23583583</v>
      </c>
      <c r="P52" s="2935"/>
      <c r="Q52" s="2930">
        <f t="shared" si="50"/>
        <v>23583583</v>
      </c>
      <c r="R52" s="2930">
        <f t="shared" si="51"/>
        <v>23583583</v>
      </c>
      <c r="S52" s="2954"/>
      <c r="T52" s="2982"/>
      <c r="U52" s="2956"/>
      <c r="V52" s="2956"/>
      <c r="W52" s="3204"/>
      <c r="X52" s="2954"/>
      <c r="Y52" s="2956"/>
      <c r="Z52" s="3204"/>
      <c r="AA52" s="2954"/>
      <c r="AB52" s="2982"/>
      <c r="AC52" s="2956"/>
      <c r="AD52" s="2956"/>
      <c r="AE52" s="3204"/>
      <c r="AF52" s="2954"/>
      <c r="AG52" s="2956"/>
      <c r="AH52" s="2956"/>
      <c r="AI52" s="3526"/>
      <c r="AJ52" s="3539"/>
      <c r="AK52" s="3526"/>
      <c r="AL52" s="3526"/>
      <c r="AM52" s="3528"/>
      <c r="AN52" s="3033"/>
      <c r="AO52" s="3526"/>
      <c r="AP52" s="3528"/>
      <c r="AQ52" s="2954"/>
      <c r="AR52" s="2982"/>
      <c r="AS52" s="2956"/>
      <c r="AT52" s="2956"/>
      <c r="AU52" s="3204"/>
      <c r="AV52" s="2954"/>
      <c r="AW52" s="2956"/>
      <c r="AX52" s="3204"/>
      <c r="AY52" s="2954"/>
      <c r="AZ52" s="2982"/>
      <c r="BA52" s="2956"/>
      <c r="BB52" s="2956"/>
      <c r="BC52" s="3204"/>
      <c r="BD52" s="2954"/>
      <c r="BE52" s="2956"/>
      <c r="BF52" s="2956"/>
      <c r="BG52" s="2956"/>
      <c r="BH52" s="2982"/>
      <c r="BI52" s="2956"/>
      <c r="BJ52" s="2956"/>
      <c r="BK52" s="3204"/>
      <c r="BL52" s="2954"/>
      <c r="BM52" s="2956"/>
      <c r="BN52" s="2956"/>
      <c r="BO52" s="2956"/>
      <c r="BP52" s="2982"/>
      <c r="BQ52" s="2956"/>
      <c r="BR52" s="2956"/>
      <c r="BS52" s="3204"/>
      <c r="BT52" s="2954"/>
      <c r="BU52" s="2956"/>
      <c r="BV52" s="2956"/>
      <c r="BW52" s="2956"/>
      <c r="BX52" s="2982"/>
      <c r="BY52" s="2956"/>
      <c r="BZ52" s="2956"/>
      <c r="CA52" s="3204"/>
      <c r="CB52" s="2954"/>
      <c r="CC52" s="3940"/>
      <c r="CD52" s="3204"/>
      <c r="CE52" s="2954"/>
      <c r="CF52" s="2982"/>
      <c r="CG52" s="2956"/>
      <c r="CH52" s="2951"/>
      <c r="CI52" s="3203"/>
      <c r="CJ52" s="3954"/>
      <c r="CK52" s="2953"/>
      <c r="CL52" s="3948"/>
      <c r="CM52" s="2951"/>
      <c r="CN52" s="2951"/>
      <c r="CO52" s="2951"/>
      <c r="CP52" s="2951"/>
      <c r="CQ52" s="3204"/>
      <c r="CR52" s="2951"/>
      <c r="CS52" s="2951"/>
      <c r="CT52" s="3203"/>
      <c r="CU52" s="2935">
        <f t="shared" si="13"/>
        <v>20000000</v>
      </c>
      <c r="CV52" s="2553">
        <f t="shared" si="14"/>
        <v>-20000000</v>
      </c>
      <c r="CW52" s="2553">
        <f t="shared" si="15"/>
        <v>0</v>
      </c>
      <c r="CX52" s="2553">
        <f t="shared" si="16"/>
        <v>23583583</v>
      </c>
      <c r="CY52" s="2930">
        <f t="shared" si="17"/>
        <v>23583583</v>
      </c>
      <c r="CZ52" s="2935">
        <f t="shared" si="18"/>
        <v>0</v>
      </c>
      <c r="DA52" s="2553">
        <f t="shared" si="19"/>
        <v>23583583</v>
      </c>
      <c r="DB52" s="2553">
        <f t="shared" si="19"/>
        <v>23583583</v>
      </c>
      <c r="DC52" s="2553"/>
      <c r="DD52" s="2553"/>
      <c r="DE52" s="2553"/>
      <c r="DF52" s="3220"/>
      <c r="DG52" s="2930"/>
      <c r="DH52" s="2935"/>
      <c r="DI52" s="3937"/>
      <c r="DJ52" s="2930"/>
    </row>
    <row r="53" spans="1:114" s="2932" customFormat="1" ht="20.25" customHeight="1" x14ac:dyDescent="0.2">
      <c r="A53" s="2981" t="s">
        <v>1365</v>
      </c>
      <c r="B53" s="2984"/>
      <c r="C53" s="2947">
        <f>SUM('4.2.sz. mell. '!F59+'4.3 sz. mell.'!F58+'4.4.sz. mell.'!F59)</f>
        <v>298633276</v>
      </c>
      <c r="D53" s="3188">
        <f>SUM('4.2.sz. mell. '!G59+'4.3 sz. mell.'!G58+'4.4.sz. mell.'!G59)</f>
        <v>3989406</v>
      </c>
      <c r="E53" s="2553">
        <f>SUM('4.2.sz. mell. '!H59+'4.3 sz. mell.'!H58+'4.4.sz. mell.'!H59)</f>
        <v>302622682</v>
      </c>
      <c r="F53" s="2553">
        <f>SUM('4.2.sz. mell. '!I59+'4.3 sz. mell.'!I58+'4.4.sz. mell.'!I59)</f>
        <v>3351155</v>
      </c>
      <c r="G53" s="2930">
        <f>SUM('4.2.sz. mell. '!J59+'4.3 sz. mell.'!J58+'4.4.sz. mell.'!J59)</f>
        <v>305973837</v>
      </c>
      <c r="H53" s="2930"/>
      <c r="I53" s="3937">
        <f>SUM('4.2.sz. mell. '!L59+'4.3 sz. mell.'!L58+'4.4.sz. mell.'!L59)</f>
        <v>305973837</v>
      </c>
      <c r="J53" s="2930">
        <f>SUM('4.2.sz. mell. '!M59+'4.3 sz. mell.'!M58+'4.4.sz. mell.'!M59)</f>
        <v>303842547</v>
      </c>
      <c r="K53" s="2935">
        <f t="shared" si="45"/>
        <v>298633276</v>
      </c>
      <c r="L53" s="2935">
        <f t="shared" si="46"/>
        <v>3989406</v>
      </c>
      <c r="M53" s="2553">
        <f t="shared" si="47"/>
        <v>302622682</v>
      </c>
      <c r="N53" s="2553">
        <f t="shared" si="48"/>
        <v>3351155</v>
      </c>
      <c r="O53" s="2930">
        <f t="shared" si="49"/>
        <v>305973837</v>
      </c>
      <c r="P53" s="2935"/>
      <c r="Q53" s="2930">
        <f t="shared" si="50"/>
        <v>305973837</v>
      </c>
      <c r="R53" s="2930">
        <f t="shared" si="51"/>
        <v>303842547</v>
      </c>
      <c r="S53" s="2954"/>
      <c r="T53" s="2982"/>
      <c r="U53" s="2956"/>
      <c r="V53" s="2956"/>
      <c r="W53" s="3204"/>
      <c r="X53" s="2954"/>
      <c r="Y53" s="2956"/>
      <c r="Z53" s="3204"/>
      <c r="AA53" s="2954"/>
      <c r="AB53" s="2982"/>
      <c r="AC53" s="2956"/>
      <c r="AD53" s="2956"/>
      <c r="AE53" s="3204"/>
      <c r="AF53" s="2954"/>
      <c r="AG53" s="2956"/>
      <c r="AH53" s="2956"/>
      <c r="AI53" s="3526">
        <f>SUM('4. sz. mell.'!F6)</f>
        <v>11500000</v>
      </c>
      <c r="AJ53" s="3526">
        <f>SUM('4. sz. mell.'!G6)</f>
        <v>0</v>
      </c>
      <c r="AK53" s="3526">
        <f>SUM('4. sz. mell.'!H6)</f>
        <v>11500000</v>
      </c>
      <c r="AL53" s="3526">
        <f>SUM('4. sz. mell.'!I6)</f>
        <v>9321949</v>
      </c>
      <c r="AM53" s="3528">
        <f>SUM('4. sz. mell.'!J6)</f>
        <v>20821949</v>
      </c>
      <c r="AN53" s="3528">
        <f>SUM('4. sz. mell.'!K6)</f>
        <v>0</v>
      </c>
      <c r="AO53" s="3528">
        <f>SUM('4. sz. mell.'!L6)</f>
        <v>20821949</v>
      </c>
      <c r="AP53" s="3528">
        <f>SUM('4. sz. mell.'!M6)</f>
        <v>20821949</v>
      </c>
      <c r="AQ53" s="2954"/>
      <c r="AR53" s="2982"/>
      <c r="AS53" s="2956">
        <v>7513536</v>
      </c>
      <c r="AT53" s="2956"/>
      <c r="AU53" s="3204">
        <v>7513536</v>
      </c>
      <c r="AV53" s="2954"/>
      <c r="AW53" s="2956">
        <f>SUM('4. sz. mell.'!M18)</f>
        <v>7513536</v>
      </c>
      <c r="AX53" s="3204">
        <f>SUM('4. sz. mell.'!N18)</f>
        <v>0</v>
      </c>
      <c r="AY53" s="2954"/>
      <c r="AZ53" s="2982"/>
      <c r="BA53" s="2956"/>
      <c r="BB53" s="2956"/>
      <c r="BC53" s="3204"/>
      <c r="BD53" s="2954"/>
      <c r="BE53" s="2956"/>
      <c r="BF53" s="2956"/>
      <c r="BG53" s="2956"/>
      <c r="BH53" s="2982"/>
      <c r="BI53" s="2956"/>
      <c r="BJ53" s="2956"/>
      <c r="BK53" s="3204"/>
      <c r="BL53" s="2954"/>
      <c r="BM53" s="2956"/>
      <c r="BN53" s="2956"/>
      <c r="BO53" s="2956"/>
      <c r="BP53" s="2982"/>
      <c r="BQ53" s="2956"/>
      <c r="BR53" s="2956"/>
      <c r="BS53" s="3204"/>
      <c r="BT53" s="2954"/>
      <c r="BU53" s="2956"/>
      <c r="BV53" s="2956"/>
      <c r="BW53" s="2956"/>
      <c r="BX53" s="2982"/>
      <c r="BY53" s="2956"/>
      <c r="BZ53" s="2956"/>
      <c r="CA53" s="3204"/>
      <c r="CB53" s="2954"/>
      <c r="CC53" s="3940"/>
      <c r="CD53" s="3204"/>
      <c r="CE53" s="2954"/>
      <c r="CF53" s="2982"/>
      <c r="CG53" s="2956">
        <v>22108256</v>
      </c>
      <c r="CH53" s="2956">
        <v>22108256</v>
      </c>
      <c r="CI53" s="3204">
        <v>22108256</v>
      </c>
      <c r="CJ53" s="3940"/>
      <c r="CK53" s="2956">
        <v>22108256</v>
      </c>
      <c r="CL53" s="3208">
        <v>22108256</v>
      </c>
      <c r="CM53" s="2951"/>
      <c r="CN53" s="2951"/>
      <c r="CO53" s="2951"/>
      <c r="CP53" s="2951"/>
      <c r="CQ53" s="3204"/>
      <c r="CR53" s="2951"/>
      <c r="CS53" s="2951"/>
      <c r="CT53" s="3203"/>
      <c r="CU53" s="2935">
        <f t="shared" si="13"/>
        <v>287133276</v>
      </c>
      <c r="CV53" s="2553">
        <f t="shared" si="14"/>
        <v>3989406</v>
      </c>
      <c r="CW53" s="2553">
        <f t="shared" si="15"/>
        <v>261500890</v>
      </c>
      <c r="CX53" s="2553">
        <f t="shared" si="16"/>
        <v>-28079050</v>
      </c>
      <c r="CY53" s="2930">
        <f t="shared" si="17"/>
        <v>255530096</v>
      </c>
      <c r="CZ53" s="2935">
        <f t="shared" si="18"/>
        <v>0</v>
      </c>
      <c r="DA53" s="2553">
        <f t="shared" si="19"/>
        <v>255530096</v>
      </c>
      <c r="DB53" s="2553">
        <f t="shared" si="19"/>
        <v>260912342</v>
      </c>
      <c r="DC53" s="2553"/>
      <c r="DD53" s="2553"/>
      <c r="DE53" s="2553"/>
      <c r="DF53" s="3220"/>
      <c r="DG53" s="2930"/>
      <c r="DH53" s="2935"/>
      <c r="DI53" s="3937"/>
      <c r="DJ53" s="2930"/>
    </row>
    <row r="54" spans="1:114" s="2932" customFormat="1" ht="20.25" customHeight="1" x14ac:dyDescent="0.2">
      <c r="A54" s="2981" t="s">
        <v>1403</v>
      </c>
      <c r="B54" s="2984"/>
      <c r="C54" s="2947">
        <f>SUM('3.2 Cofogos'!E5+'3.2 Cofogos'!E6)</f>
        <v>101116917</v>
      </c>
      <c r="D54" s="3188">
        <f>SUM('3.2 Cofogos'!F5+'3.2 Cofogos'!F6)</f>
        <v>0</v>
      </c>
      <c r="E54" s="2553">
        <f>SUM('3.2 Cofogos'!G5+'3.2 Cofogos'!G6)</f>
        <v>101116917</v>
      </c>
      <c r="F54" s="2553">
        <f>SUM('3.2 Cofogos'!H5+'3.2 Cofogos'!H6)</f>
        <v>11023875</v>
      </c>
      <c r="G54" s="2930">
        <f>SUM('3.2 Cofogos'!I5+'3.2 Cofogos'!I6)</f>
        <v>112140792</v>
      </c>
      <c r="H54" s="2930"/>
      <c r="I54" s="3937">
        <f>SUM('3.2 Cofogos'!K5+'3.2 Cofogos'!K6)</f>
        <v>112140792</v>
      </c>
      <c r="J54" s="2930">
        <f>SUM('3.2 Cofogos'!L5+'3.2 Cofogos'!L6)</f>
        <v>94375344</v>
      </c>
      <c r="K54" s="2935">
        <f t="shared" si="45"/>
        <v>101116917</v>
      </c>
      <c r="L54" s="2935">
        <f t="shared" si="46"/>
        <v>0</v>
      </c>
      <c r="M54" s="2553">
        <f t="shared" si="47"/>
        <v>101116917</v>
      </c>
      <c r="N54" s="2553">
        <f t="shared" si="48"/>
        <v>11023875</v>
      </c>
      <c r="O54" s="2930">
        <f t="shared" si="49"/>
        <v>112140792</v>
      </c>
      <c r="P54" s="2935"/>
      <c r="Q54" s="2930">
        <f t="shared" si="50"/>
        <v>112140792</v>
      </c>
      <c r="R54" s="2930">
        <f t="shared" si="51"/>
        <v>94375344</v>
      </c>
      <c r="S54" s="2954"/>
      <c r="T54" s="2982"/>
      <c r="U54" s="2956"/>
      <c r="V54" s="2956"/>
      <c r="W54" s="3204"/>
      <c r="X54" s="2954"/>
      <c r="Y54" s="2956"/>
      <c r="Z54" s="3204"/>
      <c r="AA54" s="2954"/>
      <c r="AB54" s="2982"/>
      <c r="AC54" s="2956"/>
      <c r="AD54" s="2956"/>
      <c r="AE54" s="3204"/>
      <c r="AF54" s="2954"/>
      <c r="AG54" s="2956"/>
      <c r="AH54" s="2956"/>
      <c r="AI54" s="3526"/>
      <c r="AJ54" s="3539"/>
      <c r="AK54" s="3526"/>
      <c r="AL54" s="3526"/>
      <c r="AM54" s="3528"/>
      <c r="AN54" s="3033"/>
      <c r="AO54" s="3526"/>
      <c r="AP54" s="3528"/>
      <c r="AQ54" s="2954"/>
      <c r="AR54" s="2982"/>
      <c r="AS54" s="2956"/>
      <c r="AT54" s="2956"/>
      <c r="AU54" s="3204"/>
      <c r="AV54" s="2954"/>
      <c r="AW54" s="2956"/>
      <c r="AX54" s="3204"/>
      <c r="AY54" s="2954"/>
      <c r="AZ54" s="2982"/>
      <c r="BA54" s="2956"/>
      <c r="BB54" s="2956"/>
      <c r="BC54" s="3204"/>
      <c r="BD54" s="2954"/>
      <c r="BE54" s="2956"/>
      <c r="BF54" s="2956"/>
      <c r="BG54" s="2956"/>
      <c r="BH54" s="2982"/>
      <c r="BI54" s="2956"/>
      <c r="BJ54" s="2956"/>
      <c r="BK54" s="3204"/>
      <c r="BL54" s="2954"/>
      <c r="BM54" s="2956"/>
      <c r="BN54" s="2956"/>
      <c r="BO54" s="2956"/>
      <c r="BP54" s="2982"/>
      <c r="BQ54" s="2956"/>
      <c r="BR54" s="2956"/>
      <c r="BS54" s="3204"/>
      <c r="BT54" s="2954"/>
      <c r="BU54" s="2956"/>
      <c r="BV54" s="2956"/>
      <c r="BW54" s="2956"/>
      <c r="BX54" s="2982"/>
      <c r="BY54" s="2956"/>
      <c r="BZ54" s="2956"/>
      <c r="CA54" s="3204"/>
      <c r="CB54" s="2954"/>
      <c r="CC54" s="3940"/>
      <c r="CD54" s="3204"/>
      <c r="CE54" s="2954"/>
      <c r="CF54" s="2982"/>
      <c r="CG54" s="2956"/>
      <c r="CH54" s="2956"/>
      <c r="CI54" s="3204"/>
      <c r="CJ54" s="3940"/>
      <c r="CK54" s="2956"/>
      <c r="CL54" s="3208"/>
      <c r="CM54" s="2951"/>
      <c r="CN54" s="2951"/>
      <c r="CO54" s="2951"/>
      <c r="CP54" s="2951"/>
      <c r="CQ54" s="3204"/>
      <c r="CR54" s="2951"/>
      <c r="CS54" s="2951"/>
      <c r="CT54" s="3203"/>
      <c r="CU54" s="2935">
        <f t="shared" si="13"/>
        <v>101116917</v>
      </c>
      <c r="CV54" s="2553">
        <f t="shared" si="14"/>
        <v>0</v>
      </c>
      <c r="CW54" s="2553">
        <f t="shared" si="15"/>
        <v>101116917</v>
      </c>
      <c r="CX54" s="2553">
        <f t="shared" si="16"/>
        <v>11023875</v>
      </c>
      <c r="CY54" s="2930">
        <f t="shared" si="17"/>
        <v>112140792</v>
      </c>
      <c r="CZ54" s="2935">
        <f t="shared" si="18"/>
        <v>0</v>
      </c>
      <c r="DA54" s="2553">
        <f t="shared" si="19"/>
        <v>112140792</v>
      </c>
      <c r="DB54" s="2553">
        <f t="shared" si="19"/>
        <v>94375344</v>
      </c>
      <c r="DC54" s="2553"/>
      <c r="DD54" s="2553"/>
      <c r="DE54" s="2553"/>
      <c r="DF54" s="3220"/>
      <c r="DG54" s="2930"/>
      <c r="DH54" s="2935"/>
      <c r="DI54" s="3937"/>
      <c r="DJ54" s="2930"/>
    </row>
    <row r="55" spans="1:114" s="2932" customFormat="1" ht="20.25" customHeight="1" x14ac:dyDescent="0.2">
      <c r="A55" s="3025" t="s">
        <v>938</v>
      </c>
      <c r="B55" s="2984"/>
      <c r="C55" s="2978">
        <f>SUM('3. sz. mell'!F53)</f>
        <v>344463424</v>
      </c>
      <c r="D55" s="3199">
        <f>SUM(E55-C55)</f>
        <v>0</v>
      </c>
      <c r="E55" s="2979">
        <v>344463424</v>
      </c>
      <c r="F55" s="2979"/>
      <c r="G55" s="2980">
        <f>SUM('3. sz. mell'!J53)</f>
        <v>345981222</v>
      </c>
      <c r="H55" s="2980"/>
      <c r="I55" s="3199">
        <f>SUM('3. sz. mell'!L53)</f>
        <v>347729181</v>
      </c>
      <c r="J55" s="2930">
        <f>SUM('3. sz. mell'!M53)</f>
        <v>345981222</v>
      </c>
      <c r="K55" s="3022">
        <f t="shared" si="45"/>
        <v>344463424</v>
      </c>
      <c r="L55" s="2979">
        <f t="shared" si="46"/>
        <v>0</v>
      </c>
      <c r="M55" s="2979">
        <f t="shared" si="47"/>
        <v>344463424</v>
      </c>
      <c r="N55" s="2979">
        <f t="shared" si="48"/>
        <v>0</v>
      </c>
      <c r="O55" s="2980">
        <f t="shared" si="49"/>
        <v>345981222</v>
      </c>
      <c r="P55" s="3022"/>
      <c r="Q55" s="2980">
        <f t="shared" si="50"/>
        <v>347729181</v>
      </c>
      <c r="R55" s="2980">
        <f t="shared" si="51"/>
        <v>345981222</v>
      </c>
      <c r="S55" s="2954"/>
      <c r="T55" s="2982"/>
      <c r="U55" s="2956"/>
      <c r="V55" s="2956"/>
      <c r="W55" s="3204"/>
      <c r="X55" s="2954"/>
      <c r="Y55" s="2956"/>
      <c r="Z55" s="3204"/>
      <c r="AA55" s="2954"/>
      <c r="AB55" s="2982"/>
      <c r="AC55" s="2956"/>
      <c r="AD55" s="2956"/>
      <c r="AE55" s="3204"/>
      <c r="AF55" s="2954"/>
      <c r="AG55" s="2956"/>
      <c r="AH55" s="2956"/>
      <c r="AI55" s="3526"/>
      <c r="AJ55" s="3539"/>
      <c r="AK55" s="3526"/>
      <c r="AL55" s="3526"/>
      <c r="AM55" s="3528"/>
      <c r="AN55" s="3033"/>
      <c r="AO55" s="3526"/>
      <c r="AP55" s="3528"/>
      <c r="AQ55" s="2954"/>
      <c r="AR55" s="2982"/>
      <c r="AS55" s="2956"/>
      <c r="AT55" s="2956"/>
      <c r="AU55" s="3204"/>
      <c r="AV55" s="2954"/>
      <c r="AW55" s="2956"/>
      <c r="AX55" s="3204"/>
      <c r="AY55" s="2954"/>
      <c r="AZ55" s="2982"/>
      <c r="BA55" s="2956"/>
      <c r="BB55" s="2956"/>
      <c r="BC55" s="3204"/>
      <c r="BD55" s="2954"/>
      <c r="BE55" s="2956"/>
      <c r="BF55" s="2956"/>
      <c r="BG55" s="2956"/>
      <c r="BH55" s="2982"/>
      <c r="BI55" s="2956"/>
      <c r="BJ55" s="2956"/>
      <c r="BK55" s="3204"/>
      <c r="BL55" s="2954"/>
      <c r="BM55" s="2956"/>
      <c r="BN55" s="2956"/>
      <c r="BO55" s="2956"/>
      <c r="BP55" s="2982"/>
      <c r="BQ55" s="2956"/>
      <c r="BR55" s="2956"/>
      <c r="BS55" s="3204"/>
      <c r="BT55" s="2954"/>
      <c r="BU55" s="2956"/>
      <c r="BV55" s="2956"/>
      <c r="BW55" s="2956"/>
      <c r="BX55" s="2982"/>
      <c r="BY55" s="2956"/>
      <c r="BZ55" s="2956"/>
      <c r="CA55" s="3204"/>
      <c r="CB55" s="2954"/>
      <c r="CC55" s="3940"/>
      <c r="CD55" s="3204"/>
      <c r="CE55" s="2954"/>
      <c r="CF55" s="2982"/>
      <c r="CG55" s="2956">
        <v>248706</v>
      </c>
      <c r="CH55" s="2956">
        <v>248706</v>
      </c>
      <c r="CI55" s="3204">
        <v>248706</v>
      </c>
      <c r="CJ55" s="3940"/>
      <c r="CK55" s="2956">
        <v>248706</v>
      </c>
      <c r="CL55" s="3208">
        <v>248706</v>
      </c>
      <c r="CM55" s="2951"/>
      <c r="CN55" s="2951"/>
      <c r="CO55" s="2951"/>
      <c r="CP55" s="2951"/>
      <c r="CQ55" s="3204"/>
      <c r="CR55" s="2951"/>
      <c r="CS55" s="2951"/>
      <c r="CT55" s="3203"/>
      <c r="CU55" s="2935">
        <f t="shared" si="13"/>
        <v>344463424</v>
      </c>
      <c r="CV55" s="2553">
        <f t="shared" si="14"/>
        <v>0</v>
      </c>
      <c r="CW55" s="2553">
        <f t="shared" si="15"/>
        <v>344214718</v>
      </c>
      <c r="CX55" s="2553">
        <f t="shared" si="16"/>
        <v>-248706</v>
      </c>
      <c r="CY55" s="2930">
        <f t="shared" si="17"/>
        <v>345732516</v>
      </c>
      <c r="CZ55" s="2935">
        <f t="shared" si="18"/>
        <v>0</v>
      </c>
      <c r="DA55" s="2553">
        <f t="shared" si="19"/>
        <v>347480475</v>
      </c>
      <c r="DB55" s="2553">
        <f t="shared" si="19"/>
        <v>345732516</v>
      </c>
      <c r="DC55" s="2553"/>
      <c r="DD55" s="2553"/>
      <c r="DE55" s="2553"/>
      <c r="DF55" s="3220"/>
      <c r="DG55" s="2930"/>
      <c r="DH55" s="2935"/>
      <c r="DI55" s="3937"/>
      <c r="DJ55" s="2930"/>
    </row>
    <row r="56" spans="1:114" s="2932" customFormat="1" ht="20.25" customHeight="1" thickBot="1" x14ac:dyDescent="0.25">
      <c r="A56" s="4259" t="s">
        <v>1420</v>
      </c>
      <c r="B56" s="2984"/>
      <c r="C56" s="2978">
        <v>164526836</v>
      </c>
      <c r="D56" s="3199">
        <f>SUM(E56-C56)</f>
        <v>515060366</v>
      </c>
      <c r="E56" s="2979">
        <v>679587202</v>
      </c>
      <c r="F56" s="2979"/>
      <c r="G56" s="2980">
        <v>741106164</v>
      </c>
      <c r="H56" s="2980"/>
      <c r="I56" s="3199">
        <v>767063878</v>
      </c>
      <c r="J56" s="2930">
        <v>557959717</v>
      </c>
      <c r="K56" s="3022">
        <f t="shared" si="45"/>
        <v>164526836</v>
      </c>
      <c r="L56" s="3022">
        <f t="shared" si="46"/>
        <v>515060366</v>
      </c>
      <c r="M56" s="3022">
        <f t="shared" si="47"/>
        <v>679587202</v>
      </c>
      <c r="N56" s="3022">
        <f t="shared" si="48"/>
        <v>0</v>
      </c>
      <c r="O56" s="3022">
        <f t="shared" si="49"/>
        <v>741106164</v>
      </c>
      <c r="P56" s="3022"/>
      <c r="Q56" s="2980">
        <v>693819342</v>
      </c>
      <c r="R56" s="2980">
        <v>2054551526</v>
      </c>
      <c r="S56" s="2954"/>
      <c r="T56" s="2982"/>
      <c r="U56" s="2956"/>
      <c r="V56" s="2956"/>
      <c r="W56" s="3204"/>
      <c r="X56" s="2954"/>
      <c r="Y56" s="2956"/>
      <c r="Z56" s="3204"/>
      <c r="AA56" s="2954"/>
      <c r="AB56" s="2982"/>
      <c r="AC56" s="2956"/>
      <c r="AD56" s="2956"/>
      <c r="AE56" s="3204"/>
      <c r="AF56" s="2954"/>
      <c r="AG56" s="2956"/>
      <c r="AH56" s="2956"/>
      <c r="AI56" s="3526">
        <v>26525000</v>
      </c>
      <c r="AJ56" s="3526">
        <v>26525000</v>
      </c>
      <c r="AK56" s="3526">
        <v>68192498</v>
      </c>
      <c r="AL56" s="3526"/>
      <c r="AM56" s="3528">
        <v>85595398</v>
      </c>
      <c r="AN56" s="3033"/>
      <c r="AO56" s="3526"/>
      <c r="AP56" s="3528"/>
      <c r="AQ56" s="2954"/>
      <c r="AR56" s="2982"/>
      <c r="AS56" s="2956">
        <v>9000721</v>
      </c>
      <c r="AT56" s="2956"/>
      <c r="AU56" s="3204">
        <v>22675564</v>
      </c>
      <c r="AV56" s="2954"/>
      <c r="AW56" s="2956">
        <v>40229996</v>
      </c>
      <c r="AX56" s="3204"/>
      <c r="AY56" s="2954"/>
      <c r="AZ56" s="2982"/>
      <c r="BA56" s="2956"/>
      <c r="BB56" s="2956"/>
      <c r="BC56" s="3204"/>
      <c r="BD56" s="2954"/>
      <c r="BE56" s="2956"/>
      <c r="BF56" s="2956"/>
      <c r="BG56" s="2956"/>
      <c r="BH56" s="2982"/>
      <c r="BI56" s="2956"/>
      <c r="BJ56" s="2956"/>
      <c r="BK56" s="3204"/>
      <c r="BL56" s="2954"/>
      <c r="BM56" s="2956"/>
      <c r="BN56" s="2956"/>
      <c r="BO56" s="2956"/>
      <c r="BP56" s="2982"/>
      <c r="BQ56" s="2956"/>
      <c r="BR56" s="2956"/>
      <c r="BS56" s="3204"/>
      <c r="BT56" s="2954"/>
      <c r="BU56" s="2956"/>
      <c r="BV56" s="2956"/>
      <c r="BW56" s="2956"/>
      <c r="BX56" s="2982"/>
      <c r="BY56" s="2956"/>
      <c r="BZ56" s="2956"/>
      <c r="CA56" s="3204"/>
      <c r="CB56" s="2954"/>
      <c r="CC56" s="3940">
        <v>92536471</v>
      </c>
      <c r="CD56" s="3204">
        <v>601867441</v>
      </c>
      <c r="CE56" s="2954"/>
      <c r="CF56" s="2982"/>
      <c r="CG56" s="2956">
        <v>315217422</v>
      </c>
      <c r="CH56" s="2956">
        <v>315217422</v>
      </c>
      <c r="CI56" s="3204">
        <v>315217422</v>
      </c>
      <c r="CJ56" s="3940"/>
      <c r="CK56" s="2956">
        <v>79720581</v>
      </c>
      <c r="CL56" s="3208">
        <v>479382786</v>
      </c>
      <c r="CM56" s="2951"/>
      <c r="CN56" s="2951"/>
      <c r="CO56" s="2951">
        <v>207522067</v>
      </c>
      <c r="CP56" s="2951"/>
      <c r="CQ56" s="3204">
        <v>327820337</v>
      </c>
      <c r="CR56" s="2951"/>
      <c r="CS56" s="2951">
        <v>483080253</v>
      </c>
      <c r="CT56" s="2951">
        <v>481332294</v>
      </c>
      <c r="CU56" s="2935">
        <f>SUM(K56-S56-AA56-AI56-AQ56-AY56-BG56-BO56-CE56)-CM56</f>
        <v>138001836</v>
      </c>
      <c r="CV56" s="2553">
        <f>SUM(L56-T56-AB56-AJ56-AR56-AZ56-BH56-BP56-CF56)</f>
        <v>488535366</v>
      </c>
      <c r="CW56" s="2553">
        <f t="shared" ref="CW56:CZ56" si="52">SUM(M56-U56-AC56-AK56-AS56-BA56-BI56-BQ56-CG56)-CO56</f>
        <v>79654494</v>
      </c>
      <c r="CX56" s="2553">
        <f t="shared" si="52"/>
        <v>-315217422</v>
      </c>
      <c r="CY56" s="2930">
        <f t="shared" si="52"/>
        <v>-10202557</v>
      </c>
      <c r="CZ56" s="2935">
        <f t="shared" si="52"/>
        <v>0</v>
      </c>
      <c r="DA56" s="2553">
        <f>SUM(Q56-Y56-AG56-AO56-AW56-BE56-BM56-BU56-CK56)-CS56-CC56</f>
        <v>-1747959</v>
      </c>
      <c r="DB56" s="2553">
        <f>SUM(R56-Z56-AH56-AP56-AX56-BF56-BN56-BV56-CL56)-CT56-CD56</f>
        <v>491969005</v>
      </c>
      <c r="DC56" s="2553"/>
      <c r="DD56" s="2553"/>
      <c r="DE56" s="2553"/>
      <c r="DF56" s="3220"/>
      <c r="DG56" s="2930"/>
      <c r="DH56" s="2935"/>
      <c r="DI56" s="3937"/>
      <c r="DJ56" s="2930"/>
    </row>
    <row r="57" spans="1:114" s="2993" customFormat="1" ht="19.5" thickBot="1" x14ac:dyDescent="0.3">
      <c r="A57" s="2994" t="s">
        <v>712</v>
      </c>
      <c r="B57" s="2985"/>
      <c r="C57" s="2986">
        <f t="shared" ref="C57:CU57" si="53">SUM(C6:C56)-C8-C14-C21-C25-C28</f>
        <v>2600832731</v>
      </c>
      <c r="D57" s="3189">
        <f t="shared" ref="D57:G57" si="54">SUM(D6:D56)-D8-D14-D21-D25-D28</f>
        <v>615729631</v>
      </c>
      <c r="E57" s="2991">
        <f t="shared" si="54"/>
        <v>3216645545</v>
      </c>
      <c r="F57" s="2991">
        <f t="shared" si="54"/>
        <v>207985452</v>
      </c>
      <c r="G57" s="2991">
        <f t="shared" si="54"/>
        <v>3377731573</v>
      </c>
      <c r="H57" s="2991"/>
      <c r="I57" s="3938">
        <f t="shared" ref="I57:J57" si="55">SUM(I6:I56)-I8-I14-I21-I25-I28</f>
        <v>3372928189</v>
      </c>
      <c r="J57" s="2992">
        <f t="shared" si="55"/>
        <v>3061266529</v>
      </c>
      <c r="K57" s="2987">
        <f t="shared" si="53"/>
        <v>2600832731</v>
      </c>
      <c r="L57" s="2987">
        <f t="shared" ref="L57:O57" si="56">SUM(L6:L56)-L8-L14-L21-L25-L28</f>
        <v>615729631</v>
      </c>
      <c r="M57" s="2991">
        <f t="shared" si="56"/>
        <v>3216645545</v>
      </c>
      <c r="N57" s="2991">
        <f t="shared" si="56"/>
        <v>207985452</v>
      </c>
      <c r="O57" s="2992">
        <f t="shared" si="56"/>
        <v>3377731573</v>
      </c>
      <c r="P57" s="2987"/>
      <c r="Q57" s="2992">
        <f>SUM(Q6:Q56)-Q8-Q14-Q21-Q25-Q28</f>
        <v>3372928189.0100002</v>
      </c>
      <c r="R57" s="2992">
        <f>SUM(R6:R56)-R8-R14-R21-R25-R28</f>
        <v>4631102882.0100002</v>
      </c>
      <c r="S57" s="2988">
        <f t="shared" si="53"/>
        <v>595878130</v>
      </c>
      <c r="T57" s="2989">
        <f t="shared" si="53"/>
        <v>0</v>
      </c>
      <c r="U57" s="2989">
        <f t="shared" si="53"/>
        <v>618350543</v>
      </c>
      <c r="V57" s="2989">
        <f t="shared" si="53"/>
        <v>53764114</v>
      </c>
      <c r="W57" s="2989">
        <f t="shared" si="53"/>
        <v>653095845</v>
      </c>
      <c r="X57" s="2989">
        <f t="shared" si="53"/>
        <v>0</v>
      </c>
      <c r="Y57" s="2989">
        <f t="shared" si="53"/>
        <v>651671675</v>
      </c>
      <c r="Z57" s="3210">
        <f>SUM(Z6:Z56)-Z8-Z14-Z21-Z25-Z28</f>
        <v>651671675</v>
      </c>
      <c r="AA57" s="2988">
        <f t="shared" si="53"/>
        <v>0</v>
      </c>
      <c r="AB57" s="2990">
        <f t="shared" si="53"/>
        <v>0</v>
      </c>
      <c r="AC57" s="2989">
        <f t="shared" si="53"/>
        <v>0</v>
      </c>
      <c r="AD57" s="2989">
        <f t="shared" si="53"/>
        <v>0</v>
      </c>
      <c r="AE57" s="3210">
        <f t="shared" si="53"/>
        <v>0</v>
      </c>
      <c r="AF57" s="3210">
        <f t="shared" si="53"/>
        <v>0</v>
      </c>
      <c r="AG57" s="3210">
        <f t="shared" si="53"/>
        <v>0</v>
      </c>
      <c r="AH57" s="3210">
        <f t="shared" si="53"/>
        <v>0</v>
      </c>
      <c r="AI57" s="3540">
        <f t="shared" si="53"/>
        <v>341103020</v>
      </c>
      <c r="AJ57" s="3540">
        <f t="shared" si="53"/>
        <v>337319368.75</v>
      </c>
      <c r="AK57" s="3540">
        <f t="shared" si="53"/>
        <v>680710843.75</v>
      </c>
      <c r="AL57" s="3540">
        <f t="shared" si="53"/>
        <v>-276720220.74000001</v>
      </c>
      <c r="AM57" s="3540">
        <f t="shared" si="53"/>
        <v>408450461.00999999</v>
      </c>
      <c r="AN57" s="3540">
        <f t="shared" si="53"/>
        <v>12950000</v>
      </c>
      <c r="AO57" s="3540">
        <f t="shared" si="53"/>
        <v>319867910.00999999</v>
      </c>
      <c r="AP57" s="3946">
        <f t="shared" si="53"/>
        <v>319895687.00999999</v>
      </c>
      <c r="AQ57" s="2988">
        <f t="shared" si="53"/>
        <v>70681000</v>
      </c>
      <c r="AR57" s="2990">
        <f t="shared" si="53"/>
        <v>0</v>
      </c>
      <c r="AS57" s="2989">
        <f t="shared" si="53"/>
        <v>87195257</v>
      </c>
      <c r="AT57" s="2989">
        <f t="shared" si="53"/>
        <v>-169900</v>
      </c>
      <c r="AU57" s="3210">
        <f t="shared" si="53"/>
        <v>100700200</v>
      </c>
      <c r="AV57" s="3210">
        <f t="shared" si="53"/>
        <v>0</v>
      </c>
      <c r="AW57" s="3210">
        <f t="shared" si="53"/>
        <v>118254632</v>
      </c>
      <c r="AX57" s="3210">
        <f t="shared" si="53"/>
        <v>70511108</v>
      </c>
      <c r="AY57" s="2988">
        <f t="shared" si="53"/>
        <v>0</v>
      </c>
      <c r="AZ57" s="2989">
        <f t="shared" si="53"/>
        <v>0</v>
      </c>
      <c r="BA57" s="2989">
        <f t="shared" si="53"/>
        <v>0</v>
      </c>
      <c r="BB57" s="2989">
        <f t="shared" si="53"/>
        <v>0</v>
      </c>
      <c r="BC57" s="2989">
        <f t="shared" si="53"/>
        <v>0</v>
      </c>
      <c r="BD57" s="2989">
        <f t="shared" si="53"/>
        <v>0</v>
      </c>
      <c r="BE57" s="2989">
        <f t="shared" si="53"/>
        <v>0</v>
      </c>
      <c r="BF57" s="2989">
        <f t="shared" si="53"/>
        <v>0</v>
      </c>
      <c r="BG57" s="2989">
        <f t="shared" si="53"/>
        <v>0</v>
      </c>
      <c r="BH57" s="2990">
        <f t="shared" si="53"/>
        <v>0</v>
      </c>
      <c r="BI57" s="2989">
        <f t="shared" si="53"/>
        <v>402500</v>
      </c>
      <c r="BJ57" s="2989">
        <f t="shared" si="53"/>
        <v>402500</v>
      </c>
      <c r="BK57" s="2989">
        <f t="shared" si="53"/>
        <v>402500</v>
      </c>
      <c r="BL57" s="2989">
        <f t="shared" si="53"/>
        <v>0</v>
      </c>
      <c r="BM57" s="2989">
        <f t="shared" si="53"/>
        <v>402500</v>
      </c>
      <c r="BN57" s="2989">
        <f t="shared" si="53"/>
        <v>402500</v>
      </c>
      <c r="BO57" s="2989">
        <f t="shared" si="53"/>
        <v>0</v>
      </c>
      <c r="BP57" s="2989">
        <f t="shared" si="53"/>
        <v>0</v>
      </c>
      <c r="BQ57" s="2989">
        <f t="shared" si="53"/>
        <v>0</v>
      </c>
      <c r="BR57" s="2989">
        <f t="shared" si="53"/>
        <v>0</v>
      </c>
      <c r="BS57" s="2989">
        <f t="shared" si="53"/>
        <v>0</v>
      </c>
      <c r="BT57" s="2989">
        <f t="shared" si="53"/>
        <v>0</v>
      </c>
      <c r="BU57" s="2989">
        <f t="shared" si="53"/>
        <v>0</v>
      </c>
      <c r="BV57" s="2989">
        <f t="shared" si="53"/>
        <v>0</v>
      </c>
      <c r="BW57" s="2989">
        <f t="shared" si="53"/>
        <v>0</v>
      </c>
      <c r="BX57" s="2989">
        <f t="shared" si="53"/>
        <v>0</v>
      </c>
      <c r="BY57" s="2989">
        <f t="shared" si="53"/>
        <v>0</v>
      </c>
      <c r="BZ57" s="2989">
        <f t="shared" si="53"/>
        <v>0</v>
      </c>
      <c r="CA57" s="2989">
        <f t="shared" si="53"/>
        <v>0</v>
      </c>
      <c r="CB57" s="2989">
        <f t="shared" si="53"/>
        <v>0</v>
      </c>
      <c r="CC57" s="3944">
        <f t="shared" si="53"/>
        <v>92536471</v>
      </c>
      <c r="CD57" s="3210">
        <f t="shared" si="53"/>
        <v>601867441</v>
      </c>
      <c r="CE57" s="2988">
        <f t="shared" si="53"/>
        <v>0</v>
      </c>
      <c r="CF57" s="2989">
        <f t="shared" si="53"/>
        <v>0</v>
      </c>
      <c r="CG57" s="2989">
        <f t="shared" si="53"/>
        <v>447047003</v>
      </c>
      <c r="CH57" s="2989">
        <f t="shared" si="53"/>
        <v>851414714</v>
      </c>
      <c r="CI57" s="3210">
        <f t="shared" si="53"/>
        <v>447047003</v>
      </c>
      <c r="CJ57" s="3944"/>
      <c r="CK57" s="2989">
        <f t="shared" ref="CK57:CL57" si="57">SUM(CK6:CK56)-CK8-CK14-CK21-CK25-CK28</f>
        <v>211550162</v>
      </c>
      <c r="CL57" s="3210">
        <f t="shared" si="57"/>
        <v>611212367</v>
      </c>
      <c r="CM57" s="2988">
        <f t="shared" si="53"/>
        <v>0</v>
      </c>
      <c r="CN57" s="2989">
        <f t="shared" si="53"/>
        <v>0</v>
      </c>
      <c r="CO57" s="2989">
        <f t="shared" si="53"/>
        <v>207522067</v>
      </c>
      <c r="CP57" s="2989">
        <f t="shared" si="53"/>
        <v>0</v>
      </c>
      <c r="CQ57" s="2989">
        <f t="shared" si="53"/>
        <v>327820337</v>
      </c>
      <c r="CR57" s="2989">
        <f t="shared" si="53"/>
        <v>0</v>
      </c>
      <c r="CS57" s="2989">
        <f t="shared" si="53"/>
        <v>483080253</v>
      </c>
      <c r="CT57" s="3210">
        <f t="shared" si="53"/>
        <v>481332294</v>
      </c>
      <c r="CU57" s="2987">
        <f t="shared" si="53"/>
        <v>1593170581</v>
      </c>
      <c r="CV57" s="2991">
        <f t="shared" ref="CV57:DA57" si="58">SUM(CV6:CV56)-CV8-CV14-CV21-CV25-CV28</f>
        <v>278410262.25</v>
      </c>
      <c r="CW57" s="2991">
        <f>SUM(CW6:CW56)-CW8-CW14-CW21-CW25-CW28</f>
        <v>1175417331.25</v>
      </c>
      <c r="CX57" s="2991">
        <f t="shared" si="58"/>
        <v>-420705755.25999999</v>
      </c>
      <c r="CY57" s="2992">
        <f t="shared" si="58"/>
        <v>1440215226.99</v>
      </c>
      <c r="CZ57" s="2987">
        <f t="shared" si="58"/>
        <v>-12950000</v>
      </c>
      <c r="DA57" s="2991">
        <f t="shared" si="58"/>
        <v>1495544586</v>
      </c>
      <c r="DB57" s="2991">
        <f>SUM(DB6:DB56)-DB8-DB14-DB21-DB25-DB28</f>
        <v>1894189810</v>
      </c>
      <c r="DC57" s="2991">
        <f>SUM(DC51+DC50+DC49+DC48+DC47+DC46+DC45+DC44+DC43+DC42+DC41+DC40+DC39+DC38+DC37+DC36+DC35+DC34+DC28+DC25+DC24+DC21+DC20+DC14+DC8+DC7+DC6)+DC53+DC56+DC54+DC55</f>
        <v>0</v>
      </c>
      <c r="DD57" s="2991">
        <f>SUM(DD51+DD50+DD49+DD48+DD47+DD46+DD45+DD44+DD43+DD42+DD41+DD40+DD39+DD38+DD37+DD36+DD35+DD34+DD28+DD25+DD24+DD21+DD20+DD14+DD8+DD7+DD6)+DD53+DD56+DD54+DD55</f>
        <v>0</v>
      </c>
      <c r="DE57" s="2991">
        <f>SUM(DE51+DE50+DE49+DE48+DE47+DE46+DE45+DE44+DE43+DE42+DE41+DE40+DE39+DE38+DE37+DE36+DE35+DE34+DE28+DE25+DE24+DE21+DE20+DE14+DE8+DE7+DE6)+DE53+DE56+DE54+DE55</f>
        <v>41784348</v>
      </c>
      <c r="DF57" s="2991">
        <f>SUM(DF51+DF50+DF49+DF48+DF47+DF46+DF45+DF44+DF43+DF42+DF41+DF40+DF39+DF38+DF37+DF36+DF35+DF34+DF28+DF25+DF24+DF21+DF20+DF14+DF8+DF7+DF6)+DF53+DF56+DF54+DF55</f>
        <v>53764114</v>
      </c>
      <c r="DG57" s="2992">
        <f>SUM(DG51+DG50+DG49+DG48+DG47+DG46+DG45+DG44+DG43+DG42+DG41+DG40+DG39+DG38+DG37+DG36+DG35+DG34+DG28+DG25+DG24+DG21+DG20+DG14+DG8+DG7+DG6)+DG53+DG56+DG54+DG55</f>
        <v>73339678</v>
      </c>
      <c r="DH57" s="3219"/>
      <c r="DI57" s="3968">
        <f>SUM(DI51+DI50+DI49+DI48+DI47+DI46+DI45+DI44+DI43+DI42+DI41+DI40+DI39+DI38+DI37+DI36+DI35+DI34+DI28+DI25+DI24+DI21+DI20+DI14+DI8+DI7+DI6)+DI53+DI56+DI54+DI55</f>
        <v>20000</v>
      </c>
      <c r="DJ57" s="3969">
        <f>SUM(DJ51+DJ50+DJ49+DJ48+DJ47+DJ46+DJ45+DJ44+DJ43+DJ42+DJ41+DJ40+DJ39+DJ38+DJ37+DJ36+DJ35+DJ34+DJ28+DJ25+DJ24+DJ21+DJ20+DJ14+DJ8+DJ7+DJ6)+DJ53+DJ56+DJ54+DJ55</f>
        <v>20000</v>
      </c>
    </row>
    <row r="58" spans="1:114" ht="20.25" x14ac:dyDescent="0.2">
      <c r="A58" s="2471"/>
      <c r="B58" s="2472"/>
      <c r="C58" s="2473"/>
      <c r="D58" s="2473"/>
      <c r="E58" s="2473"/>
      <c r="F58" s="2473"/>
      <c r="G58" s="2473"/>
      <c r="H58" s="2473"/>
      <c r="I58" s="2473"/>
      <c r="J58" s="2473"/>
      <c r="K58" s="3051">
        <f t="shared" ref="K58:P58" si="59">SUM(S57+AA57+AI57+AQ57+AY57+BG57+BO57+BW57+CE57+CU57)</f>
        <v>2600832731</v>
      </c>
      <c r="L58" s="3051">
        <f t="shared" si="59"/>
        <v>615729631</v>
      </c>
      <c r="M58" s="3051">
        <f t="shared" si="59"/>
        <v>3009123478</v>
      </c>
      <c r="N58" s="3051">
        <f t="shared" si="59"/>
        <v>207985452</v>
      </c>
      <c r="O58" s="3051">
        <f t="shared" si="59"/>
        <v>3049911236</v>
      </c>
      <c r="P58" s="3051">
        <f t="shared" si="59"/>
        <v>0</v>
      </c>
      <c r="Q58" s="3051">
        <f>SUM(Y57+AG57+AO57+AW57+BE57+BM57+BU57+CC57+CK57+DA57)+CS57+DI57</f>
        <v>3372928189.0100002</v>
      </c>
      <c r="R58" s="3051">
        <f>SUM(Z57+AH57+AP57+AX57+BF57+BN57+BV57+CD57+CL57+DB57)+CT57+DJ57</f>
        <v>4631102882.0100002</v>
      </c>
      <c r="S58" s="2474"/>
      <c r="T58" s="2474"/>
      <c r="U58" s="2474"/>
      <c r="V58" s="2474"/>
      <c r="W58" s="2474"/>
      <c r="X58" s="2474"/>
      <c r="Y58" s="2474"/>
      <c r="Z58" s="2474"/>
      <c r="AA58" s="2474"/>
      <c r="AB58" s="2474"/>
      <c r="AC58" s="2474"/>
      <c r="AD58" s="2474"/>
      <c r="AE58" s="2474"/>
      <c r="AF58" s="2474"/>
      <c r="AG58" s="2474"/>
      <c r="AH58" s="2474"/>
      <c r="AI58" s="3034"/>
      <c r="AJ58" s="3034"/>
      <c r="AK58" s="3034"/>
      <c r="AL58" s="3034"/>
      <c r="AM58" s="3034"/>
      <c r="AN58" s="3034"/>
      <c r="AO58" s="3541"/>
      <c r="AP58" s="3541"/>
      <c r="AQ58" s="2474"/>
      <c r="AR58" s="2474"/>
      <c r="AS58" s="2474"/>
      <c r="AT58" s="2474"/>
      <c r="AU58" s="2474"/>
      <c r="AV58" s="2474"/>
      <c r="AW58" s="2474"/>
      <c r="AX58" s="2474"/>
      <c r="AY58" s="2474"/>
      <c r="AZ58" s="2474"/>
      <c r="BA58" s="2474"/>
      <c r="BB58" s="2474"/>
      <c r="BC58" s="2474"/>
      <c r="BD58" s="2474"/>
      <c r="BE58" s="2474"/>
      <c r="BF58" s="2474"/>
      <c r="BG58" s="2474"/>
      <c r="BH58" s="2474"/>
      <c r="BI58" s="2474"/>
      <c r="BJ58" s="2474"/>
      <c r="BK58" s="2474"/>
      <c r="BL58" s="2474"/>
      <c r="BM58" s="2474"/>
      <c r="BN58" s="2474"/>
      <c r="BO58" s="2474"/>
      <c r="BP58" s="2474"/>
      <c r="BQ58" s="2474"/>
      <c r="BR58" s="2474"/>
      <c r="BS58" s="2474"/>
      <c r="BT58" s="2474"/>
      <c r="BU58" s="2474"/>
      <c r="BV58" s="2474"/>
      <c r="BW58" s="2474"/>
      <c r="BX58" s="2474"/>
      <c r="BY58" s="2474"/>
      <c r="BZ58" s="2474"/>
      <c r="CA58" s="2474"/>
      <c r="CB58" s="2474"/>
      <c r="CC58" s="2474"/>
      <c r="CD58" s="2474"/>
      <c r="CE58" s="2474"/>
      <c r="CF58" s="2474"/>
      <c r="CG58" s="2474"/>
      <c r="CH58" s="2474"/>
      <c r="CI58" s="2474"/>
      <c r="CJ58" s="2474"/>
      <c r="CK58" s="2474"/>
      <c r="CL58" s="2474"/>
      <c r="CM58" s="2474"/>
      <c r="CN58" s="2474"/>
      <c r="CO58" s="2474"/>
      <c r="CP58" s="2474"/>
      <c r="CQ58" s="2474"/>
      <c r="CR58" s="2474"/>
      <c r="CS58" s="2474"/>
      <c r="CT58" s="2474"/>
      <c r="CU58" s="2475"/>
      <c r="CV58" s="2475"/>
      <c r="CW58" s="2475"/>
      <c r="CX58" s="2475"/>
      <c r="CY58" s="2475"/>
      <c r="CZ58" s="2475"/>
      <c r="DA58" s="2475"/>
      <c r="DB58" s="2475"/>
      <c r="DC58" s="2475"/>
      <c r="DD58" s="2475"/>
      <c r="DE58" s="2475"/>
      <c r="DF58" s="2475"/>
      <c r="DG58" s="2475"/>
      <c r="DH58" s="2475"/>
      <c r="DI58" s="2475"/>
      <c r="DJ58" s="2475"/>
    </row>
    <row r="59" spans="1:114" ht="15.75" x14ac:dyDescent="0.2">
      <c r="S59" s="3012">
        <f>SUM('3.1. Cofog'!L17)</f>
        <v>605278130</v>
      </c>
      <c r="T59" s="3012">
        <f>SUM('3.1. Cofog'!M17)</f>
        <v>22472413</v>
      </c>
      <c r="U59" s="3012">
        <f>SUM('3.1. Cofog'!N17)</f>
        <v>627750543</v>
      </c>
      <c r="V59" s="3012">
        <f>SUM('3.1. Cofog'!O17)</f>
        <v>35672373</v>
      </c>
      <c r="W59" s="3012">
        <f>SUM('3.1. Cofog'!P17)</f>
        <v>663422916</v>
      </c>
      <c r="X59" s="3012">
        <f>SUM('3.1. Cofog'!Q17)</f>
        <v>0</v>
      </c>
      <c r="Y59" s="3012">
        <f>SUM('3.1. Cofog'!R17)</f>
        <v>663422916</v>
      </c>
      <c r="Z59" s="3012">
        <f>SUM('3.1. Cofog'!S17)</f>
        <v>663422916</v>
      </c>
      <c r="AA59" s="3012"/>
      <c r="AB59" s="3012">
        <f>SUM('3.1. Cofog'!T17)</f>
        <v>105.68257142869568</v>
      </c>
      <c r="AC59" s="3012">
        <f>SUM('3.1. Cofog'!U17)</f>
        <v>0</v>
      </c>
      <c r="AD59" s="3012">
        <f>SUM('3.1. Cofog'!V17)</f>
        <v>0</v>
      </c>
      <c r="AE59" s="3012">
        <f>SUM('3.1. Cofog'!W17)</f>
        <v>0</v>
      </c>
      <c r="AF59" s="3012">
        <f>SUM('3.1. Cofog'!X17)</f>
        <v>0</v>
      </c>
      <c r="AG59" s="3012">
        <f>SUM('3.1. Cofog'!Y17)</f>
        <v>0</v>
      </c>
      <c r="AH59" s="3012"/>
      <c r="AI59" s="3050">
        <f>SUM('2. sz. mell'!F16)</f>
        <v>358172020</v>
      </c>
      <c r="AJ59" s="3050">
        <f>SUM('2. sz. mell'!G16)</f>
        <v>254537132</v>
      </c>
      <c r="AK59" s="3050">
        <f>SUM('2. sz. mell'!H16)</f>
        <v>612709152</v>
      </c>
      <c r="AL59" s="3050">
        <f>SUM('2. sz. mell'!I16)</f>
        <v>-182578899</v>
      </c>
      <c r="AM59" s="3050">
        <f>SUM('2. sz. mell'!J16)</f>
        <v>430130253</v>
      </c>
      <c r="AN59" s="3050">
        <f>SUM('2. sz. mell'!K16)</f>
        <v>0</v>
      </c>
      <c r="AO59" s="3050">
        <f>SUM('2. sz. mell'!L16)</f>
        <v>430130253</v>
      </c>
      <c r="AP59" s="3050">
        <f>SUM('2. sz. mell'!M16)</f>
        <v>441148462</v>
      </c>
      <c r="AQ59" s="2513">
        <f>SUM('2. sz. mell'!F26)-'3.1. Cofog'!L20</f>
        <v>526538000</v>
      </c>
      <c r="AR59" s="2513">
        <f>SUM('2. sz. mell'!G26)-'3.1. Cofog'!M20</f>
        <v>27476312</v>
      </c>
      <c r="AS59" s="2513">
        <f>SUM('2. sz. mell'!H26)-'3.1. Cofog'!N20</f>
        <v>554014312</v>
      </c>
      <c r="AT59" s="2513">
        <f>SUM('2. sz. mell'!I26)-'3.1. Cofog'!O20</f>
        <v>37072051</v>
      </c>
      <c r="AU59" s="2513">
        <f>SUM('2. sz. mell'!J26)-'3.1. Cofog'!P20</f>
        <v>591086363</v>
      </c>
      <c r="AV59" s="2513">
        <f>SUM('2. sz. mell'!K26)-'3.1. Cofog'!Q20</f>
        <v>0</v>
      </c>
      <c r="AW59" s="2513">
        <f>SUM('2. sz. mell'!L26)-'3.1. Cofog'!R20-1000</f>
        <v>591085363</v>
      </c>
      <c r="AX59" s="2513">
        <f>SUM('2. sz. mell'!M26)-'3.1. Cofog'!S20-1000</f>
        <v>591085363</v>
      </c>
      <c r="AY59" s="2513"/>
      <c r="BG59" s="2513">
        <f>SUM('2. sz. mell'!F27)</f>
        <v>0</v>
      </c>
      <c r="BH59" s="2513">
        <f>SUM('2. sz. mell'!G27)</f>
        <v>2502500</v>
      </c>
      <c r="BI59" s="2513">
        <f>SUM('2. sz. mell'!H27)</f>
        <v>2502500</v>
      </c>
      <c r="BJ59" s="2513">
        <f>SUM('2. sz. mell'!I27)</f>
        <v>4450000</v>
      </c>
      <c r="BK59" s="2513">
        <f>SUM('2. sz. mell'!J27)</f>
        <v>6952500</v>
      </c>
      <c r="BL59" s="2513">
        <f>SUM('2. sz. mell'!K27)</f>
        <v>0</v>
      </c>
      <c r="BM59" s="2513">
        <f>SUM('2. sz. mell'!L27)</f>
        <v>6952500</v>
      </c>
      <c r="BN59" s="2513">
        <f>SUM('2. sz. mell'!M27)</f>
        <v>7002500</v>
      </c>
      <c r="BO59" s="2513"/>
      <c r="BP59" s="2513"/>
      <c r="BQ59" s="2513"/>
      <c r="BR59" s="2513"/>
      <c r="BS59" s="2513"/>
      <c r="BT59" s="2513"/>
      <c r="BU59" s="2513"/>
      <c r="BV59" s="2513"/>
      <c r="BW59" s="2513"/>
      <c r="BX59" s="2513"/>
      <c r="BY59" s="2513"/>
      <c r="BZ59" s="2513"/>
      <c r="CA59" s="2513"/>
      <c r="CB59" s="2513"/>
      <c r="CC59" s="2513"/>
      <c r="CD59" s="2513"/>
      <c r="CE59" s="2513"/>
      <c r="CF59" s="2513"/>
      <c r="CG59" s="2513"/>
      <c r="CH59" s="2513"/>
      <c r="CI59" s="2513"/>
      <c r="CJ59" s="2513"/>
      <c r="CK59" s="2513">
        <f>SUM('2. sz. mell'!L37)</f>
        <v>1311873610</v>
      </c>
      <c r="CL59" s="2513">
        <f>SUM('2. sz. mell'!M37)</f>
        <v>1311873610</v>
      </c>
      <c r="CO59" s="2513">
        <f>SUM('2. sz. mell'!H42)</f>
        <v>207522067</v>
      </c>
      <c r="CP59" s="2513"/>
      <c r="CQ59" s="2513">
        <f>SUM('2. sz. mell'!J42)</f>
        <v>481332294</v>
      </c>
      <c r="CR59" s="2513"/>
      <c r="CS59" s="2513">
        <f>SUM('2. sz. mell'!L42)</f>
        <v>483080253</v>
      </c>
      <c r="CT59" s="2513">
        <f>SUM('2. sz. mell'!M42)</f>
        <v>481332294</v>
      </c>
      <c r="CU59" s="2465">
        <f>SUM(K57-S57-AA57-AI57-AQ57-AY57-BG57-BO57-BW57-CE57)</f>
        <v>1593170581</v>
      </c>
      <c r="CV59" s="2465">
        <f>SUM(L57-T57-AB57-AJ57-AR57-AZ57-BH57-BP57-BX57-CF57)</f>
        <v>278410262.25</v>
      </c>
      <c r="CW59" s="2465">
        <f t="shared" ref="CW59:CZ59" si="60">SUM(M57-U57-AC57-AK57-AS57-BA57-BI57-BQ57-BY57-CG57)-CO57</f>
        <v>1175417331.25</v>
      </c>
      <c r="CX59" s="2465">
        <f t="shared" si="60"/>
        <v>-420705755.25999999</v>
      </c>
      <c r="CY59" s="2465">
        <f t="shared" si="60"/>
        <v>1440215226.9899998</v>
      </c>
      <c r="CZ59" s="2465">
        <f t="shared" si="60"/>
        <v>-12950000</v>
      </c>
      <c r="DA59" s="2465">
        <f>SUM(Q57-Y57-AG57-AO57-AW57-BE57-BM57-BU57-CC57-CK57)-CS57-DI57</f>
        <v>1495544586</v>
      </c>
      <c r="DB59" s="2465">
        <f>SUM(R57-Z57-AH57-AP57-AX57-BF57-BN57-BV57-CD57-CL57)-CT57-DJ57</f>
        <v>1894189810</v>
      </c>
    </row>
    <row r="60" spans="1:114" x14ac:dyDescent="0.2">
      <c r="K60" s="2513">
        <f>SUM(K57-K58)</f>
        <v>0</v>
      </c>
      <c r="L60" s="2513">
        <f t="shared" ref="L60:R60" si="61">SUM(L57-L58)</f>
        <v>0</v>
      </c>
      <c r="M60" s="2513">
        <f t="shared" si="61"/>
        <v>207522067</v>
      </c>
      <c r="N60" s="2513">
        <f t="shared" si="61"/>
        <v>0</v>
      </c>
      <c r="O60" s="2513">
        <f t="shared" si="61"/>
        <v>327820337</v>
      </c>
      <c r="P60" s="2513">
        <f t="shared" si="61"/>
        <v>0</v>
      </c>
      <c r="Q60" s="2513">
        <f>SUM(Q57-Q58)</f>
        <v>0</v>
      </c>
      <c r="R60" s="2513">
        <f t="shared" si="61"/>
        <v>0</v>
      </c>
      <c r="S60" s="2513">
        <f>SUM(S59-S57)-'1.4. sz. mell'!R32</f>
        <v>0</v>
      </c>
      <c r="T60" s="2513">
        <f>SUM(T59-T57)-'1.4. sz. mell'!S32</f>
        <v>13072413</v>
      </c>
      <c r="U60" s="2513">
        <f>SUM(U59-U57)-'1.4. sz. mell'!T32</f>
        <v>0</v>
      </c>
      <c r="V60" s="2513">
        <f>SUM(V59-V57)-'1.4. sz. mell'!U32</f>
        <v>-27491741</v>
      </c>
      <c r="W60" s="2513">
        <f>SUM(W59-W57)-'1.4. sz. mell'!V32</f>
        <v>10327027</v>
      </c>
      <c r="X60" s="2513">
        <f>SUM(X59-X57)-'1.4. sz. mell'!W32</f>
        <v>0</v>
      </c>
      <c r="Y60" s="2513">
        <f>SUM(Y59-Y57)-'1.4. sz. mell'!X32</f>
        <v>0</v>
      </c>
      <c r="Z60" s="2513">
        <f>SUM(Z59-Z57)-'1.4. sz. mell'!Y32</f>
        <v>0</v>
      </c>
      <c r="AA60" s="2513"/>
      <c r="AB60" s="2513"/>
      <c r="AC60" s="2513"/>
      <c r="AD60" s="2513"/>
      <c r="AE60" s="2513"/>
      <c r="AF60" s="2513"/>
      <c r="AG60" s="2513"/>
      <c r="AH60" s="2513"/>
      <c r="AI60" s="3050">
        <f>SUM(AI59-AI57-'1.4. sz. mell'!Z32)</f>
        <v>0</v>
      </c>
      <c r="AJ60" s="3050">
        <f>SUM(AJ59-AJ57-'1.4. sz. mell'!AA32)</f>
        <v>-82782236.75</v>
      </c>
      <c r="AK60" s="3050">
        <f>SUM(AK59-AK57-'1.4. sz. mell'!AB32)</f>
        <v>-319593816.75</v>
      </c>
      <c r="AL60" s="3050">
        <f>SUM(AL59-AL57-'1.4. sz. mell'!AC32)</f>
        <v>-139605875.25999999</v>
      </c>
      <c r="AM60" s="3050">
        <f>SUM(AM59-AM57-'1.4. sz. mell'!AD32)</f>
        <v>-230536405.00999999</v>
      </c>
      <c r="AN60" s="3050">
        <f>SUM(AN59-AN57-'1.4. sz. mell'!AE32)</f>
        <v>-12950000</v>
      </c>
      <c r="AO60" s="3050">
        <f>SUM(AO59-AO57-'1.4. sz. mell'!AF32)</f>
        <v>-9.9999904632568359E-3</v>
      </c>
      <c r="AP60" s="3050">
        <f>SUM(AP59-AP57-'1.4. sz. mell'!AG32)</f>
        <v>-9.9999904632568359E-3</v>
      </c>
      <c r="AQ60" s="2513">
        <f>SUM(AQ59-AQ57-'1.4. sz. mell'!AH32)</f>
        <v>0</v>
      </c>
      <c r="AR60" s="2513">
        <f>SUM(AR59-AR57-'1.4. sz. mell'!AI32)</f>
        <v>27476312</v>
      </c>
      <c r="AS60" s="2513">
        <f>SUM(AS59-AS57-'1.4. sz. mell'!AJ32)</f>
        <v>1000</v>
      </c>
      <c r="AT60" s="2513">
        <f>SUM(AT59-AT57-'1.4. sz. mell'!AK32)</f>
        <v>30997051</v>
      </c>
      <c r="AU60" s="2513">
        <f>SUM(AU59-AU57-'1.4. sz. mell'!AL32)</f>
        <v>17323208</v>
      </c>
      <c r="AV60" s="2513">
        <f>SUM(AV59-AV57-'1.4. sz. mell'!AM32)</f>
        <v>0</v>
      </c>
      <c r="AW60" s="2513">
        <f>SUM(AW59-AW57-'1.4. sz. mell'!AN32)</f>
        <v>0</v>
      </c>
      <c r="AX60" s="2513">
        <f>SUM(AX59-AX57-'1.4. sz. mell'!AO32)</f>
        <v>0</v>
      </c>
      <c r="AY60" s="2513"/>
      <c r="BG60" s="2513">
        <f>SUM(BG59-BG57-'1.4. sz. mell'!AX32)</f>
        <v>0</v>
      </c>
      <c r="BH60" s="2513">
        <f>SUM(BH59-BH57-'1.4. sz. mell'!AY32)</f>
        <v>2502500</v>
      </c>
      <c r="BI60" s="2513">
        <f>SUM(BI59-BI57-'1.4. sz. mell'!AZ32)</f>
        <v>0</v>
      </c>
      <c r="BJ60" s="2513">
        <f>SUM(BJ59-BJ57-'1.4. sz. mell'!BA32)</f>
        <v>1947500</v>
      </c>
      <c r="BK60" s="2513">
        <f>SUM(BK59-BK57-'1.4. sz. mell'!BB32)</f>
        <v>4450000</v>
      </c>
      <c r="BL60" s="2513">
        <f>SUM(BL59-BL57-'1.4. sz. mell'!BC32)</f>
        <v>-2000000</v>
      </c>
      <c r="BM60" s="2513">
        <f>SUM(BM59-BM57-'1.4. sz. mell'!BD32)</f>
        <v>0</v>
      </c>
      <c r="BN60" s="2513">
        <f>SUM(BN59-BN57-'1.4. sz. mell'!BE32)</f>
        <v>0</v>
      </c>
      <c r="CG60" s="2513">
        <f>SUM(CG59-CG57-'1.4. sz. mell'!CF32)</f>
        <v>-1311873610</v>
      </c>
      <c r="CH60" s="2513">
        <f>SUM(CH59-CH57-'1.4. sz. mell'!CG32)</f>
        <v>-1866990280</v>
      </c>
      <c r="CI60" s="2513">
        <f>SUM(CI59-CI57-'1.4. sz. mell'!CH32)</f>
        <v>-1311873610</v>
      </c>
      <c r="CJ60" s="2513"/>
      <c r="CK60" s="2513">
        <f>SUM(CK59-'1.4. sz. mell'!CJ32)-CK57</f>
        <v>0</v>
      </c>
      <c r="CL60" s="2513">
        <f>SUM(CL59-'1.4. sz. mell'!CK32)-CL57</f>
        <v>0</v>
      </c>
      <c r="CO60" s="2513">
        <f t="shared" ref="CO60:DB60" si="62">SUM(CO59-CO57)</f>
        <v>0</v>
      </c>
      <c r="CP60" s="2513"/>
      <c r="CQ60" s="2513">
        <f t="shared" si="62"/>
        <v>153511957</v>
      </c>
      <c r="CR60" s="2513"/>
      <c r="CS60" s="2513">
        <f t="shared" si="62"/>
        <v>0</v>
      </c>
      <c r="CT60" s="2513">
        <f t="shared" ref="CT60" si="63">SUM(CT59-CT57)</f>
        <v>0</v>
      </c>
      <c r="CU60" s="2513">
        <f t="shared" si="62"/>
        <v>0</v>
      </c>
      <c r="CV60" s="2513">
        <f t="shared" si="62"/>
        <v>0</v>
      </c>
      <c r="CW60" s="2513">
        <f t="shared" si="62"/>
        <v>0</v>
      </c>
      <c r="CX60" s="2513">
        <f t="shared" si="62"/>
        <v>0</v>
      </c>
      <c r="CY60" s="2513">
        <f t="shared" si="62"/>
        <v>-2.384185791015625E-7</v>
      </c>
      <c r="CZ60" s="2513">
        <f t="shared" si="62"/>
        <v>0</v>
      </c>
      <c r="DA60" s="2513">
        <f t="shared" si="62"/>
        <v>0</v>
      </c>
      <c r="DB60" s="2513">
        <f t="shared" si="62"/>
        <v>0</v>
      </c>
    </row>
    <row r="62" spans="1:114" ht="21" x14ac:dyDescent="0.2">
      <c r="A62" s="3229" t="s">
        <v>1941</v>
      </c>
      <c r="C62" s="4188">
        <f>SUM('2.a sz. mell'!F95)</f>
        <v>2600832731</v>
      </c>
      <c r="D62" s="4188">
        <f>SUM('2.a sz. mell'!G95)</f>
        <v>615812814</v>
      </c>
      <c r="E62" s="4188">
        <f>SUM('2.a sz. mell'!H95)</f>
        <v>3216645545</v>
      </c>
      <c r="F62" s="4188">
        <f>SUM('2.a sz. mell'!I95)</f>
        <v>154534685</v>
      </c>
      <c r="G62" s="4188">
        <f>SUM('2.a sz. mell'!J95)</f>
        <v>3371180230</v>
      </c>
      <c r="H62" s="4188">
        <f>SUM('2.a sz. mell'!K95)</f>
        <v>1747959</v>
      </c>
      <c r="I62" s="4188">
        <f>SUM('2.a sz. mell'!L95)</f>
        <v>3372928189</v>
      </c>
      <c r="J62" s="4188">
        <f>SUM('2.a sz. mell'!M95)</f>
        <v>3061266529</v>
      </c>
      <c r="K62" s="4188">
        <f>SUM('2.a sz. mell'!F45)</f>
        <v>2600832731</v>
      </c>
      <c r="L62" s="4188">
        <f>SUM('2.a sz. mell'!G45)</f>
        <v>614412814</v>
      </c>
      <c r="M62" s="4188">
        <f>SUM('2.a sz. mell'!H45)</f>
        <v>3215245545</v>
      </c>
      <c r="N62" s="4188">
        <f>SUM('2.a sz. mell'!I45)</f>
        <v>155934685</v>
      </c>
      <c r="O62" s="4188">
        <f>SUM('2.a sz. mell'!J45)</f>
        <v>3371180230</v>
      </c>
      <c r="P62" s="4188">
        <f>SUM('2.a sz. mell'!K45)</f>
        <v>1747959</v>
      </c>
      <c r="Q62" s="4188">
        <f>SUM('2.a sz. mell'!L45)</f>
        <v>3372928189</v>
      </c>
      <c r="R62" s="4188">
        <f>SUM('2.a sz. mell'!M45)</f>
        <v>4631102882</v>
      </c>
      <c r="CU62" s="2513"/>
    </row>
    <row r="63" spans="1:114" ht="21" x14ac:dyDescent="0.2">
      <c r="A63" s="3229" t="s">
        <v>802</v>
      </c>
      <c r="C63" s="4188">
        <f>SUM(C62-C57)</f>
        <v>0</v>
      </c>
      <c r="D63" s="4188">
        <f t="shared" ref="D63:H63" si="64">SUM(D62-D57)</f>
        <v>83183</v>
      </c>
      <c r="E63" s="4188">
        <f t="shared" si="64"/>
        <v>0</v>
      </c>
      <c r="F63" s="4188">
        <f t="shared" si="64"/>
        <v>-53450767</v>
      </c>
      <c r="G63" s="4188">
        <f t="shared" si="64"/>
        <v>-6551343</v>
      </c>
      <c r="H63" s="4188">
        <f t="shared" si="64"/>
        <v>1747959</v>
      </c>
      <c r="I63" s="4188">
        <f>SUM(I62-I57)</f>
        <v>0</v>
      </c>
      <c r="J63" s="4188">
        <f>SUM(J62-J57)</f>
        <v>0</v>
      </c>
      <c r="K63" s="4189">
        <f>SUM(K57-K62)</f>
        <v>0</v>
      </c>
      <c r="L63" s="4189">
        <f t="shared" ref="L63:Q63" si="65">SUM(L57-L62)</f>
        <v>1316817</v>
      </c>
      <c r="M63" s="4189">
        <f t="shared" si="65"/>
        <v>1400000</v>
      </c>
      <c r="N63" s="4189">
        <f t="shared" si="65"/>
        <v>52050767</v>
      </c>
      <c r="O63" s="4189">
        <f t="shared" si="65"/>
        <v>6551343</v>
      </c>
      <c r="P63" s="4189">
        <f t="shared" si="65"/>
        <v>-1747959</v>
      </c>
      <c r="Q63" s="4189">
        <f t="shared" si="65"/>
        <v>1.0000228881835938E-2</v>
      </c>
      <c r="R63" s="4189">
        <f t="shared" ref="R63" si="66">SUM(R57-R62)</f>
        <v>1.0000228881835938E-2</v>
      </c>
      <c r="CU63" s="2513"/>
      <c r="CV63" s="2513"/>
      <c r="CW63" s="2513"/>
      <c r="CX63" s="2513"/>
      <c r="CY63" s="2513"/>
      <c r="CZ63" s="2513">
        <f>SUM(CZ59-CZ62)</f>
        <v>-12950000</v>
      </c>
      <c r="DA63" s="2513"/>
      <c r="DB63" s="2513"/>
    </row>
    <row r="64" spans="1:114" x14ac:dyDescent="0.2">
      <c r="C64" s="4190"/>
      <c r="D64" s="4190"/>
      <c r="E64" s="4190"/>
      <c r="F64" s="4190"/>
      <c r="G64" s="4190"/>
      <c r="H64" s="4190"/>
      <c r="I64" s="4190"/>
      <c r="J64" s="4190"/>
      <c r="K64" s="4191"/>
      <c r="L64" s="4191"/>
      <c r="M64" s="4191"/>
      <c r="N64" s="4191"/>
      <c r="O64" s="4191"/>
      <c r="P64" s="4191"/>
      <c r="Q64" s="4191"/>
      <c r="R64" s="4191"/>
    </row>
    <row r="65" spans="3:18" x14ac:dyDescent="0.2">
      <c r="C65" s="4190"/>
      <c r="D65" s="4190"/>
      <c r="E65" s="4190"/>
      <c r="F65" s="4190"/>
      <c r="G65" s="4190"/>
      <c r="H65" s="4190"/>
      <c r="I65" s="4190"/>
      <c r="J65" s="4190"/>
      <c r="K65" s="4191"/>
      <c r="L65" s="4191"/>
      <c r="M65" s="4191"/>
      <c r="N65" s="4191"/>
      <c r="O65" s="4191"/>
      <c r="P65" s="4191"/>
      <c r="Q65" s="4191"/>
      <c r="R65" s="4191"/>
    </row>
  </sheetData>
  <mergeCells count="22">
    <mergeCell ref="CU3:DJ3"/>
    <mergeCell ref="DC4:DJ4"/>
    <mergeCell ref="A1:DC1"/>
    <mergeCell ref="B3:B4"/>
    <mergeCell ref="A2:DE2"/>
    <mergeCell ref="A3:A5"/>
    <mergeCell ref="AQ4:AX4"/>
    <mergeCell ref="AQ3:BF3"/>
    <mergeCell ref="AY4:BF4"/>
    <mergeCell ref="BG4:BN4"/>
    <mergeCell ref="BG3:BV3"/>
    <mergeCell ref="BO4:BV4"/>
    <mergeCell ref="BW3:CD4"/>
    <mergeCell ref="CE3:CL4"/>
    <mergeCell ref="CM3:CT4"/>
    <mergeCell ref="CU4:DB4"/>
    <mergeCell ref="C3:J4"/>
    <mergeCell ref="K3:R4"/>
    <mergeCell ref="S3:Z4"/>
    <mergeCell ref="AA3:AH4"/>
    <mergeCell ref="AI3:AP3"/>
    <mergeCell ref="AI4:AP4"/>
  </mergeCells>
  <printOptions horizontalCentered="1"/>
  <pageMargins left="0.23622047244094491" right="0.15748031496062992" top="0.39370078740157483" bottom="0.39370078740157483" header="0.31496062992125984" footer="0.31496062992125984"/>
  <pageSetup paperSize="9" scale="40" firstPageNumber="10" orientation="landscape" useFirstPageNumber="1" r:id="rId1"/>
  <headerFooter>
    <oddHeader>&amp;R&amp;12 1.3. számú melléklet</oddHeader>
    <oddFooter xml:space="preserve">&amp;C&amp;12-&amp;P -&amp;10
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G85"/>
  <sheetViews>
    <sheetView view="pageBreakPreview" topLeftCell="A31" zoomScale="90" zoomScaleNormal="100" zoomScaleSheetLayoutView="9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3.5" style="115" customWidth="1"/>
    <col min="4" max="5" width="9.33203125" style="115" hidden="1" customWidth="1"/>
    <col min="6" max="6" width="15.33203125" style="115" customWidth="1"/>
    <col min="7" max="7" width="16.33203125" style="1390" hidden="1" customWidth="1"/>
    <col min="8" max="8" width="15.83203125" style="115" hidden="1" customWidth="1"/>
    <col min="9" max="9" width="11.83203125" style="1390" hidden="1" customWidth="1"/>
    <col min="10" max="10" width="15.5" style="115" customWidth="1"/>
    <col min="11" max="11" width="13.33203125" style="1390" customWidth="1"/>
    <col min="12" max="13" width="15.83203125" style="115" customWidth="1"/>
    <col min="14" max="14" width="13.1640625" style="115" customWidth="1"/>
    <col min="15" max="17" width="9.33203125" style="115"/>
    <col min="18" max="18" width="14.6640625" style="1877" customWidth="1"/>
    <col min="19" max="19" width="14.6640625" style="115" hidden="1" customWidth="1"/>
    <col min="20" max="20" width="14.6640625" style="115" customWidth="1"/>
    <col min="21" max="21" width="14.6640625" style="115" hidden="1" customWidth="1"/>
    <col min="22" max="22" width="14.6640625" style="115" customWidth="1"/>
    <col min="23" max="23" width="15.33203125" style="115" hidden="1" customWidth="1"/>
    <col min="24" max="24" width="14.6640625" style="1161" customWidth="1"/>
    <col min="25" max="25" width="14.6640625" style="115" customWidth="1"/>
    <col min="26" max="26" width="14.6640625" style="1877" customWidth="1"/>
    <col min="27" max="27" width="14.6640625" style="115" hidden="1" customWidth="1"/>
    <col min="28" max="28" width="14.6640625" style="115" customWidth="1"/>
    <col min="29" max="29" width="14.6640625" style="115" hidden="1" customWidth="1"/>
    <col min="30" max="30" width="14.6640625" style="115" customWidth="1"/>
    <col min="31" max="31" width="17" style="115" hidden="1" customWidth="1"/>
    <col min="32" max="32" width="14.6640625" style="1161" customWidth="1"/>
    <col min="33" max="33" width="14.6640625" style="115" customWidth="1"/>
    <col min="34" max="16384" width="9.33203125" style="115"/>
  </cols>
  <sheetData>
    <row r="1" spans="1:33" s="98" customFormat="1" ht="15" customHeight="1" thickBot="1" x14ac:dyDescent="0.25">
      <c r="A1" s="240"/>
      <c r="B1" s="241"/>
      <c r="C1" s="4526" t="s">
        <v>724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  <c r="R1" s="1872"/>
      <c r="X1" s="1868"/>
      <c r="Z1" s="1872"/>
      <c r="AF1" s="1868"/>
    </row>
    <row r="2" spans="1:33" s="303" customFormat="1" ht="51.75" customHeight="1" thickBot="1" x14ac:dyDescent="0.25">
      <c r="A2" s="4516" t="s">
        <v>411</v>
      </c>
      <c r="B2" s="4516"/>
      <c r="C2" s="117" t="s">
        <v>471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  <c r="R2" s="1873"/>
      <c r="X2" s="1869"/>
      <c r="Z2" s="1873"/>
      <c r="AF2" s="1869"/>
    </row>
    <row r="3" spans="1:33" s="303" customFormat="1" ht="30" customHeight="1" thickBot="1" x14ac:dyDescent="0.25">
      <c r="A3" s="4525" t="s">
        <v>283</v>
      </c>
      <c r="B3" s="4525"/>
      <c r="C3" s="304" t="s">
        <v>1444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  <c r="R3" s="1873"/>
      <c r="X3" s="1869"/>
      <c r="Z3" s="1873"/>
      <c r="AF3" s="1869"/>
    </row>
    <row r="4" spans="1:3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  <c r="R4" s="1874"/>
      <c r="S4" s="1919"/>
      <c r="T4" s="4493" t="s">
        <v>1056</v>
      </c>
      <c r="U4" s="1927"/>
      <c r="V4" s="4442" t="s">
        <v>1076</v>
      </c>
      <c r="W4" s="305"/>
      <c r="X4" s="4439" t="s">
        <v>1058</v>
      </c>
      <c r="Y4" s="1891"/>
      <c r="Z4" s="1873"/>
      <c r="AB4" s="4493" t="s">
        <v>1056</v>
      </c>
      <c r="AC4" s="1919"/>
      <c r="AD4" s="4442" t="s">
        <v>1057</v>
      </c>
      <c r="AE4" s="1927"/>
      <c r="AF4" s="4439" t="s">
        <v>1058</v>
      </c>
      <c r="AG4" s="1889"/>
    </row>
    <row r="5" spans="1:33" s="145" customFormat="1" ht="34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  <c r="R5" s="1875" t="s">
        <v>771</v>
      </c>
      <c r="S5" s="1920"/>
      <c r="T5" s="4493"/>
      <c r="U5" s="1927"/>
      <c r="V5" s="4442"/>
      <c r="W5" s="305"/>
      <c r="X5" s="4439"/>
      <c r="Y5" s="2037" t="s">
        <v>289</v>
      </c>
      <c r="Z5" s="2216" t="s">
        <v>771</v>
      </c>
      <c r="AA5" s="2296"/>
      <c r="AB5" s="4493"/>
      <c r="AC5" s="2296"/>
      <c r="AD5" s="4442"/>
      <c r="AE5" s="1927"/>
      <c r="AF5" s="4439"/>
      <c r="AG5" s="1887" t="s">
        <v>289</v>
      </c>
    </row>
    <row r="6" spans="1:3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  <c r="R6" s="1908" t="s">
        <v>767</v>
      </c>
      <c r="S6" s="1921"/>
      <c r="T6" s="1913" t="s">
        <v>767</v>
      </c>
      <c r="U6" s="1926"/>
      <c r="V6" s="2292" t="s">
        <v>767</v>
      </c>
      <c r="W6" s="2292"/>
      <c r="X6" s="2299" t="s">
        <v>767</v>
      </c>
      <c r="Y6" s="2343" t="s">
        <v>767</v>
      </c>
      <c r="Z6" s="2345" t="s">
        <v>770</v>
      </c>
      <c r="AA6" s="2297"/>
      <c r="AB6" s="1913" t="s">
        <v>770</v>
      </c>
      <c r="AC6" s="2297"/>
      <c r="AD6" s="453" t="s">
        <v>770</v>
      </c>
      <c r="AE6" s="1926"/>
      <c r="AF6" s="1910" t="s">
        <v>770</v>
      </c>
      <c r="AG6" s="1943" t="s">
        <v>770</v>
      </c>
    </row>
    <row r="7" spans="1:3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  <c r="R7" s="1875"/>
      <c r="X7" s="1870"/>
      <c r="Y7" s="2344"/>
      <c r="Z7" s="1875"/>
      <c r="AF7" s="1870"/>
    </row>
    <row r="8" spans="1:3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42811</v>
      </c>
      <c r="K8" s="1374">
        <f>SUM(L8-J8)</f>
        <v>0</v>
      </c>
      <c r="L8" s="137">
        <f>SUM(L9:L18)</f>
        <v>42811</v>
      </c>
      <c r="M8" s="137">
        <f>SUM(M9:M18)</f>
        <v>42811</v>
      </c>
      <c r="R8" s="1876">
        <f>SUM(F8-Z8)</f>
        <v>0</v>
      </c>
      <c r="S8" s="248"/>
      <c r="T8" s="1885">
        <f>SUM(H8-AB8)</f>
        <v>0</v>
      </c>
      <c r="U8" s="248"/>
      <c r="V8" s="248">
        <f t="shared" ref="V8:Y23" si="0">SUM(J8-AD8)</f>
        <v>0</v>
      </c>
      <c r="W8" s="248"/>
      <c r="X8" s="1871">
        <f t="shared" si="0"/>
        <v>0</v>
      </c>
      <c r="Y8" s="2346">
        <f t="shared" si="0"/>
        <v>0</v>
      </c>
      <c r="Z8" s="1876">
        <f>SUM('5.3.a. sz. mell'!F8+'5.3 b. sz. mell'!F8+'5.3.c. sz. mell'!F8)</f>
        <v>0</v>
      </c>
      <c r="AA8" s="248"/>
      <c r="AB8" s="1885">
        <f>SUM('5.3.a. sz. mell'!H8+'5.3 b. sz. mell'!H8+'5.3.c. sz. mell'!H8)</f>
        <v>0</v>
      </c>
      <c r="AC8" s="248"/>
      <c r="AD8" s="248">
        <f>SUM('5.3.a. sz. mell'!J8+'5.3 b. sz. mell'!J8+'5.3.c. sz. mell'!J8)</f>
        <v>42811</v>
      </c>
      <c r="AE8" s="248"/>
      <c r="AF8" s="1871">
        <f>SUM('5.3.a. sz. mell'!L8+'5.3 b. sz. mell'!L8+'5.3.c. sz. mell'!L8)</f>
        <v>42811</v>
      </c>
      <c r="AG8" s="2300">
        <f>SUM('5.3.a. sz. mell'!M8+'5.3 b. sz. mell'!M8+'5.3.c. sz. mell'!M8)</f>
        <v>42811</v>
      </c>
    </row>
    <row r="9" spans="1:3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8">
        <f t="shared" ref="K9:K17" si="1">SUM(L9-J9)</f>
        <v>0</v>
      </c>
      <c r="L9" s="150">
        <v>0</v>
      </c>
      <c r="M9" s="150">
        <v>0</v>
      </c>
      <c r="R9" s="1876">
        <f t="shared" ref="R9:R62" si="2">SUM(F9-Z9)</f>
        <v>0</v>
      </c>
      <c r="S9" s="248"/>
      <c r="T9" s="1885">
        <f t="shared" ref="T9:T62" si="3">SUM(H9-AB9)</f>
        <v>0</v>
      </c>
      <c r="U9" s="248"/>
      <c r="V9" s="248">
        <f t="shared" si="0"/>
        <v>0</v>
      </c>
      <c r="W9" s="248"/>
      <c r="X9" s="1871">
        <f t="shared" si="0"/>
        <v>0</v>
      </c>
      <c r="Y9" s="2346">
        <f t="shared" si="0"/>
        <v>0</v>
      </c>
      <c r="Z9" s="1876">
        <f>SUM('5.3.a. sz. mell'!F9+'5.3 b. sz. mell'!F9+'5.3.c. sz. mell'!F9)</f>
        <v>0</v>
      </c>
      <c r="AA9" s="248"/>
      <c r="AB9" s="1885">
        <f>SUM('5.3.a. sz. mell'!H9+'5.3 b. sz. mell'!H9+'5.3.c. sz. mell'!H9)</f>
        <v>0</v>
      </c>
      <c r="AC9" s="248"/>
      <c r="AD9" s="248">
        <f>SUM('5.3.a. sz. mell'!J9+'5.3 b. sz. mell'!J9+'5.3.c. sz. mell'!J9)</f>
        <v>0</v>
      </c>
      <c r="AE9" s="248"/>
      <c r="AF9" s="1871">
        <f>SUM('5.3.a. sz. mell'!L9+'5.3 b. sz. mell'!L9+'5.3.c. sz. mell'!L9)</f>
        <v>0</v>
      </c>
      <c r="AG9" s="2300">
        <f>SUM('5.3.a. sz. mell'!M9+'5.3 b. sz. mell'!M9+'5.3.c. sz. mell'!M9)</f>
        <v>0</v>
      </c>
    </row>
    <row r="10" spans="1:3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8">
        <f t="shared" si="1"/>
        <v>0</v>
      </c>
      <c r="L10" s="144">
        <v>0</v>
      </c>
      <c r="M10" s="144">
        <v>0</v>
      </c>
      <c r="R10" s="1876">
        <f t="shared" si="2"/>
        <v>0</v>
      </c>
      <c r="S10" s="248"/>
      <c r="T10" s="1885">
        <f t="shared" si="3"/>
        <v>0</v>
      </c>
      <c r="U10" s="248"/>
      <c r="V10" s="248">
        <f t="shared" si="0"/>
        <v>0</v>
      </c>
      <c r="W10" s="248"/>
      <c r="X10" s="1871">
        <f t="shared" si="0"/>
        <v>0</v>
      </c>
      <c r="Y10" s="2346">
        <f t="shared" si="0"/>
        <v>0</v>
      </c>
      <c r="Z10" s="1876">
        <f>SUM('5.3.a. sz. mell'!F10+'5.3 b. sz. mell'!F10+'5.3.c. sz. mell'!F10)</f>
        <v>0</v>
      </c>
      <c r="AA10" s="248"/>
      <c r="AB10" s="1885">
        <f>SUM('5.3.a. sz. mell'!H10+'5.3 b. sz. mell'!H10+'5.3.c. sz. mell'!H10)</f>
        <v>0</v>
      </c>
      <c r="AC10" s="248"/>
      <c r="AD10" s="248">
        <f>SUM('5.3.a. sz. mell'!J10+'5.3 b. sz. mell'!J10+'5.3.c. sz. mell'!J10)</f>
        <v>0</v>
      </c>
      <c r="AE10" s="248"/>
      <c r="AF10" s="1871">
        <f>SUM('5.3.a. sz. mell'!L10+'5.3 b. sz. mell'!L10+'5.3.c. sz. mell'!L10)</f>
        <v>0</v>
      </c>
      <c r="AG10" s="2300">
        <f>SUM('5.3.a. sz. mell'!M10+'5.3 b. sz. mell'!M10+'5.3.c. sz. mell'!M10)</f>
        <v>0</v>
      </c>
    </row>
    <row r="11" spans="1:3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8">
        <f t="shared" si="1"/>
        <v>0</v>
      </c>
      <c r="L11" s="144">
        <v>0</v>
      </c>
      <c r="M11" s="144">
        <v>0</v>
      </c>
      <c r="R11" s="1876">
        <f t="shared" si="2"/>
        <v>0</v>
      </c>
      <c r="S11" s="248"/>
      <c r="T11" s="1885">
        <f t="shared" si="3"/>
        <v>0</v>
      </c>
      <c r="U11" s="248"/>
      <c r="V11" s="248">
        <f t="shared" si="0"/>
        <v>0</v>
      </c>
      <c r="W11" s="248"/>
      <c r="X11" s="1871">
        <f t="shared" si="0"/>
        <v>0</v>
      </c>
      <c r="Y11" s="2346">
        <f t="shared" si="0"/>
        <v>0</v>
      </c>
      <c r="Z11" s="1876">
        <f>SUM('5.3.a. sz. mell'!F11+'5.3 b. sz. mell'!F11+'5.3.c. sz. mell'!F11)</f>
        <v>0</v>
      </c>
      <c r="AA11" s="248"/>
      <c r="AB11" s="1885">
        <f>SUM('5.3.a. sz. mell'!H11+'5.3 b. sz. mell'!H11+'5.3.c. sz. mell'!H11)</f>
        <v>0</v>
      </c>
      <c r="AC11" s="248"/>
      <c r="AD11" s="248">
        <f>SUM('5.3.a. sz. mell'!J11+'5.3 b. sz. mell'!J11+'5.3.c. sz. mell'!J11)</f>
        <v>0</v>
      </c>
      <c r="AE11" s="248"/>
      <c r="AF11" s="1871">
        <f>SUM('5.3.a. sz. mell'!L11+'5.3 b. sz. mell'!L11+'5.3.c. sz. mell'!L11)</f>
        <v>0</v>
      </c>
      <c r="AG11" s="2300">
        <f>SUM('5.3.a. sz. mell'!M11+'5.3 b. sz. mell'!M11+'5.3.c. sz. mell'!M11)</f>
        <v>0</v>
      </c>
    </row>
    <row r="12" spans="1:3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8">
        <f t="shared" si="1"/>
        <v>0</v>
      </c>
      <c r="L12" s="144">
        <v>0</v>
      </c>
      <c r="M12" s="144">
        <v>0</v>
      </c>
      <c r="R12" s="1876">
        <f t="shared" si="2"/>
        <v>0</v>
      </c>
      <c r="S12" s="248"/>
      <c r="T12" s="1885">
        <f t="shared" si="3"/>
        <v>0</v>
      </c>
      <c r="U12" s="248"/>
      <c r="V12" s="248">
        <f t="shared" si="0"/>
        <v>0</v>
      </c>
      <c r="W12" s="248"/>
      <c r="X12" s="1871">
        <f t="shared" si="0"/>
        <v>0</v>
      </c>
      <c r="Y12" s="2346">
        <f t="shared" si="0"/>
        <v>0</v>
      </c>
      <c r="Z12" s="1876">
        <f>SUM('5.3.a. sz. mell'!F12+'5.3 b. sz. mell'!F12+'5.3.c. sz. mell'!F12)</f>
        <v>0</v>
      </c>
      <c r="AA12" s="248"/>
      <c r="AB12" s="1885">
        <f>SUM('5.3.a. sz. mell'!H12+'5.3 b. sz. mell'!H12+'5.3.c. sz. mell'!H12)</f>
        <v>0</v>
      </c>
      <c r="AC12" s="248"/>
      <c r="AD12" s="248">
        <f>SUM('5.3.a. sz. mell'!J12+'5.3 b. sz. mell'!J12+'5.3.c. sz. mell'!J12)</f>
        <v>0</v>
      </c>
      <c r="AE12" s="248"/>
      <c r="AF12" s="1871">
        <f>SUM('5.3.a. sz. mell'!L12+'5.3 b. sz. mell'!L12+'5.3.c. sz. mell'!L12)</f>
        <v>0</v>
      </c>
      <c r="AG12" s="2300">
        <f>SUM('5.3.a. sz. mell'!M12+'5.3 b. sz. mell'!M12+'5.3.c. sz. mell'!M12)</f>
        <v>0</v>
      </c>
    </row>
    <row r="13" spans="1:3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8">
        <f t="shared" si="1"/>
        <v>0</v>
      </c>
      <c r="L13" s="144">
        <v>0</v>
      </c>
      <c r="M13" s="144">
        <v>0</v>
      </c>
      <c r="R13" s="1876">
        <f t="shared" si="2"/>
        <v>0</v>
      </c>
      <c r="S13" s="248"/>
      <c r="T13" s="1885">
        <f t="shared" si="3"/>
        <v>0</v>
      </c>
      <c r="U13" s="248"/>
      <c r="V13" s="248">
        <f t="shared" si="0"/>
        <v>0</v>
      </c>
      <c r="W13" s="248"/>
      <c r="X13" s="1871">
        <f t="shared" si="0"/>
        <v>0</v>
      </c>
      <c r="Y13" s="2346">
        <f t="shared" si="0"/>
        <v>0</v>
      </c>
      <c r="Z13" s="1876">
        <f>SUM('5.3.a. sz. mell'!F13+'5.3 b. sz. mell'!F13+'5.3.c. sz. mell'!F13)</f>
        <v>0</v>
      </c>
      <c r="AA13" s="248"/>
      <c r="AB13" s="1885">
        <f>SUM('5.3.a. sz. mell'!H13+'5.3 b. sz. mell'!H13+'5.3.c. sz. mell'!H13)</f>
        <v>0</v>
      </c>
      <c r="AC13" s="248"/>
      <c r="AD13" s="248">
        <f>SUM('5.3.a. sz. mell'!J13+'5.3 b. sz. mell'!J13+'5.3.c. sz. mell'!J13)</f>
        <v>0</v>
      </c>
      <c r="AE13" s="248"/>
      <c r="AF13" s="1871">
        <f>SUM('5.3.a. sz. mell'!L13+'5.3 b. sz. mell'!L13+'5.3.c. sz. mell'!L13)</f>
        <v>0</v>
      </c>
      <c r="AG13" s="2300">
        <f>SUM('5.3.a. sz. mell'!M13+'5.3 b. sz. mell'!M13+'5.3.c. sz. mell'!M13)</f>
        <v>0</v>
      </c>
    </row>
    <row r="14" spans="1:3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8">
        <f t="shared" si="1"/>
        <v>0</v>
      </c>
      <c r="L14" s="144">
        <v>0</v>
      </c>
      <c r="M14" s="144">
        <v>0</v>
      </c>
      <c r="R14" s="1876">
        <f t="shared" si="2"/>
        <v>0</v>
      </c>
      <c r="S14" s="248"/>
      <c r="T14" s="1885">
        <f t="shared" si="3"/>
        <v>0</v>
      </c>
      <c r="U14" s="248"/>
      <c r="V14" s="248">
        <f t="shared" si="0"/>
        <v>0</v>
      </c>
      <c r="W14" s="248"/>
      <c r="X14" s="1871">
        <f t="shared" si="0"/>
        <v>0</v>
      </c>
      <c r="Y14" s="2346">
        <f t="shared" si="0"/>
        <v>0</v>
      </c>
      <c r="Z14" s="1876">
        <f>SUM('5.3.a. sz. mell'!F14+'5.3 b. sz. mell'!F14+'5.3.c. sz. mell'!F14)</f>
        <v>0</v>
      </c>
      <c r="AA14" s="248"/>
      <c r="AB14" s="1885">
        <f>SUM('5.3.a. sz. mell'!H14+'5.3 b. sz. mell'!H14+'5.3.c. sz. mell'!H14)</f>
        <v>0</v>
      </c>
      <c r="AC14" s="248"/>
      <c r="AD14" s="248">
        <f>SUM('5.3.a. sz. mell'!J14+'5.3 b. sz. mell'!J14+'5.3.c. sz. mell'!J14)</f>
        <v>0</v>
      </c>
      <c r="AE14" s="248"/>
      <c r="AF14" s="1871">
        <f>SUM('5.3.a. sz. mell'!L14+'5.3 b. sz. mell'!L14+'5.3.c. sz. mell'!L14)</f>
        <v>0</v>
      </c>
      <c r="AG14" s="2300">
        <f>SUM('5.3.a. sz. mell'!M14+'5.3 b. sz. mell'!M14+'5.3.c. sz. mell'!M14)</f>
        <v>0</v>
      </c>
    </row>
    <row r="15" spans="1:3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8">
        <f t="shared" si="1"/>
        <v>0</v>
      </c>
      <c r="L15" s="147">
        <v>0</v>
      </c>
      <c r="M15" s="147"/>
      <c r="R15" s="1876">
        <f t="shared" si="2"/>
        <v>0</v>
      </c>
      <c r="S15" s="248"/>
      <c r="T15" s="1885">
        <f t="shared" si="3"/>
        <v>0</v>
      </c>
      <c r="U15" s="248"/>
      <c r="V15" s="248">
        <f t="shared" si="0"/>
        <v>0</v>
      </c>
      <c r="W15" s="248"/>
      <c r="X15" s="1871">
        <f t="shared" si="0"/>
        <v>0</v>
      </c>
      <c r="Y15" s="2346">
        <f t="shared" si="0"/>
        <v>0</v>
      </c>
      <c r="Z15" s="1876">
        <f>SUM('5.3.a. sz. mell'!F15+'5.3 b. sz. mell'!F15+'5.3.c. sz. mell'!F15)</f>
        <v>0</v>
      </c>
      <c r="AA15" s="248"/>
      <c r="AB15" s="1885">
        <f>SUM('5.3.a. sz. mell'!H15+'5.3 b. sz. mell'!H15+'5.3.c. sz. mell'!H15)</f>
        <v>0</v>
      </c>
      <c r="AC15" s="248"/>
      <c r="AD15" s="248">
        <f>SUM('5.3.a. sz. mell'!J15+'5.3 b. sz. mell'!J15+'5.3.c. sz. mell'!J15)</f>
        <v>0</v>
      </c>
      <c r="AE15" s="248"/>
      <c r="AF15" s="1871">
        <f>SUM('5.3.a. sz. mell'!L15+'5.3 b. sz. mell'!L15+'5.3.c. sz. mell'!L15)</f>
        <v>0</v>
      </c>
      <c r="AG15" s="2300">
        <f>SUM('5.3.a. sz. mell'!M15+'5.3 b. sz. mell'!M15+'5.3.c. sz. mell'!M15)</f>
        <v>0</v>
      </c>
    </row>
    <row r="16" spans="1:3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0</v>
      </c>
      <c r="K16" s="1378">
        <f t="shared" si="1"/>
        <v>0</v>
      </c>
      <c r="L16" s="144">
        <v>0</v>
      </c>
      <c r="M16" s="144"/>
      <c r="R16" s="1876">
        <f t="shared" si="2"/>
        <v>0</v>
      </c>
      <c r="S16" s="248"/>
      <c r="T16" s="1885">
        <f t="shared" si="3"/>
        <v>0</v>
      </c>
      <c r="U16" s="248"/>
      <c r="V16" s="248">
        <f t="shared" si="0"/>
        <v>0</v>
      </c>
      <c r="W16" s="248"/>
      <c r="X16" s="1871">
        <f t="shared" si="0"/>
        <v>0</v>
      </c>
      <c r="Y16" s="2346">
        <f t="shared" si="0"/>
        <v>0</v>
      </c>
      <c r="Z16" s="1876">
        <f>SUM('5.3.a. sz. mell'!F16+'5.3 b. sz. mell'!F16+'5.3.c. sz. mell'!F16)</f>
        <v>0</v>
      </c>
      <c r="AA16" s="248"/>
      <c r="AB16" s="1885">
        <f>SUM('5.3.a. sz. mell'!H16+'5.3 b. sz. mell'!H16+'5.3.c. sz. mell'!H16)</f>
        <v>0</v>
      </c>
      <c r="AC16" s="248"/>
      <c r="AD16" s="248">
        <f>SUM('5.3.a. sz. mell'!J16+'5.3 b. sz. mell'!J16+'5.3.c. sz. mell'!J16)</f>
        <v>0</v>
      </c>
      <c r="AE16" s="248"/>
      <c r="AF16" s="1871">
        <f>SUM('5.3.a. sz. mell'!L16+'5.3 b. sz. mell'!L16+'5.3.c. sz. mell'!L16)</f>
        <v>0</v>
      </c>
      <c r="AG16" s="2300">
        <f>SUM('5.3.a. sz. mell'!M16+'5.3 b. sz. mell'!M16+'5.3.c. sz. mell'!M16)</f>
        <v>0</v>
      </c>
    </row>
    <row r="17" spans="1:3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>
        <f t="shared" si="1"/>
        <v>0</v>
      </c>
      <c r="L17" s="153">
        <v>0</v>
      </c>
      <c r="M17" s="153"/>
      <c r="R17" s="1876">
        <f t="shared" si="2"/>
        <v>0</v>
      </c>
      <c r="S17" s="248"/>
      <c r="T17" s="1885">
        <f t="shared" si="3"/>
        <v>0</v>
      </c>
      <c r="U17" s="248"/>
      <c r="V17" s="248">
        <f t="shared" si="0"/>
        <v>0</v>
      </c>
      <c r="W17" s="248"/>
      <c r="X17" s="1871">
        <f t="shared" si="0"/>
        <v>0</v>
      </c>
      <c r="Y17" s="2346">
        <f t="shared" si="0"/>
        <v>0</v>
      </c>
      <c r="Z17" s="1876">
        <f>SUM('5.3.a. sz. mell'!F17+'5.3 b. sz. mell'!F17+'5.3.c. sz. mell'!F17)</f>
        <v>0</v>
      </c>
      <c r="AA17" s="248"/>
      <c r="AB17" s="1885">
        <f>SUM('5.3.a. sz. mell'!H17+'5.3 b. sz. mell'!H17+'5.3.c. sz. mell'!H17)</f>
        <v>0</v>
      </c>
      <c r="AC17" s="248"/>
      <c r="AD17" s="248">
        <f>SUM('5.3.a. sz. mell'!J17+'5.3 b. sz. mell'!J17+'5.3.c. sz. mell'!J17)</f>
        <v>0</v>
      </c>
      <c r="AE17" s="248"/>
      <c r="AF17" s="1871">
        <f>SUM('5.3.a. sz. mell'!L17+'5.3 b. sz. mell'!L17+'5.3.c. sz. mell'!L17)</f>
        <v>0</v>
      </c>
      <c r="AG17" s="2300">
        <f>SUM('5.3.a. sz. mell'!M17+'5.3 b. sz. mell'!M17+'5.3.c. sz. mell'!M17)</f>
        <v>0</v>
      </c>
    </row>
    <row r="18" spans="1:3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>
        <v>42811</v>
      </c>
      <c r="K18" s="1378">
        <f>SUM(L18-J18)</f>
        <v>0</v>
      </c>
      <c r="L18" s="153">
        <v>42811</v>
      </c>
      <c r="M18" s="153">
        <v>42811</v>
      </c>
      <c r="R18" s="1876">
        <f t="shared" si="2"/>
        <v>0</v>
      </c>
      <c r="S18" s="248"/>
      <c r="T18" s="1885">
        <f t="shared" si="3"/>
        <v>0</v>
      </c>
      <c r="U18" s="248"/>
      <c r="V18" s="248">
        <f t="shared" si="0"/>
        <v>0</v>
      </c>
      <c r="W18" s="248"/>
      <c r="X18" s="1871">
        <f t="shared" si="0"/>
        <v>0</v>
      </c>
      <c r="Y18" s="2346">
        <f t="shared" si="0"/>
        <v>0</v>
      </c>
      <c r="Z18" s="1876">
        <f>SUM('5.3.a. sz. mell'!F18+'5.3 b. sz. mell'!F18+'5.3.c. sz. mell'!F18)</f>
        <v>0</v>
      </c>
      <c r="AA18" s="248"/>
      <c r="AB18" s="1885">
        <f>SUM('5.3.a. sz. mell'!H18+'5.3 b. sz. mell'!H18+'5.3.c. sz. mell'!H18)</f>
        <v>0</v>
      </c>
      <c r="AC18" s="248"/>
      <c r="AD18" s="248">
        <f>SUM('5.3.a. sz. mell'!J18+'5.3 b. sz. mell'!J18+'5.3.c. sz. mell'!J18)</f>
        <v>42811</v>
      </c>
      <c r="AE18" s="248"/>
      <c r="AF18" s="1871">
        <f>SUM('5.3.a. sz. mell'!L18+'5.3 b. sz. mell'!L18+'5.3.c. sz. mell'!L18)</f>
        <v>42811</v>
      </c>
      <c r="AG18" s="2300">
        <f>SUM('5.3.a. sz. mell'!M18+'5.3 b. sz. mell'!M18+'5.3.c. sz. mell'!M18)</f>
        <v>42811</v>
      </c>
    </row>
    <row r="19" spans="1:33" s="141" customFormat="1" ht="33" customHeight="1" thickBot="1" x14ac:dyDescent="0.25">
      <c r="A19" s="134" t="s">
        <v>17</v>
      </c>
      <c r="B19" s="148"/>
      <c r="C19" s="247" t="s">
        <v>419</v>
      </c>
      <c r="D19" s="137">
        <f>SUM(D20:D25)</f>
        <v>68967</v>
      </c>
      <c r="E19" s="137">
        <f>SUM(E20:E25)</f>
        <v>70906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  <c r="R19" s="1876">
        <f t="shared" si="2"/>
        <v>0</v>
      </c>
      <c r="S19" s="248"/>
      <c r="T19" s="1885">
        <f t="shared" si="3"/>
        <v>0</v>
      </c>
      <c r="U19" s="248"/>
      <c r="V19" s="248">
        <f t="shared" si="0"/>
        <v>0</v>
      </c>
      <c r="W19" s="248"/>
      <c r="X19" s="1871">
        <f t="shared" si="0"/>
        <v>0</v>
      </c>
      <c r="Y19" s="2346">
        <f t="shared" si="0"/>
        <v>0</v>
      </c>
      <c r="Z19" s="1876">
        <f>SUM('5.3.a. sz. mell'!F19+'5.3 b. sz. mell'!F19+'5.3.c. sz. mell'!F19)</f>
        <v>0</v>
      </c>
      <c r="AA19" s="248"/>
      <c r="AB19" s="1885">
        <f>SUM('5.3.a. sz. mell'!H19+'5.3 b. sz. mell'!H19+'5.3.c. sz. mell'!H19)</f>
        <v>0</v>
      </c>
      <c r="AC19" s="248"/>
      <c r="AD19" s="248">
        <f>SUM('5.3.a. sz. mell'!J19+'5.3 b. sz. mell'!J19+'5.3.c. sz. mell'!J19)</f>
        <v>0</v>
      </c>
      <c r="AE19" s="248"/>
      <c r="AF19" s="1871">
        <f>SUM('5.3.a. sz. mell'!L19+'5.3 b. sz. mell'!L19+'5.3.c. sz. mell'!L19)</f>
        <v>0</v>
      </c>
      <c r="AG19" s="2300">
        <f>SUM('5.3.a. sz. mell'!M19+'5.3 b. sz. mell'!M19+'5.3.c. sz. mell'!M19)</f>
        <v>0</v>
      </c>
    </row>
    <row r="20" spans="1:33" s="145" customFormat="1" ht="30" x14ac:dyDescent="0.2">
      <c r="A20" s="142"/>
      <c r="B20" s="143" t="s">
        <v>5</v>
      </c>
      <c r="C20" s="251" t="s">
        <v>420</v>
      </c>
      <c r="D20" s="144">
        <v>68967</v>
      </c>
      <c r="E20" s="144">
        <v>70906</v>
      </c>
      <c r="F20" s="144"/>
      <c r="G20" s="1415"/>
      <c r="H20" s="144"/>
      <c r="I20" s="1376"/>
      <c r="J20" s="144"/>
      <c r="K20" s="1376"/>
      <c r="L20" s="144"/>
      <c r="M20" s="144"/>
      <c r="R20" s="1876">
        <f t="shared" si="2"/>
        <v>0</v>
      </c>
      <c r="S20" s="248"/>
      <c r="T20" s="1885">
        <f t="shared" si="3"/>
        <v>0</v>
      </c>
      <c r="U20" s="248"/>
      <c r="V20" s="248">
        <f t="shared" si="0"/>
        <v>0</v>
      </c>
      <c r="W20" s="248"/>
      <c r="X20" s="1871">
        <f t="shared" si="0"/>
        <v>0</v>
      </c>
      <c r="Y20" s="2346">
        <f t="shared" si="0"/>
        <v>0</v>
      </c>
      <c r="Z20" s="1876">
        <f>SUM('5.3.a. sz. mell'!F20+'5.3 b. sz. mell'!F20+'5.3.c. sz. mell'!F20)</f>
        <v>0</v>
      </c>
      <c r="AA20" s="248"/>
      <c r="AB20" s="1885">
        <f>SUM('5.3.a. sz. mell'!H20+'5.3 b. sz. mell'!H20+'5.3.c. sz. mell'!H20)</f>
        <v>0</v>
      </c>
      <c r="AC20" s="248"/>
      <c r="AD20" s="248">
        <f>SUM('5.3.a. sz. mell'!J20+'5.3 b. sz. mell'!J20+'5.3.c. sz. mell'!J20)</f>
        <v>0</v>
      </c>
      <c r="AE20" s="248"/>
      <c r="AF20" s="1871">
        <f>SUM('5.3.a. sz. mell'!L20+'5.3 b. sz. mell'!L20+'5.3.c. sz. mell'!L20)</f>
        <v>0</v>
      </c>
      <c r="AG20" s="2300">
        <f>SUM('5.3.a. sz. mell'!M20+'5.3 b. sz. mell'!M20+'5.3.c. sz. mell'!M20)</f>
        <v>0</v>
      </c>
    </row>
    <row r="21" spans="1:33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/>
      <c r="H21" s="144">
        <v>0</v>
      </c>
      <c r="I21" s="1376"/>
      <c r="J21" s="144">
        <v>0</v>
      </c>
      <c r="K21" s="1376"/>
      <c r="L21" s="144">
        <v>0</v>
      </c>
      <c r="M21" s="144">
        <v>0</v>
      </c>
      <c r="R21" s="1876">
        <f t="shared" si="2"/>
        <v>0</v>
      </c>
      <c r="S21" s="248"/>
      <c r="T21" s="1885">
        <f t="shared" si="3"/>
        <v>0</v>
      </c>
      <c r="U21" s="248"/>
      <c r="V21" s="248">
        <f t="shared" si="0"/>
        <v>0</v>
      </c>
      <c r="W21" s="248"/>
      <c r="X21" s="1871">
        <f t="shared" si="0"/>
        <v>0</v>
      </c>
      <c r="Y21" s="2346">
        <f t="shared" si="0"/>
        <v>0</v>
      </c>
      <c r="Z21" s="1876">
        <f>SUM('5.3.a. sz. mell'!F21+'5.3 b. sz. mell'!F21+'5.3.c. sz. mell'!F21)</f>
        <v>0</v>
      </c>
      <c r="AA21" s="248"/>
      <c r="AB21" s="1885">
        <f>SUM('5.3.a. sz. mell'!H21+'5.3 b. sz. mell'!H21+'5.3.c. sz. mell'!H21)</f>
        <v>0</v>
      </c>
      <c r="AC21" s="248"/>
      <c r="AD21" s="248">
        <f>SUM('5.3.a. sz. mell'!J21+'5.3 b. sz. mell'!J21+'5.3.c. sz. mell'!J21)</f>
        <v>0</v>
      </c>
      <c r="AE21" s="248"/>
      <c r="AF21" s="1871">
        <f>SUM('5.3.a. sz. mell'!L21+'5.3 b. sz. mell'!L21+'5.3.c. sz. mell'!L21)</f>
        <v>0</v>
      </c>
      <c r="AG21" s="2300">
        <f>SUM('5.3.a. sz. mell'!M21+'5.3 b. sz. mell'!M21+'5.3.c. sz. mell'!M21)</f>
        <v>0</v>
      </c>
    </row>
    <row r="22" spans="1:33" s="145" customFormat="1" ht="15" customHeight="1" x14ac:dyDescent="0.2">
      <c r="A22" s="142"/>
      <c r="B22" s="143" t="s">
        <v>360</v>
      </c>
      <c r="C22" s="55" t="s">
        <v>1430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  <c r="R22" s="1876">
        <f t="shared" si="2"/>
        <v>0</v>
      </c>
      <c r="S22" s="248"/>
      <c r="T22" s="1885">
        <f t="shared" si="3"/>
        <v>0</v>
      </c>
      <c r="U22" s="248"/>
      <c r="V22" s="248">
        <f t="shared" si="0"/>
        <v>0</v>
      </c>
      <c r="W22" s="248"/>
      <c r="X22" s="1871">
        <f t="shared" si="0"/>
        <v>0</v>
      </c>
      <c r="Y22" s="2346">
        <f t="shared" si="0"/>
        <v>0</v>
      </c>
      <c r="Z22" s="1876">
        <f>SUM('5.3.a. sz. mell'!F22+'5.3 b. sz. mell'!F22+'5.3.c. sz. mell'!F22)</f>
        <v>0</v>
      </c>
      <c r="AA22" s="248"/>
      <c r="AB22" s="1885">
        <f>SUM('5.3.a. sz. mell'!H22+'5.3 b. sz. mell'!H22+'5.3.c. sz. mell'!H22)</f>
        <v>0</v>
      </c>
      <c r="AC22" s="248"/>
      <c r="AD22" s="248">
        <f>SUM('5.3.a. sz. mell'!J22+'5.3 b. sz. mell'!J22+'5.3.c. sz. mell'!J22)</f>
        <v>0</v>
      </c>
      <c r="AE22" s="248"/>
      <c r="AF22" s="1871">
        <f>SUM('5.3.a. sz. mell'!L22+'5.3 b. sz. mell'!L22+'5.3.c. sz. mell'!L22)</f>
        <v>0</v>
      </c>
      <c r="AG22" s="2300">
        <f>SUM('5.3.a. sz. mell'!M22+'5.3 b. sz. mell'!M22+'5.3.c. sz. mell'!M22)</f>
        <v>0</v>
      </c>
    </row>
    <row r="23" spans="1:3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  <c r="R23" s="1876">
        <f t="shared" si="2"/>
        <v>0</v>
      </c>
      <c r="S23" s="248"/>
      <c r="T23" s="1885">
        <f t="shared" si="3"/>
        <v>0</v>
      </c>
      <c r="U23" s="248"/>
      <c r="V23" s="248">
        <f t="shared" si="0"/>
        <v>0</v>
      </c>
      <c r="W23" s="248"/>
      <c r="X23" s="1871">
        <f t="shared" si="0"/>
        <v>0</v>
      </c>
      <c r="Y23" s="2346">
        <f t="shared" si="0"/>
        <v>0</v>
      </c>
      <c r="Z23" s="1876">
        <f>SUM('5.3.a. sz. mell'!F23+'5.3 b. sz. mell'!F23+'5.3.c. sz. mell'!F23)</f>
        <v>0</v>
      </c>
      <c r="AA23" s="248"/>
      <c r="AB23" s="1885">
        <f>SUM('5.3.a. sz. mell'!H23+'5.3 b. sz. mell'!H23+'5.3.c. sz. mell'!H23)</f>
        <v>0</v>
      </c>
      <c r="AC23" s="248"/>
      <c r="AD23" s="248">
        <f>SUM('5.3.a. sz. mell'!J23+'5.3 b. sz. mell'!J23+'5.3.c. sz. mell'!J23)</f>
        <v>0</v>
      </c>
      <c r="AE23" s="248"/>
      <c r="AF23" s="1871">
        <f>SUM('5.3.a. sz. mell'!L23+'5.3 b. sz. mell'!L23+'5.3.c. sz. mell'!L23)</f>
        <v>0</v>
      </c>
      <c r="AG23" s="2300">
        <f>SUM('5.3.a. sz. mell'!M23+'5.3 b. sz. mell'!M23+'5.3.c. sz. mell'!M23)</f>
        <v>0</v>
      </c>
    </row>
    <row r="24" spans="1:3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  <c r="R24" s="1876">
        <f t="shared" si="2"/>
        <v>0</v>
      </c>
      <c r="S24" s="248"/>
      <c r="T24" s="1885">
        <f t="shared" si="3"/>
        <v>0</v>
      </c>
      <c r="U24" s="248"/>
      <c r="V24" s="248">
        <f t="shared" ref="V24:V62" si="4">SUM(J24-AD24)</f>
        <v>0</v>
      </c>
      <c r="W24" s="248"/>
      <c r="X24" s="1871">
        <f t="shared" ref="X24:X62" si="5">SUM(L24-AF24)</f>
        <v>0</v>
      </c>
      <c r="Y24" s="2346">
        <f t="shared" ref="Y24:Y62" si="6">SUM(M24-AG24)</f>
        <v>0</v>
      </c>
      <c r="Z24" s="1876">
        <f>SUM('5.3.a. sz. mell'!F24+'5.3 b. sz. mell'!F24+'5.3.c. sz. mell'!F24)</f>
        <v>0</v>
      </c>
      <c r="AA24" s="248"/>
      <c r="AB24" s="1885">
        <f>SUM('5.3.a. sz. mell'!H24+'5.3 b. sz. mell'!H24+'5.3.c. sz. mell'!H24)</f>
        <v>0</v>
      </c>
      <c r="AC24" s="248"/>
      <c r="AD24" s="248">
        <f>SUM('5.3.a. sz. mell'!J24+'5.3 b. sz. mell'!J24+'5.3.c. sz. mell'!J24)</f>
        <v>0</v>
      </c>
      <c r="AE24" s="248"/>
      <c r="AF24" s="1871">
        <f>SUM('5.3.a. sz. mell'!L24+'5.3 b. sz. mell'!L24+'5.3.c. sz. mell'!L24)</f>
        <v>0</v>
      </c>
      <c r="AG24" s="2300">
        <f>SUM('5.3.a. sz. mell'!M24+'5.3 b. sz. mell'!M24+'5.3.c. sz. mell'!M24)</f>
        <v>0</v>
      </c>
    </row>
    <row r="25" spans="1:3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  <c r="R25" s="1876">
        <f t="shared" si="2"/>
        <v>0</v>
      </c>
      <c r="S25" s="248"/>
      <c r="T25" s="1885">
        <f t="shared" si="3"/>
        <v>0</v>
      </c>
      <c r="U25" s="248"/>
      <c r="V25" s="248">
        <f t="shared" si="4"/>
        <v>0</v>
      </c>
      <c r="W25" s="248"/>
      <c r="X25" s="1871">
        <f t="shared" si="5"/>
        <v>0</v>
      </c>
      <c r="Y25" s="2346">
        <f t="shared" si="6"/>
        <v>0</v>
      </c>
      <c r="Z25" s="1876">
        <f>SUM('5.3.a. sz. mell'!F25+'5.3 b. sz. mell'!F25+'5.3.c. sz. mell'!F25)</f>
        <v>0</v>
      </c>
      <c r="AA25" s="248"/>
      <c r="AB25" s="1885">
        <f>SUM('5.3.a. sz. mell'!H25+'5.3 b. sz. mell'!H25+'5.3.c. sz. mell'!H25)</f>
        <v>0</v>
      </c>
      <c r="AC25" s="248"/>
      <c r="AD25" s="248">
        <f>SUM('5.3.a. sz. mell'!J25+'5.3 b. sz. mell'!J25+'5.3.c. sz. mell'!J25)</f>
        <v>0</v>
      </c>
      <c r="AE25" s="248"/>
      <c r="AF25" s="1871">
        <f>SUM('5.3.a. sz. mell'!L25+'5.3 b. sz. mell'!L25+'5.3.c. sz. mell'!L25)</f>
        <v>0</v>
      </c>
      <c r="AG25" s="2300">
        <f>SUM('5.3.a. sz. mell'!M25+'5.3 b. sz. mell'!M25+'5.3.c. sz. mell'!M25)</f>
        <v>0</v>
      </c>
    </row>
    <row r="26" spans="1:3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v>0</v>
      </c>
      <c r="G26" s="1381"/>
      <c r="H26" s="155">
        <v>0</v>
      </c>
      <c r="I26" s="1380"/>
      <c r="J26" s="155">
        <v>0</v>
      </c>
      <c r="K26" s="1380"/>
      <c r="L26" s="155">
        <v>0</v>
      </c>
      <c r="M26" s="155">
        <v>0</v>
      </c>
      <c r="R26" s="1876">
        <f t="shared" si="2"/>
        <v>0</v>
      </c>
      <c r="S26" s="248"/>
      <c r="T26" s="1885">
        <f t="shared" si="3"/>
        <v>0</v>
      </c>
      <c r="U26" s="248"/>
      <c r="V26" s="248">
        <f t="shared" si="4"/>
        <v>0</v>
      </c>
      <c r="W26" s="248"/>
      <c r="X26" s="1871">
        <f t="shared" si="5"/>
        <v>0</v>
      </c>
      <c r="Y26" s="2346">
        <f t="shared" si="6"/>
        <v>0</v>
      </c>
      <c r="Z26" s="1876">
        <f>SUM('5.3.a. sz. mell'!F26+'5.3 b. sz. mell'!F26+'5.3.c. sz. mell'!F26)</f>
        <v>0</v>
      </c>
      <c r="AA26" s="248"/>
      <c r="AB26" s="1885">
        <f>SUM('5.3.a. sz. mell'!H26+'5.3 b. sz. mell'!H26+'5.3.c. sz. mell'!H26)</f>
        <v>0</v>
      </c>
      <c r="AC26" s="248"/>
      <c r="AD26" s="248">
        <f>SUM('5.3.a. sz. mell'!J26+'5.3 b. sz. mell'!J26+'5.3.c. sz. mell'!J26)</f>
        <v>0</v>
      </c>
      <c r="AE26" s="248"/>
      <c r="AF26" s="1871">
        <f>SUM('5.3.a. sz. mell'!L26+'5.3 b. sz. mell'!L26+'5.3.c. sz. mell'!L26)</f>
        <v>0</v>
      </c>
      <c r="AG26" s="2300">
        <f>SUM('5.3.a. sz. mell'!M26+'5.3 b. sz. mell'!M26+'5.3.c. sz. mell'!M26)</f>
        <v>0</v>
      </c>
    </row>
    <row r="27" spans="1:33" s="145" customFormat="1" ht="1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252">
        <v>0</v>
      </c>
      <c r="G27" s="1509"/>
      <c r="H27" s="252">
        <v>0</v>
      </c>
      <c r="I27" s="1436"/>
      <c r="J27" s="252">
        <v>0</v>
      </c>
      <c r="K27" s="1436"/>
      <c r="L27" s="252">
        <v>0</v>
      </c>
      <c r="M27" s="252">
        <v>0</v>
      </c>
      <c r="R27" s="1876">
        <f t="shared" si="2"/>
        <v>0</v>
      </c>
      <c r="S27" s="248"/>
      <c r="T27" s="1885">
        <f t="shared" si="3"/>
        <v>0</v>
      </c>
      <c r="U27" s="248"/>
      <c r="V27" s="248">
        <f t="shared" si="4"/>
        <v>0</v>
      </c>
      <c r="W27" s="248"/>
      <c r="X27" s="1871">
        <f t="shared" si="5"/>
        <v>0</v>
      </c>
      <c r="Y27" s="2346">
        <f t="shared" si="6"/>
        <v>0</v>
      </c>
      <c r="Z27" s="1876">
        <f>SUM('5.3.a. sz. mell'!F27+'5.3 b. sz. mell'!F27+'5.3.c. sz. mell'!F27)</f>
        <v>0</v>
      </c>
      <c r="AA27" s="248"/>
      <c r="AB27" s="1885">
        <f>SUM('5.3.a. sz. mell'!H27+'5.3 b. sz. mell'!H27+'5.3.c. sz. mell'!H27)</f>
        <v>0</v>
      </c>
      <c r="AC27" s="248"/>
      <c r="AD27" s="248">
        <f>SUM('5.3.a. sz. mell'!J27+'5.3 b. sz. mell'!J27+'5.3.c. sz. mell'!J27)</f>
        <v>0</v>
      </c>
      <c r="AE27" s="248"/>
      <c r="AF27" s="1871">
        <f>SUM('5.3.a. sz. mell'!L27+'5.3 b. sz. mell'!L27+'5.3.c. sz. mell'!L27)</f>
        <v>0</v>
      </c>
      <c r="AG27" s="2300">
        <f>SUM('5.3.a. sz. mell'!M27+'5.3 b. sz. mell'!M27+'5.3.c. sz. mell'!M27)</f>
        <v>0</v>
      </c>
    </row>
    <row r="28" spans="1:33" s="141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v>0</v>
      </c>
      <c r="G28" s="1381"/>
      <c r="H28" s="155">
        <v>0</v>
      </c>
      <c r="I28" s="1380"/>
      <c r="J28" s="155">
        <v>0</v>
      </c>
      <c r="K28" s="1380"/>
      <c r="L28" s="155">
        <v>0</v>
      </c>
      <c r="M28" s="155">
        <v>0</v>
      </c>
      <c r="R28" s="1876">
        <f t="shared" si="2"/>
        <v>0</v>
      </c>
      <c r="S28" s="248"/>
      <c r="T28" s="1885">
        <f t="shared" si="3"/>
        <v>0</v>
      </c>
      <c r="U28" s="248"/>
      <c r="V28" s="248">
        <f t="shared" si="4"/>
        <v>0</v>
      </c>
      <c r="W28" s="248"/>
      <c r="X28" s="1871">
        <f t="shared" si="5"/>
        <v>0</v>
      </c>
      <c r="Y28" s="2346">
        <f t="shared" si="6"/>
        <v>0</v>
      </c>
      <c r="Z28" s="1876">
        <f>SUM('5.3.a. sz. mell'!F28+'5.3 b. sz. mell'!F28+'5.3.c. sz. mell'!F28)</f>
        <v>0</v>
      </c>
      <c r="AA28" s="248"/>
      <c r="AB28" s="1885">
        <f>SUM('5.3.a. sz. mell'!H28+'5.3 b. sz. mell'!H28+'5.3.c. sz. mell'!H28)</f>
        <v>0</v>
      </c>
      <c r="AC28" s="248"/>
      <c r="AD28" s="248">
        <f>SUM('5.3.a. sz. mell'!J28+'5.3 b. sz. mell'!J28+'5.3.c. sz. mell'!J28)</f>
        <v>0</v>
      </c>
      <c r="AE28" s="248"/>
      <c r="AF28" s="1871">
        <f>SUM('5.3.a. sz. mell'!L28+'5.3 b. sz. mell'!L28+'5.3.c. sz. mell'!L28)</f>
        <v>0</v>
      </c>
      <c r="AG28" s="2300">
        <f>SUM('5.3.a. sz. mell'!M28+'5.3 b. sz. mell'!M28+'5.3.c. sz. mell'!M28)</f>
        <v>0</v>
      </c>
    </row>
    <row r="29" spans="1:33" s="141" customFormat="1" ht="15" customHeight="1" thickBot="1" x14ac:dyDescent="0.25">
      <c r="A29" s="149"/>
      <c r="B29" s="253" t="s">
        <v>33</v>
      </c>
      <c r="C29" s="55" t="s">
        <v>359</v>
      </c>
      <c r="D29" s="295"/>
      <c r="E29" s="295"/>
      <c r="F29" s="144">
        <v>0</v>
      </c>
      <c r="G29" s="1415"/>
      <c r="H29" s="144">
        <v>0</v>
      </c>
      <c r="I29" s="1376"/>
      <c r="J29" s="144">
        <v>0</v>
      </c>
      <c r="K29" s="1376"/>
      <c r="L29" s="144">
        <v>0</v>
      </c>
      <c r="M29" s="144">
        <v>0</v>
      </c>
      <c r="R29" s="1876">
        <f t="shared" si="2"/>
        <v>0</v>
      </c>
      <c r="S29" s="248"/>
      <c r="T29" s="1885">
        <f t="shared" si="3"/>
        <v>0</v>
      </c>
      <c r="U29" s="248"/>
      <c r="V29" s="248">
        <f t="shared" si="4"/>
        <v>0</v>
      </c>
      <c r="W29" s="248"/>
      <c r="X29" s="1871">
        <f t="shared" si="5"/>
        <v>0</v>
      </c>
      <c r="Y29" s="2346">
        <f t="shared" si="6"/>
        <v>0</v>
      </c>
      <c r="Z29" s="1876">
        <f>SUM('5.3.a. sz. mell'!F29+'5.3 b. sz. mell'!F29+'5.3.c. sz. mell'!F29)</f>
        <v>0</v>
      </c>
      <c r="AA29" s="248"/>
      <c r="AB29" s="1885">
        <f>SUM('5.3.a. sz. mell'!H29+'5.3 b. sz. mell'!H29+'5.3.c. sz. mell'!H29)</f>
        <v>0</v>
      </c>
      <c r="AC29" s="248"/>
      <c r="AD29" s="248">
        <f>SUM('5.3.a. sz. mell'!J29+'5.3 b. sz. mell'!J29+'5.3.c. sz. mell'!J29)</f>
        <v>0</v>
      </c>
      <c r="AE29" s="248"/>
      <c r="AF29" s="1871">
        <f>SUM('5.3.a. sz. mell'!L29+'5.3 b. sz. mell'!L29+'5.3.c. sz. mell'!L29)</f>
        <v>0</v>
      </c>
      <c r="AG29" s="2300">
        <f>SUM('5.3.a. sz. mell'!M29+'5.3 b. sz. mell'!M29+'5.3.c. sz. mell'!M29)</f>
        <v>0</v>
      </c>
    </row>
    <row r="30" spans="1:33" s="141" customFormat="1" ht="15" customHeight="1" thickBot="1" x14ac:dyDescent="0.25">
      <c r="A30" s="146"/>
      <c r="B30" s="253" t="s">
        <v>39</v>
      </c>
      <c r="C30" s="55" t="s">
        <v>72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  <c r="R30" s="1876">
        <f t="shared" si="2"/>
        <v>0</v>
      </c>
      <c r="S30" s="248"/>
      <c r="T30" s="1885">
        <f t="shared" si="3"/>
        <v>0</v>
      </c>
      <c r="U30" s="248"/>
      <c r="V30" s="248">
        <f t="shared" si="4"/>
        <v>0</v>
      </c>
      <c r="W30" s="248"/>
      <c r="X30" s="1871">
        <f t="shared" si="5"/>
        <v>0</v>
      </c>
      <c r="Y30" s="2346">
        <f t="shared" si="6"/>
        <v>0</v>
      </c>
      <c r="Z30" s="1876">
        <f>SUM('5.3.a. sz. mell'!F30+'5.3 b. sz. mell'!F30+'5.3.c. sz. mell'!F30)</f>
        <v>0</v>
      </c>
      <c r="AA30" s="248"/>
      <c r="AB30" s="1885">
        <f>SUM('5.3.a. sz. mell'!H30+'5.3 b. sz. mell'!H30+'5.3.c. sz. mell'!H30)</f>
        <v>0</v>
      </c>
      <c r="AC30" s="248"/>
      <c r="AD30" s="248">
        <f>SUM('5.3.a. sz. mell'!J30+'5.3 b. sz. mell'!J30+'5.3.c. sz. mell'!J30)</f>
        <v>0</v>
      </c>
      <c r="AE30" s="248"/>
      <c r="AF30" s="1871">
        <f>SUM('5.3.a. sz. mell'!L30+'5.3 b. sz. mell'!L30+'5.3.c. sz. mell'!L30)</f>
        <v>0</v>
      </c>
      <c r="AG30" s="2300">
        <f>SUM('5.3.a. sz. mell'!M30+'5.3 b. sz. mell'!M30+'5.3.c. sz. mell'!M30)</f>
        <v>0</v>
      </c>
    </row>
    <row r="31" spans="1:33" s="141" customFormat="1" ht="15" customHeight="1" thickBot="1" x14ac:dyDescent="0.25">
      <c r="A31" s="178"/>
      <c r="B31" s="253" t="s">
        <v>41</v>
      </c>
      <c r="C31" s="55" t="s">
        <v>74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  <c r="R31" s="1876">
        <f t="shared" si="2"/>
        <v>0</v>
      </c>
      <c r="S31" s="248"/>
      <c r="T31" s="1885">
        <f t="shared" si="3"/>
        <v>0</v>
      </c>
      <c r="U31" s="248"/>
      <c r="V31" s="248">
        <f t="shared" si="4"/>
        <v>0</v>
      </c>
      <c r="W31" s="248"/>
      <c r="X31" s="1871">
        <f t="shared" si="5"/>
        <v>0</v>
      </c>
      <c r="Y31" s="2346">
        <f t="shared" si="6"/>
        <v>0</v>
      </c>
      <c r="Z31" s="1876">
        <f>SUM('5.3.a. sz. mell'!F31+'5.3 b. sz. mell'!F31+'5.3.c. sz. mell'!F31)</f>
        <v>0</v>
      </c>
      <c r="AA31" s="248"/>
      <c r="AB31" s="1885">
        <f>SUM('5.3.a. sz. mell'!H31+'5.3 b. sz. mell'!H31+'5.3.c. sz. mell'!H31)</f>
        <v>0</v>
      </c>
      <c r="AC31" s="248"/>
      <c r="AD31" s="248">
        <f>SUM('5.3.a. sz. mell'!J31+'5.3 b. sz. mell'!J31+'5.3.c. sz. mell'!J31)</f>
        <v>0</v>
      </c>
      <c r="AE31" s="248"/>
      <c r="AF31" s="1871">
        <f>SUM('5.3.a. sz. mell'!L31+'5.3 b. sz. mell'!L31+'5.3.c. sz. mell'!L31)</f>
        <v>0</v>
      </c>
      <c r="AG31" s="2300">
        <f>SUM('5.3.a. sz. mell'!M31+'5.3 b. sz. mell'!M31+'5.3.c. sz. mell'!M31)</f>
        <v>0</v>
      </c>
    </row>
    <row r="32" spans="1:33" s="141" customFormat="1" ht="29.25" customHeight="1" thickBot="1" x14ac:dyDescent="0.25">
      <c r="A32" s="134" t="s">
        <v>67</v>
      </c>
      <c r="B32" s="254"/>
      <c r="C32" s="170" t="s">
        <v>429</v>
      </c>
      <c r="D32" s="295"/>
      <c r="E32" s="295"/>
      <c r="F32" s="295">
        <v>0</v>
      </c>
      <c r="G32" s="1381"/>
      <c r="H32" s="295">
        <v>0</v>
      </c>
      <c r="I32" s="1381"/>
      <c r="J32" s="295">
        <v>0</v>
      </c>
      <c r="K32" s="1381"/>
      <c r="L32" s="295">
        <v>0</v>
      </c>
      <c r="M32" s="295">
        <v>0</v>
      </c>
      <c r="R32" s="1876">
        <f t="shared" si="2"/>
        <v>0</v>
      </c>
      <c r="S32" s="248"/>
      <c r="T32" s="1885">
        <f t="shared" si="3"/>
        <v>0</v>
      </c>
      <c r="U32" s="248"/>
      <c r="V32" s="248">
        <f t="shared" si="4"/>
        <v>0</v>
      </c>
      <c r="W32" s="248"/>
      <c r="X32" s="1871">
        <f t="shared" si="5"/>
        <v>0</v>
      </c>
      <c r="Y32" s="2346">
        <f t="shared" si="6"/>
        <v>0</v>
      </c>
      <c r="Z32" s="1876">
        <f>SUM('5.3.a. sz. mell'!F32+'5.3 b. sz. mell'!F32+'5.3.c. sz. mell'!F32)</f>
        <v>0</v>
      </c>
      <c r="AA32" s="248"/>
      <c r="AB32" s="1885">
        <f>SUM('5.3.a. sz. mell'!H32+'5.3 b. sz. mell'!H32+'5.3.c. sz. mell'!H32)</f>
        <v>0</v>
      </c>
      <c r="AC32" s="248"/>
      <c r="AD32" s="248">
        <f>SUM('5.3.a. sz. mell'!J32+'5.3 b. sz. mell'!J32+'5.3.c. sz. mell'!J32)</f>
        <v>0</v>
      </c>
      <c r="AE32" s="248"/>
      <c r="AF32" s="1871">
        <f>SUM('5.3.a. sz. mell'!L32+'5.3 b. sz. mell'!L32+'5.3.c. sz. mell'!L32)</f>
        <v>0</v>
      </c>
      <c r="AG32" s="2300">
        <f>SUM('5.3.a. sz. mell'!M32+'5.3 b. sz. mell'!M32+'5.3.c. sz. mell'!M32)</f>
        <v>0</v>
      </c>
    </row>
    <row r="33" spans="1:33" s="141" customFormat="1" ht="30.75" thickBot="1" x14ac:dyDescent="0.25">
      <c r="A33" s="146"/>
      <c r="B33" s="255" t="s">
        <v>47</v>
      </c>
      <c r="C33" s="251" t="s">
        <v>430</v>
      </c>
      <c r="D33" s="295"/>
      <c r="E33" s="295"/>
      <c r="F33" s="144">
        <v>0</v>
      </c>
      <c r="G33" s="1415"/>
      <c r="H33" s="144">
        <v>0</v>
      </c>
      <c r="I33" s="1376"/>
      <c r="J33" s="144">
        <v>0</v>
      </c>
      <c r="K33" s="1376"/>
      <c r="L33" s="144">
        <v>0</v>
      </c>
      <c r="M33" s="144">
        <v>0</v>
      </c>
      <c r="R33" s="1876">
        <f t="shared" si="2"/>
        <v>0</v>
      </c>
      <c r="S33" s="248"/>
      <c r="T33" s="1885">
        <f t="shared" si="3"/>
        <v>0</v>
      </c>
      <c r="U33" s="248"/>
      <c r="V33" s="248">
        <f t="shared" si="4"/>
        <v>0</v>
      </c>
      <c r="W33" s="248"/>
      <c r="X33" s="1871">
        <f t="shared" si="5"/>
        <v>0</v>
      </c>
      <c r="Y33" s="2346">
        <f t="shared" si="6"/>
        <v>0</v>
      </c>
      <c r="Z33" s="1876">
        <f>SUM('5.3.a. sz. mell'!F33+'5.3 b. sz. mell'!F33+'5.3.c. sz. mell'!F33)</f>
        <v>0</v>
      </c>
      <c r="AA33" s="248"/>
      <c r="AB33" s="1885">
        <f>SUM('5.3.a. sz. mell'!H33+'5.3 b. sz. mell'!H33+'5.3.c. sz. mell'!H33)</f>
        <v>0</v>
      </c>
      <c r="AC33" s="248"/>
      <c r="AD33" s="248">
        <f>SUM('5.3.a. sz. mell'!J33+'5.3 b. sz. mell'!J33+'5.3.c. sz. mell'!J33)</f>
        <v>0</v>
      </c>
      <c r="AE33" s="248"/>
      <c r="AF33" s="1871">
        <f>SUM('5.3.a. sz. mell'!L33+'5.3 b. sz. mell'!L33+'5.3.c. sz. mell'!L33)</f>
        <v>0</v>
      </c>
      <c r="AG33" s="2300">
        <f>SUM('5.3.a. sz. mell'!M33+'5.3 b. sz. mell'!M33+'5.3.c. sz. mell'!M33)</f>
        <v>0</v>
      </c>
    </row>
    <row r="34" spans="1:33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>
        <v>0</v>
      </c>
      <c r="G34" s="1381"/>
      <c r="H34" s="295">
        <v>0</v>
      </c>
      <c r="I34" s="1381"/>
      <c r="J34" s="295">
        <v>0</v>
      </c>
      <c r="K34" s="1381"/>
      <c r="L34" s="295">
        <v>0</v>
      </c>
      <c r="M34" s="295">
        <v>0</v>
      </c>
      <c r="R34" s="1876">
        <f t="shared" si="2"/>
        <v>0</v>
      </c>
      <c r="S34" s="248"/>
      <c r="T34" s="1885">
        <f t="shared" si="3"/>
        <v>0</v>
      </c>
      <c r="U34" s="248"/>
      <c r="V34" s="248">
        <f t="shared" si="4"/>
        <v>0</v>
      </c>
      <c r="W34" s="248"/>
      <c r="X34" s="1871">
        <f t="shared" si="5"/>
        <v>0</v>
      </c>
      <c r="Y34" s="2346">
        <f t="shared" si="6"/>
        <v>0</v>
      </c>
      <c r="Z34" s="1876">
        <f>SUM('5.3.a. sz. mell'!F34+'5.3 b. sz. mell'!F34+'5.3.c. sz. mell'!F34)</f>
        <v>0</v>
      </c>
      <c r="AA34" s="248"/>
      <c r="AB34" s="1885">
        <f>SUM('5.3.a. sz. mell'!H34+'5.3 b. sz. mell'!H34+'5.3.c. sz. mell'!H34)</f>
        <v>0</v>
      </c>
      <c r="AC34" s="248"/>
      <c r="AD34" s="248">
        <f>SUM('5.3.a. sz. mell'!J34+'5.3 b. sz. mell'!J34+'5.3.c. sz. mell'!J34)</f>
        <v>0</v>
      </c>
      <c r="AE34" s="248"/>
      <c r="AF34" s="1871">
        <f>SUM('5.3.a. sz. mell'!L34+'5.3 b. sz. mell'!L34+'5.3.c. sz. mell'!L34)</f>
        <v>0</v>
      </c>
      <c r="AG34" s="2300">
        <f>SUM('5.3.a. sz. mell'!M34+'5.3 b. sz. mell'!M34+'5.3.c. sz. mell'!M34)</f>
        <v>0</v>
      </c>
    </row>
    <row r="35" spans="1:33" s="141" customFormat="1" ht="30.75" thickBot="1" x14ac:dyDescent="0.25">
      <c r="A35" s="258"/>
      <c r="B35" s="257" t="s">
        <v>69</v>
      </c>
      <c r="C35" s="55" t="s">
        <v>432</v>
      </c>
      <c r="D35" s="295"/>
      <c r="E35" s="295"/>
      <c r="F35" s="295">
        <v>0</v>
      </c>
      <c r="G35" s="1381"/>
      <c r="H35" s="295">
        <v>0</v>
      </c>
      <c r="I35" s="1381"/>
      <c r="J35" s="295">
        <v>0</v>
      </c>
      <c r="K35" s="1381"/>
      <c r="L35" s="295">
        <v>0</v>
      </c>
      <c r="M35" s="295">
        <v>0</v>
      </c>
      <c r="R35" s="1876">
        <f t="shared" si="2"/>
        <v>0</v>
      </c>
      <c r="S35" s="248"/>
      <c r="T35" s="1885">
        <f t="shared" si="3"/>
        <v>0</v>
      </c>
      <c r="U35" s="248"/>
      <c r="V35" s="248">
        <f t="shared" si="4"/>
        <v>0</v>
      </c>
      <c r="W35" s="248"/>
      <c r="X35" s="1871">
        <f t="shared" si="5"/>
        <v>0</v>
      </c>
      <c r="Y35" s="2346">
        <f t="shared" si="6"/>
        <v>0</v>
      </c>
      <c r="Z35" s="1876">
        <f>SUM('5.3.a. sz. mell'!F35+'5.3 b. sz. mell'!F35+'5.3.c. sz. mell'!F35)</f>
        <v>0</v>
      </c>
      <c r="AA35" s="248"/>
      <c r="AB35" s="1885">
        <f>SUM('5.3.a. sz. mell'!H35+'5.3 b. sz. mell'!H35+'5.3.c. sz. mell'!H35)</f>
        <v>0</v>
      </c>
      <c r="AC35" s="248"/>
      <c r="AD35" s="248">
        <f>SUM('5.3.a. sz. mell'!J35+'5.3 b. sz. mell'!J35+'5.3.c. sz. mell'!J35)</f>
        <v>0</v>
      </c>
      <c r="AE35" s="248"/>
      <c r="AF35" s="1871">
        <f>SUM('5.3.a. sz. mell'!L35+'5.3 b. sz. mell'!L35+'5.3.c. sz. mell'!L35)</f>
        <v>0</v>
      </c>
      <c r="AG35" s="2300">
        <f>SUM('5.3.a. sz. mell'!M35+'5.3 b. sz. mell'!M35+'5.3.c. sz. mell'!M35)</f>
        <v>0</v>
      </c>
    </row>
    <row r="36" spans="1:33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161</v>
      </c>
      <c r="F36" s="285">
        <f>SUM(F37:F39)</f>
        <v>124246920</v>
      </c>
      <c r="G36" s="1382">
        <f t="shared" ref="G36:K59" si="7">SUM(H36-F36)</f>
        <v>1848116</v>
      </c>
      <c r="H36" s="285">
        <f>SUM(H37:H39)</f>
        <v>126095036</v>
      </c>
      <c r="I36" s="1382">
        <f t="shared" si="7"/>
        <v>2589766</v>
      </c>
      <c r="J36" s="285">
        <f>SUM(J37:J39)</f>
        <v>128684802</v>
      </c>
      <c r="K36" s="1382">
        <f t="shared" si="7"/>
        <v>0</v>
      </c>
      <c r="L36" s="285">
        <f>SUM(L37:L39)</f>
        <v>128684802</v>
      </c>
      <c r="M36" s="285">
        <f>SUM(M37:M39)</f>
        <v>128684802</v>
      </c>
      <c r="R36" s="1876">
        <f t="shared" si="2"/>
        <v>0</v>
      </c>
      <c r="S36" s="248"/>
      <c r="T36" s="1885">
        <f t="shared" si="3"/>
        <v>0</v>
      </c>
      <c r="U36" s="248"/>
      <c r="V36" s="248">
        <f t="shared" si="4"/>
        <v>0</v>
      </c>
      <c r="W36" s="248"/>
      <c r="X36" s="1871">
        <f t="shared" si="5"/>
        <v>0</v>
      </c>
      <c r="Y36" s="2346">
        <f t="shared" si="6"/>
        <v>0</v>
      </c>
      <c r="Z36" s="1876">
        <f>SUM('5.3.a. sz. mell'!F36+'5.3 b. sz. mell'!F36+'5.3.c. sz. mell'!F36)</f>
        <v>124246920</v>
      </c>
      <c r="AA36" s="248"/>
      <c r="AB36" s="1885">
        <f>SUM('5.3.a. sz. mell'!H36+'5.3 b. sz. mell'!H36+'5.3.c. sz. mell'!H36)</f>
        <v>126095036</v>
      </c>
      <c r="AC36" s="248"/>
      <c r="AD36" s="248">
        <f>SUM('5.3.a. sz. mell'!J36+'5.3 b. sz. mell'!J36+'5.3.c. sz. mell'!J36)</f>
        <v>128684802</v>
      </c>
      <c r="AE36" s="248"/>
      <c r="AF36" s="1871">
        <f>SUM('5.3.a. sz. mell'!L36+'5.3 b. sz. mell'!L36+'5.3.c. sz. mell'!L36)</f>
        <v>128684802</v>
      </c>
      <c r="AG36" s="2300">
        <f>SUM('5.3.a. sz. mell'!M36+'5.3 b. sz. mell'!M36+'5.3.c. sz. mell'!M36)</f>
        <v>128684802</v>
      </c>
    </row>
    <row r="37" spans="1:33" s="141" customFormat="1" ht="15" x14ac:dyDescent="0.2">
      <c r="A37" s="149"/>
      <c r="B37" s="253" t="s">
        <v>81</v>
      </c>
      <c r="C37" s="55" t="s">
        <v>434</v>
      </c>
      <c r="D37" s="306">
        <v>0</v>
      </c>
      <c r="E37" s="306">
        <v>161</v>
      </c>
      <c r="F37" s="144">
        <v>0</v>
      </c>
      <c r="G37" s="1415">
        <f t="shared" si="7"/>
        <v>1475647</v>
      </c>
      <c r="H37" s="144">
        <v>1475647</v>
      </c>
      <c r="I37" s="1376">
        <f t="shared" si="7"/>
        <v>0</v>
      </c>
      <c r="J37" s="144">
        <v>1475647</v>
      </c>
      <c r="K37" s="1376">
        <f t="shared" si="7"/>
        <v>0</v>
      </c>
      <c r="L37" s="144">
        <v>1475647</v>
      </c>
      <c r="M37" s="144">
        <v>1475647</v>
      </c>
      <c r="R37" s="1876">
        <f t="shared" si="2"/>
        <v>0</v>
      </c>
      <c r="S37" s="248"/>
      <c r="T37" s="1885">
        <f t="shared" si="3"/>
        <v>0</v>
      </c>
      <c r="U37" s="248"/>
      <c r="V37" s="248">
        <f t="shared" si="4"/>
        <v>0</v>
      </c>
      <c r="W37" s="248"/>
      <c r="X37" s="1871">
        <f t="shared" si="5"/>
        <v>0</v>
      </c>
      <c r="Y37" s="2346">
        <f t="shared" si="6"/>
        <v>0</v>
      </c>
      <c r="Z37" s="1876">
        <f>SUM('5.3.a. sz. mell'!F37+'5.3 b. sz. mell'!F37+'5.3.c. sz. mell'!F37)</f>
        <v>0</v>
      </c>
      <c r="AA37" s="248"/>
      <c r="AB37" s="1885">
        <f>SUM('5.3.a. sz. mell'!H37+'5.3 b. sz. mell'!H37+'5.3.c. sz. mell'!H37)</f>
        <v>1475647</v>
      </c>
      <c r="AC37" s="248"/>
      <c r="AD37" s="248">
        <f>SUM('5.3.a. sz. mell'!J37+'5.3 b. sz. mell'!J37+'5.3.c. sz. mell'!J37)</f>
        <v>1475647</v>
      </c>
      <c r="AE37" s="248"/>
      <c r="AF37" s="1871">
        <f>SUM('5.3.a. sz. mell'!L37+'5.3 b. sz. mell'!L37+'5.3.c. sz. mell'!L37)</f>
        <v>1475647</v>
      </c>
      <c r="AG37" s="2300">
        <f>SUM('5.3.a. sz. mell'!M37+'5.3 b. sz. mell'!M37+'5.3.c. sz. mell'!M37)</f>
        <v>1475647</v>
      </c>
    </row>
    <row r="38" spans="1:33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294">
        <v>0</v>
      </c>
      <c r="F38" s="144">
        <v>0</v>
      </c>
      <c r="G38" s="1415">
        <f t="shared" si="7"/>
        <v>0</v>
      </c>
      <c r="H38" s="144">
        <v>0</v>
      </c>
      <c r="I38" s="1376">
        <f t="shared" si="7"/>
        <v>0</v>
      </c>
      <c r="J38" s="144"/>
      <c r="K38" s="1376">
        <f t="shared" si="7"/>
        <v>0</v>
      </c>
      <c r="L38" s="144"/>
      <c r="M38" s="144">
        <v>0</v>
      </c>
      <c r="R38" s="1876">
        <f t="shared" si="2"/>
        <v>0</v>
      </c>
      <c r="S38" s="248"/>
      <c r="T38" s="1885">
        <f t="shared" si="3"/>
        <v>0</v>
      </c>
      <c r="U38" s="248"/>
      <c r="V38" s="248">
        <f t="shared" si="4"/>
        <v>0</v>
      </c>
      <c r="W38" s="248"/>
      <c r="X38" s="1871">
        <f t="shared" si="5"/>
        <v>0</v>
      </c>
      <c r="Y38" s="2346">
        <f t="shared" si="6"/>
        <v>0</v>
      </c>
      <c r="Z38" s="1876">
        <f>SUM('5.3.a. sz. mell'!F38+'5.3 b. sz. mell'!F38+'5.3.c. sz. mell'!F38)</f>
        <v>0</v>
      </c>
      <c r="AA38" s="248"/>
      <c r="AB38" s="1885">
        <f>SUM('5.3.a. sz. mell'!H38+'5.3 b. sz. mell'!H38+'5.3.c. sz. mell'!H38)</f>
        <v>0</v>
      </c>
      <c r="AC38" s="248"/>
      <c r="AD38" s="248">
        <f>SUM('5.3.a. sz. mell'!J38+'5.3 b. sz. mell'!J38+'5.3.c. sz. mell'!J38)</f>
        <v>0</v>
      </c>
      <c r="AE38" s="248"/>
      <c r="AF38" s="1871">
        <f>SUM('5.3.a. sz. mell'!L38+'5.3 b. sz. mell'!L38+'5.3.c. sz. mell'!L38)</f>
        <v>0</v>
      </c>
      <c r="AG38" s="2300">
        <f>SUM('5.3.a. sz. mell'!M38+'5.3 b. sz. mell'!M38+'5.3.c. sz. mell'!M38)</f>
        <v>0</v>
      </c>
    </row>
    <row r="39" spans="1:33" s="145" customFormat="1" ht="15" customHeight="1" thickBot="1" x14ac:dyDescent="0.25">
      <c r="A39" s="142"/>
      <c r="B39" s="253" t="s">
        <v>85</v>
      </c>
      <c r="C39" s="55" t="s">
        <v>818</v>
      </c>
      <c r="D39" s="155">
        <v>2651</v>
      </c>
      <c r="E39" s="155">
        <v>5245</v>
      </c>
      <c r="F39" s="144">
        <f>SUM(F40:F41)</f>
        <v>124246920</v>
      </c>
      <c r="G39" s="1415">
        <f t="shared" si="7"/>
        <v>372469</v>
      </c>
      <c r="H39" s="144">
        <f>SUM(H40:H41)</f>
        <v>124619389</v>
      </c>
      <c r="I39" s="1376">
        <f t="shared" si="7"/>
        <v>2589766</v>
      </c>
      <c r="J39" s="144">
        <f>SUM(J40:J41)</f>
        <v>127209155</v>
      </c>
      <c r="K39" s="1376">
        <f t="shared" si="7"/>
        <v>0</v>
      </c>
      <c r="L39" s="144">
        <f>SUM(L40:L41)</f>
        <v>127209155</v>
      </c>
      <c r="M39" s="144">
        <f>SUM(M40:M41)</f>
        <v>127209155</v>
      </c>
      <c r="O39" s="205"/>
      <c r="P39" s="205">
        <v>0</v>
      </c>
      <c r="R39" s="1876">
        <f t="shared" si="2"/>
        <v>0</v>
      </c>
      <c r="S39" s="248"/>
      <c r="T39" s="1885">
        <f t="shared" si="3"/>
        <v>0</v>
      </c>
      <c r="U39" s="248"/>
      <c r="V39" s="248">
        <f t="shared" si="4"/>
        <v>0</v>
      </c>
      <c r="W39" s="248"/>
      <c r="X39" s="1871">
        <f t="shared" si="5"/>
        <v>0</v>
      </c>
      <c r="Y39" s="2346">
        <f t="shared" si="6"/>
        <v>0</v>
      </c>
      <c r="Z39" s="1876">
        <f>SUM('5.3.a. sz. mell'!F39+'5.3 b. sz. mell'!F39+'5.3.c. sz. mell'!F39)</f>
        <v>124246920</v>
      </c>
      <c r="AA39" s="248"/>
      <c r="AB39" s="1885">
        <f>SUM('5.3.a. sz. mell'!H39+'5.3 b. sz. mell'!H39+'5.3.c. sz. mell'!H39)</f>
        <v>124619389</v>
      </c>
      <c r="AC39" s="248"/>
      <c r="AD39" s="248">
        <f>SUM('5.3.a. sz. mell'!J39+'5.3 b. sz. mell'!J39+'5.3.c. sz. mell'!J39)</f>
        <v>127209155</v>
      </c>
      <c r="AE39" s="248"/>
      <c r="AF39" s="1871">
        <f>SUM('5.3.a. sz. mell'!L39+'5.3 b. sz. mell'!L39+'5.3.c. sz. mell'!L39)</f>
        <v>127209155</v>
      </c>
      <c r="AG39" s="2300">
        <f>SUM('5.3.a. sz. mell'!M39+'5.3 b. sz. mell'!M39+'5.3.c. sz. mell'!M39)</f>
        <v>127209155</v>
      </c>
    </row>
    <row r="40" spans="1:33" s="145" customFormat="1" ht="15" customHeight="1" thickBot="1" x14ac:dyDescent="0.25">
      <c r="A40" s="142"/>
      <c r="B40" s="260" t="s">
        <v>437</v>
      </c>
      <c r="C40" s="261" t="s">
        <v>438</v>
      </c>
      <c r="D40" s="155"/>
      <c r="E40" s="155"/>
      <c r="F40" s="302">
        <v>113253735</v>
      </c>
      <c r="G40" s="1534">
        <f t="shared" si="7"/>
        <v>74470</v>
      </c>
      <c r="H40" s="302">
        <v>113328205</v>
      </c>
      <c r="I40" s="1492">
        <f t="shared" si="7"/>
        <v>-89724</v>
      </c>
      <c r="J40" s="302">
        <v>113238481</v>
      </c>
      <c r="K40" s="1492">
        <f t="shared" si="7"/>
        <v>0</v>
      </c>
      <c r="L40" s="302">
        <v>113238481</v>
      </c>
      <c r="M40" s="302">
        <v>113238481</v>
      </c>
      <c r="O40" s="205"/>
      <c r="P40" s="205"/>
      <c r="R40" s="1876">
        <f t="shared" si="2"/>
        <v>0</v>
      </c>
      <c r="S40" s="248"/>
      <c r="T40" s="1885">
        <f t="shared" si="3"/>
        <v>0</v>
      </c>
      <c r="U40" s="248"/>
      <c r="V40" s="248">
        <f t="shared" si="4"/>
        <v>0</v>
      </c>
      <c r="W40" s="248"/>
      <c r="X40" s="1871">
        <f t="shared" si="5"/>
        <v>0</v>
      </c>
      <c r="Y40" s="2346">
        <f t="shared" si="6"/>
        <v>0</v>
      </c>
      <c r="Z40" s="1876">
        <f>SUM('5.3.a. sz. mell'!F40+'5.3 b. sz. mell'!F40+'5.3.c. sz. mell'!F40)</f>
        <v>113253735</v>
      </c>
      <c r="AA40" s="248"/>
      <c r="AB40" s="1885">
        <f>SUM('5.3.a. sz. mell'!H40+'5.3 b. sz. mell'!H40+'5.3.c. sz. mell'!H40)</f>
        <v>113328205</v>
      </c>
      <c r="AC40" s="248"/>
      <c r="AD40" s="248">
        <f>SUM('5.3.a. sz. mell'!J40+'5.3 b. sz. mell'!J40+'5.3.c. sz. mell'!J40)</f>
        <v>113238481</v>
      </c>
      <c r="AE40" s="248"/>
      <c r="AF40" s="1871">
        <f>SUM('5.3.a. sz. mell'!L40+'5.3 b. sz. mell'!L40+'5.3.c. sz. mell'!L40)</f>
        <v>113238481</v>
      </c>
      <c r="AG40" s="2300">
        <f>SUM('5.3.a. sz. mell'!M40+'5.3 b. sz. mell'!M40+'5.3.c. sz. mell'!M40)</f>
        <v>113238481</v>
      </c>
    </row>
    <row r="41" spans="1:33" s="145" customFormat="1" ht="15" customHeight="1" thickBot="1" x14ac:dyDescent="0.25">
      <c r="A41" s="178"/>
      <c r="B41" s="263" t="s">
        <v>439</v>
      </c>
      <c r="C41" s="264" t="s">
        <v>440</v>
      </c>
      <c r="D41" s="155"/>
      <c r="E41" s="155"/>
      <c r="F41" s="302">
        <v>10993185</v>
      </c>
      <c r="G41" s="1534">
        <f t="shared" si="7"/>
        <v>297999</v>
      </c>
      <c r="H41" s="302">
        <v>11291184</v>
      </c>
      <c r="I41" s="1492">
        <f t="shared" si="7"/>
        <v>2679490</v>
      </c>
      <c r="J41" s="302">
        <v>13970674</v>
      </c>
      <c r="K41" s="1492">
        <f t="shared" si="7"/>
        <v>0</v>
      </c>
      <c r="L41" s="302">
        <v>13970674</v>
      </c>
      <c r="M41" s="302">
        <v>13970674</v>
      </c>
      <c r="N41" s="205">
        <f>SUM(F59-F39)</f>
        <v>0</v>
      </c>
      <c r="O41" s="205"/>
      <c r="P41" s="205">
        <f>SUM(P39-M39)</f>
        <v>-127209155</v>
      </c>
      <c r="R41" s="1876">
        <f t="shared" si="2"/>
        <v>0</v>
      </c>
      <c r="S41" s="248"/>
      <c r="T41" s="1885">
        <f t="shared" si="3"/>
        <v>0</v>
      </c>
      <c r="U41" s="248"/>
      <c r="V41" s="248">
        <f t="shared" si="4"/>
        <v>0</v>
      </c>
      <c r="W41" s="248"/>
      <c r="X41" s="1871">
        <f t="shared" si="5"/>
        <v>0</v>
      </c>
      <c r="Y41" s="2346">
        <f t="shared" si="6"/>
        <v>0</v>
      </c>
      <c r="Z41" s="1876">
        <f>SUM('5.3.a. sz. mell'!F41+'5.3 b. sz. mell'!F41+'5.3.c. sz. mell'!F41)</f>
        <v>10993185</v>
      </c>
      <c r="AA41" s="248"/>
      <c r="AB41" s="1885">
        <f>SUM('5.3.a. sz. mell'!H41+'5.3 b. sz. mell'!H41+'5.3.c. sz. mell'!H41)</f>
        <v>11291184</v>
      </c>
      <c r="AC41" s="248"/>
      <c r="AD41" s="248">
        <f>SUM('5.3.a. sz. mell'!J41+'5.3 b. sz. mell'!J41+'5.3.c. sz. mell'!J41)</f>
        <v>13970674</v>
      </c>
      <c r="AE41" s="248"/>
      <c r="AF41" s="1871">
        <f>SUM('5.3.a. sz. mell'!L41+'5.3 b. sz. mell'!L41+'5.3.c. sz. mell'!L41)</f>
        <v>13970674</v>
      </c>
      <c r="AG41" s="2300">
        <f>SUM('5.3.a. sz. mell'!M41+'5.3 b. sz. mell'!M41+'5.3.c. sz. mell'!M41)</f>
        <v>13970674</v>
      </c>
    </row>
    <row r="42" spans="1:33" s="145" customFormat="1" ht="12.75" hidden="1" customHeight="1" x14ac:dyDescent="0.25">
      <c r="A42" s="258"/>
      <c r="B42" s="256"/>
      <c r="C42" s="170" t="s">
        <v>458</v>
      </c>
      <c r="D42" s="155"/>
      <c r="E42" s="155"/>
      <c r="F42" s="155"/>
      <c r="G42" s="1415">
        <f t="shared" si="7"/>
        <v>0</v>
      </c>
      <c r="H42" s="155"/>
      <c r="I42" s="1376">
        <f t="shared" si="7"/>
        <v>0</v>
      </c>
      <c r="J42" s="155"/>
      <c r="K42" s="1376">
        <f t="shared" si="7"/>
        <v>0</v>
      </c>
      <c r="L42" s="155"/>
      <c r="M42" s="302">
        <v>78663850</v>
      </c>
      <c r="R42" s="1876">
        <f t="shared" si="2"/>
        <v>0</v>
      </c>
      <c r="S42" s="248"/>
      <c r="T42" s="1885">
        <f t="shared" si="3"/>
        <v>0</v>
      </c>
      <c r="U42" s="248"/>
      <c r="V42" s="248">
        <f t="shared" si="4"/>
        <v>0</v>
      </c>
      <c r="W42" s="248"/>
      <c r="X42" s="1871">
        <f t="shared" si="5"/>
        <v>0</v>
      </c>
      <c r="Y42" s="2346">
        <f t="shared" si="6"/>
        <v>78663850</v>
      </c>
      <c r="Z42" s="1876">
        <f>SUM('5.3.a. sz. mell'!F42+'5.3 b. sz. mell'!F42+'5.3.c. sz. mell'!F42)</f>
        <v>0</v>
      </c>
      <c r="AA42" s="248"/>
      <c r="AB42" s="1885">
        <f>SUM('5.3.a. sz. mell'!H42+'5.3 b. sz. mell'!H42+'5.3.c. sz. mell'!H42)</f>
        <v>0</v>
      </c>
      <c r="AC42" s="248"/>
      <c r="AD42" s="248">
        <f>SUM('5.3.a. sz. mell'!J42+'5.3 b. sz. mell'!J42+'5.3.c. sz. mell'!J42)</f>
        <v>0</v>
      </c>
      <c r="AE42" s="248"/>
      <c r="AF42" s="1871">
        <f>SUM('5.3.a. sz. mell'!L42+'5.3 b. sz. mell'!L42+'5.3.c. sz. mell'!L42)</f>
        <v>0</v>
      </c>
      <c r="AG42" s="2300">
        <f>SUM('5.3.a. sz. mell'!M42+'5.3 b. sz. mell'!M42+'5.3.c. sz. mell'!M42)</f>
        <v>0</v>
      </c>
    </row>
    <row r="43" spans="1:33" s="145" customFormat="1" ht="15" customHeight="1" thickBot="1" x14ac:dyDescent="0.25">
      <c r="A43" s="192" t="s">
        <v>99</v>
      </c>
      <c r="B43" s="160"/>
      <c r="C43" s="274" t="s">
        <v>441</v>
      </c>
      <c r="D43" s="162">
        <f>SUM(D8,D19,D26,D28,D36,D39)</f>
        <v>71618</v>
      </c>
      <c r="E43" s="162">
        <f>SUM(E8,E19,E26,E28,E36,E39)</f>
        <v>76312</v>
      </c>
      <c r="F43" s="162">
        <f>SUM(F8,F19,F26,F28,F32,F34,F36)</f>
        <v>124246920</v>
      </c>
      <c r="G43" s="1437">
        <f t="shared" si="7"/>
        <v>1848116</v>
      </c>
      <c r="H43" s="162">
        <f>SUM(H8,H19,H26,H28,H32,H34,H36)</f>
        <v>126095036</v>
      </c>
      <c r="I43" s="1373">
        <f t="shared" si="7"/>
        <v>2632577</v>
      </c>
      <c r="J43" s="162">
        <f>SUM(J8,J19,J26,J28,J32,J34,J36)</f>
        <v>128727613</v>
      </c>
      <c r="K43" s="1373">
        <f t="shared" si="7"/>
        <v>0</v>
      </c>
      <c r="L43" s="162">
        <f>SUM(L8,L19,L26,L28,L32,L34,L36)</f>
        <v>128727613</v>
      </c>
      <c r="M43" s="162">
        <f>SUM(M8,M19,M26,M28,M32,M34,M36)</f>
        <v>128727613</v>
      </c>
      <c r="R43" s="1876">
        <f t="shared" si="2"/>
        <v>0</v>
      </c>
      <c r="S43" s="248"/>
      <c r="T43" s="1885">
        <f t="shared" si="3"/>
        <v>0</v>
      </c>
      <c r="U43" s="248"/>
      <c r="V43" s="248">
        <f t="shared" si="4"/>
        <v>0</v>
      </c>
      <c r="W43" s="248"/>
      <c r="X43" s="1871">
        <f t="shared" si="5"/>
        <v>0</v>
      </c>
      <c r="Y43" s="2346">
        <f t="shared" si="6"/>
        <v>0</v>
      </c>
      <c r="Z43" s="1876">
        <f>SUM('5.3.a. sz. mell'!F43+'5.3 b. sz. mell'!F43+'5.3.c. sz. mell'!F43)</f>
        <v>124246920</v>
      </c>
      <c r="AA43" s="248"/>
      <c r="AB43" s="1885">
        <f>SUM('5.3.a. sz. mell'!H43+'5.3 b. sz. mell'!H43+'5.3.c. sz. mell'!H43)</f>
        <v>126095036</v>
      </c>
      <c r="AC43" s="248"/>
      <c r="AD43" s="248">
        <f>SUM('5.3.a. sz. mell'!J43+'5.3 b. sz. mell'!J43+'5.3.c. sz. mell'!J43)</f>
        <v>128727613</v>
      </c>
      <c r="AE43" s="248"/>
      <c r="AF43" s="1871">
        <f>SUM('5.3.a. sz. mell'!L43+'5.3 b. sz. mell'!L43+'5.3.c. sz. mell'!L43)</f>
        <v>128727613</v>
      </c>
      <c r="AG43" s="2300">
        <f>SUM('5.3.a. sz. mell'!M43+'5.3 b. sz. mell'!M43+'5.3.c. sz. mell'!M43)</f>
        <v>128727613</v>
      </c>
    </row>
    <row r="44" spans="1:33" s="145" customFormat="1" ht="15" customHeight="1" thickBot="1" x14ac:dyDescent="0.25">
      <c r="A44" s="2098"/>
      <c r="B44" s="266"/>
      <c r="C44" s="275"/>
      <c r="D44" s="286"/>
      <c r="E44" s="286"/>
      <c r="F44" s="2163"/>
      <c r="G44" s="2684"/>
      <c r="H44" s="1443"/>
      <c r="I44" s="1443"/>
      <c r="J44" s="286"/>
      <c r="K44" s="1443"/>
      <c r="L44" s="286"/>
      <c r="M44" s="1458"/>
      <c r="R44" s="1876">
        <f t="shared" si="2"/>
        <v>0</v>
      </c>
      <c r="S44" s="248"/>
      <c r="T44" s="1885">
        <f t="shared" si="3"/>
        <v>0</v>
      </c>
      <c r="U44" s="248"/>
      <c r="V44" s="248">
        <f t="shared" si="4"/>
        <v>0</v>
      </c>
      <c r="W44" s="248"/>
      <c r="X44" s="1871">
        <f t="shared" si="5"/>
        <v>0</v>
      </c>
      <c r="Y44" s="2346">
        <f t="shared" si="6"/>
        <v>0</v>
      </c>
      <c r="Z44" s="1876">
        <f>SUM('5.3.a. sz. mell'!F44+'5.3 b. sz. mell'!F44+'5.3.c. sz. mell'!F44)</f>
        <v>0</v>
      </c>
      <c r="AA44" s="248"/>
      <c r="AB44" s="1885">
        <f>SUM('5.3.a. sz. mell'!H44+'5.3 b. sz. mell'!H44+'5.3.c. sz. mell'!H44)</f>
        <v>0</v>
      </c>
      <c r="AC44" s="248"/>
      <c r="AD44" s="248">
        <f>SUM('5.3.a. sz. mell'!J44+'5.3 b. sz. mell'!J44+'5.3.c. sz. mell'!J44)</f>
        <v>0</v>
      </c>
      <c r="AE44" s="248"/>
      <c r="AF44" s="1871">
        <f>SUM('5.3.a. sz. mell'!L44+'5.3 b. sz. mell'!L44+'5.3.c. sz. mell'!L44)</f>
        <v>0</v>
      </c>
      <c r="AG44" s="2300">
        <f>SUM('5.3.a. sz. mell'!M44+'5.3 b. sz. mell'!M44+'5.3.c. sz. mell'!M44)</f>
        <v>0</v>
      </c>
    </row>
    <row r="45" spans="1:33" s="305" customFormat="1" ht="15" customHeight="1" thickBot="1" x14ac:dyDescent="0.25">
      <c r="A45" s="192"/>
      <c r="B45" s="160"/>
      <c r="C45" s="282" t="s">
        <v>231</v>
      </c>
      <c r="D45" s="162"/>
      <c r="E45" s="162"/>
      <c r="F45" s="162"/>
      <c r="G45" s="1437"/>
      <c r="H45" s="162"/>
      <c r="I45" s="1373"/>
      <c r="J45" s="162"/>
      <c r="K45" s="1373"/>
      <c r="L45" s="162"/>
      <c r="M45" s="162"/>
      <c r="R45" s="1876">
        <f t="shared" si="2"/>
        <v>0</v>
      </c>
      <c r="S45" s="248"/>
      <c r="T45" s="1885">
        <f t="shared" si="3"/>
        <v>0</v>
      </c>
      <c r="U45" s="248"/>
      <c r="V45" s="248">
        <f t="shared" si="4"/>
        <v>0</v>
      </c>
      <c r="W45" s="248"/>
      <c r="X45" s="1871">
        <f t="shared" si="5"/>
        <v>0</v>
      </c>
      <c r="Y45" s="2346">
        <f t="shared" si="6"/>
        <v>0</v>
      </c>
      <c r="Z45" s="1876">
        <f>SUM('5.3.a. sz. mell'!F45+'5.3 b. sz. mell'!F45+'5.3.c. sz. mell'!F45)</f>
        <v>0</v>
      </c>
      <c r="AA45" s="248"/>
      <c r="AB45" s="1885">
        <f>SUM('5.3.a. sz. mell'!H45+'5.3 b. sz. mell'!H45+'5.3.c. sz. mell'!H45)</f>
        <v>0</v>
      </c>
      <c r="AC45" s="248"/>
      <c r="AD45" s="248">
        <f>SUM('5.3.a. sz. mell'!J45+'5.3 b. sz. mell'!J45+'5.3.c. sz. mell'!J45)</f>
        <v>0</v>
      </c>
      <c r="AE45" s="248"/>
      <c r="AF45" s="1871">
        <f>SUM('5.3.a. sz. mell'!L45+'5.3 b. sz. mell'!L45+'5.3.c. sz. mell'!L45)</f>
        <v>0</v>
      </c>
      <c r="AG45" s="2300">
        <f>SUM('5.3.a. sz. mell'!M45+'5.3 b. sz. mell'!M45+'5.3.c. sz. mell'!M45)</f>
        <v>0</v>
      </c>
    </row>
    <row r="46" spans="1:33" s="141" customFormat="1" ht="15" customHeight="1" thickBot="1" x14ac:dyDescent="0.25">
      <c r="A46" s="134" t="s">
        <v>3</v>
      </c>
      <c r="B46" s="170"/>
      <c r="C46" s="170" t="s">
        <v>442</v>
      </c>
      <c r="D46" s="137">
        <f>SUM(D47:D51)</f>
        <v>71618</v>
      </c>
      <c r="E46" s="137">
        <f>SUM(E47:E51)</f>
        <v>75829</v>
      </c>
      <c r="F46" s="137">
        <f>SUM(F47:F51)</f>
        <v>123611920</v>
      </c>
      <c r="G46" s="1382">
        <f t="shared" si="7"/>
        <v>1848116</v>
      </c>
      <c r="H46" s="137">
        <f>SUM(H47:H51)</f>
        <v>125460036</v>
      </c>
      <c r="I46" s="1382">
        <f t="shared" si="7"/>
        <v>2480149</v>
      </c>
      <c r="J46" s="137">
        <f>SUM(J47:J51)</f>
        <v>127940185</v>
      </c>
      <c r="K46" s="1382">
        <f t="shared" si="7"/>
        <v>0</v>
      </c>
      <c r="L46" s="137">
        <f>SUM(L47:L51)</f>
        <v>127940185</v>
      </c>
      <c r="M46" s="137">
        <f>SUM(M47:M51)</f>
        <v>126979984</v>
      </c>
      <c r="R46" s="1876">
        <f t="shared" si="2"/>
        <v>0</v>
      </c>
      <c r="S46" s="248"/>
      <c r="T46" s="1885">
        <f t="shared" si="3"/>
        <v>0</v>
      </c>
      <c r="U46" s="248"/>
      <c r="V46" s="248">
        <f t="shared" si="4"/>
        <v>0</v>
      </c>
      <c r="W46" s="248"/>
      <c r="X46" s="1871">
        <f t="shared" si="5"/>
        <v>0</v>
      </c>
      <c r="Y46" s="2346">
        <f t="shared" si="6"/>
        <v>0</v>
      </c>
      <c r="Z46" s="1876">
        <f>SUM('5.3.a. sz. mell'!F46+'5.3 b. sz. mell'!F46+'5.3.c. sz. mell'!F46)</f>
        <v>123611920</v>
      </c>
      <c r="AA46" s="248"/>
      <c r="AB46" s="1885">
        <f>SUM('5.3.a. sz. mell'!H46+'5.3 b. sz. mell'!H46+'5.3.c. sz. mell'!H46)</f>
        <v>125460036</v>
      </c>
      <c r="AC46" s="248"/>
      <c r="AD46" s="248">
        <f>SUM('5.3.a. sz. mell'!J46+'5.3 b. sz. mell'!J46+'5.3.c. sz. mell'!J46)</f>
        <v>127940185</v>
      </c>
      <c r="AE46" s="248"/>
      <c r="AF46" s="1871">
        <f>SUM('5.3.a. sz. mell'!L46+'5.3 b. sz. mell'!L46+'5.3.c. sz. mell'!L46)</f>
        <v>127940185</v>
      </c>
      <c r="AG46" s="2300">
        <f>SUM('5.3.a. sz. mell'!M46+'5.3 b. sz. mell'!M46+'5.3.c. sz. mell'!M46)</f>
        <v>126979984</v>
      </c>
    </row>
    <row r="47" spans="1:33" s="145" customFormat="1" ht="15" customHeight="1" x14ac:dyDescent="0.2">
      <c r="A47" s="173"/>
      <c r="B47" s="267" t="s">
        <v>152</v>
      </c>
      <c r="C47" s="251" t="s">
        <v>153</v>
      </c>
      <c r="D47" s="175">
        <v>48655</v>
      </c>
      <c r="E47" s="175">
        <v>52043</v>
      </c>
      <c r="F47" s="175">
        <v>93923750</v>
      </c>
      <c r="G47" s="1415">
        <f t="shared" si="7"/>
        <v>1121662</v>
      </c>
      <c r="H47" s="175">
        <v>95045412</v>
      </c>
      <c r="I47" s="1376">
        <f t="shared" si="7"/>
        <v>3248585</v>
      </c>
      <c r="J47" s="175">
        <v>98293997</v>
      </c>
      <c r="K47" s="1376">
        <f t="shared" si="7"/>
        <v>0</v>
      </c>
      <c r="L47" s="175">
        <v>98293997</v>
      </c>
      <c r="M47" s="175">
        <v>97953741</v>
      </c>
      <c r="R47" s="1876">
        <f t="shared" si="2"/>
        <v>0</v>
      </c>
      <c r="S47" s="248"/>
      <c r="T47" s="1885">
        <f t="shared" si="3"/>
        <v>0</v>
      </c>
      <c r="U47" s="248"/>
      <c r="V47" s="248">
        <f t="shared" si="4"/>
        <v>0</v>
      </c>
      <c r="W47" s="248"/>
      <c r="X47" s="1871">
        <f t="shared" si="5"/>
        <v>0</v>
      </c>
      <c r="Y47" s="2346">
        <f t="shared" si="6"/>
        <v>0</v>
      </c>
      <c r="Z47" s="1876">
        <f>SUM('5.3.a. sz. mell'!F47+'5.3 b. sz. mell'!F47+'5.3.c. sz. mell'!F47)</f>
        <v>93923750</v>
      </c>
      <c r="AA47" s="248"/>
      <c r="AB47" s="1885">
        <f>SUM('5.3.a. sz. mell'!H47+'5.3 b. sz. mell'!H47+'5.3.c. sz. mell'!H47)</f>
        <v>95045412</v>
      </c>
      <c r="AC47" s="248"/>
      <c r="AD47" s="248">
        <f>SUM('5.3.a. sz. mell'!J47+'5.3 b. sz. mell'!J47+'5.3.c. sz. mell'!J47)</f>
        <v>98293997</v>
      </c>
      <c r="AE47" s="248"/>
      <c r="AF47" s="1871">
        <f>SUM('5.3.a. sz. mell'!L47+'5.3 b. sz. mell'!L47+'5.3.c. sz. mell'!L47)</f>
        <v>98293997</v>
      </c>
      <c r="AG47" s="2300">
        <f>SUM('5.3.a. sz. mell'!M47+'5.3 b. sz. mell'!M47+'5.3.c. sz. mell'!M47)</f>
        <v>97953741</v>
      </c>
    </row>
    <row r="48" spans="1:33" s="145" customFormat="1" ht="15" customHeight="1" x14ac:dyDescent="0.2">
      <c r="A48" s="142"/>
      <c r="B48" s="253" t="s">
        <v>154</v>
      </c>
      <c r="C48" s="55" t="s">
        <v>155</v>
      </c>
      <c r="D48" s="144">
        <v>13095</v>
      </c>
      <c r="E48" s="144">
        <v>14010</v>
      </c>
      <c r="F48" s="144">
        <v>19052570</v>
      </c>
      <c r="G48" s="1415">
        <f t="shared" si="7"/>
        <v>219222</v>
      </c>
      <c r="H48" s="144">
        <v>19271792</v>
      </c>
      <c r="I48" s="1376">
        <f t="shared" si="7"/>
        <v>847687</v>
      </c>
      <c r="J48" s="144">
        <v>20119479</v>
      </c>
      <c r="K48" s="1376">
        <f t="shared" si="7"/>
        <v>0</v>
      </c>
      <c r="L48" s="144">
        <v>20119479</v>
      </c>
      <c r="M48" s="144">
        <v>20062541</v>
      </c>
      <c r="R48" s="1876">
        <f t="shared" si="2"/>
        <v>0</v>
      </c>
      <c r="S48" s="248"/>
      <c r="T48" s="1885">
        <f t="shared" si="3"/>
        <v>0</v>
      </c>
      <c r="U48" s="248"/>
      <c r="V48" s="248">
        <f t="shared" si="4"/>
        <v>0</v>
      </c>
      <c r="W48" s="248"/>
      <c r="X48" s="1871">
        <f t="shared" si="5"/>
        <v>0</v>
      </c>
      <c r="Y48" s="2346">
        <f t="shared" si="6"/>
        <v>0</v>
      </c>
      <c r="Z48" s="1876">
        <f>SUM('5.3.a. sz. mell'!F48+'5.3 b. sz. mell'!F48+'5.3.c. sz. mell'!F48)</f>
        <v>19052570</v>
      </c>
      <c r="AA48" s="248"/>
      <c r="AB48" s="1885">
        <f>SUM('5.3.a. sz. mell'!H48+'5.3 b. sz. mell'!H48+'5.3.c. sz. mell'!H48)</f>
        <v>19271792</v>
      </c>
      <c r="AC48" s="248"/>
      <c r="AD48" s="248">
        <f>SUM('5.3.a. sz. mell'!J48+'5.3 b. sz. mell'!J48+'5.3.c. sz. mell'!J48)</f>
        <v>20119479</v>
      </c>
      <c r="AE48" s="248"/>
      <c r="AF48" s="1871">
        <f>SUM('5.3.a. sz. mell'!L48+'5.3 b. sz. mell'!L48+'5.3.c. sz. mell'!L48)</f>
        <v>20119479</v>
      </c>
      <c r="AG48" s="2300">
        <f>SUM('5.3.a. sz. mell'!M48+'5.3 b. sz. mell'!M48+'5.3.c. sz. mell'!M48)</f>
        <v>20062541</v>
      </c>
    </row>
    <row r="49" spans="1:33" s="145" customFormat="1" ht="15" customHeight="1" x14ac:dyDescent="0.2">
      <c r="A49" s="142"/>
      <c r="B49" s="253" t="s">
        <v>156</v>
      </c>
      <c r="C49" s="55" t="s">
        <v>157</v>
      </c>
      <c r="D49" s="144">
        <v>9868</v>
      </c>
      <c r="E49" s="144">
        <v>9776</v>
      </c>
      <c r="F49" s="144">
        <v>10635600</v>
      </c>
      <c r="G49" s="1415">
        <f t="shared" si="7"/>
        <v>507232</v>
      </c>
      <c r="H49" s="144">
        <v>11142832</v>
      </c>
      <c r="I49" s="1376">
        <f t="shared" si="7"/>
        <v>-1616123</v>
      </c>
      <c r="J49" s="144">
        <v>9526709</v>
      </c>
      <c r="K49" s="1376">
        <f t="shared" si="7"/>
        <v>0</v>
      </c>
      <c r="L49" s="144">
        <v>9526709</v>
      </c>
      <c r="M49" s="144">
        <v>8963702</v>
      </c>
      <c r="R49" s="1876">
        <f t="shared" si="2"/>
        <v>0</v>
      </c>
      <c r="S49" s="248"/>
      <c r="T49" s="1885">
        <f t="shared" si="3"/>
        <v>0</v>
      </c>
      <c r="U49" s="248"/>
      <c r="V49" s="248">
        <f t="shared" si="4"/>
        <v>0</v>
      </c>
      <c r="W49" s="248"/>
      <c r="X49" s="1871">
        <f t="shared" si="5"/>
        <v>0</v>
      </c>
      <c r="Y49" s="2346">
        <f t="shared" si="6"/>
        <v>0</v>
      </c>
      <c r="Z49" s="1876">
        <f>SUM('5.3.a. sz. mell'!F49+'5.3 b. sz. mell'!F49+'5.3.c. sz. mell'!F49)</f>
        <v>10635600</v>
      </c>
      <c r="AA49" s="248"/>
      <c r="AB49" s="1885">
        <f>SUM('5.3.a. sz. mell'!H49+'5.3 b. sz. mell'!H49+'5.3.c. sz. mell'!H49)</f>
        <v>11142832</v>
      </c>
      <c r="AC49" s="248"/>
      <c r="AD49" s="248">
        <f>SUM('5.3.a. sz. mell'!J49+'5.3 b. sz. mell'!J49+'5.3.c. sz. mell'!J49)</f>
        <v>9526709</v>
      </c>
      <c r="AE49" s="248"/>
      <c r="AF49" s="1871">
        <f>SUM('5.3.a. sz. mell'!L49+'5.3 b. sz. mell'!L49+'5.3.c. sz. mell'!L49)</f>
        <v>9526709</v>
      </c>
      <c r="AG49" s="2300">
        <f>SUM('5.3.a. sz. mell'!M49+'5.3 b. sz. mell'!M49+'5.3.c. sz. mell'!M49)</f>
        <v>8963702</v>
      </c>
    </row>
    <row r="50" spans="1:33" s="145" customFormat="1" ht="15" customHeight="1" x14ac:dyDescent="0.2">
      <c r="A50" s="142"/>
      <c r="B50" s="253" t="s">
        <v>158</v>
      </c>
      <c r="C50" s="55" t="s">
        <v>159</v>
      </c>
      <c r="D50" s="144"/>
      <c r="E50" s="144"/>
      <c r="F50" s="144"/>
      <c r="G50" s="1415">
        <f t="shared" si="7"/>
        <v>0</v>
      </c>
      <c r="H50" s="144"/>
      <c r="I50" s="1376">
        <f t="shared" si="7"/>
        <v>0</v>
      </c>
      <c r="J50" s="144"/>
      <c r="K50" s="1376">
        <f t="shared" si="7"/>
        <v>0</v>
      </c>
      <c r="L50" s="144"/>
      <c r="M50" s="144"/>
      <c r="R50" s="1876">
        <f t="shared" si="2"/>
        <v>0</v>
      </c>
      <c r="S50" s="248"/>
      <c r="T50" s="1885">
        <f t="shared" si="3"/>
        <v>0</v>
      </c>
      <c r="U50" s="248"/>
      <c r="V50" s="248">
        <f t="shared" si="4"/>
        <v>0</v>
      </c>
      <c r="W50" s="248"/>
      <c r="X50" s="1871">
        <f t="shared" si="5"/>
        <v>0</v>
      </c>
      <c r="Y50" s="2346">
        <f t="shared" si="6"/>
        <v>0</v>
      </c>
      <c r="Z50" s="1876">
        <f>SUM('5.3.a. sz. mell'!F50+'5.3 b. sz. mell'!F50+'5.3.c. sz. mell'!F50)</f>
        <v>0</v>
      </c>
      <c r="AA50" s="248"/>
      <c r="AB50" s="1885">
        <f>SUM('5.3.a. sz. mell'!H50+'5.3 b. sz. mell'!H50+'5.3.c. sz. mell'!H50)</f>
        <v>0</v>
      </c>
      <c r="AC50" s="248"/>
      <c r="AD50" s="248">
        <f>SUM('5.3.a. sz. mell'!J50+'5.3 b. sz. mell'!J50+'5.3.c. sz. mell'!J50)</f>
        <v>0</v>
      </c>
      <c r="AE50" s="248"/>
      <c r="AF50" s="1871">
        <f>SUM('5.3.a. sz. mell'!L50+'5.3 b. sz. mell'!L50+'5.3.c. sz. mell'!L50)</f>
        <v>0</v>
      </c>
      <c r="AG50" s="2300">
        <f>SUM('5.3.a. sz. mell'!M50+'5.3 b. sz. mell'!M50+'5.3.c. sz. mell'!M50)</f>
        <v>0</v>
      </c>
    </row>
    <row r="51" spans="1:33" s="145" customFormat="1" ht="15" customHeight="1" thickBot="1" x14ac:dyDescent="0.25">
      <c r="A51" s="142"/>
      <c r="B51" s="253" t="s">
        <v>375</v>
      </c>
      <c r="C51" s="55" t="s">
        <v>161</v>
      </c>
      <c r="D51" s="144"/>
      <c r="E51" s="144"/>
      <c r="F51" s="144"/>
      <c r="G51" s="1415">
        <f t="shared" si="7"/>
        <v>0</v>
      </c>
      <c r="H51" s="144"/>
      <c r="I51" s="1376">
        <f t="shared" si="7"/>
        <v>0</v>
      </c>
      <c r="J51" s="144"/>
      <c r="K51" s="1376">
        <f t="shared" si="7"/>
        <v>0</v>
      </c>
      <c r="L51" s="144"/>
      <c r="M51" s="144"/>
      <c r="R51" s="1876">
        <f t="shared" si="2"/>
        <v>0</v>
      </c>
      <c r="S51" s="248"/>
      <c r="T51" s="1885">
        <f t="shared" si="3"/>
        <v>0</v>
      </c>
      <c r="U51" s="248"/>
      <c r="V51" s="248">
        <f t="shared" si="4"/>
        <v>0</v>
      </c>
      <c r="W51" s="248"/>
      <c r="X51" s="1871">
        <f t="shared" si="5"/>
        <v>0</v>
      </c>
      <c r="Y51" s="2346">
        <f t="shared" si="6"/>
        <v>0</v>
      </c>
      <c r="Z51" s="1876">
        <f>SUM('5.3.a. sz. mell'!F51+'5.3 b. sz. mell'!F51+'5.3.c. sz. mell'!F51)</f>
        <v>0</v>
      </c>
      <c r="AA51" s="248"/>
      <c r="AB51" s="1885">
        <f>SUM('5.3.a. sz. mell'!H51+'5.3 b. sz. mell'!H51+'5.3.c. sz. mell'!H51)</f>
        <v>0</v>
      </c>
      <c r="AC51" s="248"/>
      <c r="AD51" s="248">
        <f>SUM('5.3.a. sz. mell'!J51+'5.3 b. sz. mell'!J51+'5.3.c. sz. mell'!J51)</f>
        <v>0</v>
      </c>
      <c r="AE51" s="248"/>
      <c r="AF51" s="1871">
        <f>SUM('5.3.a. sz. mell'!L51+'5.3 b. sz. mell'!L51+'5.3.c. sz. mell'!L51)</f>
        <v>0</v>
      </c>
      <c r="AG51" s="2300">
        <f>SUM('5.3.a. sz. mell'!M51+'5.3 b. sz. mell'!M51+'5.3.c. sz. mell'!M51)</f>
        <v>0</v>
      </c>
    </row>
    <row r="52" spans="1:33" s="145" customFormat="1" ht="15" customHeight="1" thickBot="1" x14ac:dyDescent="0.25">
      <c r="A52" s="134" t="s">
        <v>17</v>
      </c>
      <c r="B52" s="170"/>
      <c r="C52" s="170" t="s">
        <v>443</v>
      </c>
      <c r="D52" s="137"/>
      <c r="E52" s="137">
        <f>SUM(E53:E56)</f>
        <v>483</v>
      </c>
      <c r="F52" s="137">
        <f>SUM(F53:F56)</f>
        <v>635000</v>
      </c>
      <c r="G52" s="1382">
        <f t="shared" si="7"/>
        <v>0</v>
      </c>
      <c r="H52" s="137">
        <f>SUM(H53:H56)</f>
        <v>635000</v>
      </c>
      <c r="I52" s="1382">
        <f t="shared" si="7"/>
        <v>152428</v>
      </c>
      <c r="J52" s="137">
        <f>SUM(J53:J56)</f>
        <v>787428</v>
      </c>
      <c r="K52" s="1382">
        <f t="shared" si="7"/>
        <v>0</v>
      </c>
      <c r="L52" s="137">
        <f>SUM(L53:L56)</f>
        <v>787428</v>
      </c>
      <c r="M52" s="137">
        <f>SUM(M53:M56)</f>
        <v>787428</v>
      </c>
      <c r="R52" s="1876">
        <f t="shared" si="2"/>
        <v>0</v>
      </c>
      <c r="S52" s="248"/>
      <c r="T52" s="1885">
        <f t="shared" si="3"/>
        <v>0</v>
      </c>
      <c r="U52" s="248"/>
      <c r="V52" s="248">
        <f t="shared" si="4"/>
        <v>0</v>
      </c>
      <c r="W52" s="248"/>
      <c r="X52" s="1871">
        <f t="shared" si="5"/>
        <v>0</v>
      </c>
      <c r="Y52" s="2346">
        <f t="shared" si="6"/>
        <v>0</v>
      </c>
      <c r="Z52" s="1876">
        <f>SUM('5.3.a. sz. mell'!F52+'5.3 b. sz. mell'!F52+'5.3.c. sz. mell'!F52)</f>
        <v>635000</v>
      </c>
      <c r="AA52" s="248"/>
      <c r="AB52" s="1885">
        <f>SUM('5.3.a. sz. mell'!H52+'5.3 b. sz. mell'!H52+'5.3.c. sz. mell'!H52)</f>
        <v>635000</v>
      </c>
      <c r="AC52" s="248"/>
      <c r="AD52" s="248">
        <f>SUM('5.3.a. sz. mell'!J52+'5.3 b. sz. mell'!J52+'5.3.c. sz. mell'!J52)</f>
        <v>787428</v>
      </c>
      <c r="AE52" s="248"/>
      <c r="AF52" s="1871">
        <f>SUM('5.3.a. sz. mell'!L52+'5.3 b. sz. mell'!L52+'5.3.c. sz. mell'!L52)</f>
        <v>787428</v>
      </c>
      <c r="AG52" s="2300">
        <f>SUM('5.3.a. sz. mell'!M52+'5.3 b. sz. mell'!M52+'5.3.c. sz. mell'!M52)</f>
        <v>787428</v>
      </c>
    </row>
    <row r="53" spans="1:33" s="141" customFormat="1" ht="15" customHeight="1" x14ac:dyDescent="0.2">
      <c r="A53" s="173"/>
      <c r="B53" s="267" t="s">
        <v>5</v>
      </c>
      <c r="C53" s="251" t="s">
        <v>183</v>
      </c>
      <c r="D53" s="175"/>
      <c r="E53" s="175">
        <v>483</v>
      </c>
      <c r="F53" s="175">
        <v>635000</v>
      </c>
      <c r="G53" s="1415">
        <f t="shared" si="7"/>
        <v>0</v>
      </c>
      <c r="H53" s="175">
        <v>635000</v>
      </c>
      <c r="I53" s="1376">
        <f t="shared" si="7"/>
        <v>152428</v>
      </c>
      <c r="J53" s="175">
        <v>787428</v>
      </c>
      <c r="K53" s="1376">
        <f t="shared" si="7"/>
        <v>0</v>
      </c>
      <c r="L53" s="175">
        <v>787428</v>
      </c>
      <c r="M53" s="175">
        <v>787428</v>
      </c>
      <c r="R53" s="1876">
        <f t="shared" si="2"/>
        <v>0</v>
      </c>
      <c r="S53" s="248"/>
      <c r="T53" s="1885">
        <f t="shared" si="3"/>
        <v>0</v>
      </c>
      <c r="U53" s="248"/>
      <c r="V53" s="248">
        <f t="shared" si="4"/>
        <v>0</v>
      </c>
      <c r="W53" s="248"/>
      <c r="X53" s="1871">
        <f t="shared" si="5"/>
        <v>0</v>
      </c>
      <c r="Y53" s="2346">
        <f t="shared" si="6"/>
        <v>0</v>
      </c>
      <c r="Z53" s="1876">
        <f>SUM('5.3.a. sz. mell'!F53+'5.3 b. sz. mell'!F53+'5.3.c. sz. mell'!F53)</f>
        <v>635000</v>
      </c>
      <c r="AA53" s="248"/>
      <c r="AB53" s="1885">
        <f>SUM('5.3.a. sz. mell'!H53+'5.3 b. sz. mell'!H53+'5.3.c. sz. mell'!H53)</f>
        <v>635000</v>
      </c>
      <c r="AC53" s="248"/>
      <c r="AD53" s="248">
        <f>SUM('5.3.a. sz. mell'!J53+'5.3 b. sz. mell'!J53+'5.3.c. sz. mell'!J53)</f>
        <v>787428</v>
      </c>
      <c r="AE53" s="248"/>
      <c r="AF53" s="1871">
        <f>SUM('5.3.a. sz. mell'!L53+'5.3 b. sz. mell'!L53+'5.3.c. sz. mell'!L53)</f>
        <v>787428</v>
      </c>
      <c r="AG53" s="2300">
        <f>SUM('5.3.a. sz. mell'!M53+'5.3 b. sz. mell'!M53+'5.3.c. sz. mell'!M53)</f>
        <v>787428</v>
      </c>
    </row>
    <row r="54" spans="1:33" s="145" customFormat="1" ht="15" customHeight="1" x14ac:dyDescent="0.2">
      <c r="A54" s="142"/>
      <c r="B54" s="253" t="s">
        <v>7</v>
      </c>
      <c r="C54" s="55" t="s">
        <v>185</v>
      </c>
      <c r="D54" s="144">
        <v>0</v>
      </c>
      <c r="E54" s="144">
        <v>0</v>
      </c>
      <c r="F54" s="144">
        <v>0</v>
      </c>
      <c r="G54" s="1415">
        <f t="shared" si="7"/>
        <v>0</v>
      </c>
      <c r="H54" s="144">
        <v>0</v>
      </c>
      <c r="I54" s="1376">
        <f t="shared" si="7"/>
        <v>0</v>
      </c>
      <c r="J54" s="144"/>
      <c r="K54" s="1376">
        <f t="shared" si="7"/>
        <v>0</v>
      </c>
      <c r="L54" s="144"/>
      <c r="M54" s="144">
        <v>0</v>
      </c>
      <c r="R54" s="1876">
        <f t="shared" si="2"/>
        <v>0</v>
      </c>
      <c r="S54" s="248"/>
      <c r="T54" s="1885">
        <f t="shared" si="3"/>
        <v>0</v>
      </c>
      <c r="U54" s="248"/>
      <c r="V54" s="248">
        <f t="shared" si="4"/>
        <v>0</v>
      </c>
      <c r="W54" s="248"/>
      <c r="X54" s="1871">
        <f t="shared" si="5"/>
        <v>0</v>
      </c>
      <c r="Y54" s="2346">
        <f t="shared" si="6"/>
        <v>0</v>
      </c>
      <c r="Z54" s="1876">
        <f>SUM('5.3.a. sz. mell'!F54+'5.3 b. sz. mell'!F54+'5.3.c. sz. mell'!F54)</f>
        <v>0</v>
      </c>
      <c r="AA54" s="248"/>
      <c r="AB54" s="1885">
        <f>SUM('5.3.a. sz. mell'!H54+'5.3 b. sz. mell'!H54+'5.3.c. sz. mell'!H54)</f>
        <v>0</v>
      </c>
      <c r="AC54" s="248"/>
      <c r="AD54" s="248">
        <f>SUM('5.3.a. sz. mell'!J54+'5.3 b. sz. mell'!J54+'5.3.c. sz. mell'!J54)</f>
        <v>0</v>
      </c>
      <c r="AE54" s="248"/>
      <c r="AF54" s="1871">
        <f>SUM('5.3.a. sz. mell'!L54+'5.3 b. sz. mell'!L54+'5.3.c. sz. mell'!L54)</f>
        <v>0</v>
      </c>
      <c r="AG54" s="2300">
        <f>SUM('5.3.a. sz. mell'!M54+'5.3 b. sz. mell'!M54+'5.3.c. sz. mell'!M54)</f>
        <v>0</v>
      </c>
    </row>
    <row r="55" spans="1:33" s="145" customFormat="1" ht="15.75" thickBot="1" x14ac:dyDescent="0.25">
      <c r="A55" s="142"/>
      <c r="B55" s="253" t="s">
        <v>9</v>
      </c>
      <c r="C55" s="55" t="s">
        <v>444</v>
      </c>
      <c r="D55" s="144">
        <v>0</v>
      </c>
      <c r="E55" s="144">
        <v>0</v>
      </c>
      <c r="F55" s="144">
        <v>0</v>
      </c>
      <c r="G55" s="1415">
        <f t="shared" si="7"/>
        <v>0</v>
      </c>
      <c r="H55" s="144">
        <v>0</v>
      </c>
      <c r="I55" s="1376">
        <f t="shared" si="7"/>
        <v>0</v>
      </c>
      <c r="J55" s="144"/>
      <c r="K55" s="1376">
        <f t="shared" si="7"/>
        <v>0</v>
      </c>
      <c r="L55" s="144"/>
      <c r="M55" s="144">
        <v>0</v>
      </c>
      <c r="R55" s="1876">
        <f t="shared" si="2"/>
        <v>0</v>
      </c>
      <c r="S55" s="248"/>
      <c r="T55" s="1885">
        <f t="shared" si="3"/>
        <v>0</v>
      </c>
      <c r="U55" s="248"/>
      <c r="V55" s="248">
        <f t="shared" si="4"/>
        <v>0</v>
      </c>
      <c r="W55" s="248"/>
      <c r="X55" s="1871">
        <f t="shared" si="5"/>
        <v>0</v>
      </c>
      <c r="Y55" s="2346">
        <f t="shared" si="6"/>
        <v>0</v>
      </c>
      <c r="Z55" s="1876">
        <f>SUM('5.3.a. sz. mell'!F55+'5.3 b. sz. mell'!F55+'5.3.c. sz. mell'!F55)</f>
        <v>0</v>
      </c>
      <c r="AA55" s="248"/>
      <c r="AB55" s="1885">
        <f>SUM('5.3.a. sz. mell'!H55+'5.3 b. sz. mell'!H55+'5.3.c. sz. mell'!H55)</f>
        <v>0</v>
      </c>
      <c r="AC55" s="248"/>
      <c r="AD55" s="248">
        <f>SUM('5.3.a. sz. mell'!J55+'5.3 b. sz. mell'!J55+'5.3.c. sz. mell'!J55)</f>
        <v>0</v>
      </c>
      <c r="AE55" s="248"/>
      <c r="AF55" s="1871">
        <f>SUM('5.3.a. sz. mell'!L55+'5.3 b. sz. mell'!L55+'5.3.c. sz. mell'!L55)</f>
        <v>0</v>
      </c>
      <c r="AG55" s="2300">
        <f>SUM('5.3.a. sz. mell'!M55+'5.3 b. sz. mell'!M55+'5.3.c. sz. mell'!M55)</f>
        <v>0</v>
      </c>
    </row>
    <row r="56" spans="1:33" s="145" customFormat="1" ht="12.75" hidden="1" customHeight="1" x14ac:dyDescent="0.2">
      <c r="A56" s="142"/>
      <c r="B56" s="176" t="s">
        <v>189</v>
      </c>
      <c r="C56" s="55" t="s">
        <v>448</v>
      </c>
      <c r="D56" s="144">
        <v>0</v>
      </c>
      <c r="E56" s="144">
        <v>0</v>
      </c>
      <c r="F56" s="144">
        <v>0</v>
      </c>
      <c r="G56" s="1415">
        <f t="shared" si="7"/>
        <v>0</v>
      </c>
      <c r="H56" s="144">
        <v>0</v>
      </c>
      <c r="I56" s="1376">
        <f t="shared" si="7"/>
        <v>0</v>
      </c>
      <c r="J56" s="144">
        <v>0</v>
      </c>
      <c r="K56" s="1376">
        <f t="shared" si="7"/>
        <v>0</v>
      </c>
      <c r="L56" s="144">
        <v>0</v>
      </c>
      <c r="M56" s="144">
        <v>0</v>
      </c>
      <c r="R56" s="1876">
        <f t="shared" si="2"/>
        <v>0</v>
      </c>
      <c r="S56" s="248"/>
      <c r="T56" s="1885">
        <f t="shared" si="3"/>
        <v>0</v>
      </c>
      <c r="U56" s="248"/>
      <c r="V56" s="248">
        <f t="shared" si="4"/>
        <v>0</v>
      </c>
      <c r="W56" s="248"/>
      <c r="X56" s="1871">
        <f t="shared" si="5"/>
        <v>0</v>
      </c>
      <c r="Y56" s="2346">
        <f t="shared" si="6"/>
        <v>0</v>
      </c>
      <c r="Z56" s="1876">
        <f>SUM('5.3.a. sz. mell'!F56+'5.3 b. sz. mell'!F56+'5.3.c. sz. mell'!F56)</f>
        <v>0</v>
      </c>
      <c r="AA56" s="248"/>
      <c r="AB56" s="1885">
        <f>SUM('5.3.a. sz. mell'!H56+'5.3 b. sz. mell'!H56+'5.3.c. sz. mell'!H56)</f>
        <v>0</v>
      </c>
      <c r="AC56" s="248"/>
      <c r="AD56" s="248">
        <f>SUM('5.3.a. sz. mell'!J56+'5.3 b. sz. mell'!J56+'5.3.c. sz. mell'!J56)</f>
        <v>0</v>
      </c>
      <c r="AE56" s="248"/>
      <c r="AF56" s="1871">
        <f>SUM('5.3.a. sz. mell'!L56+'5.3 b. sz. mell'!L56+'5.3.c. sz. mell'!L56)</f>
        <v>0</v>
      </c>
      <c r="AG56" s="2300">
        <f>SUM('5.3.a. sz. mell'!M56+'5.3 b. sz. mell'!M56+'5.3.c. sz. mell'!M56)</f>
        <v>0</v>
      </c>
    </row>
    <row r="57" spans="1:33" s="145" customFormat="1" ht="12.75" hidden="1" customHeight="1" x14ac:dyDescent="0.2">
      <c r="A57" s="134" t="s">
        <v>31</v>
      </c>
      <c r="B57" s="170"/>
      <c r="C57" s="171" t="s">
        <v>445</v>
      </c>
      <c r="D57" s="155">
        <v>0</v>
      </c>
      <c r="E57" s="155">
        <v>0</v>
      </c>
      <c r="F57" s="155">
        <v>0</v>
      </c>
      <c r="G57" s="1415">
        <f t="shared" si="7"/>
        <v>0</v>
      </c>
      <c r="H57" s="155">
        <v>0</v>
      </c>
      <c r="I57" s="1376">
        <f t="shared" si="7"/>
        <v>0</v>
      </c>
      <c r="J57" s="155">
        <v>0</v>
      </c>
      <c r="K57" s="1376">
        <f t="shared" si="7"/>
        <v>0</v>
      </c>
      <c r="L57" s="155">
        <v>0</v>
      </c>
      <c r="M57" s="155">
        <v>0</v>
      </c>
      <c r="R57" s="1876">
        <f t="shared" si="2"/>
        <v>0</v>
      </c>
      <c r="S57" s="248"/>
      <c r="T57" s="1885">
        <f t="shared" si="3"/>
        <v>0</v>
      </c>
      <c r="U57" s="248"/>
      <c r="V57" s="248">
        <f t="shared" si="4"/>
        <v>0</v>
      </c>
      <c r="W57" s="248"/>
      <c r="X57" s="1871">
        <f t="shared" si="5"/>
        <v>0</v>
      </c>
      <c r="Y57" s="2346">
        <f t="shared" si="6"/>
        <v>0</v>
      </c>
      <c r="Z57" s="1876">
        <f>SUM('5.3.a. sz. mell'!F57+'5.3 b. sz. mell'!F57+'5.3.c. sz. mell'!F57)</f>
        <v>0</v>
      </c>
      <c r="AA57" s="248"/>
      <c r="AB57" s="1885">
        <f>SUM('5.3.a. sz. mell'!H57+'5.3 b. sz. mell'!H57+'5.3.c. sz. mell'!H57)</f>
        <v>0</v>
      </c>
      <c r="AC57" s="248"/>
      <c r="AD57" s="248">
        <f>SUM('5.3.a. sz. mell'!J57+'5.3 b. sz. mell'!J57+'5.3.c. sz. mell'!J57)</f>
        <v>0</v>
      </c>
      <c r="AE57" s="248"/>
      <c r="AF57" s="1871">
        <f>SUM('5.3.a. sz. mell'!L57+'5.3 b. sz. mell'!L57+'5.3.c. sz. mell'!L57)</f>
        <v>0</v>
      </c>
      <c r="AG57" s="2300">
        <f>SUM('5.3.a. sz. mell'!M57+'5.3 b. sz. mell'!M57+'5.3.c. sz. mell'!M57)</f>
        <v>0</v>
      </c>
    </row>
    <row r="58" spans="1:33" s="145" customFormat="1" ht="12.75" hidden="1" customHeight="1" x14ac:dyDescent="0.2">
      <c r="A58" s="134"/>
      <c r="B58" s="170"/>
      <c r="C58" s="171" t="s">
        <v>459</v>
      </c>
      <c r="D58" s="155"/>
      <c r="E58" s="155"/>
      <c r="F58" s="155"/>
      <c r="G58" s="1415">
        <f t="shared" si="7"/>
        <v>0</v>
      </c>
      <c r="H58" s="155"/>
      <c r="I58" s="1376">
        <f t="shared" si="7"/>
        <v>0</v>
      </c>
      <c r="J58" s="155"/>
      <c r="K58" s="1376">
        <f t="shared" si="7"/>
        <v>0</v>
      </c>
      <c r="L58" s="155"/>
      <c r="M58" s="155"/>
      <c r="R58" s="1876">
        <f t="shared" si="2"/>
        <v>0</v>
      </c>
      <c r="S58" s="248"/>
      <c r="T58" s="1885">
        <f t="shared" si="3"/>
        <v>0</v>
      </c>
      <c r="U58" s="248"/>
      <c r="V58" s="248">
        <f t="shared" si="4"/>
        <v>0</v>
      </c>
      <c r="W58" s="248"/>
      <c r="X58" s="1871">
        <f t="shared" si="5"/>
        <v>0</v>
      </c>
      <c r="Y58" s="2346">
        <f t="shared" si="6"/>
        <v>0</v>
      </c>
      <c r="Z58" s="1876">
        <f>SUM('5.3.a. sz. mell'!F58+'5.3 b. sz. mell'!F58+'5.3.c. sz. mell'!F58)</f>
        <v>0</v>
      </c>
      <c r="AA58" s="248"/>
      <c r="AB58" s="1885">
        <f>SUM('5.3.a. sz. mell'!H58+'5.3 b. sz. mell'!H58+'5.3.c. sz. mell'!H58)</f>
        <v>0</v>
      </c>
      <c r="AC58" s="248"/>
      <c r="AD58" s="248">
        <f>SUM('5.3.a. sz. mell'!J58+'5.3 b. sz. mell'!J58+'5.3.c. sz. mell'!J58)</f>
        <v>0</v>
      </c>
      <c r="AE58" s="248"/>
      <c r="AF58" s="1871">
        <f>SUM('5.3.a. sz. mell'!L58+'5.3 b. sz. mell'!L58+'5.3.c. sz. mell'!L58)</f>
        <v>0</v>
      </c>
      <c r="AG58" s="2300">
        <f>SUM('5.3.a. sz. mell'!M58+'5.3 b. sz. mell'!M58+'5.3.c. sz. mell'!M58)</f>
        <v>0</v>
      </c>
    </row>
    <row r="59" spans="1:33" s="145" customFormat="1" ht="15" customHeight="1" thickBot="1" x14ac:dyDescent="0.25">
      <c r="A59" s="192" t="s">
        <v>31</v>
      </c>
      <c r="B59" s="160"/>
      <c r="C59" s="274" t="s">
        <v>465</v>
      </c>
      <c r="D59" s="162">
        <f>+D46+D52+D57</f>
        <v>71618</v>
      </c>
      <c r="E59" s="162">
        <f>+E46+E52+E57</f>
        <v>76312</v>
      </c>
      <c r="F59" s="162">
        <f>+F46+F52+F57+F58</f>
        <v>124246920</v>
      </c>
      <c r="G59" s="1437">
        <f t="shared" si="7"/>
        <v>1848116</v>
      </c>
      <c r="H59" s="162">
        <f>+H46+H52+H57+H58</f>
        <v>126095036</v>
      </c>
      <c r="I59" s="1373">
        <f t="shared" si="7"/>
        <v>2632577</v>
      </c>
      <c r="J59" s="162">
        <f>+J46+J52+J57+J58</f>
        <v>128727613</v>
      </c>
      <c r="K59" s="1373">
        <f t="shared" si="7"/>
        <v>0</v>
      </c>
      <c r="L59" s="162">
        <f>+L46+L52+L57+L58</f>
        <v>128727613</v>
      </c>
      <c r="M59" s="162">
        <f>+M46+M52+M57+M58</f>
        <v>127767412</v>
      </c>
      <c r="R59" s="1876">
        <f t="shared" si="2"/>
        <v>0</v>
      </c>
      <c r="S59" s="248"/>
      <c r="T59" s="1885">
        <f t="shared" si="3"/>
        <v>0</v>
      </c>
      <c r="U59" s="248"/>
      <c r="V59" s="248">
        <f t="shared" si="4"/>
        <v>0</v>
      </c>
      <c r="W59" s="248"/>
      <c r="X59" s="1871">
        <f t="shared" si="5"/>
        <v>0</v>
      </c>
      <c r="Y59" s="2346">
        <f t="shared" si="6"/>
        <v>0</v>
      </c>
      <c r="Z59" s="1876">
        <f>SUM('5.3.a. sz. mell'!F59+'5.3 b. sz. mell'!F59+'5.3.c. sz. mell'!F59)</f>
        <v>124246920</v>
      </c>
      <c r="AA59" s="248"/>
      <c r="AB59" s="1885">
        <f>SUM('5.3.a. sz. mell'!H59+'5.3 b. sz. mell'!H59+'5.3.c. sz. mell'!H59)</f>
        <v>126095036</v>
      </c>
      <c r="AC59" s="248"/>
      <c r="AD59" s="248">
        <f>SUM('5.3.a. sz. mell'!J59+'5.3 b. sz. mell'!J59+'5.3.c. sz. mell'!J59)</f>
        <v>128727613</v>
      </c>
      <c r="AE59" s="248"/>
      <c r="AF59" s="1871">
        <f>SUM('5.3.a. sz. mell'!L59+'5.3 b. sz. mell'!L59+'5.3.c. sz. mell'!L59)</f>
        <v>128727613</v>
      </c>
      <c r="AG59" s="2300">
        <f>SUM('5.3.a. sz. mell'!M59+'5.3 b. sz. mell'!M59+'5.3.c. sz. mell'!M59)</f>
        <v>127767412</v>
      </c>
    </row>
    <row r="60" spans="1:33" s="145" customFormat="1" ht="15" customHeight="1" thickBot="1" x14ac:dyDescent="0.25">
      <c r="A60" s="1303"/>
      <c r="B60" s="886"/>
      <c r="C60" s="886"/>
      <c r="D60" s="886"/>
      <c r="E60" s="886"/>
      <c r="F60" s="2100"/>
      <c r="G60" s="1550"/>
      <c r="H60" s="1550"/>
      <c r="I60" s="1550"/>
      <c r="J60" s="1550"/>
      <c r="K60" s="1373"/>
      <c r="L60" s="1550"/>
      <c r="M60" s="1304"/>
      <c r="R60" s="1876">
        <f t="shared" si="2"/>
        <v>0</v>
      </c>
      <c r="S60" s="248"/>
      <c r="T60" s="1885">
        <f t="shared" si="3"/>
        <v>0</v>
      </c>
      <c r="U60" s="248"/>
      <c r="V60" s="248">
        <f t="shared" si="4"/>
        <v>0</v>
      </c>
      <c r="W60" s="248"/>
      <c r="X60" s="1871">
        <f t="shared" si="5"/>
        <v>0</v>
      </c>
      <c r="Y60" s="2346">
        <f t="shared" si="6"/>
        <v>0</v>
      </c>
      <c r="Z60" s="1876">
        <f>SUM('5.3.a. sz. mell'!F60+'5.3 b. sz. mell'!F60+'5.3.c. sz. mell'!F60)</f>
        <v>0</v>
      </c>
      <c r="AA60" s="248"/>
      <c r="AB60" s="1885">
        <f>SUM('5.3.a. sz. mell'!H60+'5.3 b. sz. mell'!H60+'5.3.c. sz. mell'!H60)</f>
        <v>0</v>
      </c>
      <c r="AC60" s="248"/>
      <c r="AD60" s="248">
        <f>SUM('5.3.a. sz. mell'!J60+'5.3 b. sz. mell'!J60+'5.3.c. sz. mell'!J60)</f>
        <v>0</v>
      </c>
      <c r="AE60" s="248"/>
      <c r="AF60" s="1871">
        <f>SUM('5.3.a. sz. mell'!L60+'5.3 b. sz. mell'!L60+'5.3.c. sz. mell'!L60)</f>
        <v>0</v>
      </c>
      <c r="AG60" s="2300">
        <f>SUM('5.3.a. sz. mell'!M60+'5.3 b. sz. mell'!M60+'5.3.c. sz. mell'!M60)</f>
        <v>0</v>
      </c>
    </row>
    <row r="61" spans="1:33" s="145" customFormat="1" ht="15" customHeight="1" thickBot="1" x14ac:dyDescent="0.25">
      <c r="A61" s="276" t="s">
        <v>324</v>
      </c>
      <c r="B61" s="277"/>
      <c r="C61" s="278"/>
      <c r="D61" s="200">
        <v>24</v>
      </c>
      <c r="E61" s="200">
        <v>25</v>
      </c>
      <c r="F61" s="200">
        <v>27</v>
      </c>
      <c r="G61" s="1559">
        <f>SUM(H61-F61)</f>
        <v>0</v>
      </c>
      <c r="H61" s="200">
        <v>27</v>
      </c>
      <c r="I61" s="1373">
        <f>SUM(J61-H61)</f>
        <v>0</v>
      </c>
      <c r="J61" s="200">
        <v>27</v>
      </c>
      <c r="K61" s="1373">
        <f t="shared" ref="K61" si="8">SUM(L61-J61)</f>
        <v>0</v>
      </c>
      <c r="L61" s="200">
        <v>27</v>
      </c>
      <c r="M61" s="200">
        <v>27</v>
      </c>
      <c r="R61" s="1876">
        <f t="shared" si="2"/>
        <v>0</v>
      </c>
      <c r="S61" s="248"/>
      <c r="T61" s="1885">
        <f t="shared" si="3"/>
        <v>0</v>
      </c>
      <c r="U61" s="248"/>
      <c r="V61" s="248">
        <f t="shared" si="4"/>
        <v>0</v>
      </c>
      <c r="W61" s="248"/>
      <c r="X61" s="1871">
        <f t="shared" si="5"/>
        <v>0</v>
      </c>
      <c r="Y61" s="2346">
        <f t="shared" si="6"/>
        <v>0</v>
      </c>
      <c r="Z61" s="1876">
        <f>SUM('5.3.a. sz. mell'!F61+'5.3 b. sz. mell'!F61+'5.3.c. sz. mell'!F61)</f>
        <v>27</v>
      </c>
      <c r="AA61" s="248"/>
      <c r="AB61" s="1885">
        <f>SUM('5.3.a. sz. mell'!H61+'5.3 b. sz. mell'!H61+'5.3.c. sz. mell'!H61)</f>
        <v>27</v>
      </c>
      <c r="AC61" s="248"/>
      <c r="AD61" s="248">
        <f>SUM('5.3.a. sz. mell'!J61+'5.3 b. sz. mell'!J61+'5.3.c. sz. mell'!J61)</f>
        <v>27</v>
      </c>
      <c r="AE61" s="248"/>
      <c r="AF61" s="1871">
        <f>SUM('5.3.a. sz. mell'!L61+'5.3 b. sz. mell'!L61+'5.3.c. sz. mell'!L61)</f>
        <v>27</v>
      </c>
      <c r="AG61" s="2300">
        <f>SUM('5.3.a. sz. mell'!M61+'5.3 b. sz. mell'!M61+'5.3.c. sz. mell'!M61)</f>
        <v>27</v>
      </c>
    </row>
    <row r="62" spans="1:33" s="145" customFormat="1" ht="15" customHeight="1" thickBot="1" x14ac:dyDescent="0.25">
      <c r="A62" s="276" t="s">
        <v>325</v>
      </c>
      <c r="B62" s="277"/>
      <c r="C62" s="278"/>
      <c r="D62" s="279"/>
      <c r="E62" s="279"/>
      <c r="F62" s="279"/>
      <c r="G62" s="1560"/>
      <c r="H62" s="279"/>
      <c r="I62" s="1389"/>
      <c r="J62" s="279"/>
      <c r="K62" s="1389"/>
      <c r="L62" s="279"/>
      <c r="M62" s="279"/>
      <c r="R62" s="1876">
        <f t="shared" si="2"/>
        <v>0</v>
      </c>
      <c r="S62" s="248"/>
      <c r="T62" s="1885">
        <f t="shared" si="3"/>
        <v>0</v>
      </c>
      <c r="U62" s="248"/>
      <c r="V62" s="248">
        <f t="shared" si="4"/>
        <v>0</v>
      </c>
      <c r="W62" s="248"/>
      <c r="X62" s="1871">
        <f t="shared" si="5"/>
        <v>0</v>
      </c>
      <c r="Y62" s="2346">
        <f t="shared" si="6"/>
        <v>0</v>
      </c>
      <c r="Z62" s="1876">
        <f>SUM('5.3.a. sz. mell'!F62+'5.3 b. sz. mell'!F62+'5.3.c. sz. mell'!F62)</f>
        <v>0</v>
      </c>
      <c r="AA62" s="248"/>
      <c r="AB62" s="1885">
        <f>SUM('5.3.a. sz. mell'!H62+'5.3 b. sz. mell'!H62+'5.3.c. sz. mell'!H62)</f>
        <v>0</v>
      </c>
      <c r="AC62" s="248"/>
      <c r="AD62" s="248">
        <f>SUM('5.3.a. sz. mell'!J62+'5.3 b. sz. mell'!J62+'5.3.c. sz. mell'!J62)</f>
        <v>0</v>
      </c>
      <c r="AE62" s="248"/>
      <c r="AF62" s="1871">
        <f>SUM('5.3.a. sz. mell'!L62+'5.3 b. sz. mell'!L62+'5.3.c. sz. mell'!L62)</f>
        <v>0</v>
      </c>
      <c r="AG62" s="2300">
        <f>SUM('5.3.a. sz. mell'!M62+'5.3 b. sz. mell'!M62+'5.3.c. sz. mell'!M62)</f>
        <v>0</v>
      </c>
    </row>
    <row r="63" spans="1:33" ht="15" x14ac:dyDescent="0.2">
      <c r="Z63" s="1876">
        <f>SUM('5.3.a. sz. mell'!F63+'5.3 b. sz. mell'!F63+'5.3.c. sz. mell'!F63)</f>
        <v>0</v>
      </c>
      <c r="AA63" s="248"/>
      <c r="AB63" s="1885">
        <f>SUM('5.3.a. sz. mell'!H63+'5.3 b. sz. mell'!H63+'5.3.c. sz. mell'!H63)</f>
        <v>0</v>
      </c>
      <c r="AC63" s="248"/>
      <c r="AD63" s="248">
        <f>SUM('5.3.a. sz. mell'!J63+'5.3 b. sz. mell'!J63+'5.3.c. sz. mell'!J63)</f>
        <v>0</v>
      </c>
      <c r="AE63" s="248"/>
      <c r="AF63" s="1871">
        <f>SUM('5.3.a. sz. mell'!L63+'5.3 b. sz. mell'!L63+'5.3.c. sz. mell'!L63)</f>
        <v>0</v>
      </c>
      <c r="AG63" s="2300">
        <f>SUM('5.3.a. sz. mell'!M63+'5.3 b. sz. mell'!M63+'5.3.c. sz. mell'!M63)</f>
        <v>0</v>
      </c>
    </row>
    <row r="64" spans="1:33" ht="15" x14ac:dyDescent="0.2">
      <c r="F64" s="92">
        <f>SUM(F43-F59)</f>
        <v>0</v>
      </c>
      <c r="G64" s="92">
        <f t="shared" ref="G64:M64" si="9">SUM(G43-G59)</f>
        <v>0</v>
      </c>
      <c r="H64" s="92">
        <f t="shared" si="9"/>
        <v>0</v>
      </c>
      <c r="I64" s="92">
        <f t="shared" si="9"/>
        <v>0</v>
      </c>
      <c r="J64" s="92">
        <f t="shared" si="9"/>
        <v>0</v>
      </c>
      <c r="K64" s="92">
        <f t="shared" si="9"/>
        <v>0</v>
      </c>
      <c r="L64" s="92">
        <f t="shared" si="9"/>
        <v>0</v>
      </c>
      <c r="M64" s="92">
        <f t="shared" si="9"/>
        <v>960201</v>
      </c>
      <c r="Z64" s="1876">
        <f>SUM('5.3.a. sz. mell'!F64+'5.3 b. sz. mell'!F64+'5.3.c. sz. mell'!F64)</f>
        <v>0</v>
      </c>
      <c r="AA64" s="248"/>
      <c r="AB64" s="1885">
        <f>SUM('5.3.a. sz. mell'!H64+'5.3 b. sz. mell'!H64+'5.3.c. sz. mell'!H64)</f>
        <v>0</v>
      </c>
      <c r="AC64" s="248"/>
      <c r="AD64" s="248">
        <f>SUM('5.3.a. sz. mell'!J64+'5.3 b. sz. mell'!J64+'5.3.c. sz. mell'!J64)</f>
        <v>0</v>
      </c>
      <c r="AE64" s="248"/>
      <c r="AF64" s="1871">
        <f>SUM('5.3.a. sz. mell'!L64+'5.3 b. sz. mell'!L64+'5.3.c. sz. mell'!L64)</f>
        <v>0</v>
      </c>
      <c r="AG64" s="2300">
        <f>SUM('5.3.a. sz. mell'!M64+'5.3 b. sz. mell'!M64+'5.3.c. sz. mell'!M64)</f>
        <v>0</v>
      </c>
    </row>
    <row r="66" spans="3:14" ht="20.45" customHeight="1" x14ac:dyDescent="0.2">
      <c r="C66" s="116" t="s">
        <v>945</v>
      </c>
    </row>
    <row r="67" spans="3:14" ht="20.45" customHeight="1" x14ac:dyDescent="0.2">
      <c r="C67" s="116" t="s">
        <v>942</v>
      </c>
      <c r="H67" s="203">
        <v>126095036</v>
      </c>
      <c r="I67" s="203"/>
      <c r="J67" s="203">
        <v>128727613</v>
      </c>
      <c r="K67" s="1470"/>
      <c r="L67" s="203">
        <v>128727613</v>
      </c>
      <c r="M67" s="203">
        <v>127767412</v>
      </c>
    </row>
    <row r="68" spans="3:14" ht="20.45" customHeight="1" x14ac:dyDescent="0.2">
      <c r="C68" s="116" t="s">
        <v>943</v>
      </c>
      <c r="H68" s="203"/>
      <c r="I68" s="1470"/>
      <c r="J68" s="203"/>
      <c r="K68" s="1470"/>
      <c r="L68" s="203"/>
      <c r="M68" s="203"/>
    </row>
    <row r="69" spans="3:14" ht="20.45" customHeight="1" x14ac:dyDescent="0.2">
      <c r="C69" s="781" t="s">
        <v>944</v>
      </c>
      <c r="H69" s="203">
        <f>SUM(H67:H68)</f>
        <v>126095036</v>
      </c>
      <c r="I69" s="203"/>
      <c r="J69" s="203">
        <f>SUM(J67:J68)</f>
        <v>128727613</v>
      </c>
      <c r="K69" s="203">
        <f>SUM(K67:K68)</f>
        <v>0</v>
      </c>
      <c r="L69" s="203">
        <f>SUM(L67:L68)</f>
        <v>128727613</v>
      </c>
      <c r="M69" s="203">
        <f>SUM(M67:M68)</f>
        <v>127767412</v>
      </c>
    </row>
    <row r="70" spans="3:14" ht="20.45" customHeight="1" x14ac:dyDescent="0.2">
      <c r="C70" s="116"/>
      <c r="H70" s="116"/>
      <c r="I70" s="1416"/>
      <c r="J70" s="116"/>
      <c r="K70" s="116"/>
      <c r="L70" s="116"/>
      <c r="M70" s="116"/>
    </row>
    <row r="71" spans="3:14" ht="20.45" customHeight="1" x14ac:dyDescent="0.2">
      <c r="C71" s="780" t="s">
        <v>893</v>
      </c>
      <c r="H71" s="482">
        <f>SUM(H59-H69)</f>
        <v>0</v>
      </c>
      <c r="I71" s="482"/>
      <c r="J71" s="482">
        <f>SUM(J59-J69)</f>
        <v>0</v>
      </c>
      <c r="K71" s="482">
        <f>SUM(K59-K69)</f>
        <v>0</v>
      </c>
      <c r="L71" s="482">
        <f>SUM(L59-L69)</f>
        <v>0</v>
      </c>
      <c r="M71" s="482">
        <f>SUM(M59-M69)</f>
        <v>0</v>
      </c>
    </row>
    <row r="72" spans="3:14" ht="20.45" customHeight="1" x14ac:dyDescent="0.2">
      <c r="H72" s="116"/>
      <c r="I72" s="1416"/>
      <c r="J72" s="116"/>
      <c r="K72" s="1416"/>
      <c r="L72" s="116"/>
      <c r="M72" s="116"/>
    </row>
    <row r="73" spans="3:14" ht="20.45" customHeight="1" x14ac:dyDescent="0.2">
      <c r="C73" s="116" t="s">
        <v>946</v>
      </c>
      <c r="H73" s="116"/>
      <c r="I73" s="1416"/>
      <c r="J73" s="116"/>
      <c r="K73" s="1416"/>
      <c r="L73" s="116"/>
      <c r="M73" s="116"/>
    </row>
    <row r="74" spans="3:14" ht="20.45" customHeight="1" x14ac:dyDescent="0.2">
      <c r="C74" s="116"/>
      <c r="H74" s="116"/>
      <c r="I74" s="1416"/>
      <c r="J74" s="116"/>
      <c r="K74" s="1416"/>
      <c r="L74" s="116"/>
      <c r="M74" s="116"/>
    </row>
    <row r="75" spans="3:14" ht="20.45" customHeight="1" x14ac:dyDescent="0.2">
      <c r="C75" s="116" t="s">
        <v>947</v>
      </c>
      <c r="H75" s="203"/>
      <c r="I75" s="1470"/>
      <c r="J75" s="203">
        <v>42811</v>
      </c>
      <c r="K75" s="1470"/>
      <c r="L75" s="203">
        <v>42811</v>
      </c>
      <c r="M75" s="203">
        <v>42811</v>
      </c>
    </row>
    <row r="76" spans="3:14" ht="20.45" customHeight="1" x14ac:dyDescent="0.2">
      <c r="C76" s="116" t="s">
        <v>948</v>
      </c>
      <c r="H76" s="203">
        <v>126095036</v>
      </c>
      <c r="I76" s="1470"/>
      <c r="J76" s="203">
        <v>128684802</v>
      </c>
      <c r="K76" s="1470"/>
      <c r="L76" s="203">
        <v>128684802</v>
      </c>
      <c r="M76" s="203">
        <v>128684802</v>
      </c>
    </row>
    <row r="77" spans="3:14" ht="20.45" customHeight="1" x14ac:dyDescent="0.2">
      <c r="C77" s="471" t="s">
        <v>944</v>
      </c>
      <c r="H77" s="482">
        <f t="shared" ref="H77:M77" si="10">SUM(H75:H76)</f>
        <v>126095036</v>
      </c>
      <c r="I77" s="482">
        <f t="shared" si="10"/>
        <v>0</v>
      </c>
      <c r="J77" s="482">
        <f t="shared" si="10"/>
        <v>128727613</v>
      </c>
      <c r="K77" s="482">
        <f t="shared" si="10"/>
        <v>0</v>
      </c>
      <c r="L77" s="482">
        <f t="shared" si="10"/>
        <v>128727613</v>
      </c>
      <c r="M77" s="482">
        <f t="shared" si="10"/>
        <v>128727613</v>
      </c>
      <c r="N77" s="1714"/>
    </row>
    <row r="78" spans="3:14" ht="20.45" customHeight="1" x14ac:dyDescent="0.2">
      <c r="C78" s="116"/>
      <c r="H78" s="116"/>
      <c r="I78" s="1416"/>
      <c r="J78" s="116"/>
      <c r="K78" s="116"/>
      <c r="L78" s="116"/>
      <c r="M78" s="116"/>
    </row>
    <row r="79" spans="3:14" ht="20.45" customHeight="1" x14ac:dyDescent="0.2">
      <c r="C79" s="780" t="s">
        <v>279</v>
      </c>
      <c r="H79" s="482">
        <f>SUM(H43-H77)</f>
        <v>0</v>
      </c>
      <c r="I79" s="482"/>
      <c r="J79" s="482">
        <f>SUM(J43-J77)</f>
        <v>0</v>
      </c>
      <c r="K79" s="482">
        <f>SUM(K43-K77)</f>
        <v>0</v>
      </c>
      <c r="L79" s="482">
        <f>SUM(L43-L77)</f>
        <v>0</v>
      </c>
      <c r="M79" s="482">
        <f>SUM(M43-M77)</f>
        <v>0</v>
      </c>
    </row>
    <row r="80" spans="3:14" ht="20.45" customHeight="1" x14ac:dyDescent="0.2">
      <c r="C80" s="116"/>
    </row>
    <row r="81" ht="20.45" customHeight="1" x14ac:dyDescent="0.2"/>
    <row r="82" ht="20.45" customHeight="1" x14ac:dyDescent="0.2"/>
    <row r="83" ht="20.45" customHeight="1" x14ac:dyDescent="0.2"/>
    <row r="84" ht="20.45" customHeight="1" x14ac:dyDescent="0.2"/>
    <row r="85" ht="20.45" customHeight="1" x14ac:dyDescent="0.2"/>
  </sheetData>
  <mergeCells count="20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  <mergeCell ref="AF4:AF5"/>
    <mergeCell ref="T4:T5"/>
    <mergeCell ref="AB4:AB5"/>
    <mergeCell ref="V4:V5"/>
    <mergeCell ref="X4:X5"/>
    <mergeCell ref="AD4:AD5"/>
  </mergeCells>
  <printOptions horizontalCentered="1"/>
  <pageMargins left="0.15748031496062992" right="0.15748031496062992" top="0.55118110236220474" bottom="0.39370078740157483" header="0.19685039370078741" footer="0.15748031496062992"/>
  <pageSetup paperSize="9" scale="72" firstPageNumber="54" orientation="portrait" useFirstPageNumber="1" r:id="rId1"/>
  <headerFooter>
    <oddFooter>&amp;C- &amp;P -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82"/>
  <sheetViews>
    <sheetView view="pageBreakPreview" topLeftCell="A40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3.5" style="115" customWidth="1"/>
    <col min="4" max="5" width="9.33203125" style="115" hidden="1" customWidth="1"/>
    <col min="6" max="6" width="14.6640625" style="115" customWidth="1"/>
    <col min="7" max="7" width="13.1640625" style="1390" hidden="1" customWidth="1"/>
    <col min="8" max="8" width="13.5" style="115" hidden="1" customWidth="1"/>
    <col min="9" max="9" width="12.1640625" style="1390" hidden="1" customWidth="1"/>
    <col min="10" max="10" width="14.6640625" style="115" customWidth="1"/>
    <col min="11" max="11" width="12.5" style="1390" customWidth="1"/>
    <col min="12" max="12" width="15.1640625" style="115" customWidth="1"/>
    <col min="13" max="13" width="15.33203125" style="115" customWidth="1"/>
    <col min="14" max="20" width="9.33203125" style="115"/>
    <col min="21" max="21" width="12.83203125" style="115" customWidth="1"/>
    <col min="22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725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51.75" customHeight="1" thickBot="1" x14ac:dyDescent="0.25">
      <c r="A2" s="4516" t="s">
        <v>411</v>
      </c>
      <c r="B2" s="4516"/>
      <c r="C2" s="117" t="s">
        <v>471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25" t="s">
        <v>283</v>
      </c>
      <c r="B3" s="4525"/>
      <c r="C3" s="304" t="s">
        <v>1435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20.2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42811</v>
      </c>
      <c r="K8" s="1374">
        <f>SUM(L8-J8)</f>
        <v>0</v>
      </c>
      <c r="L8" s="137">
        <f>SUM(L9:L18)</f>
        <v>42811</v>
      </c>
      <c r="M8" s="137">
        <f>SUM(M9:M18)</f>
        <v>42811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f>SUM('5.3 sz. mell'!H9)</f>
        <v>0</v>
      </c>
      <c r="I9" s="1375"/>
      <c r="J9" s="150">
        <f>SUM('5.3 sz. mell'!J9)</f>
        <v>0</v>
      </c>
      <c r="K9" s="1375"/>
      <c r="L9" s="150">
        <f>SUM('5.3 sz. mell'!L9)</f>
        <v>0</v>
      </c>
      <c r="M9" s="150">
        <f>SUM('5.3 sz. mell'!M9)</f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f>SUM('5.3 sz. mell'!H10)</f>
        <v>0</v>
      </c>
      <c r="I10" s="1376"/>
      <c r="J10" s="144">
        <f>SUM('5.3 sz. mell'!J10)</f>
        <v>0</v>
      </c>
      <c r="K10" s="1376"/>
      <c r="L10" s="144">
        <f>SUM('5.3 sz. mell'!L10)</f>
        <v>0</v>
      </c>
      <c r="M10" s="144">
        <f>SUM('5.3 sz. mell'!M10)</f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f>SUM('5.3 sz. mell'!H11)</f>
        <v>0</v>
      </c>
      <c r="I11" s="1376"/>
      <c r="J11" s="144">
        <f>SUM('5.3 sz. mell'!J11)</f>
        <v>0</v>
      </c>
      <c r="K11" s="1376"/>
      <c r="L11" s="144">
        <f>SUM('5.3 sz. mell'!L11)</f>
        <v>0</v>
      </c>
      <c r="M11" s="144">
        <f>SUM('5.3 sz. mell'!M11)</f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f>SUM('5.3 sz. mell'!H12)</f>
        <v>0</v>
      </c>
      <c r="I12" s="1376"/>
      <c r="J12" s="144">
        <f>SUM('5.3 sz. mell'!J12)</f>
        <v>0</v>
      </c>
      <c r="K12" s="1376"/>
      <c r="L12" s="144">
        <f>SUM('5.3 sz. mell'!L12)</f>
        <v>0</v>
      </c>
      <c r="M12" s="144">
        <f>SUM('5.3 sz. mell'!M12)</f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f>SUM('5.3 sz. mell'!H13)</f>
        <v>0</v>
      </c>
      <c r="I13" s="1376"/>
      <c r="J13" s="144">
        <f>SUM('5.3 sz. mell'!J13)</f>
        <v>0</v>
      </c>
      <c r="K13" s="1376"/>
      <c r="L13" s="144">
        <f>SUM('5.3 sz. mell'!L13)</f>
        <v>0</v>
      </c>
      <c r="M13" s="144">
        <f>SUM('5.3 sz. mell'!M13)</f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f>SUM('5.3 sz. mell'!H14)</f>
        <v>0</v>
      </c>
      <c r="I14" s="1376"/>
      <c r="J14" s="144">
        <f>SUM('5.3 sz. mell'!J14)</f>
        <v>0</v>
      </c>
      <c r="K14" s="1376"/>
      <c r="L14" s="144">
        <f>SUM('5.3 sz. mell'!L14)</f>
        <v>0</v>
      </c>
      <c r="M14" s="144">
        <f>SUM('5.3 sz. mell'!M14)</f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4">
        <f>SUM('5.3 sz. mell'!H15)</f>
        <v>0</v>
      </c>
      <c r="I15" s="1376"/>
      <c r="J15" s="144">
        <f>SUM('5.3 sz. mell'!J15)</f>
        <v>0</v>
      </c>
      <c r="K15" s="1376"/>
      <c r="L15" s="144">
        <f>SUM('5.3 sz. mell'!L15)</f>
        <v>0</v>
      </c>
      <c r="M15" s="144">
        <f>SUM('5.3 sz. mell'!M15)</f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f>SUM('5.3 sz. mell'!H16)</f>
        <v>0</v>
      </c>
      <c r="I16" s="1376"/>
      <c r="J16" s="144">
        <f>SUM('5.3 sz. mell'!J16)</f>
        <v>0</v>
      </c>
      <c r="K16" s="1376"/>
      <c r="L16" s="144">
        <f>SUM('5.3 sz. mell'!L16)</f>
        <v>0</v>
      </c>
      <c r="M16" s="144">
        <f>SUM('5.3 sz. mell'!M16)</f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44">
        <f>SUM('5.3 sz. mell'!H17)</f>
        <v>0</v>
      </c>
      <c r="I17" s="1376"/>
      <c r="J17" s="144">
        <f>SUM('5.3 sz. mell'!J17)</f>
        <v>0</v>
      </c>
      <c r="K17" s="1376"/>
      <c r="L17" s="144">
        <f>SUM('5.3 sz. mell'!L17)</f>
        <v>0</v>
      </c>
      <c r="M17" s="144">
        <f>SUM('5.3 sz. mell'!M17)</f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44">
        <f>SUM('5.3 sz. mell'!H18)</f>
        <v>0</v>
      </c>
      <c r="I18" s="1376"/>
      <c r="J18" s="144">
        <f>SUM('5.3 sz. mell'!J18)</f>
        <v>42811</v>
      </c>
      <c r="K18" s="1376">
        <f>SUM(L18-J18)</f>
        <v>0</v>
      </c>
      <c r="L18" s="144">
        <f>SUM('5.3 sz. mell'!L18)</f>
        <v>42811</v>
      </c>
      <c r="M18" s="144">
        <f>SUM('5.3 sz. mell'!M18)</f>
        <v>42811</v>
      </c>
    </row>
    <row r="19" spans="1:13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68967</v>
      </c>
      <c r="E19" s="137">
        <f>SUM(E20:E25)</f>
        <v>70906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</row>
    <row r="20" spans="1:13" s="145" customFormat="1" ht="30" x14ac:dyDescent="0.2">
      <c r="A20" s="142"/>
      <c r="B20" s="143" t="s">
        <v>5</v>
      </c>
      <c r="C20" s="251" t="s">
        <v>420</v>
      </c>
      <c r="D20" s="144">
        <v>68967</v>
      </c>
      <c r="E20" s="144">
        <v>70906</v>
      </c>
      <c r="F20" s="144"/>
      <c r="G20" s="1415"/>
      <c r="H20" s="144"/>
      <c r="I20" s="1376"/>
      <c r="J20" s="144"/>
      <c r="K20" s="1376"/>
      <c r="L20" s="144"/>
      <c r="M20" s="144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/>
      <c r="H21" s="144">
        <v>0</v>
      </c>
      <c r="I21" s="1376"/>
      <c r="J21" s="144">
        <v>0</v>
      </c>
      <c r="K21" s="1376"/>
      <c r="L21" s="144">
        <v>0</v>
      </c>
      <c r="M21" s="144">
        <v>0</v>
      </c>
    </row>
    <row r="22" spans="1:13" s="145" customFormat="1" ht="15" customHeight="1" x14ac:dyDescent="0.2">
      <c r="A22" s="142"/>
      <c r="B22" s="143" t="s">
        <v>360</v>
      </c>
      <c r="C22" s="55" t="s">
        <v>1429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v>0</v>
      </c>
      <c r="G26" s="1381"/>
      <c r="H26" s="155">
        <v>0</v>
      </c>
      <c r="I26" s="1380"/>
      <c r="J26" s="155">
        <v>0</v>
      </c>
      <c r="K26" s="1380"/>
      <c r="L26" s="155">
        <v>0</v>
      </c>
      <c r="M26" s="155">
        <v>0</v>
      </c>
    </row>
    <row r="27" spans="1:13" s="145" customFormat="1" ht="1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252">
        <v>0</v>
      </c>
      <c r="G27" s="1509"/>
      <c r="H27" s="252">
        <v>0</v>
      </c>
      <c r="I27" s="1436"/>
      <c r="J27" s="252">
        <v>0</v>
      </c>
      <c r="K27" s="1436"/>
      <c r="L27" s="252">
        <v>0</v>
      </c>
      <c r="M27" s="252">
        <v>0</v>
      </c>
    </row>
    <row r="28" spans="1:13" s="141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v>0</v>
      </c>
      <c r="G28" s="1381"/>
      <c r="H28" s="155">
        <v>0</v>
      </c>
      <c r="I28" s="1380"/>
      <c r="J28" s="155">
        <v>0</v>
      </c>
      <c r="K28" s="1380"/>
      <c r="L28" s="155">
        <v>0</v>
      </c>
      <c r="M28" s="155">
        <v>0</v>
      </c>
    </row>
    <row r="29" spans="1:13" s="141" customFormat="1" ht="15" customHeight="1" thickBot="1" x14ac:dyDescent="0.25">
      <c r="A29" s="149"/>
      <c r="B29" s="253" t="s">
        <v>33</v>
      </c>
      <c r="C29" s="55" t="s">
        <v>359</v>
      </c>
      <c r="D29" s="295"/>
      <c r="E29" s="295"/>
      <c r="F29" s="144">
        <v>0</v>
      </c>
      <c r="G29" s="1415"/>
      <c r="H29" s="144">
        <v>0</v>
      </c>
      <c r="I29" s="1376"/>
      <c r="J29" s="144">
        <v>0</v>
      </c>
      <c r="K29" s="1376"/>
      <c r="L29" s="144">
        <v>0</v>
      </c>
      <c r="M29" s="144">
        <v>0</v>
      </c>
    </row>
    <row r="30" spans="1:13" s="141" customFormat="1" ht="15" customHeight="1" thickBot="1" x14ac:dyDescent="0.25">
      <c r="A30" s="146"/>
      <c r="B30" s="253" t="s">
        <v>39</v>
      </c>
      <c r="C30" s="55" t="s">
        <v>72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78"/>
      <c r="B31" s="253" t="s">
        <v>41</v>
      </c>
      <c r="C31" s="55" t="s">
        <v>74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29.25" thickBot="1" x14ac:dyDescent="0.25">
      <c r="A32" s="134" t="s">
        <v>67</v>
      </c>
      <c r="B32" s="254"/>
      <c r="C32" s="170" t="s">
        <v>429</v>
      </c>
      <c r="D32" s="295"/>
      <c r="E32" s="295"/>
      <c r="F32" s="295">
        <v>0</v>
      </c>
      <c r="G32" s="1381"/>
      <c r="H32" s="295">
        <v>0</v>
      </c>
      <c r="I32" s="1381"/>
      <c r="J32" s="295">
        <v>0</v>
      </c>
      <c r="K32" s="1381"/>
      <c r="L32" s="295">
        <v>0</v>
      </c>
      <c r="M32" s="295">
        <v>0</v>
      </c>
    </row>
    <row r="33" spans="1:21" s="141" customFormat="1" ht="30.75" thickBot="1" x14ac:dyDescent="0.25">
      <c r="A33" s="146"/>
      <c r="B33" s="255" t="s">
        <v>47</v>
      </c>
      <c r="C33" s="251" t="s">
        <v>430</v>
      </c>
      <c r="D33" s="295"/>
      <c r="E33" s="295"/>
      <c r="F33" s="144">
        <v>0</v>
      </c>
      <c r="G33" s="1415"/>
      <c r="H33" s="144">
        <v>0</v>
      </c>
      <c r="I33" s="1376"/>
      <c r="J33" s="144">
        <v>0</v>
      </c>
      <c r="K33" s="1376"/>
      <c r="L33" s="144">
        <v>0</v>
      </c>
      <c r="M33" s="144">
        <v>0</v>
      </c>
    </row>
    <row r="34" spans="1:21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>
        <v>0</v>
      </c>
      <c r="G34" s="1381"/>
      <c r="H34" s="295">
        <v>0</v>
      </c>
      <c r="I34" s="1381"/>
      <c r="J34" s="295">
        <v>0</v>
      </c>
      <c r="K34" s="1381"/>
      <c r="L34" s="295">
        <v>0</v>
      </c>
      <c r="M34" s="295">
        <v>0</v>
      </c>
    </row>
    <row r="35" spans="1:21" s="141" customFormat="1" ht="30.75" thickBot="1" x14ac:dyDescent="0.25">
      <c r="A35" s="258"/>
      <c r="B35" s="257" t="s">
        <v>69</v>
      </c>
      <c r="C35" s="55" t="s">
        <v>432</v>
      </c>
      <c r="D35" s="295"/>
      <c r="E35" s="295"/>
      <c r="F35" s="315">
        <v>0</v>
      </c>
      <c r="G35" s="1509"/>
      <c r="H35" s="315">
        <v>0</v>
      </c>
      <c r="I35" s="1509"/>
      <c r="J35" s="315">
        <v>0</v>
      </c>
      <c r="K35" s="1509"/>
      <c r="L35" s="315">
        <v>0</v>
      </c>
      <c r="M35" s="315">
        <v>0</v>
      </c>
    </row>
    <row r="36" spans="1:21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161</v>
      </c>
      <c r="F36" s="285">
        <f>SUM(F37:F39)</f>
        <v>124246920</v>
      </c>
      <c r="G36" s="1382">
        <f t="shared" ref="G36:K59" si="0">SUM(H36-F36)</f>
        <v>1848116</v>
      </c>
      <c r="H36" s="285">
        <f>SUM(H37:H39)</f>
        <v>126095036</v>
      </c>
      <c r="I36" s="1382">
        <f t="shared" si="0"/>
        <v>2589766</v>
      </c>
      <c r="J36" s="285">
        <f>SUM(J37:J39)</f>
        <v>128684802</v>
      </c>
      <c r="K36" s="1382">
        <f t="shared" si="0"/>
        <v>0</v>
      </c>
      <c r="L36" s="285">
        <f>SUM(L37:L39)</f>
        <v>128684802</v>
      </c>
      <c r="M36" s="285">
        <f>SUM(M37:M39)</f>
        <v>128684802</v>
      </c>
    </row>
    <row r="37" spans="1:21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306">
        <v>161</v>
      </c>
      <c r="F37" s="306">
        <v>0</v>
      </c>
      <c r="G37" s="1415">
        <f t="shared" si="0"/>
        <v>1475647</v>
      </c>
      <c r="H37" s="306">
        <f>SUM('5.3 sz. mell'!H37)</f>
        <v>1475647</v>
      </c>
      <c r="I37" s="1376">
        <f t="shared" si="0"/>
        <v>0</v>
      </c>
      <c r="J37" s="306">
        <f>SUM('5.3 sz. mell'!J37)</f>
        <v>1475647</v>
      </c>
      <c r="K37" s="1376">
        <f t="shared" si="0"/>
        <v>0</v>
      </c>
      <c r="L37" s="306">
        <f>SUM('5.3 sz. mell'!L37)</f>
        <v>1475647</v>
      </c>
      <c r="M37" s="306">
        <f>SUM('5.3 sz. mell'!M37)</f>
        <v>1475647</v>
      </c>
    </row>
    <row r="38" spans="1:21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294">
        <v>0</v>
      </c>
      <c r="F38" s="144">
        <v>0</v>
      </c>
      <c r="G38" s="1415">
        <f t="shared" si="0"/>
        <v>0</v>
      </c>
      <c r="H38" s="144">
        <v>0</v>
      </c>
      <c r="I38" s="1376">
        <f t="shared" si="0"/>
        <v>0</v>
      </c>
      <c r="J38" s="144">
        <v>0</v>
      </c>
      <c r="K38" s="1376">
        <f t="shared" si="0"/>
        <v>0</v>
      </c>
      <c r="L38" s="144">
        <v>0</v>
      </c>
      <c r="M38" s="144">
        <v>0</v>
      </c>
    </row>
    <row r="39" spans="1:21" s="145" customFormat="1" ht="15" customHeight="1" thickBot="1" x14ac:dyDescent="0.25">
      <c r="A39" s="142"/>
      <c r="B39" s="253" t="s">
        <v>85</v>
      </c>
      <c r="C39" s="55" t="s">
        <v>1432</v>
      </c>
      <c r="D39" s="155">
        <v>2651</v>
      </c>
      <c r="E39" s="155">
        <v>5245</v>
      </c>
      <c r="F39" s="144">
        <f>SUM(F40:F41)</f>
        <v>124246920</v>
      </c>
      <c r="G39" s="1415">
        <f t="shared" si="0"/>
        <v>372469</v>
      </c>
      <c r="H39" s="144">
        <f>SUM(H40:H41)</f>
        <v>124619389</v>
      </c>
      <c r="I39" s="1376">
        <f t="shared" si="0"/>
        <v>2589766</v>
      </c>
      <c r="J39" s="144">
        <f>SUM(J40:J41)</f>
        <v>127209155</v>
      </c>
      <c r="K39" s="1376">
        <f t="shared" si="0"/>
        <v>0</v>
      </c>
      <c r="L39" s="144">
        <f>SUM(L40:L41)</f>
        <v>127209155</v>
      </c>
      <c r="M39" s="144">
        <f>SUM(M40:M41)</f>
        <v>127209155</v>
      </c>
    </row>
    <row r="40" spans="1:21" s="145" customFormat="1" ht="15" customHeight="1" thickBot="1" x14ac:dyDescent="0.25">
      <c r="A40" s="142"/>
      <c r="B40" s="260" t="s">
        <v>437</v>
      </c>
      <c r="C40" s="261" t="s">
        <v>438</v>
      </c>
      <c r="D40" s="155"/>
      <c r="E40" s="155"/>
      <c r="F40" s="302">
        <f>SUM('5.3 sz. mell'!F40)</f>
        <v>113253735</v>
      </c>
      <c r="G40" s="1534">
        <f t="shared" si="0"/>
        <v>74470</v>
      </c>
      <c r="H40" s="302">
        <f>SUM('5.3 sz. mell'!H40)</f>
        <v>113328205</v>
      </c>
      <c r="I40" s="1492">
        <f t="shared" si="0"/>
        <v>-89724</v>
      </c>
      <c r="J40" s="302">
        <f>SUM('5.3 sz. mell'!J40)</f>
        <v>113238481</v>
      </c>
      <c r="K40" s="1492">
        <f t="shared" si="0"/>
        <v>0</v>
      </c>
      <c r="L40" s="302">
        <f>SUM('5.3 sz. mell'!L40)</f>
        <v>113238481</v>
      </c>
      <c r="M40" s="302">
        <f>SUM('5.3 sz. mell'!M40)</f>
        <v>113238481</v>
      </c>
    </row>
    <row r="41" spans="1:21" s="145" customFormat="1" ht="15" customHeight="1" thickBot="1" x14ac:dyDescent="0.25">
      <c r="A41" s="178"/>
      <c r="B41" s="263" t="s">
        <v>439</v>
      </c>
      <c r="C41" s="264" t="s">
        <v>440</v>
      </c>
      <c r="D41" s="155"/>
      <c r="E41" s="155"/>
      <c r="F41" s="302">
        <f>SUM('5.3 sz. mell'!F41)</f>
        <v>10993185</v>
      </c>
      <c r="G41" s="1534">
        <f t="shared" si="0"/>
        <v>297999</v>
      </c>
      <c r="H41" s="302">
        <f>SUM('5.3 sz. mell'!H41)</f>
        <v>11291184</v>
      </c>
      <c r="I41" s="1492">
        <f t="shared" si="0"/>
        <v>2679490</v>
      </c>
      <c r="J41" s="302">
        <f>SUM('5.3 sz. mell'!J41)</f>
        <v>13970674</v>
      </c>
      <c r="K41" s="1492">
        <f t="shared" si="0"/>
        <v>0</v>
      </c>
      <c r="L41" s="302">
        <f>SUM('5.3 sz. mell'!L41)</f>
        <v>13970674</v>
      </c>
      <c r="M41" s="302">
        <f>SUM('5.3 sz. mell'!M41)</f>
        <v>13970674</v>
      </c>
    </row>
    <row r="42" spans="1:21" s="145" customFormat="1" ht="12.75" hidden="1" customHeight="1" x14ac:dyDescent="0.25">
      <c r="A42" s="258"/>
      <c r="B42" s="256"/>
      <c r="C42" s="170" t="s">
        <v>458</v>
      </c>
      <c r="D42" s="155"/>
      <c r="E42" s="155"/>
      <c r="F42" s="155"/>
      <c r="G42" s="1415">
        <f t="shared" si="0"/>
        <v>0</v>
      </c>
      <c r="H42" s="155"/>
      <c r="I42" s="1376">
        <f t="shared" si="0"/>
        <v>0</v>
      </c>
      <c r="J42" s="155"/>
      <c r="K42" s="1376">
        <f t="shared" si="0"/>
        <v>0</v>
      </c>
      <c r="L42" s="155"/>
      <c r="M42" s="155"/>
    </row>
    <row r="43" spans="1:21" s="145" customFormat="1" ht="15" customHeight="1" thickBot="1" x14ac:dyDescent="0.25">
      <c r="A43" s="192" t="s">
        <v>99</v>
      </c>
      <c r="B43" s="160"/>
      <c r="C43" s="274" t="s">
        <v>441</v>
      </c>
      <c r="D43" s="162">
        <f>SUM(D8,D19,D26,D28,D36,D39)</f>
        <v>71618</v>
      </c>
      <c r="E43" s="162">
        <f>SUM(E8,E19,E26,E28,E36,E39)</f>
        <v>76312</v>
      </c>
      <c r="F43" s="162">
        <f>SUM(F8,F19,F26,F28,F32,F36)</f>
        <v>124246920</v>
      </c>
      <c r="G43" s="1437">
        <f t="shared" si="0"/>
        <v>1848116</v>
      </c>
      <c r="H43" s="162">
        <f>SUM(H8,H19,H26,H28,H32,H36)</f>
        <v>126095036</v>
      </c>
      <c r="I43" s="1373">
        <f t="shared" si="0"/>
        <v>2632577</v>
      </c>
      <c r="J43" s="162">
        <f>SUM(J8,J19,J26,J28,J32,J36)</f>
        <v>128727613</v>
      </c>
      <c r="K43" s="1373">
        <f t="shared" si="0"/>
        <v>0</v>
      </c>
      <c r="L43" s="162">
        <f>SUM(L8,L19,L26,L28,L32,L36)</f>
        <v>128727613</v>
      </c>
      <c r="M43" s="162">
        <f>SUM(M8,M19,M26,M28,M32,M36)</f>
        <v>128727613</v>
      </c>
      <c r="O43" s="205">
        <f>SUM(F59-F43)</f>
        <v>0</v>
      </c>
      <c r="P43" s="205">
        <f t="shared" ref="P43:U43" si="1">SUM(H59-H43)</f>
        <v>0</v>
      </c>
      <c r="Q43" s="205">
        <f t="shared" si="1"/>
        <v>0</v>
      </c>
      <c r="R43" s="205">
        <f t="shared" si="1"/>
        <v>0</v>
      </c>
      <c r="S43" s="205">
        <f t="shared" si="1"/>
        <v>0</v>
      </c>
      <c r="T43" s="205">
        <f t="shared" si="1"/>
        <v>0</v>
      </c>
      <c r="U43" s="205">
        <f t="shared" si="1"/>
        <v>-960201</v>
      </c>
    </row>
    <row r="44" spans="1:21" s="145" customFormat="1" ht="15" customHeight="1" thickBot="1" x14ac:dyDescent="0.25">
      <c r="A44" s="2098"/>
      <c r="B44" s="266"/>
      <c r="C44" s="275"/>
      <c r="D44" s="286"/>
      <c r="E44" s="286"/>
      <c r="F44" s="2163"/>
      <c r="G44" s="1438"/>
      <c r="H44" s="1443"/>
      <c r="I44" s="1443"/>
      <c r="J44" s="1443"/>
      <c r="K44" s="1443"/>
      <c r="L44" s="1443"/>
      <c r="M44" s="1458"/>
    </row>
    <row r="45" spans="1:21" s="305" customFormat="1" ht="15" customHeight="1" thickBot="1" x14ac:dyDescent="0.25">
      <c r="A45" s="192"/>
      <c r="B45" s="160"/>
      <c r="C45" s="282" t="s">
        <v>231</v>
      </c>
      <c r="D45" s="162"/>
      <c r="E45" s="162"/>
      <c r="F45" s="162"/>
      <c r="G45" s="1437"/>
      <c r="H45" s="162"/>
      <c r="I45" s="1373"/>
      <c r="J45" s="162"/>
      <c r="K45" s="1373"/>
      <c r="L45" s="162"/>
      <c r="M45" s="162"/>
    </row>
    <row r="46" spans="1:21" s="141" customFormat="1" ht="15" customHeight="1" thickBot="1" x14ac:dyDescent="0.25">
      <c r="A46" s="134" t="s">
        <v>3</v>
      </c>
      <c r="B46" s="170"/>
      <c r="C46" s="170" t="s">
        <v>442</v>
      </c>
      <c r="D46" s="137">
        <f>SUM(D47:D51)</f>
        <v>71618</v>
      </c>
      <c r="E46" s="137">
        <f>SUM(E47:E51)</f>
        <v>75829</v>
      </c>
      <c r="F46" s="137">
        <f>SUM(F47:F51)</f>
        <v>123611920</v>
      </c>
      <c r="G46" s="1382">
        <f t="shared" si="0"/>
        <v>1848116</v>
      </c>
      <c r="H46" s="137">
        <f>SUM(H47:H51)</f>
        <v>125460036</v>
      </c>
      <c r="I46" s="1382">
        <f t="shared" si="0"/>
        <v>2480149</v>
      </c>
      <c r="J46" s="137">
        <f>SUM(J47:J51)</f>
        <v>127940185</v>
      </c>
      <c r="K46" s="1382">
        <f t="shared" si="0"/>
        <v>0</v>
      </c>
      <c r="L46" s="137">
        <f>SUM(L47:L51)</f>
        <v>127940185</v>
      </c>
      <c r="M46" s="137">
        <f>SUM(M47:M51)</f>
        <v>126979984</v>
      </c>
    </row>
    <row r="47" spans="1:21" s="145" customFormat="1" ht="15" customHeight="1" x14ac:dyDescent="0.2">
      <c r="A47" s="173"/>
      <c r="B47" s="267" t="s">
        <v>152</v>
      </c>
      <c r="C47" s="251" t="s">
        <v>153</v>
      </c>
      <c r="D47" s="175">
        <v>48655</v>
      </c>
      <c r="E47" s="175">
        <v>52043</v>
      </c>
      <c r="F47" s="175">
        <f>SUM('5.3 sz. mell'!F47)</f>
        <v>93923750</v>
      </c>
      <c r="G47" s="1415">
        <f t="shared" si="0"/>
        <v>1121662</v>
      </c>
      <c r="H47" s="175">
        <f>SUM('5.3 sz. mell'!H47)</f>
        <v>95045412</v>
      </c>
      <c r="I47" s="1376">
        <f t="shared" si="0"/>
        <v>3248585</v>
      </c>
      <c r="J47" s="175">
        <f>SUM('5.3 sz. mell'!J47)</f>
        <v>98293997</v>
      </c>
      <c r="K47" s="1376">
        <f t="shared" si="0"/>
        <v>0</v>
      </c>
      <c r="L47" s="175">
        <f>SUM('5.3 sz. mell'!L47)</f>
        <v>98293997</v>
      </c>
      <c r="M47" s="175">
        <f>SUM('5.3 sz. mell'!M47)</f>
        <v>97953741</v>
      </c>
    </row>
    <row r="48" spans="1:21" s="145" customFormat="1" ht="15" customHeight="1" x14ac:dyDescent="0.2">
      <c r="A48" s="142"/>
      <c r="B48" s="253" t="s">
        <v>154</v>
      </c>
      <c r="C48" s="55" t="s">
        <v>155</v>
      </c>
      <c r="D48" s="144">
        <v>13095</v>
      </c>
      <c r="E48" s="144">
        <v>14010</v>
      </c>
      <c r="F48" s="175">
        <f>SUM('5.3 sz. mell'!F48)</f>
        <v>19052570</v>
      </c>
      <c r="G48" s="1415">
        <f t="shared" si="0"/>
        <v>219222</v>
      </c>
      <c r="H48" s="175">
        <f>SUM('5.3 sz. mell'!H48)</f>
        <v>19271792</v>
      </c>
      <c r="I48" s="1376">
        <f t="shared" si="0"/>
        <v>847687</v>
      </c>
      <c r="J48" s="175">
        <f>SUM('5.3 sz. mell'!J48)</f>
        <v>20119479</v>
      </c>
      <c r="K48" s="1376">
        <f t="shared" si="0"/>
        <v>0</v>
      </c>
      <c r="L48" s="175">
        <f>SUM('5.3 sz. mell'!L48)</f>
        <v>20119479</v>
      </c>
      <c r="M48" s="175">
        <f>SUM('5.3 sz. mell'!M48)</f>
        <v>20062541</v>
      </c>
    </row>
    <row r="49" spans="1:13" s="145" customFormat="1" ht="15" customHeight="1" x14ac:dyDescent="0.2">
      <c r="A49" s="142"/>
      <c r="B49" s="253" t="s">
        <v>156</v>
      </c>
      <c r="C49" s="55" t="s">
        <v>157</v>
      </c>
      <c r="D49" s="144">
        <v>9868</v>
      </c>
      <c r="E49" s="144">
        <v>9776</v>
      </c>
      <c r="F49" s="175">
        <f>SUM('5.3 sz. mell'!F49)</f>
        <v>10635600</v>
      </c>
      <c r="G49" s="1415">
        <f t="shared" si="0"/>
        <v>507232</v>
      </c>
      <c r="H49" s="175">
        <f>SUM('5.3 sz. mell'!H49)</f>
        <v>11142832</v>
      </c>
      <c r="I49" s="1376">
        <f t="shared" si="0"/>
        <v>-1616123</v>
      </c>
      <c r="J49" s="175">
        <f>SUM('5.3 sz. mell'!J49)</f>
        <v>9526709</v>
      </c>
      <c r="K49" s="1376">
        <f t="shared" si="0"/>
        <v>0</v>
      </c>
      <c r="L49" s="175">
        <f>SUM('5.3 sz. mell'!L49)</f>
        <v>9526709</v>
      </c>
      <c r="M49" s="175">
        <f>SUM('5.3 sz. mell'!M49)</f>
        <v>8963702</v>
      </c>
    </row>
    <row r="50" spans="1:13" s="145" customFormat="1" ht="15" customHeight="1" x14ac:dyDescent="0.2">
      <c r="A50" s="142"/>
      <c r="B50" s="253" t="s">
        <v>158</v>
      </c>
      <c r="C50" s="55" t="s">
        <v>159</v>
      </c>
      <c r="D50" s="144"/>
      <c r="E50" s="144"/>
      <c r="F50" s="144">
        <v>0</v>
      </c>
      <c r="G50" s="1415">
        <f t="shared" si="0"/>
        <v>0</v>
      </c>
      <c r="H50" s="175">
        <f>SUM('5.3 sz. mell'!H50)</f>
        <v>0</v>
      </c>
      <c r="I50" s="1376">
        <f t="shared" si="0"/>
        <v>0</v>
      </c>
      <c r="J50" s="175">
        <f>SUM('5.3 sz. mell'!J50)</f>
        <v>0</v>
      </c>
      <c r="K50" s="1376">
        <f t="shared" si="0"/>
        <v>0</v>
      </c>
      <c r="L50" s="175">
        <f>SUM('5.3 sz. mell'!L50)</f>
        <v>0</v>
      </c>
      <c r="M50" s="175">
        <f>SUM('5.3 sz. mell'!M50)</f>
        <v>0</v>
      </c>
    </row>
    <row r="51" spans="1:13" s="145" customFormat="1" ht="15" customHeight="1" thickBot="1" x14ac:dyDescent="0.25">
      <c r="A51" s="142"/>
      <c r="B51" s="253" t="s">
        <v>375</v>
      </c>
      <c r="C51" s="55" t="s">
        <v>161</v>
      </c>
      <c r="D51" s="144"/>
      <c r="E51" s="144"/>
      <c r="F51" s="144">
        <v>0</v>
      </c>
      <c r="G51" s="1415">
        <f t="shared" si="0"/>
        <v>0</v>
      </c>
      <c r="H51" s="175">
        <f>SUM('5.3 sz. mell'!H51)</f>
        <v>0</v>
      </c>
      <c r="I51" s="1376">
        <f t="shared" si="0"/>
        <v>0</v>
      </c>
      <c r="J51" s="175">
        <f>SUM('5.3 sz. mell'!J51)</f>
        <v>0</v>
      </c>
      <c r="K51" s="1376">
        <f t="shared" si="0"/>
        <v>0</v>
      </c>
      <c r="L51" s="175">
        <f>SUM('5.3 sz. mell'!L51)</f>
        <v>0</v>
      </c>
      <c r="M51" s="175">
        <f>SUM('5.3 sz. mell'!M51)</f>
        <v>0</v>
      </c>
    </row>
    <row r="52" spans="1:13" s="145" customFormat="1" ht="15" customHeight="1" thickBot="1" x14ac:dyDescent="0.25">
      <c r="A52" s="134" t="s">
        <v>17</v>
      </c>
      <c r="B52" s="170"/>
      <c r="C52" s="170" t="s">
        <v>443</v>
      </c>
      <c r="D52" s="137"/>
      <c r="E52" s="137">
        <f>SUM(E53:E56)</f>
        <v>483</v>
      </c>
      <c r="F52" s="137">
        <f>SUM(F53:F56)</f>
        <v>635000</v>
      </c>
      <c r="G52" s="1382">
        <f t="shared" si="0"/>
        <v>0</v>
      </c>
      <c r="H52" s="137">
        <f>SUM(H53:H56)</f>
        <v>635000</v>
      </c>
      <c r="I52" s="1382">
        <f t="shared" si="0"/>
        <v>152428</v>
      </c>
      <c r="J52" s="137">
        <f>SUM(J53:J56)</f>
        <v>787428</v>
      </c>
      <c r="K52" s="1382">
        <f t="shared" si="0"/>
        <v>0</v>
      </c>
      <c r="L52" s="137">
        <f>SUM(L53:L56)</f>
        <v>787428</v>
      </c>
      <c r="M52" s="137">
        <f>SUM(M53:M56)</f>
        <v>787428</v>
      </c>
    </row>
    <row r="53" spans="1:13" s="141" customFormat="1" ht="15" customHeight="1" x14ac:dyDescent="0.2">
      <c r="A53" s="173"/>
      <c r="B53" s="267" t="s">
        <v>5</v>
      </c>
      <c r="C53" s="251" t="s">
        <v>183</v>
      </c>
      <c r="D53" s="175"/>
      <c r="E53" s="175">
        <v>483</v>
      </c>
      <c r="F53" s="175">
        <f>SUM('5.3 sz. mell'!F53)</f>
        <v>635000</v>
      </c>
      <c r="G53" s="1415">
        <f t="shared" si="0"/>
        <v>0</v>
      </c>
      <c r="H53" s="175">
        <f>SUM('5.3 sz. mell'!H53)</f>
        <v>635000</v>
      </c>
      <c r="I53" s="1376">
        <f t="shared" si="0"/>
        <v>152428</v>
      </c>
      <c r="J53" s="175">
        <f>SUM('5.3 sz. mell'!J53)</f>
        <v>787428</v>
      </c>
      <c r="K53" s="1376">
        <f t="shared" si="0"/>
        <v>0</v>
      </c>
      <c r="L53" s="175">
        <f>SUM('5.3 sz. mell'!L53)</f>
        <v>787428</v>
      </c>
      <c r="M53" s="175">
        <f>SUM('5.3 sz. mell'!M53)</f>
        <v>787428</v>
      </c>
    </row>
    <row r="54" spans="1:13" s="145" customFormat="1" ht="15" customHeight="1" x14ac:dyDescent="0.2">
      <c r="A54" s="142"/>
      <c r="B54" s="253" t="s">
        <v>7</v>
      </c>
      <c r="C54" s="55" t="s">
        <v>185</v>
      </c>
      <c r="D54" s="144">
        <v>0</v>
      </c>
      <c r="E54" s="144">
        <v>0</v>
      </c>
      <c r="F54" s="144">
        <v>0</v>
      </c>
      <c r="G54" s="1415">
        <f t="shared" si="0"/>
        <v>0</v>
      </c>
      <c r="H54" s="175">
        <f>SUM('5.3 sz. mell'!H54)</f>
        <v>0</v>
      </c>
      <c r="I54" s="1376">
        <f t="shared" si="0"/>
        <v>0</v>
      </c>
      <c r="J54" s="175">
        <f>SUM('5.3 sz. mell'!J54)</f>
        <v>0</v>
      </c>
      <c r="K54" s="1376">
        <f t="shared" si="0"/>
        <v>0</v>
      </c>
      <c r="L54" s="175">
        <f>SUM('5.3 sz. mell'!L54)</f>
        <v>0</v>
      </c>
      <c r="M54" s="175">
        <f>SUM('5.3 sz. mell'!M54)</f>
        <v>0</v>
      </c>
    </row>
    <row r="55" spans="1:13" s="145" customFormat="1" ht="15.75" thickBot="1" x14ac:dyDescent="0.25">
      <c r="A55" s="142"/>
      <c r="B55" s="253" t="s">
        <v>9</v>
      </c>
      <c r="C55" s="55" t="s">
        <v>444</v>
      </c>
      <c r="D55" s="144">
        <v>0</v>
      </c>
      <c r="E55" s="144">
        <v>0</v>
      </c>
      <c r="F55" s="144">
        <v>0</v>
      </c>
      <c r="G55" s="1415">
        <f t="shared" si="0"/>
        <v>0</v>
      </c>
      <c r="H55" s="175">
        <f>SUM('5.3 sz. mell'!H55)</f>
        <v>0</v>
      </c>
      <c r="I55" s="1376">
        <f t="shared" si="0"/>
        <v>0</v>
      </c>
      <c r="J55" s="175">
        <f>SUM('5.3 sz. mell'!J55)</f>
        <v>0</v>
      </c>
      <c r="K55" s="1376">
        <f t="shared" si="0"/>
        <v>0</v>
      </c>
      <c r="L55" s="175">
        <f>SUM('5.3 sz. mell'!L55)</f>
        <v>0</v>
      </c>
      <c r="M55" s="175">
        <f>SUM('5.3 sz. mell'!M55)</f>
        <v>0</v>
      </c>
    </row>
    <row r="56" spans="1:13" s="145" customFormat="1" ht="12.75" hidden="1" customHeight="1" x14ac:dyDescent="0.2">
      <c r="A56" s="142"/>
      <c r="B56" s="176" t="s">
        <v>189</v>
      </c>
      <c r="C56" s="55" t="s">
        <v>448</v>
      </c>
      <c r="D56" s="144">
        <v>0</v>
      </c>
      <c r="E56" s="144">
        <v>0</v>
      </c>
      <c r="F56" s="144">
        <v>0</v>
      </c>
      <c r="G56" s="1415">
        <f t="shared" si="0"/>
        <v>0</v>
      </c>
      <c r="H56" s="144">
        <v>0</v>
      </c>
      <c r="I56" s="1376">
        <f t="shared" si="0"/>
        <v>0</v>
      </c>
      <c r="J56" s="144">
        <v>0</v>
      </c>
      <c r="K56" s="1376">
        <f t="shared" si="0"/>
        <v>0</v>
      </c>
      <c r="L56" s="144">
        <v>0</v>
      </c>
      <c r="M56" s="144">
        <v>0</v>
      </c>
    </row>
    <row r="57" spans="1:13" s="145" customFormat="1" ht="12.75" hidden="1" customHeight="1" x14ac:dyDescent="0.2">
      <c r="A57" s="134" t="s">
        <v>31</v>
      </c>
      <c r="B57" s="170"/>
      <c r="C57" s="171" t="s">
        <v>445</v>
      </c>
      <c r="D57" s="155">
        <v>0</v>
      </c>
      <c r="E57" s="155">
        <v>0</v>
      </c>
      <c r="F57" s="155">
        <v>0</v>
      </c>
      <c r="G57" s="1415">
        <f t="shared" si="0"/>
        <v>0</v>
      </c>
      <c r="H57" s="155">
        <v>0</v>
      </c>
      <c r="I57" s="1376">
        <f t="shared" si="0"/>
        <v>0</v>
      </c>
      <c r="J57" s="155">
        <v>0</v>
      </c>
      <c r="K57" s="1376">
        <f t="shared" si="0"/>
        <v>0</v>
      </c>
      <c r="L57" s="155">
        <v>0</v>
      </c>
      <c r="M57" s="155">
        <v>0</v>
      </c>
    </row>
    <row r="58" spans="1:13" s="145" customFormat="1" ht="12.75" hidden="1" customHeight="1" x14ac:dyDescent="0.2">
      <c r="A58" s="134"/>
      <c r="B58" s="170"/>
      <c r="C58" s="171" t="s">
        <v>459</v>
      </c>
      <c r="D58" s="155"/>
      <c r="E58" s="155"/>
      <c r="F58" s="155"/>
      <c r="G58" s="1415">
        <f t="shared" si="0"/>
        <v>0</v>
      </c>
      <c r="H58" s="155"/>
      <c r="I58" s="1376">
        <f t="shared" si="0"/>
        <v>0</v>
      </c>
      <c r="J58" s="155"/>
      <c r="K58" s="1376">
        <f t="shared" si="0"/>
        <v>0</v>
      </c>
      <c r="L58" s="155"/>
      <c r="M58" s="155"/>
    </row>
    <row r="59" spans="1:13" s="145" customFormat="1" ht="15" customHeight="1" thickBot="1" x14ac:dyDescent="0.25">
      <c r="A59" s="192" t="s">
        <v>31</v>
      </c>
      <c r="B59" s="160"/>
      <c r="C59" s="274" t="s">
        <v>465</v>
      </c>
      <c r="D59" s="162">
        <f>+D46+D52+D57</f>
        <v>71618</v>
      </c>
      <c r="E59" s="162">
        <f>+E46+E52+E57</f>
        <v>76312</v>
      </c>
      <c r="F59" s="162">
        <f>+F46+F52+F57+F58</f>
        <v>124246920</v>
      </c>
      <c r="G59" s="1437">
        <f t="shared" si="0"/>
        <v>1848116</v>
      </c>
      <c r="H59" s="162">
        <f>+H46+H52+H57+H58</f>
        <v>126095036</v>
      </c>
      <c r="I59" s="1373">
        <f t="shared" si="0"/>
        <v>2632577</v>
      </c>
      <c r="J59" s="162">
        <f>+J46+J52+J57+J58</f>
        <v>128727613</v>
      </c>
      <c r="K59" s="1373">
        <f t="shared" si="0"/>
        <v>0</v>
      </c>
      <c r="L59" s="162">
        <f>+L46+L52+L57+L58</f>
        <v>128727613</v>
      </c>
      <c r="M59" s="162">
        <f>+M46+M52+M57+M58</f>
        <v>127767412</v>
      </c>
    </row>
    <row r="60" spans="1:13" s="145" customFormat="1" ht="15" customHeight="1" thickBot="1" x14ac:dyDescent="0.25">
      <c r="A60" s="1303"/>
      <c r="B60" s="886"/>
      <c r="C60" s="886"/>
      <c r="D60" s="886"/>
      <c r="E60" s="886"/>
      <c r="F60" s="2100"/>
      <c r="G60" s="1550"/>
      <c r="H60" s="1550"/>
      <c r="I60" s="1550"/>
      <c r="J60" s="1550"/>
      <c r="K60" s="1550"/>
      <c r="L60" s="1550"/>
      <c r="M60" s="1304"/>
    </row>
    <row r="61" spans="1:13" s="145" customFormat="1" ht="15" customHeight="1" thickBot="1" x14ac:dyDescent="0.25">
      <c r="A61" s="276" t="s">
        <v>324</v>
      </c>
      <c r="B61" s="277"/>
      <c r="C61" s="278"/>
      <c r="D61" s="200">
        <v>24</v>
      </c>
      <c r="E61" s="200">
        <v>25</v>
      </c>
      <c r="F61" s="200">
        <f>SUM('5.3 sz. mell'!F61)</f>
        <v>27</v>
      </c>
      <c r="G61" s="200">
        <f>SUM('5.3 sz. mell'!G61)</f>
        <v>0</v>
      </c>
      <c r="H61" s="200">
        <f>SUM('5.3 sz. mell'!H61)</f>
        <v>27</v>
      </c>
      <c r="I61" s="200">
        <f>SUM('5.3 sz. mell'!I61)</f>
        <v>0</v>
      </c>
      <c r="J61" s="200">
        <f>SUM('5.3 sz. mell'!J61)</f>
        <v>27</v>
      </c>
      <c r="K61" s="3513">
        <f>SUM('5.3 sz. mell'!K61)</f>
        <v>0</v>
      </c>
      <c r="L61" s="200">
        <f>SUM('5.3 sz. mell'!L61)</f>
        <v>27</v>
      </c>
      <c r="M61" s="200">
        <f>SUM('5.3 sz. mell'!M61)</f>
        <v>27</v>
      </c>
    </row>
    <row r="62" spans="1:13" s="145" customFormat="1" ht="15" customHeight="1" thickBot="1" x14ac:dyDescent="0.25">
      <c r="A62" s="276" t="s">
        <v>325</v>
      </c>
      <c r="B62" s="277"/>
      <c r="C62" s="278"/>
      <c r="D62" s="279"/>
      <c r="E62" s="279"/>
      <c r="F62" s="279"/>
      <c r="G62" s="1560"/>
      <c r="H62" s="279"/>
      <c r="I62" s="1389"/>
      <c r="J62" s="279"/>
      <c r="K62" s="1389"/>
      <c r="L62" s="279"/>
      <c r="M62" s="279"/>
    </row>
    <row r="66" spans="3:13" ht="15.75" x14ac:dyDescent="0.2">
      <c r="C66" s="116" t="s">
        <v>945</v>
      </c>
      <c r="D66" s="116"/>
      <c r="E66" s="116"/>
      <c r="F66" s="116"/>
      <c r="G66" s="1416"/>
      <c r="H66" s="116"/>
      <c r="I66" s="1416"/>
      <c r="J66" s="116"/>
      <c r="K66" s="1416"/>
      <c r="L66" s="116"/>
      <c r="M66" s="116"/>
    </row>
    <row r="67" spans="3:13" ht="15.75" x14ac:dyDescent="0.2">
      <c r="C67" s="116" t="s">
        <v>942</v>
      </c>
      <c r="D67" s="116"/>
      <c r="E67" s="116"/>
      <c r="F67" s="116"/>
      <c r="G67" s="1416"/>
      <c r="H67" s="116"/>
      <c r="I67" s="1416"/>
      <c r="J67" s="116"/>
      <c r="K67" s="1416"/>
      <c r="L67" s="116"/>
      <c r="M67" s="116"/>
    </row>
    <row r="68" spans="3:13" ht="15.75" x14ac:dyDescent="0.2">
      <c r="C68" s="116" t="s">
        <v>943</v>
      </c>
      <c r="D68" s="116"/>
      <c r="E68" s="116"/>
      <c r="F68" s="116"/>
      <c r="G68" s="1416"/>
      <c r="H68" s="116"/>
      <c r="I68" s="1416"/>
      <c r="J68" s="116"/>
      <c r="K68" s="1416"/>
      <c r="L68" s="116"/>
      <c r="M68" s="116"/>
    </row>
    <row r="69" spans="3:13" ht="15.75" x14ac:dyDescent="0.2">
      <c r="C69" s="116" t="s">
        <v>944</v>
      </c>
      <c r="D69" s="116"/>
      <c r="E69" s="116"/>
      <c r="F69" s="116"/>
      <c r="G69" s="1416"/>
      <c r="H69" s="116">
        <f>SUM(H67:H68)</f>
        <v>0</v>
      </c>
      <c r="I69" s="1416"/>
      <c r="J69" s="116"/>
      <c r="K69" s="1416"/>
      <c r="L69" s="116"/>
      <c r="M69" s="116">
        <f>SUM(M67:M68)</f>
        <v>0</v>
      </c>
    </row>
    <row r="70" spans="3:13" ht="15.75" x14ac:dyDescent="0.2">
      <c r="C70" s="116"/>
      <c r="D70" s="116"/>
      <c r="E70" s="116"/>
      <c r="F70" s="116"/>
      <c r="G70" s="1416"/>
      <c r="H70" s="116"/>
      <c r="I70" s="1416"/>
      <c r="J70" s="116"/>
      <c r="K70" s="1416"/>
      <c r="L70" s="116"/>
      <c r="M70" s="116"/>
    </row>
    <row r="71" spans="3:13" ht="15.75" x14ac:dyDescent="0.2">
      <c r="C71" s="1126" t="s">
        <v>893</v>
      </c>
      <c r="D71" s="116"/>
      <c r="E71" s="116"/>
      <c r="F71" s="116"/>
      <c r="G71" s="1416"/>
      <c r="H71" s="203">
        <f>SUM(H59-H69)</f>
        <v>126095036</v>
      </c>
      <c r="I71" s="1470"/>
      <c r="J71" s="203"/>
      <c r="K71" s="1470"/>
      <c r="L71" s="203"/>
      <c r="M71" s="203">
        <f>SUM(M59-M69)</f>
        <v>127767412</v>
      </c>
    </row>
    <row r="72" spans="3:13" ht="15.75" x14ac:dyDescent="0.2">
      <c r="C72" s="116"/>
      <c r="D72" s="116"/>
      <c r="E72" s="116"/>
      <c r="F72" s="116"/>
      <c r="G72" s="1416"/>
      <c r="H72" s="116"/>
      <c r="I72" s="1416"/>
      <c r="J72" s="116"/>
      <c r="K72" s="1416"/>
      <c r="L72" s="116"/>
      <c r="M72" s="116"/>
    </row>
    <row r="73" spans="3:13" ht="15.75" x14ac:dyDescent="0.2">
      <c r="C73" s="116"/>
      <c r="D73" s="116"/>
      <c r="E73" s="116"/>
      <c r="F73" s="116"/>
      <c r="G73" s="1416"/>
      <c r="H73" s="116"/>
      <c r="I73" s="1416"/>
      <c r="J73" s="116"/>
      <c r="K73" s="1416"/>
      <c r="L73" s="116"/>
      <c r="M73" s="116"/>
    </row>
    <row r="74" spans="3:13" ht="15.75" x14ac:dyDescent="0.2">
      <c r="C74" s="116"/>
      <c r="D74" s="116"/>
      <c r="E74" s="116"/>
      <c r="F74" s="116"/>
      <c r="G74" s="1416"/>
      <c r="H74" s="116"/>
      <c r="I74" s="1416"/>
      <c r="J74" s="116"/>
      <c r="K74" s="1416"/>
      <c r="L74" s="116"/>
      <c r="M74" s="116"/>
    </row>
    <row r="75" spans="3:13" ht="15.75" x14ac:dyDescent="0.2">
      <c r="C75" s="116" t="s">
        <v>946</v>
      </c>
      <c r="D75" s="116"/>
      <c r="E75" s="116"/>
      <c r="F75" s="116"/>
      <c r="G75" s="1416"/>
      <c r="H75" s="116"/>
      <c r="I75" s="1416"/>
      <c r="J75" s="116"/>
      <c r="K75" s="1416"/>
      <c r="L75" s="116"/>
      <c r="M75" s="116"/>
    </row>
    <row r="76" spans="3:13" ht="15.75" x14ac:dyDescent="0.2">
      <c r="C76" s="116"/>
      <c r="D76" s="116"/>
      <c r="E76" s="116"/>
      <c r="F76" s="116"/>
      <c r="G76" s="1416"/>
      <c r="H76" s="116"/>
      <c r="I76" s="1416"/>
      <c r="J76" s="116"/>
      <c r="K76" s="1416"/>
      <c r="L76" s="116"/>
      <c r="M76" s="116"/>
    </row>
    <row r="77" spans="3:13" ht="15.75" x14ac:dyDescent="0.2">
      <c r="C77" s="116" t="s">
        <v>947</v>
      </c>
      <c r="D77" s="116"/>
      <c r="E77" s="116"/>
      <c r="F77" s="116"/>
      <c r="G77" s="1416"/>
      <c r="H77" s="116"/>
      <c r="I77" s="1416"/>
      <c r="J77" s="116"/>
      <c r="K77" s="1416"/>
      <c r="L77" s="116"/>
      <c r="M77" s="116"/>
    </row>
    <row r="78" spans="3:13" ht="15.75" x14ac:dyDescent="0.2">
      <c r="C78" s="116" t="s">
        <v>948</v>
      </c>
      <c r="D78" s="116"/>
      <c r="E78" s="116"/>
      <c r="F78" s="116"/>
      <c r="G78" s="1416"/>
      <c r="H78" s="116"/>
      <c r="I78" s="1416"/>
      <c r="J78" s="116"/>
      <c r="K78" s="1416"/>
      <c r="L78" s="116"/>
      <c r="M78" s="116"/>
    </row>
    <row r="79" spans="3:13" ht="15.75" x14ac:dyDescent="0.2">
      <c r="C79" s="116" t="s">
        <v>944</v>
      </c>
      <c r="D79" s="116"/>
      <c r="E79" s="116"/>
      <c r="F79" s="116"/>
      <c r="G79" s="1416"/>
      <c r="H79" s="116">
        <f>SUM(H77:H78)</f>
        <v>0</v>
      </c>
      <c r="I79" s="1416"/>
      <c r="J79" s="116"/>
      <c r="K79" s="1416"/>
      <c r="L79" s="116"/>
      <c r="M79" s="116">
        <f>SUM(M77:M78)</f>
        <v>0</v>
      </c>
    </row>
    <row r="80" spans="3:13" ht="15.75" x14ac:dyDescent="0.2">
      <c r="C80" s="116"/>
      <c r="D80" s="116"/>
      <c r="E80" s="116"/>
      <c r="F80" s="116"/>
      <c r="G80" s="1416"/>
      <c r="H80" s="116"/>
      <c r="I80" s="1416"/>
      <c r="J80" s="116"/>
      <c r="K80" s="1416"/>
      <c r="L80" s="116"/>
      <c r="M80" s="116"/>
    </row>
    <row r="81" spans="3:13" ht="15.75" x14ac:dyDescent="0.2">
      <c r="C81" s="1126" t="s">
        <v>279</v>
      </c>
      <c r="D81" s="116"/>
      <c r="E81" s="116"/>
      <c r="F81" s="116"/>
      <c r="G81" s="1416"/>
      <c r="H81" s="203">
        <f>SUM(H43-H79)</f>
        <v>126095036</v>
      </c>
      <c r="I81" s="1470"/>
      <c r="J81" s="203"/>
      <c r="K81" s="1470"/>
      <c r="L81" s="203"/>
      <c r="M81" s="203">
        <f>SUM(M43-M79)</f>
        <v>128727613</v>
      </c>
    </row>
    <row r="82" spans="3:13" ht="15.75" x14ac:dyDescent="0.2">
      <c r="C82" s="116"/>
      <c r="D82" s="116"/>
      <c r="E82" s="116"/>
      <c r="F82" s="116"/>
      <c r="G82" s="1416"/>
      <c r="H82" s="116"/>
      <c r="I82" s="1416"/>
      <c r="J82" s="116"/>
      <c r="K82" s="1416"/>
      <c r="L82" s="116"/>
      <c r="M82" s="116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15748031496062992" top="0.43307086614173229" bottom="0.39370078740157483" header="0.51181102362204722" footer="0.15748031496062992"/>
  <pageSetup paperSize="9" scale="72" firstPageNumber="55" orientation="portrait" useFirstPageNumber="1" r:id="rId1"/>
  <headerFooter>
    <oddFooter>&amp;C- &amp;P -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60"/>
  <sheetViews>
    <sheetView view="pageBreakPreview" topLeftCell="A41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3.5" style="115" customWidth="1"/>
    <col min="4" max="5" width="9.33203125" style="115" hidden="1" customWidth="1"/>
    <col min="6" max="6" width="13.1640625" style="115" customWidth="1"/>
    <col min="7" max="7" width="15" style="1390" hidden="1" customWidth="1"/>
    <col min="8" max="8" width="12.5" style="115" hidden="1" customWidth="1"/>
    <col min="9" max="9" width="11.83203125" style="1390" hidden="1" customWidth="1"/>
    <col min="10" max="10" width="12.83203125" style="115" customWidth="1"/>
    <col min="11" max="11" width="12.83203125" style="1390" customWidth="1"/>
    <col min="12" max="12" width="13.83203125" style="115" customWidth="1"/>
    <col min="13" max="13" width="15.832031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726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50.25" customHeight="1" thickBot="1" x14ac:dyDescent="0.25">
      <c r="A2" s="4516" t="s">
        <v>411</v>
      </c>
      <c r="B2" s="4516"/>
      <c r="C2" s="117" t="s">
        <v>471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25" t="s">
        <v>283</v>
      </c>
      <c r="B3" s="4525"/>
      <c r="C3" s="304" t="s">
        <v>1436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22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5"/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6"/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6"/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6"/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6"/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6"/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7"/>
      <c r="L15" s="147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0</v>
      </c>
      <c r="K16" s="1376"/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/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>
        <v>0</v>
      </c>
      <c r="K18" s="1378"/>
      <c r="L18" s="153">
        <v>0</v>
      </c>
      <c r="M18" s="153">
        <v>0</v>
      </c>
    </row>
    <row r="19" spans="1:13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68967</v>
      </c>
      <c r="E19" s="137">
        <f>SUM(E20:E25)</f>
        <v>70906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</row>
    <row r="20" spans="1:13" s="145" customFormat="1" ht="30" x14ac:dyDescent="0.2">
      <c r="A20" s="142"/>
      <c r="B20" s="143" t="s">
        <v>5</v>
      </c>
      <c r="C20" s="251" t="s">
        <v>420</v>
      </c>
      <c r="D20" s="144">
        <v>68967</v>
      </c>
      <c r="E20" s="144">
        <v>70906</v>
      </c>
      <c r="F20" s="144">
        <v>0</v>
      </c>
      <c r="G20" s="1415"/>
      <c r="H20" s="144">
        <v>0</v>
      </c>
      <c r="I20" s="1376"/>
      <c r="J20" s="144">
        <v>0</v>
      </c>
      <c r="K20" s="1376"/>
      <c r="L20" s="144">
        <v>0</v>
      </c>
      <c r="M20" s="144">
        <v>0</v>
      </c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/>
      <c r="H21" s="144">
        <v>0</v>
      </c>
      <c r="I21" s="1376"/>
      <c r="J21" s="144">
        <v>0</v>
      </c>
      <c r="K21" s="1376"/>
      <c r="L21" s="144">
        <v>0</v>
      </c>
      <c r="M21" s="144">
        <v>0</v>
      </c>
    </row>
    <row r="22" spans="1:13" s="145" customFormat="1" ht="15" customHeight="1" x14ac:dyDescent="0.2">
      <c r="A22" s="142"/>
      <c r="B22" s="143" t="s">
        <v>360</v>
      </c>
      <c r="C22" s="55" t="s">
        <v>1437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f>SUM(F27)</f>
        <v>0</v>
      </c>
      <c r="G26" s="1381"/>
      <c r="H26" s="155">
        <f>SUM(H27)</f>
        <v>0</v>
      </c>
      <c r="I26" s="1380"/>
      <c r="J26" s="155">
        <f>SUM(J27)</f>
        <v>0</v>
      </c>
      <c r="K26" s="1380"/>
      <c r="L26" s="155">
        <f>SUM(L27)</f>
        <v>0</v>
      </c>
      <c r="M26" s="155">
        <f>SUM(M27)</f>
        <v>0</v>
      </c>
    </row>
    <row r="27" spans="1:13" s="145" customFormat="1" ht="1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252">
        <v>0</v>
      </c>
      <c r="G27" s="1509"/>
      <c r="H27" s="252"/>
      <c r="I27" s="1436"/>
      <c r="J27" s="252"/>
      <c r="K27" s="1436"/>
      <c r="L27" s="252"/>
      <c r="M27" s="252"/>
    </row>
    <row r="28" spans="1:13" s="141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1381"/>
      <c r="H28" s="155">
        <f>SUM(H29:H31)</f>
        <v>0</v>
      </c>
      <c r="I28" s="1380"/>
      <c r="J28" s="155">
        <f>SUM(J29:J31)</f>
        <v>0</v>
      </c>
      <c r="K28" s="1380"/>
      <c r="L28" s="155">
        <f>SUM(L29:L31)</f>
        <v>0</v>
      </c>
      <c r="M28" s="155">
        <f>SUM(M29:M31)</f>
        <v>0</v>
      </c>
    </row>
    <row r="29" spans="1:13" s="141" customFormat="1" ht="15" customHeight="1" thickBot="1" x14ac:dyDescent="0.25">
      <c r="A29" s="149"/>
      <c r="B29" s="253" t="s">
        <v>33</v>
      </c>
      <c r="C29" s="55" t="s">
        <v>359</v>
      </c>
      <c r="D29" s="295"/>
      <c r="E29" s="295"/>
      <c r="F29" s="144">
        <v>0</v>
      </c>
      <c r="G29" s="1415"/>
      <c r="H29" s="144">
        <v>0</v>
      </c>
      <c r="I29" s="1376"/>
      <c r="J29" s="144">
        <v>0</v>
      </c>
      <c r="K29" s="1376"/>
      <c r="L29" s="144">
        <v>0</v>
      </c>
      <c r="M29" s="144">
        <v>0</v>
      </c>
    </row>
    <row r="30" spans="1:13" s="141" customFormat="1" ht="15" customHeight="1" thickBot="1" x14ac:dyDescent="0.25">
      <c r="A30" s="146"/>
      <c r="B30" s="253" t="s">
        <v>39</v>
      </c>
      <c r="C30" s="55" t="s">
        <v>72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78"/>
      <c r="B31" s="253" t="s">
        <v>41</v>
      </c>
      <c r="C31" s="55" t="s">
        <v>74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29.25" thickBot="1" x14ac:dyDescent="0.25">
      <c r="A32" s="134" t="s">
        <v>67</v>
      </c>
      <c r="B32" s="254"/>
      <c r="C32" s="170" t="s">
        <v>429</v>
      </c>
      <c r="D32" s="295"/>
      <c r="E32" s="295"/>
      <c r="F32" s="295">
        <f>SUM(F33:F33)</f>
        <v>0</v>
      </c>
      <c r="G32" s="1381"/>
      <c r="H32" s="295">
        <f>SUM(H33:H33)</f>
        <v>0</v>
      </c>
      <c r="I32" s="1381"/>
      <c r="J32" s="295">
        <f>SUM(J33:J33)</f>
        <v>0</v>
      </c>
      <c r="K32" s="1381"/>
      <c r="L32" s="295">
        <f>SUM(L33:L33)</f>
        <v>0</v>
      </c>
      <c r="M32" s="295">
        <f>SUM(M33:M33)</f>
        <v>0</v>
      </c>
    </row>
    <row r="33" spans="1:13" s="141" customFormat="1" ht="30.75" thickBot="1" x14ac:dyDescent="0.25">
      <c r="A33" s="146"/>
      <c r="B33" s="255" t="s">
        <v>47</v>
      </c>
      <c r="C33" s="251" t="s">
        <v>430</v>
      </c>
      <c r="D33" s="295"/>
      <c r="E33" s="295"/>
      <c r="F33" s="144">
        <v>0</v>
      </c>
      <c r="G33" s="1415"/>
      <c r="H33" s="144"/>
      <c r="I33" s="1376"/>
      <c r="J33" s="144"/>
      <c r="K33" s="1376"/>
      <c r="L33" s="144"/>
      <c r="M33" s="144"/>
    </row>
    <row r="34" spans="1:13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>
        <f>SUM(F35)</f>
        <v>0</v>
      </c>
      <c r="G34" s="1381"/>
      <c r="H34" s="295">
        <f>SUM(H35)</f>
        <v>0</v>
      </c>
      <c r="I34" s="1381"/>
      <c r="J34" s="295">
        <f>SUM(J35)</f>
        <v>0</v>
      </c>
      <c r="K34" s="1381"/>
      <c r="L34" s="295">
        <f>SUM(L35)</f>
        <v>0</v>
      </c>
      <c r="M34" s="295">
        <f>SUM(M35)</f>
        <v>0</v>
      </c>
    </row>
    <row r="35" spans="1:13" s="141" customFormat="1" ht="30.75" thickBot="1" x14ac:dyDescent="0.25">
      <c r="A35" s="258"/>
      <c r="B35" s="257" t="s">
        <v>69</v>
      </c>
      <c r="C35" s="55" t="s">
        <v>432</v>
      </c>
      <c r="D35" s="295"/>
      <c r="E35" s="295"/>
      <c r="F35" s="315">
        <v>0</v>
      </c>
      <c r="G35" s="1509"/>
      <c r="H35" s="315"/>
      <c r="I35" s="1509"/>
      <c r="J35" s="315"/>
      <c r="K35" s="1509"/>
      <c r="L35" s="315"/>
      <c r="M35" s="315"/>
    </row>
    <row r="36" spans="1:13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161</v>
      </c>
      <c r="F36" s="285">
        <f>SUM(F37:F39)</f>
        <v>0</v>
      </c>
      <c r="G36" s="1382"/>
      <c r="H36" s="285">
        <f>SUM(H37:H39)</f>
        <v>0</v>
      </c>
      <c r="I36" s="1382"/>
      <c r="J36" s="285">
        <f>SUM(J37:J39)</f>
        <v>0</v>
      </c>
      <c r="K36" s="1382"/>
      <c r="L36" s="285">
        <f>SUM(L37:L39)</f>
        <v>0</v>
      </c>
      <c r="M36" s="285">
        <f>SUM(M37:M39)</f>
        <v>0</v>
      </c>
    </row>
    <row r="37" spans="1:13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306">
        <v>161</v>
      </c>
      <c r="F37" s="306">
        <v>0</v>
      </c>
      <c r="G37" s="1383"/>
      <c r="H37" s="306">
        <v>0</v>
      </c>
      <c r="I37" s="1383"/>
      <c r="J37" s="306">
        <v>0</v>
      </c>
      <c r="K37" s="1383"/>
      <c r="L37" s="306">
        <v>0</v>
      </c>
      <c r="M37" s="306">
        <v>0</v>
      </c>
    </row>
    <row r="38" spans="1:13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294">
        <v>0</v>
      </c>
      <c r="F38" s="144">
        <v>0</v>
      </c>
      <c r="G38" s="1415"/>
      <c r="H38" s="144">
        <v>0</v>
      </c>
      <c r="I38" s="1376"/>
      <c r="J38" s="144">
        <v>0</v>
      </c>
      <c r="K38" s="1376"/>
      <c r="L38" s="144">
        <v>0</v>
      </c>
      <c r="M38" s="144">
        <v>0</v>
      </c>
    </row>
    <row r="39" spans="1:13" s="145" customFormat="1" ht="15" customHeight="1" thickBot="1" x14ac:dyDescent="0.25">
      <c r="A39" s="178"/>
      <c r="B39" s="253" t="s">
        <v>85</v>
      </c>
      <c r="C39" s="55" t="s">
        <v>1433</v>
      </c>
      <c r="D39" s="155">
        <v>2651</v>
      </c>
      <c r="E39" s="155">
        <v>5245</v>
      </c>
      <c r="F39" s="144">
        <v>0</v>
      </c>
      <c r="G39" s="1415"/>
      <c r="H39" s="144">
        <v>0</v>
      </c>
      <c r="I39" s="1376"/>
      <c r="J39" s="144">
        <v>0</v>
      </c>
      <c r="K39" s="1376"/>
      <c r="L39" s="144">
        <v>0</v>
      </c>
      <c r="M39" s="144">
        <v>0</v>
      </c>
    </row>
    <row r="40" spans="1:13" s="145" customFormat="1" ht="12.75" hidden="1" customHeight="1" x14ac:dyDescent="0.25">
      <c r="A40" s="258"/>
      <c r="B40" s="256"/>
      <c r="C40" s="170" t="s">
        <v>458</v>
      </c>
      <c r="D40" s="155"/>
      <c r="E40" s="155"/>
      <c r="F40" s="155"/>
      <c r="G40" s="1381"/>
      <c r="H40" s="155"/>
      <c r="I40" s="1380"/>
      <c r="J40" s="155"/>
      <c r="K40" s="1380"/>
      <c r="L40" s="155"/>
      <c r="M40" s="155"/>
    </row>
    <row r="41" spans="1:13" s="145" customFormat="1" ht="15" customHeight="1" thickBot="1" x14ac:dyDescent="0.25">
      <c r="A41" s="192" t="s">
        <v>99</v>
      </c>
      <c r="B41" s="160"/>
      <c r="C41" s="274" t="s">
        <v>441</v>
      </c>
      <c r="D41" s="162">
        <f>SUM(D8,D19,D26,D28,D36,D39)</f>
        <v>71618</v>
      </c>
      <c r="E41" s="162">
        <f>SUM(E8,E19,E26,E28,E36,E39)</f>
        <v>76312</v>
      </c>
      <c r="F41" s="162">
        <f>SUM(F8,F19,F26,F28,F32,F34,F36)</f>
        <v>0</v>
      </c>
      <c r="G41" s="1437"/>
      <c r="H41" s="162">
        <f>SUM(H8,H19,H26,H28,H32,H34,H36)</f>
        <v>0</v>
      </c>
      <c r="I41" s="1373"/>
      <c r="J41" s="162">
        <f>SUM(J8,J19,J26,J28,J32,J34,J36)</f>
        <v>0</v>
      </c>
      <c r="K41" s="1373"/>
      <c r="L41" s="162">
        <f>SUM(L8,L19,L26,L28,L32,L34,L36)</f>
        <v>0</v>
      </c>
      <c r="M41" s="162">
        <f>SUM(M8,M19,M26,M28,M32,M34,M36)</f>
        <v>0</v>
      </c>
    </row>
    <row r="42" spans="1:13" s="145" customFormat="1" ht="15" customHeight="1" thickBot="1" x14ac:dyDescent="0.25">
      <c r="A42" s="2098"/>
      <c r="B42" s="266"/>
      <c r="C42" s="275"/>
      <c r="D42" s="286"/>
      <c r="E42" s="286"/>
      <c r="F42" s="2163"/>
      <c r="G42" s="1443"/>
      <c r="H42" s="1443"/>
      <c r="I42" s="1443"/>
      <c r="J42" s="1443"/>
      <c r="K42" s="1443"/>
      <c r="L42" s="1443"/>
      <c r="M42" s="1458"/>
    </row>
    <row r="43" spans="1:13" s="305" customFormat="1" ht="15" customHeight="1" thickBot="1" x14ac:dyDescent="0.25">
      <c r="A43" s="192"/>
      <c r="B43" s="160"/>
      <c r="C43" s="282" t="s">
        <v>231</v>
      </c>
      <c r="D43" s="162"/>
      <c r="E43" s="162"/>
      <c r="F43" s="162"/>
      <c r="G43" s="1437"/>
      <c r="H43" s="162"/>
      <c r="I43" s="1373"/>
      <c r="J43" s="162"/>
      <c r="K43" s="1373"/>
      <c r="L43" s="162"/>
      <c r="M43" s="162"/>
    </row>
    <row r="44" spans="1:13" s="141" customFormat="1" ht="15" customHeight="1" thickBot="1" x14ac:dyDescent="0.25">
      <c r="A44" s="134" t="s">
        <v>3</v>
      </c>
      <c r="B44" s="170"/>
      <c r="C44" s="170" t="s">
        <v>442</v>
      </c>
      <c r="D44" s="137">
        <f>SUM(D45:D49)</f>
        <v>71618</v>
      </c>
      <c r="E44" s="137">
        <f>SUM(E45:E49)</f>
        <v>75829</v>
      </c>
      <c r="F44" s="137">
        <f>SUM(F45:F49)</f>
        <v>0</v>
      </c>
      <c r="G44" s="1382"/>
      <c r="H44" s="137">
        <f>SUM(H45:H49)</f>
        <v>0</v>
      </c>
      <c r="I44" s="1374"/>
      <c r="J44" s="137">
        <f>SUM(J45:J49)</f>
        <v>0</v>
      </c>
      <c r="K44" s="1374"/>
      <c r="L44" s="137">
        <f>SUM(L45:L49)</f>
        <v>0</v>
      </c>
      <c r="M44" s="137">
        <f>SUM(M45:M49)</f>
        <v>0</v>
      </c>
    </row>
    <row r="45" spans="1:13" s="145" customFormat="1" ht="15" customHeight="1" x14ac:dyDescent="0.2">
      <c r="A45" s="173"/>
      <c r="B45" s="267" t="s">
        <v>152</v>
      </c>
      <c r="C45" s="251" t="s">
        <v>153</v>
      </c>
      <c r="D45" s="175">
        <v>48655</v>
      </c>
      <c r="E45" s="175">
        <v>52043</v>
      </c>
      <c r="F45" s="175">
        <v>0</v>
      </c>
      <c r="G45" s="1432"/>
      <c r="H45" s="175">
        <v>0</v>
      </c>
      <c r="I45" s="1386"/>
      <c r="J45" s="175">
        <v>0</v>
      </c>
      <c r="K45" s="1386"/>
      <c r="L45" s="175">
        <v>0</v>
      </c>
      <c r="M45" s="175">
        <v>0</v>
      </c>
    </row>
    <row r="46" spans="1:13" s="145" customFormat="1" ht="15" customHeight="1" x14ac:dyDescent="0.2">
      <c r="A46" s="142"/>
      <c r="B46" s="253" t="s">
        <v>154</v>
      </c>
      <c r="C46" s="55" t="s">
        <v>155</v>
      </c>
      <c r="D46" s="144">
        <v>13095</v>
      </c>
      <c r="E46" s="144">
        <v>14010</v>
      </c>
      <c r="F46" s="144">
        <v>0</v>
      </c>
      <c r="G46" s="1415"/>
      <c r="H46" s="144">
        <v>0</v>
      </c>
      <c r="I46" s="1376"/>
      <c r="J46" s="144">
        <v>0</v>
      </c>
      <c r="K46" s="1376"/>
      <c r="L46" s="144">
        <v>0</v>
      </c>
      <c r="M46" s="144">
        <v>0</v>
      </c>
    </row>
    <row r="47" spans="1:13" s="145" customFormat="1" ht="15" customHeight="1" x14ac:dyDescent="0.2">
      <c r="A47" s="142"/>
      <c r="B47" s="253" t="s">
        <v>156</v>
      </c>
      <c r="C47" s="55" t="s">
        <v>157</v>
      </c>
      <c r="D47" s="144">
        <v>9868</v>
      </c>
      <c r="E47" s="144">
        <v>9776</v>
      </c>
      <c r="F47" s="144">
        <v>0</v>
      </c>
      <c r="G47" s="1415"/>
      <c r="H47" s="144">
        <v>0</v>
      </c>
      <c r="I47" s="1376"/>
      <c r="J47" s="144">
        <v>0</v>
      </c>
      <c r="K47" s="1376"/>
      <c r="L47" s="144">
        <v>0</v>
      </c>
      <c r="M47" s="144">
        <v>0</v>
      </c>
    </row>
    <row r="48" spans="1:13" s="145" customFormat="1" ht="15" customHeight="1" x14ac:dyDescent="0.2">
      <c r="A48" s="142"/>
      <c r="B48" s="253" t="s">
        <v>158</v>
      </c>
      <c r="C48" s="55" t="s">
        <v>159</v>
      </c>
      <c r="D48" s="144"/>
      <c r="E48" s="144"/>
      <c r="F48" s="144">
        <v>0</v>
      </c>
      <c r="G48" s="1415"/>
      <c r="H48" s="144">
        <v>0</v>
      </c>
      <c r="I48" s="1376"/>
      <c r="J48" s="144">
        <v>0</v>
      </c>
      <c r="K48" s="1376"/>
      <c r="L48" s="144">
        <v>0</v>
      </c>
      <c r="M48" s="144">
        <v>0</v>
      </c>
    </row>
    <row r="49" spans="1:13" s="145" customFormat="1" ht="15" customHeight="1" thickBot="1" x14ac:dyDescent="0.25">
      <c r="A49" s="142"/>
      <c r="B49" s="253" t="s">
        <v>375</v>
      </c>
      <c r="C49" s="55" t="s">
        <v>161</v>
      </c>
      <c r="D49" s="144"/>
      <c r="E49" s="144"/>
      <c r="F49" s="144">
        <v>0</v>
      </c>
      <c r="G49" s="1415"/>
      <c r="H49" s="144">
        <v>0</v>
      </c>
      <c r="I49" s="1376"/>
      <c r="J49" s="144">
        <v>0</v>
      </c>
      <c r="K49" s="1376"/>
      <c r="L49" s="144">
        <v>0</v>
      </c>
      <c r="M49" s="144">
        <v>0</v>
      </c>
    </row>
    <row r="50" spans="1:13" s="145" customFormat="1" ht="15" customHeight="1" thickBot="1" x14ac:dyDescent="0.25">
      <c r="A50" s="134" t="s">
        <v>17</v>
      </c>
      <c r="B50" s="170"/>
      <c r="C50" s="170" t="s">
        <v>443</v>
      </c>
      <c r="D50" s="137"/>
      <c r="E50" s="137">
        <f>SUM(E51:E54)</f>
        <v>483</v>
      </c>
      <c r="F50" s="137">
        <f>SUM(F51:F54)</f>
        <v>0</v>
      </c>
      <c r="G50" s="1382"/>
      <c r="H50" s="137">
        <f>SUM(H51:H54)</f>
        <v>0</v>
      </c>
      <c r="I50" s="1374"/>
      <c r="J50" s="137">
        <f>SUM(J51:J54)</f>
        <v>0</v>
      </c>
      <c r="K50" s="1374"/>
      <c r="L50" s="137">
        <f>SUM(L51:L54)</f>
        <v>0</v>
      </c>
      <c r="M50" s="137">
        <f>SUM(M51:M54)</f>
        <v>0</v>
      </c>
    </row>
    <row r="51" spans="1:13" s="141" customFormat="1" ht="15" customHeight="1" x14ac:dyDescent="0.2">
      <c r="A51" s="173"/>
      <c r="B51" s="267" t="s">
        <v>5</v>
      </c>
      <c r="C51" s="251" t="s">
        <v>183</v>
      </c>
      <c r="D51" s="175"/>
      <c r="E51" s="175">
        <v>483</v>
      </c>
      <c r="F51" s="175">
        <v>0</v>
      </c>
      <c r="G51" s="1432"/>
      <c r="H51" s="175">
        <v>0</v>
      </c>
      <c r="I51" s="1386"/>
      <c r="J51" s="175">
        <v>0</v>
      </c>
      <c r="K51" s="1386"/>
      <c r="L51" s="175">
        <v>0</v>
      </c>
      <c r="M51" s="175">
        <v>0</v>
      </c>
    </row>
    <row r="52" spans="1:13" s="145" customFormat="1" ht="15" customHeight="1" x14ac:dyDescent="0.2">
      <c r="A52" s="142"/>
      <c r="B52" s="253" t="s">
        <v>7</v>
      </c>
      <c r="C52" s="55" t="s">
        <v>185</v>
      </c>
      <c r="D52" s="144">
        <v>0</v>
      </c>
      <c r="E52" s="144">
        <v>0</v>
      </c>
      <c r="F52" s="144">
        <v>0</v>
      </c>
      <c r="G52" s="1415"/>
      <c r="H52" s="144">
        <v>0</v>
      </c>
      <c r="I52" s="1376"/>
      <c r="J52" s="144">
        <v>0</v>
      </c>
      <c r="K52" s="1376"/>
      <c r="L52" s="144">
        <v>0</v>
      </c>
      <c r="M52" s="144">
        <v>0</v>
      </c>
    </row>
    <row r="53" spans="1:13" s="145" customFormat="1" ht="15.75" thickBot="1" x14ac:dyDescent="0.25">
      <c r="A53" s="142"/>
      <c r="B53" s="253" t="s">
        <v>9</v>
      </c>
      <c r="C53" s="55" t="s">
        <v>444</v>
      </c>
      <c r="D53" s="144">
        <v>0</v>
      </c>
      <c r="E53" s="144">
        <v>0</v>
      </c>
      <c r="F53" s="144">
        <v>0</v>
      </c>
      <c r="G53" s="1415"/>
      <c r="H53" s="144">
        <v>0</v>
      </c>
      <c r="I53" s="1376"/>
      <c r="J53" s="144">
        <v>0</v>
      </c>
      <c r="K53" s="1376"/>
      <c r="L53" s="144">
        <v>0</v>
      </c>
      <c r="M53" s="144">
        <v>0</v>
      </c>
    </row>
    <row r="54" spans="1:13" s="145" customFormat="1" ht="12.75" hidden="1" customHeight="1" x14ac:dyDescent="0.2">
      <c r="A54" s="142"/>
      <c r="B54" s="176" t="s">
        <v>189</v>
      </c>
      <c r="C54" s="55" t="s">
        <v>448</v>
      </c>
      <c r="D54" s="144">
        <v>0</v>
      </c>
      <c r="E54" s="144">
        <v>0</v>
      </c>
      <c r="F54" s="144">
        <v>0</v>
      </c>
      <c r="G54" s="1415"/>
      <c r="H54" s="144">
        <v>0</v>
      </c>
      <c r="I54" s="1376"/>
      <c r="J54" s="144">
        <v>0</v>
      </c>
      <c r="K54" s="1376"/>
      <c r="L54" s="144">
        <v>0</v>
      </c>
      <c r="M54" s="144">
        <v>0</v>
      </c>
    </row>
    <row r="55" spans="1:13" s="145" customFormat="1" ht="12.75" hidden="1" customHeight="1" x14ac:dyDescent="0.2">
      <c r="A55" s="134" t="s">
        <v>31</v>
      </c>
      <c r="B55" s="170"/>
      <c r="C55" s="171" t="s">
        <v>445</v>
      </c>
      <c r="D55" s="155">
        <v>0</v>
      </c>
      <c r="E55" s="155">
        <v>0</v>
      </c>
      <c r="F55" s="155">
        <v>0</v>
      </c>
      <c r="G55" s="1381"/>
      <c r="H55" s="155">
        <v>0</v>
      </c>
      <c r="I55" s="1380"/>
      <c r="J55" s="155">
        <v>0</v>
      </c>
      <c r="K55" s="1380"/>
      <c r="L55" s="155">
        <v>0</v>
      </c>
      <c r="M55" s="155">
        <v>0</v>
      </c>
    </row>
    <row r="56" spans="1:13" s="145" customFormat="1" ht="12.75" hidden="1" customHeight="1" x14ac:dyDescent="0.2">
      <c r="A56" s="134"/>
      <c r="B56" s="170"/>
      <c r="C56" s="171" t="s">
        <v>459</v>
      </c>
      <c r="D56" s="155"/>
      <c r="E56" s="155"/>
      <c r="F56" s="155"/>
      <c r="G56" s="1381"/>
      <c r="H56" s="155"/>
      <c r="I56" s="1380"/>
      <c r="J56" s="155"/>
      <c r="K56" s="1380"/>
      <c r="L56" s="155"/>
      <c r="M56" s="155"/>
    </row>
    <row r="57" spans="1:13" s="145" customFormat="1" ht="15" customHeight="1" thickBot="1" x14ac:dyDescent="0.25">
      <c r="A57" s="192" t="s">
        <v>31</v>
      </c>
      <c r="B57" s="160"/>
      <c r="C57" s="274" t="s">
        <v>465</v>
      </c>
      <c r="D57" s="162">
        <f>+D44+D50+D55</f>
        <v>71618</v>
      </c>
      <c r="E57" s="162">
        <f>+E44+E50+E55</f>
        <v>76312</v>
      </c>
      <c r="F57" s="162">
        <f>+F44+F50+F55+F56</f>
        <v>0</v>
      </c>
      <c r="G57" s="1437"/>
      <c r="H57" s="162">
        <f>+H44+H50+H55+H56</f>
        <v>0</v>
      </c>
      <c r="I57" s="1373"/>
      <c r="J57" s="162">
        <f>+J44+J50+J55+J56</f>
        <v>0</v>
      </c>
      <c r="K57" s="1373"/>
      <c r="L57" s="162">
        <f>+L44+L50+L55+L56</f>
        <v>0</v>
      </c>
      <c r="M57" s="162">
        <f>+M44+M50+M55+M56</f>
        <v>0</v>
      </c>
    </row>
    <row r="58" spans="1:13" s="145" customFormat="1" ht="15" customHeight="1" thickBot="1" x14ac:dyDescent="0.25">
      <c r="A58" s="1303"/>
      <c r="B58" s="886"/>
      <c r="C58" s="886"/>
      <c r="D58" s="886"/>
      <c r="E58" s="886"/>
      <c r="F58" s="2100"/>
      <c r="G58" s="1550"/>
      <c r="H58" s="1550"/>
      <c r="I58" s="1550"/>
      <c r="J58" s="1550"/>
      <c r="K58" s="1550"/>
      <c r="L58" s="1550"/>
      <c r="M58" s="1304"/>
    </row>
    <row r="59" spans="1:13" s="145" customFormat="1" ht="15" customHeight="1" thickBot="1" x14ac:dyDescent="0.25">
      <c r="A59" s="276" t="s">
        <v>324</v>
      </c>
      <c r="B59" s="277"/>
      <c r="C59" s="278"/>
      <c r="D59" s="200">
        <v>24</v>
      </c>
      <c r="E59" s="200">
        <v>25</v>
      </c>
      <c r="F59" s="200"/>
      <c r="G59" s="1559"/>
      <c r="H59" s="200"/>
      <c r="I59" s="1388"/>
      <c r="J59" s="200"/>
      <c r="K59" s="1388"/>
      <c r="L59" s="200"/>
      <c r="M59" s="200"/>
    </row>
    <row r="60" spans="1:13" s="145" customFormat="1" ht="15" customHeight="1" thickBot="1" x14ac:dyDescent="0.25">
      <c r="A60" s="276" t="s">
        <v>325</v>
      </c>
      <c r="B60" s="277"/>
      <c r="C60" s="278"/>
      <c r="D60" s="279"/>
      <c r="E60" s="279"/>
      <c r="F60" s="279"/>
      <c r="G60" s="1560"/>
      <c r="H60" s="279"/>
      <c r="I60" s="1389"/>
      <c r="J60" s="279"/>
      <c r="K60" s="1389"/>
      <c r="L60" s="279"/>
      <c r="M60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5748031496062992" right="0.15748031496062992" top="0.43307086614173229" bottom="0.39370078740157483" header="0.51181102362204722" footer="0.15748031496062992"/>
  <pageSetup paperSize="9" scale="75" firstPageNumber="56" orientation="portrait" useFirstPageNumber="1" r:id="rId1"/>
  <headerFooter>
    <oddFooter>&amp;C- &amp;P -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60"/>
  <sheetViews>
    <sheetView view="pageBreakPreview" topLeftCell="A31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3.5" style="115" customWidth="1"/>
    <col min="4" max="5" width="9.33203125" style="115" hidden="1" customWidth="1"/>
    <col min="6" max="6" width="11.33203125" style="115" customWidth="1"/>
    <col min="7" max="7" width="14.6640625" style="1390" hidden="1" customWidth="1"/>
    <col min="8" max="8" width="11.5" style="115" hidden="1" customWidth="1"/>
    <col min="9" max="9" width="11.6640625" style="1390" hidden="1" customWidth="1"/>
    <col min="10" max="10" width="12" style="115" customWidth="1"/>
    <col min="11" max="11" width="13.83203125" style="1390" customWidth="1"/>
    <col min="12" max="12" width="13.83203125" style="115" customWidth="1"/>
    <col min="13" max="13" width="14.66406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727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50.25" customHeight="1" thickBot="1" x14ac:dyDescent="0.25">
      <c r="A2" s="4516" t="s">
        <v>411</v>
      </c>
      <c r="B2" s="4516"/>
      <c r="C2" s="117" t="s">
        <v>471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25" t="s">
        <v>283</v>
      </c>
      <c r="B3" s="4525"/>
      <c r="C3" s="304" t="s">
        <v>1445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3">
      <c r="A4" s="1300"/>
      <c r="B4" s="1301"/>
      <c r="C4" s="1301"/>
      <c r="D4" s="4518"/>
      <c r="E4" s="4518"/>
      <c r="F4" s="4519"/>
      <c r="G4" s="1511"/>
      <c r="H4" s="1454"/>
      <c r="I4" s="1454"/>
      <c r="J4" s="1454"/>
      <c r="K4" s="1454"/>
      <c r="L4" s="1455"/>
      <c r="M4" s="1508" t="s">
        <v>935</v>
      </c>
    </row>
    <row r="5" spans="1:13" s="145" customFormat="1" ht="27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5"/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6"/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6"/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6"/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6"/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6"/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7"/>
      <c r="L15" s="147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0</v>
      </c>
      <c r="K16" s="1376"/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/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>
        <v>0</v>
      </c>
      <c r="K18" s="1378"/>
      <c r="L18" s="153">
        <v>0</v>
      </c>
      <c r="M18" s="153">
        <v>0</v>
      </c>
    </row>
    <row r="19" spans="1:13" s="141" customFormat="1" ht="30.75" customHeight="1" thickBot="1" x14ac:dyDescent="0.25">
      <c r="A19" s="134" t="s">
        <v>17</v>
      </c>
      <c r="B19" s="148"/>
      <c r="C19" s="247" t="s">
        <v>419</v>
      </c>
      <c r="D19" s="137">
        <f>SUM(D20:D25)</f>
        <v>68967</v>
      </c>
      <c r="E19" s="137">
        <f>SUM(E20:E25)</f>
        <v>70906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</row>
    <row r="20" spans="1:13" s="145" customFormat="1" ht="30" x14ac:dyDescent="0.2">
      <c r="A20" s="142"/>
      <c r="B20" s="143" t="s">
        <v>5</v>
      </c>
      <c r="C20" s="251" t="s">
        <v>420</v>
      </c>
      <c r="D20" s="144">
        <v>68967</v>
      </c>
      <c r="E20" s="144">
        <v>70906</v>
      </c>
      <c r="F20" s="144">
        <v>0</v>
      </c>
      <c r="G20" s="1415"/>
      <c r="H20" s="144">
        <v>0</v>
      </c>
      <c r="I20" s="1376"/>
      <c r="J20" s="144">
        <v>0</v>
      </c>
      <c r="K20" s="1376"/>
      <c r="L20" s="144">
        <v>0</v>
      </c>
      <c r="M20" s="144">
        <v>0</v>
      </c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/>
      <c r="H21" s="144">
        <v>0</v>
      </c>
      <c r="I21" s="1376"/>
      <c r="J21" s="144">
        <v>0</v>
      </c>
      <c r="K21" s="1376"/>
      <c r="L21" s="144">
        <v>0</v>
      </c>
      <c r="M21" s="144">
        <v>0</v>
      </c>
    </row>
    <row r="22" spans="1:13" s="145" customFormat="1" ht="15" customHeight="1" x14ac:dyDescent="0.2">
      <c r="A22" s="142"/>
      <c r="B22" s="143" t="s">
        <v>360</v>
      </c>
      <c r="C22" s="55" t="s">
        <v>1429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v>0</v>
      </c>
      <c r="G26" s="1381"/>
      <c r="H26" s="155">
        <v>0</v>
      </c>
      <c r="I26" s="1380"/>
      <c r="J26" s="155">
        <v>0</v>
      </c>
      <c r="K26" s="1380"/>
      <c r="L26" s="155">
        <v>0</v>
      </c>
      <c r="M26" s="155">
        <v>0</v>
      </c>
    </row>
    <row r="27" spans="1:13" s="145" customFormat="1" ht="1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252">
        <v>0</v>
      </c>
      <c r="G27" s="1509"/>
      <c r="H27" s="252">
        <v>0</v>
      </c>
      <c r="I27" s="1436"/>
      <c r="J27" s="252">
        <v>0</v>
      </c>
      <c r="K27" s="1436"/>
      <c r="L27" s="252">
        <v>0</v>
      </c>
      <c r="M27" s="252">
        <v>0</v>
      </c>
    </row>
    <row r="28" spans="1:13" s="141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v>0</v>
      </c>
      <c r="G28" s="1381"/>
      <c r="H28" s="155">
        <v>0</v>
      </c>
      <c r="I28" s="1380"/>
      <c r="J28" s="155">
        <v>0</v>
      </c>
      <c r="K28" s="1380"/>
      <c r="L28" s="155">
        <v>0</v>
      </c>
      <c r="M28" s="155">
        <v>0</v>
      </c>
    </row>
    <row r="29" spans="1:13" s="141" customFormat="1" ht="15" customHeight="1" thickBot="1" x14ac:dyDescent="0.25">
      <c r="A29" s="149"/>
      <c r="B29" s="253" t="s">
        <v>33</v>
      </c>
      <c r="C29" s="55" t="s">
        <v>359</v>
      </c>
      <c r="D29" s="295"/>
      <c r="E29" s="295"/>
      <c r="F29" s="144">
        <v>0</v>
      </c>
      <c r="G29" s="1415"/>
      <c r="H29" s="144">
        <v>0</v>
      </c>
      <c r="I29" s="1376"/>
      <c r="J29" s="144">
        <v>0</v>
      </c>
      <c r="K29" s="1376"/>
      <c r="L29" s="144">
        <v>0</v>
      </c>
      <c r="M29" s="144">
        <v>0</v>
      </c>
    </row>
    <row r="30" spans="1:13" s="141" customFormat="1" ht="15" customHeight="1" thickBot="1" x14ac:dyDescent="0.25">
      <c r="A30" s="146"/>
      <c r="B30" s="253" t="s">
        <v>39</v>
      </c>
      <c r="C30" s="55" t="s">
        <v>72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78"/>
      <c r="B31" s="253" t="s">
        <v>41</v>
      </c>
      <c r="C31" s="55" t="s">
        <v>74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29.25" thickBot="1" x14ac:dyDescent="0.25">
      <c r="A32" s="134" t="s">
        <v>67</v>
      </c>
      <c r="B32" s="254"/>
      <c r="C32" s="170" t="s">
        <v>429</v>
      </c>
      <c r="D32" s="295"/>
      <c r="E32" s="295"/>
      <c r="F32" s="295">
        <f>SUM(F33:F33)</f>
        <v>0</v>
      </c>
      <c r="G32" s="1381"/>
      <c r="H32" s="295">
        <f>SUM(H33:H33)</f>
        <v>0</v>
      </c>
      <c r="I32" s="1381"/>
      <c r="J32" s="295">
        <f>SUM(J33:J33)</f>
        <v>0</v>
      </c>
      <c r="K32" s="1381"/>
      <c r="L32" s="295">
        <f>SUM(L33:L33)</f>
        <v>0</v>
      </c>
      <c r="M32" s="295">
        <f>SUM(M33:M33)</f>
        <v>0</v>
      </c>
    </row>
    <row r="33" spans="1:13" s="141" customFormat="1" ht="30.75" thickBot="1" x14ac:dyDescent="0.25">
      <c r="A33" s="146"/>
      <c r="B33" s="255" t="s">
        <v>47</v>
      </c>
      <c r="C33" s="251" t="s">
        <v>430</v>
      </c>
      <c r="D33" s="295"/>
      <c r="E33" s="295"/>
      <c r="F33" s="144">
        <v>0</v>
      </c>
      <c r="G33" s="1415"/>
      <c r="H33" s="144"/>
      <c r="I33" s="1376"/>
      <c r="J33" s="144"/>
      <c r="K33" s="1376"/>
      <c r="L33" s="144"/>
      <c r="M33" s="144"/>
    </row>
    <row r="34" spans="1:13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>
        <f>SUM(F35)</f>
        <v>0</v>
      </c>
      <c r="G34" s="1381"/>
      <c r="H34" s="295">
        <f>SUM(H35)</f>
        <v>0</v>
      </c>
      <c r="I34" s="1381"/>
      <c r="J34" s="295">
        <f>SUM(J35)</f>
        <v>0</v>
      </c>
      <c r="K34" s="1381"/>
      <c r="L34" s="295">
        <f>SUM(L35)</f>
        <v>0</v>
      </c>
      <c r="M34" s="295">
        <f>SUM(M35)</f>
        <v>0</v>
      </c>
    </row>
    <row r="35" spans="1:13" s="141" customFormat="1" ht="30.75" thickBot="1" x14ac:dyDescent="0.25">
      <c r="A35" s="258"/>
      <c r="B35" s="257" t="s">
        <v>69</v>
      </c>
      <c r="C35" s="55" t="s">
        <v>432</v>
      </c>
      <c r="D35" s="295"/>
      <c r="E35" s="295"/>
      <c r="F35" s="295">
        <v>0</v>
      </c>
      <c r="G35" s="1381"/>
      <c r="H35" s="295"/>
      <c r="I35" s="1381"/>
      <c r="J35" s="295"/>
      <c r="K35" s="1381"/>
      <c r="L35" s="295"/>
      <c r="M35" s="295"/>
    </row>
    <row r="36" spans="1:13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161</v>
      </c>
      <c r="F36" s="285">
        <f>SUM(F37:F39)</f>
        <v>0</v>
      </c>
      <c r="G36" s="1382"/>
      <c r="H36" s="285">
        <f>SUM(H37:H39)</f>
        <v>0</v>
      </c>
      <c r="I36" s="1382"/>
      <c r="J36" s="285">
        <f>SUM(J37:J39)</f>
        <v>0</v>
      </c>
      <c r="K36" s="1382"/>
      <c r="L36" s="285">
        <f>SUM(L37:L39)</f>
        <v>0</v>
      </c>
      <c r="M36" s="285">
        <f>SUM(M37:M39)</f>
        <v>0</v>
      </c>
    </row>
    <row r="37" spans="1:13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306">
        <v>161</v>
      </c>
      <c r="F37" s="306">
        <v>0</v>
      </c>
      <c r="G37" s="1383"/>
      <c r="H37" s="306">
        <v>0</v>
      </c>
      <c r="I37" s="1383"/>
      <c r="J37" s="306">
        <v>0</v>
      </c>
      <c r="K37" s="1383"/>
      <c r="L37" s="306">
        <v>0</v>
      </c>
      <c r="M37" s="306">
        <v>0</v>
      </c>
    </row>
    <row r="38" spans="1:13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692">
        <v>0</v>
      </c>
      <c r="F38" s="144">
        <v>0</v>
      </c>
      <c r="G38" s="2667"/>
      <c r="H38" s="294">
        <v>0</v>
      </c>
      <c r="I38" s="1384"/>
      <c r="J38" s="294">
        <v>0</v>
      </c>
      <c r="K38" s="1384"/>
      <c r="L38" s="294">
        <v>0</v>
      </c>
      <c r="M38" s="294">
        <v>0</v>
      </c>
    </row>
    <row r="39" spans="1:13" s="145" customFormat="1" ht="15" customHeight="1" thickBot="1" x14ac:dyDescent="0.25">
      <c r="A39" s="178"/>
      <c r="B39" s="253" t="s">
        <v>85</v>
      </c>
      <c r="C39" s="55" t="s">
        <v>1432</v>
      </c>
      <c r="D39" s="155">
        <v>2651</v>
      </c>
      <c r="E39" s="668">
        <v>5245</v>
      </c>
      <c r="F39" s="294">
        <v>0</v>
      </c>
      <c r="G39" s="1415"/>
      <c r="H39" s="144">
        <v>0</v>
      </c>
      <c r="I39" s="1376"/>
      <c r="J39" s="144">
        <v>0</v>
      </c>
      <c r="K39" s="1376"/>
      <c r="L39" s="144">
        <v>0</v>
      </c>
      <c r="M39" s="144">
        <v>0</v>
      </c>
    </row>
    <row r="40" spans="1:13" s="145" customFormat="1" ht="12.75" hidden="1" customHeight="1" x14ac:dyDescent="0.25">
      <c r="A40" s="258"/>
      <c r="B40" s="256"/>
      <c r="C40" s="170" t="s">
        <v>458</v>
      </c>
      <c r="D40" s="155"/>
      <c r="E40" s="155"/>
      <c r="F40" s="155"/>
      <c r="G40" s="1381"/>
      <c r="H40" s="155"/>
      <c r="I40" s="1380"/>
      <c r="J40" s="155"/>
      <c r="K40" s="1380"/>
      <c r="L40" s="155"/>
      <c r="M40" s="155"/>
    </row>
    <row r="41" spans="1:13" s="145" customFormat="1" ht="15" customHeight="1" thickBot="1" x14ac:dyDescent="0.25">
      <c r="A41" s="192" t="s">
        <v>99</v>
      </c>
      <c r="B41" s="160"/>
      <c r="C41" s="274" t="s">
        <v>441</v>
      </c>
      <c r="D41" s="162">
        <f>SUM(D8,D19,D26,D28,D36,D39)</f>
        <v>71618</v>
      </c>
      <c r="E41" s="162">
        <f>SUM(E8,E19,E26,E28,E36,E39)</f>
        <v>76312</v>
      </c>
      <c r="F41" s="162">
        <f>SUM(F8,F19,F26,F28,F36,F39,F40)</f>
        <v>0</v>
      </c>
      <c r="G41" s="1437"/>
      <c r="H41" s="162">
        <f>SUM(H8,H19,H26,H28,H36,H39,H40)</f>
        <v>0</v>
      </c>
      <c r="I41" s="1373"/>
      <c r="J41" s="162">
        <f>SUM(J8,J19,J26,J28,J36,J39,J40)</f>
        <v>0</v>
      </c>
      <c r="K41" s="1373"/>
      <c r="L41" s="162">
        <f>SUM(L8,L19,L26,L28,L36,L39,L40)</f>
        <v>0</v>
      </c>
      <c r="M41" s="162">
        <f>SUM(M8,M19,M26,M28,M36,M39,M40)</f>
        <v>0</v>
      </c>
    </row>
    <row r="42" spans="1:13" s="145" customFormat="1" ht="15" customHeight="1" thickBot="1" x14ac:dyDescent="0.25">
      <c r="A42" s="2098"/>
      <c r="B42" s="266"/>
      <c r="C42" s="275"/>
      <c r="D42" s="286"/>
      <c r="E42" s="286"/>
      <c r="F42" s="2163"/>
      <c r="G42" s="1443"/>
      <c r="H42" s="1443"/>
      <c r="I42" s="1443"/>
      <c r="J42" s="1443"/>
      <c r="K42" s="1443"/>
      <c r="L42" s="1443"/>
      <c r="M42" s="1458"/>
    </row>
    <row r="43" spans="1:13" s="305" customFormat="1" ht="15" customHeight="1" thickBot="1" x14ac:dyDescent="0.25">
      <c r="A43" s="192"/>
      <c r="B43" s="160"/>
      <c r="C43" s="282" t="s">
        <v>231</v>
      </c>
      <c r="D43" s="162"/>
      <c r="E43" s="162"/>
      <c r="F43" s="162"/>
      <c r="G43" s="1437"/>
      <c r="H43" s="162"/>
      <c r="I43" s="1373"/>
      <c r="J43" s="162"/>
      <c r="K43" s="1373"/>
      <c r="L43" s="162"/>
      <c r="M43" s="162"/>
    </row>
    <row r="44" spans="1:13" s="141" customFormat="1" ht="15" customHeight="1" thickBot="1" x14ac:dyDescent="0.25">
      <c r="A44" s="134" t="s">
        <v>3</v>
      </c>
      <c r="B44" s="170"/>
      <c r="C44" s="170" t="s">
        <v>442</v>
      </c>
      <c r="D44" s="137">
        <f>SUM(D45:D49)</f>
        <v>71618</v>
      </c>
      <c r="E44" s="137">
        <f>SUM(E45:E49)</f>
        <v>75829</v>
      </c>
      <c r="F44" s="137">
        <f>SUM(F45:F49)</f>
        <v>0</v>
      </c>
      <c r="G44" s="1382"/>
      <c r="H44" s="137">
        <f>SUM(H45:H49)</f>
        <v>0</v>
      </c>
      <c r="I44" s="1374"/>
      <c r="J44" s="137">
        <f>SUM(J45:J49)</f>
        <v>0</v>
      </c>
      <c r="K44" s="1374"/>
      <c r="L44" s="137">
        <f>SUM(L45:L49)</f>
        <v>0</v>
      </c>
      <c r="M44" s="137">
        <f>SUM(M45:M49)</f>
        <v>0</v>
      </c>
    </row>
    <row r="45" spans="1:13" s="145" customFormat="1" ht="15" customHeight="1" x14ac:dyDescent="0.2">
      <c r="A45" s="173"/>
      <c r="B45" s="267" t="s">
        <v>152</v>
      </c>
      <c r="C45" s="251" t="s">
        <v>153</v>
      </c>
      <c r="D45" s="175">
        <v>48655</v>
      </c>
      <c r="E45" s="175">
        <v>52043</v>
      </c>
      <c r="F45" s="175">
        <v>0</v>
      </c>
      <c r="G45" s="1432"/>
      <c r="H45" s="175">
        <v>0</v>
      </c>
      <c r="I45" s="1386"/>
      <c r="J45" s="175">
        <v>0</v>
      </c>
      <c r="K45" s="1386"/>
      <c r="L45" s="175">
        <v>0</v>
      </c>
      <c r="M45" s="175">
        <v>0</v>
      </c>
    </row>
    <row r="46" spans="1:13" s="145" customFormat="1" ht="15" customHeight="1" x14ac:dyDescent="0.2">
      <c r="A46" s="142"/>
      <c r="B46" s="253" t="s">
        <v>154</v>
      </c>
      <c r="C46" s="55" t="s">
        <v>155</v>
      </c>
      <c r="D46" s="144">
        <v>13095</v>
      </c>
      <c r="E46" s="144">
        <v>14010</v>
      </c>
      <c r="F46" s="144">
        <v>0</v>
      </c>
      <c r="G46" s="1415"/>
      <c r="H46" s="144">
        <v>0</v>
      </c>
      <c r="I46" s="1376"/>
      <c r="J46" s="144">
        <v>0</v>
      </c>
      <c r="K46" s="1376"/>
      <c r="L46" s="144">
        <v>0</v>
      </c>
      <c r="M46" s="144">
        <v>0</v>
      </c>
    </row>
    <row r="47" spans="1:13" s="145" customFormat="1" ht="15" customHeight="1" x14ac:dyDescent="0.2">
      <c r="A47" s="142"/>
      <c r="B47" s="253" t="s">
        <v>156</v>
      </c>
      <c r="C47" s="55" t="s">
        <v>157</v>
      </c>
      <c r="D47" s="144">
        <v>9868</v>
      </c>
      <c r="E47" s="144">
        <v>9776</v>
      </c>
      <c r="F47" s="144">
        <v>0</v>
      </c>
      <c r="G47" s="1415"/>
      <c r="H47" s="144">
        <v>0</v>
      </c>
      <c r="I47" s="1376"/>
      <c r="J47" s="144">
        <v>0</v>
      </c>
      <c r="K47" s="1376"/>
      <c r="L47" s="144">
        <v>0</v>
      </c>
      <c r="M47" s="144">
        <v>0</v>
      </c>
    </row>
    <row r="48" spans="1:13" s="145" customFormat="1" ht="15" customHeight="1" x14ac:dyDescent="0.2">
      <c r="A48" s="142"/>
      <c r="B48" s="253" t="s">
        <v>158</v>
      </c>
      <c r="C48" s="55" t="s">
        <v>159</v>
      </c>
      <c r="D48" s="144"/>
      <c r="E48" s="144"/>
      <c r="F48" s="144">
        <v>0</v>
      </c>
      <c r="G48" s="1415"/>
      <c r="H48" s="144">
        <v>0</v>
      </c>
      <c r="I48" s="1376"/>
      <c r="J48" s="144">
        <v>0</v>
      </c>
      <c r="K48" s="1376"/>
      <c r="L48" s="144">
        <v>0</v>
      </c>
      <c r="M48" s="144">
        <v>0</v>
      </c>
    </row>
    <row r="49" spans="1:13" s="145" customFormat="1" ht="15" customHeight="1" thickBot="1" x14ac:dyDescent="0.25">
      <c r="A49" s="142"/>
      <c r="B49" s="253" t="s">
        <v>375</v>
      </c>
      <c r="C49" s="55" t="s">
        <v>161</v>
      </c>
      <c r="D49" s="144"/>
      <c r="E49" s="144"/>
      <c r="F49" s="144">
        <v>0</v>
      </c>
      <c r="G49" s="1415"/>
      <c r="H49" s="144">
        <v>0</v>
      </c>
      <c r="I49" s="1376"/>
      <c r="J49" s="144">
        <v>0</v>
      </c>
      <c r="K49" s="1376"/>
      <c r="L49" s="144">
        <v>0</v>
      </c>
      <c r="M49" s="144">
        <v>0</v>
      </c>
    </row>
    <row r="50" spans="1:13" s="145" customFormat="1" ht="15" customHeight="1" thickBot="1" x14ac:dyDescent="0.25">
      <c r="A50" s="134" t="s">
        <v>17</v>
      </c>
      <c r="B50" s="170"/>
      <c r="C50" s="170" t="s">
        <v>443</v>
      </c>
      <c r="D50" s="137"/>
      <c r="E50" s="137">
        <f>SUM(E51:E54)</f>
        <v>483</v>
      </c>
      <c r="F50" s="137">
        <f>SUM(F51:F53)</f>
        <v>0</v>
      </c>
      <c r="G50" s="1382"/>
      <c r="H50" s="137">
        <f>SUM(H51:H53)</f>
        <v>0</v>
      </c>
      <c r="I50" s="1374"/>
      <c r="J50" s="137">
        <f>SUM(J51:J53)</f>
        <v>0</v>
      </c>
      <c r="K50" s="1374"/>
      <c r="L50" s="137">
        <f>SUM(L51:L53)</f>
        <v>0</v>
      </c>
      <c r="M50" s="137">
        <f>SUM(M51:M53)</f>
        <v>0</v>
      </c>
    </row>
    <row r="51" spans="1:13" s="141" customFormat="1" ht="15" customHeight="1" x14ac:dyDescent="0.2">
      <c r="A51" s="173"/>
      <c r="B51" s="267" t="s">
        <v>5</v>
      </c>
      <c r="C51" s="251" t="s">
        <v>183</v>
      </c>
      <c r="D51" s="175"/>
      <c r="E51" s="175">
        <v>483</v>
      </c>
      <c r="F51" s="175">
        <v>0</v>
      </c>
      <c r="G51" s="1432"/>
      <c r="H51" s="175">
        <v>0</v>
      </c>
      <c r="I51" s="1386"/>
      <c r="J51" s="175">
        <v>0</v>
      </c>
      <c r="K51" s="1386"/>
      <c r="L51" s="175">
        <v>0</v>
      </c>
      <c r="M51" s="175">
        <v>0</v>
      </c>
    </row>
    <row r="52" spans="1:13" s="145" customFormat="1" ht="15" customHeight="1" x14ac:dyDescent="0.2">
      <c r="A52" s="142"/>
      <c r="B52" s="253" t="s">
        <v>7</v>
      </c>
      <c r="C52" s="55" t="s">
        <v>185</v>
      </c>
      <c r="D52" s="144">
        <v>0</v>
      </c>
      <c r="E52" s="144">
        <v>0</v>
      </c>
      <c r="F52" s="144">
        <v>0</v>
      </c>
      <c r="G52" s="1415"/>
      <c r="H52" s="144">
        <v>0</v>
      </c>
      <c r="I52" s="1376"/>
      <c r="J52" s="144">
        <v>0</v>
      </c>
      <c r="K52" s="1376"/>
      <c r="L52" s="144">
        <v>0</v>
      </c>
      <c r="M52" s="144">
        <v>0</v>
      </c>
    </row>
    <row r="53" spans="1:13" s="145" customFormat="1" ht="15.75" thickBot="1" x14ac:dyDescent="0.25">
      <c r="A53" s="142"/>
      <c r="B53" s="253" t="s">
        <v>9</v>
      </c>
      <c r="C53" s="55" t="s">
        <v>444</v>
      </c>
      <c r="D53" s="144">
        <v>0</v>
      </c>
      <c r="E53" s="144">
        <v>0</v>
      </c>
      <c r="F53" s="144">
        <v>0</v>
      </c>
      <c r="G53" s="1415"/>
      <c r="H53" s="144">
        <v>0</v>
      </c>
      <c r="I53" s="1376"/>
      <c r="J53" s="144">
        <v>0</v>
      </c>
      <c r="K53" s="1376"/>
      <c r="L53" s="144">
        <v>0</v>
      </c>
      <c r="M53" s="144">
        <v>0</v>
      </c>
    </row>
    <row r="54" spans="1:13" s="145" customFormat="1" ht="12.75" hidden="1" customHeight="1" x14ac:dyDescent="0.2">
      <c r="A54" s="142"/>
      <c r="B54" s="176" t="s">
        <v>189</v>
      </c>
      <c r="C54" s="55" t="s">
        <v>448</v>
      </c>
      <c r="D54" s="144">
        <v>0</v>
      </c>
      <c r="E54" s="144">
        <v>0</v>
      </c>
      <c r="F54" s="144">
        <v>0</v>
      </c>
      <c r="G54" s="1415"/>
      <c r="H54" s="144">
        <v>0</v>
      </c>
      <c r="I54" s="1376"/>
      <c r="J54" s="144">
        <v>0</v>
      </c>
      <c r="K54" s="1376"/>
      <c r="L54" s="144">
        <v>0</v>
      </c>
      <c r="M54" s="144">
        <v>0</v>
      </c>
    </row>
    <row r="55" spans="1:13" s="145" customFormat="1" ht="12.75" hidden="1" customHeight="1" x14ac:dyDescent="0.2">
      <c r="A55" s="134" t="s">
        <v>31</v>
      </c>
      <c r="B55" s="170"/>
      <c r="C55" s="171" t="s">
        <v>445</v>
      </c>
      <c r="D55" s="155">
        <v>0</v>
      </c>
      <c r="E55" s="155">
        <v>0</v>
      </c>
      <c r="F55" s="155">
        <v>0</v>
      </c>
      <c r="G55" s="1381"/>
      <c r="H55" s="155">
        <v>0</v>
      </c>
      <c r="I55" s="1380"/>
      <c r="J55" s="155">
        <v>0</v>
      </c>
      <c r="K55" s="1380"/>
      <c r="L55" s="155">
        <v>0</v>
      </c>
      <c r="M55" s="155">
        <v>0</v>
      </c>
    </row>
    <row r="56" spans="1:13" s="145" customFormat="1" ht="12.75" hidden="1" customHeight="1" x14ac:dyDescent="0.2">
      <c r="A56" s="134"/>
      <c r="B56" s="170"/>
      <c r="C56" s="171" t="s">
        <v>459</v>
      </c>
      <c r="D56" s="155"/>
      <c r="E56" s="155"/>
      <c r="F56" s="155"/>
      <c r="G56" s="1381"/>
      <c r="H56" s="155"/>
      <c r="I56" s="1380"/>
      <c r="J56" s="155"/>
      <c r="K56" s="1380"/>
      <c r="L56" s="155"/>
      <c r="M56" s="155"/>
    </row>
    <row r="57" spans="1:13" s="145" customFormat="1" ht="15" customHeight="1" thickBot="1" x14ac:dyDescent="0.25">
      <c r="A57" s="192" t="s">
        <v>31</v>
      </c>
      <c r="B57" s="160"/>
      <c r="C57" s="274" t="s">
        <v>465</v>
      </c>
      <c r="D57" s="162">
        <f>+D44+D50+D55</f>
        <v>71618</v>
      </c>
      <c r="E57" s="162">
        <f>+E44+E50+E55</f>
        <v>76312</v>
      </c>
      <c r="F57" s="162">
        <f>+F44+F50+F55+F56</f>
        <v>0</v>
      </c>
      <c r="G57" s="1437"/>
      <c r="H57" s="162">
        <f>+H44+H50+H55+H56</f>
        <v>0</v>
      </c>
      <c r="I57" s="1373"/>
      <c r="J57" s="162">
        <f>+J44+J50+J55+J56</f>
        <v>0</v>
      </c>
      <c r="K57" s="1373"/>
      <c r="L57" s="162">
        <f>+L44+L50+L55+L56</f>
        <v>0</v>
      </c>
      <c r="M57" s="162">
        <f>+M44+M50+M55+M56</f>
        <v>0</v>
      </c>
    </row>
    <row r="58" spans="1:13" s="145" customFormat="1" ht="11.25" customHeight="1" thickBot="1" x14ac:dyDescent="0.25">
      <c r="A58" s="1303"/>
      <c r="B58" s="886"/>
      <c r="C58" s="886"/>
      <c r="D58" s="886"/>
      <c r="E58" s="886"/>
      <c r="F58" s="2100"/>
      <c r="G58" s="1550"/>
      <c r="H58" s="1550"/>
      <c r="I58" s="1550"/>
      <c r="J58" s="1550"/>
      <c r="K58" s="1550"/>
      <c r="L58" s="1550"/>
      <c r="M58" s="1304"/>
    </row>
    <row r="59" spans="1:13" s="145" customFormat="1" ht="15" customHeight="1" thickBot="1" x14ac:dyDescent="0.25">
      <c r="A59" s="276" t="s">
        <v>324</v>
      </c>
      <c r="B59" s="277"/>
      <c r="C59" s="278"/>
      <c r="D59" s="200">
        <v>24</v>
      </c>
      <c r="E59" s="200">
        <v>25</v>
      </c>
      <c r="F59" s="200"/>
      <c r="G59" s="1559"/>
      <c r="H59" s="200"/>
      <c r="I59" s="1388"/>
      <c r="J59" s="200"/>
      <c r="K59" s="1388"/>
      <c r="L59" s="200"/>
      <c r="M59" s="200"/>
    </row>
    <row r="60" spans="1:13" s="145" customFormat="1" ht="15" customHeight="1" thickBot="1" x14ac:dyDescent="0.25">
      <c r="A60" s="276" t="s">
        <v>325</v>
      </c>
      <c r="B60" s="277"/>
      <c r="C60" s="278"/>
      <c r="D60" s="279"/>
      <c r="E60" s="279"/>
      <c r="F60" s="279"/>
      <c r="G60" s="1560"/>
      <c r="H60" s="279"/>
      <c r="I60" s="1389"/>
      <c r="J60" s="279"/>
      <c r="K60" s="1389"/>
      <c r="L60" s="279"/>
      <c r="M60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7559055118110237" right="0.23622047244094491" top="0.51181102362204722" bottom="0.39370078740157483" header="0.35433070866141736" footer="0.15748031496062992"/>
  <pageSetup paperSize="9" scale="76" firstPageNumber="57" orientation="portrait" useFirstPageNumber="1" r:id="rId1"/>
  <headerFooter>
    <oddFooter>&amp;C- &amp;P -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P63"/>
  <sheetViews>
    <sheetView view="pageBreakPreview" topLeftCell="A25" zoomScale="78" zoomScaleNormal="90" zoomScaleSheetLayoutView="78" workbookViewId="0">
      <selection activeCell="S10" sqref="S10"/>
    </sheetView>
  </sheetViews>
  <sheetFormatPr defaultColWidth="9.33203125" defaultRowHeight="15" x14ac:dyDescent="0.25"/>
  <cols>
    <col min="1" max="1" width="15.33203125" style="621" customWidth="1"/>
    <col min="2" max="2" width="14.33203125" style="621" customWidth="1"/>
    <col min="3" max="3" width="16.6640625" style="621" customWidth="1"/>
    <col min="4" max="4" width="11.6640625" style="621" hidden="1" customWidth="1"/>
    <col min="5" max="5" width="17.83203125" style="621" hidden="1" customWidth="1"/>
    <col min="6" max="6" width="14.83203125" style="621" hidden="1" customWidth="1"/>
    <col min="7" max="7" width="16.33203125" style="621" hidden="1" customWidth="1"/>
    <col min="8" max="8" width="14.83203125" style="621" hidden="1" customWidth="1"/>
    <col min="9" max="9" width="16.5" style="621" customWidth="1"/>
    <col min="10" max="10" width="16.6640625" style="621" customWidth="1"/>
    <col min="11" max="11" width="16.1640625" style="621" customWidth="1"/>
    <col min="12" max="12" width="10.33203125" style="621" hidden="1" customWidth="1"/>
    <col min="13" max="14" width="15" style="621" hidden="1" customWidth="1"/>
    <col min="15" max="15" width="17" style="621" hidden="1" customWidth="1"/>
    <col min="16" max="16" width="15" style="621" hidden="1" customWidth="1"/>
    <col min="17" max="17" width="16.6640625" style="621" customWidth="1"/>
    <col min="18" max="18" width="16.6640625" style="619" customWidth="1"/>
    <col min="19" max="19" width="14.6640625" style="619" customWidth="1"/>
    <col min="20" max="20" width="11.6640625" style="619" hidden="1" customWidth="1"/>
    <col min="21" max="22" width="14.6640625" style="619" hidden="1" customWidth="1"/>
    <col min="23" max="23" width="14.1640625" style="619" hidden="1" customWidth="1"/>
    <col min="24" max="24" width="14.6640625" style="619" hidden="1" customWidth="1"/>
    <col min="25" max="25" width="14.6640625" style="619" customWidth="1"/>
    <col min="26" max="26" width="14.5" style="619" customWidth="1"/>
    <col min="27" max="27" width="14.83203125" style="619" customWidth="1"/>
    <col min="28" max="28" width="12.1640625" style="619" hidden="1" customWidth="1"/>
    <col min="29" max="30" width="14.33203125" style="619" hidden="1" customWidth="1"/>
    <col min="31" max="31" width="12" style="619" hidden="1" customWidth="1"/>
    <col min="32" max="32" width="14.33203125" style="619" hidden="1" customWidth="1"/>
    <col min="33" max="33" width="14.33203125" style="619" customWidth="1"/>
    <col min="34" max="34" width="14.1640625" style="619" customWidth="1"/>
    <col min="35" max="35" width="11.6640625" style="619" customWidth="1"/>
    <col min="36" max="36" width="10" style="619" hidden="1" customWidth="1"/>
    <col min="37" max="37" width="13.33203125" style="619" hidden="1" customWidth="1"/>
    <col min="38" max="38" width="12.5" style="619" hidden="1" customWidth="1"/>
    <col min="39" max="39" width="10.83203125" style="619" hidden="1" customWidth="1"/>
    <col min="40" max="40" width="12.5" style="619" hidden="1" customWidth="1"/>
    <col min="41" max="41" width="14.5" style="619" customWidth="1"/>
    <col min="42" max="42" width="13" style="619" customWidth="1"/>
    <col min="43" max="43" width="9.33203125" style="619" customWidth="1"/>
    <col min="44" max="16384" width="9.33203125" style="619"/>
  </cols>
  <sheetData>
    <row r="1" spans="1:42" ht="30.75" customHeight="1" x14ac:dyDescent="0.3">
      <c r="A1" s="4536" t="s">
        <v>471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4536"/>
      <c r="AJ1" s="4536"/>
      <c r="AK1" s="4536"/>
      <c r="AL1" s="4536"/>
      <c r="AM1" s="4536"/>
      <c r="AN1" s="4536"/>
      <c r="AO1" s="4536"/>
      <c r="AP1" s="4536"/>
    </row>
    <row r="2" spans="1:42" ht="24" customHeight="1" x14ac:dyDescent="0.3">
      <c r="A2" s="4536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536"/>
      <c r="AI2" s="4536"/>
      <c r="AJ2" s="4536"/>
      <c r="AK2" s="4536"/>
      <c r="AL2" s="4536"/>
      <c r="AM2" s="4536"/>
      <c r="AN2" s="4536"/>
      <c r="AO2" s="4536"/>
      <c r="AP2" s="4536"/>
    </row>
    <row r="3" spans="1:42" ht="21.75" customHeight="1" thickBot="1" x14ac:dyDescent="0.3">
      <c r="A3" s="1040"/>
      <c r="B3" s="1040"/>
      <c r="C3" s="1040"/>
      <c r="D3" s="1040"/>
      <c r="E3" s="1040"/>
      <c r="F3" s="1040"/>
      <c r="G3" s="1040"/>
      <c r="H3" s="1040"/>
      <c r="I3" s="1040"/>
      <c r="J3" s="1040"/>
      <c r="K3" s="1040"/>
      <c r="L3" s="1040"/>
      <c r="M3" s="1040"/>
      <c r="N3" s="1040"/>
      <c r="O3" s="1040"/>
      <c r="P3" s="1040"/>
      <c r="Q3" s="1040"/>
      <c r="R3" s="1040"/>
      <c r="S3" s="1040"/>
      <c r="T3" s="1040"/>
      <c r="U3" s="1040"/>
      <c r="V3" s="1040"/>
      <c r="W3" s="1040"/>
      <c r="X3" s="1040"/>
      <c r="Y3" s="1040"/>
      <c r="Z3" s="1040"/>
      <c r="AA3" s="1040"/>
      <c r="AB3" s="1040"/>
      <c r="AC3" s="1040"/>
      <c r="AD3" s="1040"/>
      <c r="AE3" s="1040"/>
      <c r="AF3" s="1040"/>
      <c r="AG3" s="1040"/>
      <c r="AH3" s="1040"/>
      <c r="AI3" s="1040"/>
      <c r="AJ3" s="1040"/>
      <c r="AK3" s="1040"/>
      <c r="AL3" s="1040"/>
      <c r="AM3" s="1040"/>
      <c r="AN3" s="1040"/>
      <c r="AO3" s="1040"/>
      <c r="AP3" s="1040"/>
    </row>
    <row r="4" spans="1:42" ht="33.75" customHeight="1" thickTop="1" thickBot="1" x14ac:dyDescent="0.3">
      <c r="A4" s="4570" t="s">
        <v>230</v>
      </c>
      <c r="B4" s="4563"/>
      <c r="C4" s="4563"/>
      <c r="D4" s="4563"/>
      <c r="E4" s="4563"/>
      <c r="F4" s="4563"/>
      <c r="G4" s="4563"/>
      <c r="H4" s="4563"/>
      <c r="I4" s="4563"/>
      <c r="J4" s="4563"/>
      <c r="K4" s="4563"/>
      <c r="L4" s="4563"/>
      <c r="M4" s="4563"/>
      <c r="N4" s="4563"/>
      <c r="O4" s="4563"/>
      <c r="P4" s="4563"/>
      <c r="Q4" s="4563"/>
      <c r="R4" s="4563"/>
      <c r="S4" s="4563"/>
      <c r="T4" s="4563"/>
      <c r="U4" s="4563"/>
      <c r="V4" s="4563"/>
      <c r="W4" s="4563"/>
      <c r="X4" s="4563"/>
      <c r="Y4" s="4563"/>
      <c r="Z4" s="4563"/>
      <c r="AA4" s="4563"/>
      <c r="AB4" s="4563"/>
      <c r="AC4" s="4563"/>
      <c r="AD4" s="4563"/>
      <c r="AE4" s="4563"/>
      <c r="AF4" s="4563"/>
      <c r="AG4" s="4563"/>
      <c r="AH4" s="4563"/>
      <c r="AI4" s="4563"/>
      <c r="AJ4" s="4563"/>
      <c r="AK4" s="4563"/>
      <c r="AL4" s="4563"/>
      <c r="AM4" s="4563"/>
      <c r="AN4" s="4563"/>
      <c r="AO4" s="4563"/>
      <c r="AP4" s="4564"/>
    </row>
    <row r="5" spans="1:42" s="636" customFormat="1" ht="66.75" customHeight="1" thickBot="1" x14ac:dyDescent="0.3">
      <c r="A5" s="4572"/>
      <c r="B5" s="4573"/>
      <c r="C5" s="4569" t="s">
        <v>869</v>
      </c>
      <c r="D5" s="4569"/>
      <c r="E5" s="4569"/>
      <c r="F5" s="4569"/>
      <c r="G5" s="4569"/>
      <c r="H5" s="4569"/>
      <c r="I5" s="4569"/>
      <c r="J5" s="4569"/>
      <c r="K5" s="4569" t="s">
        <v>1452</v>
      </c>
      <c r="L5" s="4569"/>
      <c r="M5" s="4569"/>
      <c r="N5" s="4569"/>
      <c r="O5" s="4569"/>
      <c r="P5" s="4569"/>
      <c r="Q5" s="4569"/>
      <c r="R5" s="4569"/>
      <c r="S5" s="4569" t="s">
        <v>952</v>
      </c>
      <c r="T5" s="4569"/>
      <c r="U5" s="4569"/>
      <c r="V5" s="4569"/>
      <c r="W5" s="4569"/>
      <c r="X5" s="4569"/>
      <c r="Y5" s="4569"/>
      <c r="Z5" s="4569"/>
      <c r="AA5" s="4569" t="s">
        <v>953</v>
      </c>
      <c r="AB5" s="4569"/>
      <c r="AC5" s="4569"/>
      <c r="AD5" s="4569"/>
      <c r="AE5" s="4569"/>
      <c r="AF5" s="4569"/>
      <c r="AG5" s="4569"/>
      <c r="AH5" s="4569"/>
      <c r="AI5" s="4569" t="s">
        <v>954</v>
      </c>
      <c r="AJ5" s="4569"/>
      <c r="AK5" s="4496"/>
      <c r="AL5" s="4496"/>
      <c r="AM5" s="4496"/>
      <c r="AN5" s="4496"/>
      <c r="AO5" s="4496"/>
      <c r="AP5" s="4571"/>
    </row>
    <row r="6" spans="1:42" ht="42" customHeight="1" thickBot="1" x14ac:dyDescent="0.3">
      <c r="A6" s="4572"/>
      <c r="B6" s="4573"/>
      <c r="C6" s="3109" t="s">
        <v>867</v>
      </c>
      <c r="D6" s="3109"/>
      <c r="E6" s="3109" t="s">
        <v>1070</v>
      </c>
      <c r="F6" s="3109"/>
      <c r="G6" s="3109" t="s">
        <v>1071</v>
      </c>
      <c r="H6" s="3109"/>
      <c r="I6" s="3109" t="s">
        <v>1072</v>
      </c>
      <c r="J6" s="3109" t="s">
        <v>289</v>
      </c>
      <c r="K6" s="3109" t="s">
        <v>867</v>
      </c>
      <c r="L6" s="3109"/>
      <c r="M6" s="3109" t="s">
        <v>1070</v>
      </c>
      <c r="N6" s="3109"/>
      <c r="O6" s="3109" t="s">
        <v>1071</v>
      </c>
      <c r="P6" s="3109"/>
      <c r="Q6" s="3109" t="s">
        <v>1072</v>
      </c>
      <c r="R6" s="3109" t="s">
        <v>289</v>
      </c>
      <c r="S6" s="3109" t="s">
        <v>867</v>
      </c>
      <c r="T6" s="3109"/>
      <c r="U6" s="3109" t="s">
        <v>1070</v>
      </c>
      <c r="V6" s="3109"/>
      <c r="W6" s="3109" t="s">
        <v>1071</v>
      </c>
      <c r="X6" s="3109"/>
      <c r="Y6" s="3109" t="s">
        <v>1072</v>
      </c>
      <c r="Z6" s="3109" t="s">
        <v>289</v>
      </c>
      <c r="AA6" s="3109" t="s">
        <v>867</v>
      </c>
      <c r="AB6" s="3109"/>
      <c r="AC6" s="3109" t="s">
        <v>1070</v>
      </c>
      <c r="AD6" s="3109"/>
      <c r="AE6" s="3109" t="s">
        <v>1071</v>
      </c>
      <c r="AF6" s="3109"/>
      <c r="AG6" s="3109" t="s">
        <v>1072</v>
      </c>
      <c r="AH6" s="3109" t="s">
        <v>289</v>
      </c>
      <c r="AI6" s="3109" t="s">
        <v>867</v>
      </c>
      <c r="AJ6" s="3109"/>
      <c r="AK6" s="3109" t="s">
        <v>1070</v>
      </c>
      <c r="AL6" s="3109"/>
      <c r="AM6" s="3109" t="s">
        <v>1071</v>
      </c>
      <c r="AN6" s="3109"/>
      <c r="AO6" s="3109" t="s">
        <v>1072</v>
      </c>
      <c r="AP6" s="3264" t="s">
        <v>289</v>
      </c>
    </row>
    <row r="7" spans="1:42" ht="20.25" customHeight="1" x14ac:dyDescent="0.25">
      <c r="A7" s="4529" t="s">
        <v>837</v>
      </c>
      <c r="B7" s="4559"/>
      <c r="C7" s="3105">
        <f>SUM(K7+S7+AA7+AI7)</f>
        <v>0</v>
      </c>
      <c r="D7" s="3106"/>
      <c r="E7" s="2231">
        <f>SUM(M7+U7+AC7+AK7)</f>
        <v>0</v>
      </c>
      <c r="F7" s="2231"/>
      <c r="G7" s="2231">
        <f>SUM(O7+W7+AE7+AM7)</f>
        <v>0</v>
      </c>
      <c r="H7" s="2232"/>
      <c r="I7" s="2327">
        <f t="shared" ref="I7:J10" si="0">SUM(Q7+Y7+AG7+AO7)</f>
        <v>42811</v>
      </c>
      <c r="J7" s="2219">
        <f t="shared" si="0"/>
        <v>42811</v>
      </c>
      <c r="K7" s="3107">
        <v>0</v>
      </c>
      <c r="L7" s="2231"/>
      <c r="M7" s="2231"/>
      <c r="N7" s="2231"/>
      <c r="O7" s="2231"/>
      <c r="P7" s="2231"/>
      <c r="Q7" s="2231"/>
      <c r="R7" s="2238">
        <v>0</v>
      </c>
      <c r="S7" s="2234">
        <v>0</v>
      </c>
      <c r="T7" s="2234"/>
      <c r="U7" s="2231"/>
      <c r="V7" s="2232"/>
      <c r="W7" s="2231"/>
      <c r="X7" s="2232"/>
      <c r="Y7" s="2231">
        <v>42811</v>
      </c>
      <c r="Z7" s="2232">
        <v>42811</v>
      </c>
      <c r="AA7" s="3107">
        <v>0</v>
      </c>
      <c r="AB7" s="2231"/>
      <c r="AC7" s="2231"/>
      <c r="AD7" s="2231"/>
      <c r="AE7" s="2231"/>
      <c r="AF7" s="2231"/>
      <c r="AG7" s="2231"/>
      <c r="AH7" s="2232"/>
      <c r="AI7" s="2258"/>
      <c r="AJ7" s="2259"/>
      <c r="AK7" s="2259"/>
      <c r="AL7" s="2259"/>
      <c r="AM7" s="2259"/>
      <c r="AN7" s="2259"/>
      <c r="AO7" s="2259"/>
      <c r="AP7" s="3108"/>
    </row>
    <row r="8" spans="1:42" ht="20.25" customHeight="1" x14ac:dyDescent="0.25">
      <c r="A8" s="4529" t="s">
        <v>838</v>
      </c>
      <c r="B8" s="4559"/>
      <c r="C8" s="2261">
        <f>SUM(K8+S8+AA8+AI8)</f>
        <v>124246920</v>
      </c>
      <c r="D8" s="2257"/>
      <c r="E8" s="964">
        <f>SUM(M8+U8+AC8+AK8)</f>
        <v>126095036</v>
      </c>
      <c r="F8" s="964"/>
      <c r="G8" s="964">
        <f>SUM(O8+W8+AE8+AM8)</f>
        <v>127764890</v>
      </c>
      <c r="H8" s="968"/>
      <c r="I8" s="2316">
        <f>SUM(Q8+Y8+AG8+AO8)</f>
        <v>128684802</v>
      </c>
      <c r="J8" s="1128">
        <f>SUM(R8+Z8+AH8+AP8)</f>
        <v>128684802</v>
      </c>
      <c r="K8" s="969">
        <f>SUM(K9:K10)</f>
        <v>106901098</v>
      </c>
      <c r="L8" s="964"/>
      <c r="M8" s="964">
        <f>SUM(M9:M10)</f>
        <v>108156568</v>
      </c>
      <c r="N8" s="964"/>
      <c r="O8" s="964">
        <f>SUM(O9:O10)</f>
        <v>109620493</v>
      </c>
      <c r="P8" s="964"/>
      <c r="Q8" s="964">
        <f>SUM(Q9:Q10)</f>
        <v>111277162</v>
      </c>
      <c r="R8" s="1089">
        <f>SUM(R9:R10)</f>
        <v>111913442</v>
      </c>
      <c r="S8" s="963">
        <f>SUM(S9:S10)</f>
        <v>10631714</v>
      </c>
      <c r="T8" s="963"/>
      <c r="U8" s="964">
        <f>SUM(U9:U10)</f>
        <v>11121091</v>
      </c>
      <c r="V8" s="967"/>
      <c r="W8" s="964">
        <f>SUM(W9:W10)</f>
        <v>11254196</v>
      </c>
      <c r="X8" s="967"/>
      <c r="Y8" s="964">
        <f>SUM(Y9:Y10)</f>
        <v>10559050</v>
      </c>
      <c r="Z8" s="1075">
        <f>SUM(Z9:Z10)</f>
        <v>10559050</v>
      </c>
      <c r="AA8" s="969">
        <f>SUM(AA9:AA10)</f>
        <v>6110534</v>
      </c>
      <c r="AB8" s="964"/>
      <c r="AC8" s="964">
        <f>SUM(AC9:AC10)</f>
        <v>6205343</v>
      </c>
      <c r="AD8" s="964"/>
      <c r="AE8" s="964">
        <f>SUM(AE9:AE10)</f>
        <v>6277623</v>
      </c>
      <c r="AF8" s="964"/>
      <c r="AG8" s="964">
        <f>SUM(AG9:AG10)</f>
        <v>6230793</v>
      </c>
      <c r="AH8" s="968">
        <f>SUM(AH9:AH10)</f>
        <v>5757635</v>
      </c>
      <c r="AI8" s="969">
        <f>SUM(AI9:AI10)</f>
        <v>603574</v>
      </c>
      <c r="AJ8" s="964"/>
      <c r="AK8" s="964">
        <f>SUM(AK9:AK10)</f>
        <v>612034</v>
      </c>
      <c r="AL8" s="964"/>
      <c r="AM8" s="964">
        <f>SUM(AM9:AM10)</f>
        <v>612578</v>
      </c>
      <c r="AN8" s="964"/>
      <c r="AO8" s="964">
        <f>SUM(AO9:AO10)</f>
        <v>617797</v>
      </c>
      <c r="AP8" s="966">
        <f>SUM(AP9:AP10)</f>
        <v>454675</v>
      </c>
    </row>
    <row r="9" spans="1:42" ht="20.25" customHeight="1" x14ac:dyDescent="0.25">
      <c r="A9" s="4531" t="s">
        <v>839</v>
      </c>
      <c r="B9" s="4552"/>
      <c r="C9" s="2261">
        <f>SUM(K9+S9+AA9+AI9)</f>
        <v>113253735</v>
      </c>
      <c r="D9" s="2257"/>
      <c r="E9" s="964">
        <f>SUM(M9+U9+AC9+AK9)</f>
        <v>113328205</v>
      </c>
      <c r="F9" s="964"/>
      <c r="G9" s="964">
        <f>SUM(O9+W9+AE9+AM9)</f>
        <v>113358319</v>
      </c>
      <c r="H9" s="968"/>
      <c r="I9" s="2316">
        <f t="shared" si="0"/>
        <v>113238481</v>
      </c>
      <c r="J9" s="1128">
        <f t="shared" si="0"/>
        <v>113238481</v>
      </c>
      <c r="K9" s="969">
        <v>99572021</v>
      </c>
      <c r="L9" s="964"/>
      <c r="M9" s="964">
        <v>99601014</v>
      </c>
      <c r="N9" s="964"/>
      <c r="O9" s="964">
        <v>99609260</v>
      </c>
      <c r="P9" s="964"/>
      <c r="Q9" s="964">
        <v>99540217</v>
      </c>
      <c r="R9" s="970">
        <v>99540217</v>
      </c>
      <c r="S9" s="963">
        <v>10631714</v>
      </c>
      <c r="T9" s="963"/>
      <c r="U9" s="964">
        <v>10631714</v>
      </c>
      <c r="V9" s="968"/>
      <c r="W9" s="964">
        <v>10631714</v>
      </c>
      <c r="X9" s="968"/>
      <c r="Y9" s="964">
        <v>10559050</v>
      </c>
      <c r="Z9" s="968">
        <v>10559050</v>
      </c>
      <c r="AA9" s="969">
        <v>3050000</v>
      </c>
      <c r="AB9" s="964"/>
      <c r="AC9" s="964">
        <v>3095477</v>
      </c>
      <c r="AD9" s="964"/>
      <c r="AE9" s="964">
        <v>3117345</v>
      </c>
      <c r="AF9" s="964"/>
      <c r="AG9" s="964">
        <v>3139214</v>
      </c>
      <c r="AH9" s="968">
        <v>3139214</v>
      </c>
      <c r="AI9" s="1066"/>
      <c r="AJ9" s="972"/>
      <c r="AK9" s="972"/>
      <c r="AL9" s="972"/>
      <c r="AM9" s="972"/>
      <c r="AN9" s="972"/>
      <c r="AO9" s="972"/>
      <c r="AP9" s="966"/>
    </row>
    <row r="10" spans="1:42" ht="20.25" customHeight="1" x14ac:dyDescent="0.25">
      <c r="A10" s="4531" t="s">
        <v>840</v>
      </c>
      <c r="B10" s="4552"/>
      <c r="C10" s="2261">
        <f>SUM(K10+S10+AA10+AI10)</f>
        <v>10993185</v>
      </c>
      <c r="D10" s="2257"/>
      <c r="E10" s="964">
        <f>SUM(M10+U10+AC10+AK10)</f>
        <v>12766831</v>
      </c>
      <c r="F10" s="964"/>
      <c r="G10" s="964">
        <f>SUM(O10+W10+AE10+AM10)</f>
        <v>14406571</v>
      </c>
      <c r="H10" s="968"/>
      <c r="I10" s="2316">
        <f>SUM(Q10+Y10+AG10+AO10)</f>
        <v>15446321</v>
      </c>
      <c r="J10" s="1128">
        <f t="shared" si="0"/>
        <v>15446321</v>
      </c>
      <c r="K10" s="969">
        <v>7329077</v>
      </c>
      <c r="L10" s="964"/>
      <c r="M10" s="972">
        <v>8555554</v>
      </c>
      <c r="N10" s="972"/>
      <c r="O10" s="972">
        <v>10011233</v>
      </c>
      <c r="P10" s="972"/>
      <c r="Q10" s="964">
        <v>11736945</v>
      </c>
      <c r="R10" s="970">
        <v>12373225</v>
      </c>
      <c r="S10" s="963"/>
      <c r="T10" s="963"/>
      <c r="U10" s="964">
        <v>489377</v>
      </c>
      <c r="V10" s="968"/>
      <c r="W10" s="964">
        <v>622482</v>
      </c>
      <c r="X10" s="968"/>
      <c r="Y10" s="964">
        <v>0</v>
      </c>
      <c r="Z10" s="968"/>
      <c r="AA10" s="969">
        <v>3060534</v>
      </c>
      <c r="AB10" s="964"/>
      <c r="AC10" s="964">
        <v>3109866</v>
      </c>
      <c r="AD10" s="964"/>
      <c r="AE10" s="964">
        <v>3160278</v>
      </c>
      <c r="AF10" s="964"/>
      <c r="AG10" s="964">
        <v>3091579</v>
      </c>
      <c r="AH10" s="968">
        <v>2618421</v>
      </c>
      <c r="AI10" s="969">
        <v>603574</v>
      </c>
      <c r="AJ10" s="964"/>
      <c r="AK10" s="964">
        <v>612034</v>
      </c>
      <c r="AL10" s="964"/>
      <c r="AM10" s="972">
        <v>612578</v>
      </c>
      <c r="AN10" s="964"/>
      <c r="AO10" s="964">
        <v>617797</v>
      </c>
      <c r="AP10" s="966">
        <v>454675</v>
      </c>
    </row>
    <row r="11" spans="1:42" s="659" customFormat="1" ht="24.75" customHeight="1" thickBot="1" x14ac:dyDescent="0.3">
      <c r="A11" s="4553" t="s">
        <v>299</v>
      </c>
      <c r="B11" s="4560"/>
      <c r="C11" s="2262">
        <f>SUM(K11+S11+AA11+AI11)</f>
        <v>124246920</v>
      </c>
      <c r="D11" s="1079"/>
      <c r="E11" s="1079">
        <f>M11+U11+AC11+AK11</f>
        <v>126095036</v>
      </c>
      <c r="F11" s="1079"/>
      <c r="G11" s="1079">
        <f>W11+AE11+AM11+O11</f>
        <v>127764890</v>
      </c>
      <c r="H11" s="2239"/>
      <c r="I11" s="2325">
        <f>Y11+AG11+AO11+Q11</f>
        <v>128727613</v>
      </c>
      <c r="J11" s="2237">
        <f>R11+Z11+AH11+AP11</f>
        <v>128727613</v>
      </c>
      <c r="K11" s="1078">
        <f>SUM(K7+K9+K10)</f>
        <v>106901098</v>
      </c>
      <c r="L11" s="1079"/>
      <c r="M11" s="985">
        <f>SUM(M7+M9+M10)</f>
        <v>108156568</v>
      </c>
      <c r="N11" s="985"/>
      <c r="O11" s="985">
        <f>SUM(O7+O9+O10)</f>
        <v>109620493</v>
      </c>
      <c r="P11" s="985"/>
      <c r="Q11" s="985">
        <f>SUM(Q7+Q9+Q10)</f>
        <v>111277162</v>
      </c>
      <c r="R11" s="1080">
        <f>SUM(R7+R9+R10)</f>
        <v>111913442</v>
      </c>
      <c r="S11" s="1125">
        <f>SUM(S7+S9+S10)</f>
        <v>10631714</v>
      </c>
      <c r="T11" s="2237"/>
      <c r="U11" s="985">
        <f>SUM(U7+U9+U10)</f>
        <v>11121091</v>
      </c>
      <c r="V11" s="988"/>
      <c r="W11" s="985">
        <f>SUM(W7+W9+W10)</f>
        <v>11254196</v>
      </c>
      <c r="X11" s="988"/>
      <c r="Y11" s="985">
        <f>SUM(Y7+Y9+Y10)</f>
        <v>10601861</v>
      </c>
      <c r="Z11" s="2239">
        <f>SUM(Z7+Z9+Z10)</f>
        <v>10601861</v>
      </c>
      <c r="AA11" s="1078">
        <f>SUM(AA7+AA9+AA10)</f>
        <v>6110534</v>
      </c>
      <c r="AB11" s="1079"/>
      <c r="AC11" s="985">
        <f>SUM(AC7+AC9+AC10)</f>
        <v>6205343</v>
      </c>
      <c r="AD11" s="985"/>
      <c r="AE11" s="985">
        <f>SUM(AE7+AE9+AE10)</f>
        <v>6277623</v>
      </c>
      <c r="AF11" s="985"/>
      <c r="AG11" s="985">
        <f>SUM(AG7+AG9+AG10)</f>
        <v>6230793</v>
      </c>
      <c r="AH11" s="2239">
        <f>SUM(AH7+AH9+AH10)</f>
        <v>5757635</v>
      </c>
      <c r="AI11" s="1078">
        <f>SUM(AI7+AI9+AI10)</f>
        <v>603574</v>
      </c>
      <c r="AJ11" s="1079"/>
      <c r="AK11" s="985">
        <f>SUM(AK7+AK9+AK10)</f>
        <v>612034</v>
      </c>
      <c r="AL11" s="985"/>
      <c r="AM11" s="985">
        <f>SUM(AM7+AM9+AM10)</f>
        <v>612578</v>
      </c>
      <c r="AN11" s="985"/>
      <c r="AO11" s="985">
        <f>SUM(AO7+AO9+AO10)</f>
        <v>617797</v>
      </c>
      <c r="AP11" s="1083">
        <f>SUM(AP7+AP9+AP10)</f>
        <v>454675</v>
      </c>
    </row>
    <row r="12" spans="1:42" ht="21.75" customHeight="1" thickTop="1" thickBot="1" x14ac:dyDescent="0.3">
      <c r="A12" s="2148"/>
      <c r="B12" s="953"/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  <c r="AF12" s="953"/>
      <c r="AG12" s="953"/>
      <c r="AH12" s="953"/>
      <c r="AI12" s="953"/>
      <c r="AJ12" s="953"/>
      <c r="AK12" s="953"/>
      <c r="AL12" s="953"/>
      <c r="AM12" s="953"/>
      <c r="AN12" s="953"/>
      <c r="AO12" s="953"/>
      <c r="AP12" s="2149"/>
    </row>
    <row r="13" spans="1:42" ht="29.25" customHeight="1" thickTop="1" thickBot="1" x14ac:dyDescent="0.3">
      <c r="A13" s="4533" t="s">
        <v>841</v>
      </c>
      <c r="B13" s="4534"/>
      <c r="C13" s="4534"/>
      <c r="D13" s="4534"/>
      <c r="E13" s="4534"/>
      <c r="F13" s="4534"/>
      <c r="G13" s="4534"/>
      <c r="H13" s="4534"/>
      <c r="I13" s="4534"/>
      <c r="J13" s="4534"/>
      <c r="K13" s="4563"/>
      <c r="L13" s="4563"/>
      <c r="M13" s="4563"/>
      <c r="N13" s="4563"/>
      <c r="O13" s="4563"/>
      <c r="P13" s="4563"/>
      <c r="Q13" s="4563"/>
      <c r="R13" s="4563"/>
      <c r="S13" s="4563"/>
      <c r="T13" s="4563"/>
      <c r="U13" s="4563"/>
      <c r="V13" s="4563"/>
      <c r="W13" s="4563"/>
      <c r="X13" s="4563"/>
      <c r="Y13" s="4563"/>
      <c r="Z13" s="4563"/>
      <c r="AA13" s="4563"/>
      <c r="AB13" s="4563"/>
      <c r="AC13" s="4563"/>
      <c r="AD13" s="4563"/>
      <c r="AE13" s="4563"/>
      <c r="AF13" s="4563"/>
      <c r="AG13" s="4563"/>
      <c r="AH13" s="4563"/>
      <c r="AI13" s="4563"/>
      <c r="AJ13" s="4563"/>
      <c r="AK13" s="4563"/>
      <c r="AL13" s="4563"/>
      <c r="AM13" s="4563"/>
      <c r="AN13" s="4563"/>
      <c r="AO13" s="4563"/>
      <c r="AP13" s="4564"/>
    </row>
    <row r="14" spans="1:42" ht="20.25" customHeight="1" thickTop="1" x14ac:dyDescent="0.25">
      <c r="A14" s="4527" t="s">
        <v>842</v>
      </c>
      <c r="B14" s="4555"/>
      <c r="C14" s="993">
        <f>SUM(K14+S14+AA14+AI14)</f>
        <v>93923750</v>
      </c>
      <c r="D14" s="993"/>
      <c r="E14" s="993">
        <f>SUM(M14+U14+AC14+AK14)</f>
        <v>95045412</v>
      </c>
      <c r="F14" s="993">
        <f t="shared" ref="F14:I18" si="1">SUM(N14+V14+AD14+AL14)</f>
        <v>0</v>
      </c>
      <c r="G14" s="993">
        <f>SUM(O14+W14+AE14+AM14)</f>
        <v>96309912</v>
      </c>
      <c r="H14" s="993">
        <f>SUM(P14+X14+AF14+AN14)</f>
        <v>0</v>
      </c>
      <c r="I14" s="993">
        <f t="shared" si="1"/>
        <v>98293997</v>
      </c>
      <c r="J14" s="993">
        <f>SUM(R14+Z14+AH14+AP14)</f>
        <v>97953741</v>
      </c>
      <c r="K14" s="997">
        <v>86733050</v>
      </c>
      <c r="L14" s="994"/>
      <c r="M14" s="994">
        <v>87816812</v>
      </c>
      <c r="N14" s="994"/>
      <c r="O14" s="994">
        <v>89000012</v>
      </c>
      <c r="P14" s="994"/>
      <c r="Q14" s="994">
        <v>90748328</v>
      </c>
      <c r="R14" s="995">
        <v>90748328</v>
      </c>
      <c r="S14" s="996">
        <v>2252500</v>
      </c>
      <c r="T14" s="994"/>
      <c r="U14" s="994">
        <v>2252500</v>
      </c>
      <c r="V14" s="994"/>
      <c r="W14" s="994">
        <v>2276500</v>
      </c>
      <c r="X14" s="994"/>
      <c r="Y14" s="994">
        <v>2443419</v>
      </c>
      <c r="Z14" s="995">
        <v>2443419</v>
      </c>
      <c r="AA14" s="996">
        <v>4461680</v>
      </c>
      <c r="AB14" s="994"/>
      <c r="AC14" s="994">
        <v>4499580</v>
      </c>
      <c r="AD14" s="994"/>
      <c r="AE14" s="994">
        <v>4556880</v>
      </c>
      <c r="AF14" s="994"/>
      <c r="AG14" s="994">
        <v>4625730</v>
      </c>
      <c r="AH14" s="995">
        <v>4415563</v>
      </c>
      <c r="AI14" s="1051">
        <v>476520</v>
      </c>
      <c r="AJ14" s="2260"/>
      <c r="AK14" s="2260">
        <v>476520</v>
      </c>
      <c r="AL14" s="2260"/>
      <c r="AM14" s="2260">
        <v>476520</v>
      </c>
      <c r="AN14" s="2260"/>
      <c r="AO14" s="2260">
        <v>476520</v>
      </c>
      <c r="AP14" s="1052">
        <v>346431</v>
      </c>
    </row>
    <row r="15" spans="1:42" ht="20.25" customHeight="1" x14ac:dyDescent="0.25">
      <c r="A15" s="4531" t="s">
        <v>843</v>
      </c>
      <c r="B15" s="4552"/>
      <c r="C15" s="962">
        <f>SUM(K15+S15+AA15+AI15)</f>
        <v>19052570</v>
      </c>
      <c r="D15" s="962"/>
      <c r="E15" s="962">
        <f>SUM(M15+U15+AC15+AK15)</f>
        <v>19271792</v>
      </c>
      <c r="F15" s="962">
        <f t="shared" si="1"/>
        <v>0</v>
      </c>
      <c r="G15" s="962">
        <f t="shared" si="1"/>
        <v>19518370</v>
      </c>
      <c r="H15" s="962">
        <f t="shared" si="1"/>
        <v>0</v>
      </c>
      <c r="I15" s="962">
        <f t="shared" si="1"/>
        <v>20119479</v>
      </c>
      <c r="J15" s="962">
        <f>SUM(R15+Z15+AH15+AP15)</f>
        <v>20062541</v>
      </c>
      <c r="K15" s="969">
        <v>17582648</v>
      </c>
      <c r="L15" s="964"/>
      <c r="M15" s="1035">
        <v>17746671</v>
      </c>
      <c r="N15" s="1035"/>
      <c r="O15" s="1035">
        <v>17977396</v>
      </c>
      <c r="P15" s="1035"/>
      <c r="Q15" s="1035">
        <v>18532453</v>
      </c>
      <c r="R15" s="970">
        <v>18532453</v>
      </c>
      <c r="S15" s="963">
        <v>461094</v>
      </c>
      <c r="T15" s="964"/>
      <c r="U15" s="1035">
        <v>461094</v>
      </c>
      <c r="V15" s="1035"/>
      <c r="W15" s="1035">
        <v>465774</v>
      </c>
      <c r="X15" s="1035"/>
      <c r="Y15" s="1035">
        <v>497877</v>
      </c>
      <c r="Z15" s="970">
        <v>497877</v>
      </c>
      <c r="AA15" s="963">
        <v>913524</v>
      </c>
      <c r="AB15" s="964"/>
      <c r="AC15" s="1035">
        <v>968723</v>
      </c>
      <c r="AD15" s="1035"/>
      <c r="AE15" s="1035">
        <v>979896</v>
      </c>
      <c r="AF15" s="1035"/>
      <c r="AG15" s="1035">
        <v>993845</v>
      </c>
      <c r="AH15" s="970">
        <v>964658</v>
      </c>
      <c r="AI15" s="1036">
        <v>95304</v>
      </c>
      <c r="AJ15" s="1035"/>
      <c r="AK15" s="1035">
        <v>95304</v>
      </c>
      <c r="AL15" s="1035"/>
      <c r="AM15" s="1035">
        <v>95304</v>
      </c>
      <c r="AN15" s="1035"/>
      <c r="AO15" s="1035">
        <v>95304</v>
      </c>
      <c r="AP15" s="1053">
        <v>67553</v>
      </c>
    </row>
    <row r="16" spans="1:42" ht="20.25" customHeight="1" x14ac:dyDescent="0.25">
      <c r="A16" s="4546" t="s">
        <v>844</v>
      </c>
      <c r="B16" s="4547"/>
      <c r="C16" s="962">
        <f>SUM(K16+S16+AA16+AI16)</f>
        <v>10635600</v>
      </c>
      <c r="D16" s="962"/>
      <c r="E16" s="962">
        <f>SUM(M16+U16+AC16+AK16)</f>
        <v>11142832</v>
      </c>
      <c r="F16" s="962">
        <f t="shared" si="1"/>
        <v>0</v>
      </c>
      <c r="G16" s="962">
        <f t="shared" si="1"/>
        <v>11301608</v>
      </c>
      <c r="H16" s="962">
        <f t="shared" si="1"/>
        <v>0</v>
      </c>
      <c r="I16" s="962">
        <f t="shared" si="1"/>
        <v>9526709</v>
      </c>
      <c r="J16" s="962">
        <f>SUM(R16+Z16+AH16+AP16)</f>
        <v>8963702</v>
      </c>
      <c r="K16" s="969">
        <v>2331400</v>
      </c>
      <c r="L16" s="964"/>
      <c r="M16" s="1035">
        <v>2339085</v>
      </c>
      <c r="N16" s="1035"/>
      <c r="O16" s="1035">
        <v>2389085</v>
      </c>
      <c r="P16" s="1035"/>
      <c r="Q16" s="1035">
        <v>1847664</v>
      </c>
      <c r="R16" s="970">
        <v>1847664</v>
      </c>
      <c r="S16" s="963">
        <v>7664120</v>
      </c>
      <c r="T16" s="964"/>
      <c r="U16" s="1035">
        <v>8153497</v>
      </c>
      <c r="V16" s="1035"/>
      <c r="W16" s="1035">
        <v>8257922</v>
      </c>
      <c r="X16" s="1035"/>
      <c r="Y16" s="1035">
        <v>7021854</v>
      </c>
      <c r="Z16" s="970">
        <v>6697933</v>
      </c>
      <c r="AA16" s="963">
        <v>608330</v>
      </c>
      <c r="AB16" s="964"/>
      <c r="AC16" s="1035">
        <v>610040</v>
      </c>
      <c r="AD16" s="1035"/>
      <c r="AE16" s="1035">
        <v>613847</v>
      </c>
      <c r="AF16" s="1035"/>
      <c r="AG16" s="1035">
        <v>611218</v>
      </c>
      <c r="AH16" s="970">
        <v>377414</v>
      </c>
      <c r="AI16" s="1036">
        <v>31750</v>
      </c>
      <c r="AJ16" s="1035"/>
      <c r="AK16" s="1035">
        <v>40210</v>
      </c>
      <c r="AL16" s="1035"/>
      <c r="AM16" s="1035">
        <v>40754</v>
      </c>
      <c r="AN16" s="1035"/>
      <c r="AO16" s="1035">
        <v>45973</v>
      </c>
      <c r="AP16" s="1053">
        <v>40691</v>
      </c>
    </row>
    <row r="17" spans="1:42" ht="20.25" customHeight="1" x14ac:dyDescent="0.25">
      <c r="A17" s="4546" t="s">
        <v>886</v>
      </c>
      <c r="B17" s="4547"/>
      <c r="C17" s="962"/>
      <c r="D17" s="962"/>
      <c r="E17" s="962">
        <f>SUM(M17+U17+AC17+AK17)</f>
        <v>0</v>
      </c>
      <c r="F17" s="962">
        <f t="shared" si="1"/>
        <v>0</v>
      </c>
      <c r="G17" s="962">
        <f t="shared" si="1"/>
        <v>0</v>
      </c>
      <c r="H17" s="962">
        <f t="shared" si="1"/>
        <v>0</v>
      </c>
      <c r="I17" s="962">
        <f t="shared" si="1"/>
        <v>0</v>
      </c>
      <c r="J17" s="962">
        <f>SUM(R17+Z17+AH17+AP17)</f>
        <v>0</v>
      </c>
      <c r="K17" s="969"/>
      <c r="L17" s="964"/>
      <c r="M17" s="1035"/>
      <c r="N17" s="1035"/>
      <c r="O17" s="1035"/>
      <c r="P17" s="1035"/>
      <c r="Q17" s="1035"/>
      <c r="R17" s="970"/>
      <c r="S17" s="963"/>
      <c r="T17" s="964"/>
      <c r="U17" s="1035"/>
      <c r="V17" s="1035"/>
      <c r="W17" s="1035"/>
      <c r="X17" s="1035"/>
      <c r="Y17" s="1035"/>
      <c r="Z17" s="970"/>
      <c r="AA17" s="963"/>
      <c r="AB17" s="964"/>
      <c r="AC17" s="1035"/>
      <c r="AD17" s="1035"/>
      <c r="AE17" s="1035"/>
      <c r="AF17" s="1035"/>
      <c r="AG17" s="1035"/>
      <c r="AH17" s="970"/>
      <c r="AI17" s="1036"/>
      <c r="AJ17" s="1035"/>
      <c r="AK17" s="1035"/>
      <c r="AL17" s="1035"/>
      <c r="AM17" s="1035"/>
      <c r="AN17" s="1035"/>
      <c r="AO17" s="1035"/>
      <c r="AP17" s="1053"/>
    </row>
    <row r="18" spans="1:42" ht="20.25" customHeight="1" x14ac:dyDescent="0.25">
      <c r="A18" s="4546" t="s">
        <v>887</v>
      </c>
      <c r="B18" s="4547"/>
      <c r="C18" s="962">
        <f>SUM(K18+S18+AA18+AI18)</f>
        <v>635000</v>
      </c>
      <c r="D18" s="962"/>
      <c r="E18" s="962">
        <f>SUM(M18+U18+AC18+AK18)</f>
        <v>635000</v>
      </c>
      <c r="F18" s="962">
        <f t="shared" si="1"/>
        <v>0</v>
      </c>
      <c r="G18" s="962">
        <f t="shared" si="1"/>
        <v>635000</v>
      </c>
      <c r="H18" s="962">
        <f t="shared" si="1"/>
        <v>0</v>
      </c>
      <c r="I18" s="962">
        <f t="shared" si="1"/>
        <v>787428</v>
      </c>
      <c r="J18" s="962">
        <f>SUM(R18+Z18+AH18+AP18)</f>
        <v>787428</v>
      </c>
      <c r="K18" s="969">
        <v>254000</v>
      </c>
      <c r="L18" s="964"/>
      <c r="M18" s="1035">
        <v>254000</v>
      </c>
      <c r="N18" s="1035"/>
      <c r="O18" s="1035">
        <v>254000</v>
      </c>
      <c r="P18" s="1035"/>
      <c r="Q18" s="1035">
        <v>148717</v>
      </c>
      <c r="R18" s="970">
        <v>148717</v>
      </c>
      <c r="S18" s="963">
        <v>254000</v>
      </c>
      <c r="T18" s="964"/>
      <c r="U18" s="1035">
        <v>254000</v>
      </c>
      <c r="V18" s="1035"/>
      <c r="W18" s="1035">
        <v>254000</v>
      </c>
      <c r="X18" s="1035"/>
      <c r="Y18" s="1035">
        <v>638711</v>
      </c>
      <c r="Z18" s="970">
        <v>638711</v>
      </c>
      <c r="AA18" s="963">
        <v>127000</v>
      </c>
      <c r="AB18" s="964"/>
      <c r="AC18" s="1035">
        <v>127000</v>
      </c>
      <c r="AD18" s="1035"/>
      <c r="AE18" s="1035">
        <v>127000</v>
      </c>
      <c r="AF18" s="1035"/>
      <c r="AG18" s="1035"/>
      <c r="AH18" s="970"/>
      <c r="AI18" s="1036"/>
      <c r="AJ18" s="1035"/>
      <c r="AK18" s="1035"/>
      <c r="AL18" s="1035"/>
      <c r="AM18" s="1035"/>
      <c r="AN18" s="1035"/>
      <c r="AO18" s="1035"/>
      <c r="AP18" s="1053"/>
    </row>
    <row r="19" spans="1:42" s="636" customFormat="1" ht="24.75" customHeight="1" thickBot="1" x14ac:dyDescent="0.3">
      <c r="A19" s="4550" t="s">
        <v>517</v>
      </c>
      <c r="B19" s="4551"/>
      <c r="C19" s="1080">
        <f t="shared" ref="C19:AH19" si="2">SUM(C14:C18)</f>
        <v>124246920</v>
      </c>
      <c r="D19" s="1080"/>
      <c r="E19" s="1080">
        <f t="shared" si="2"/>
        <v>126095036</v>
      </c>
      <c r="F19" s="1080">
        <f t="shared" si="2"/>
        <v>0</v>
      </c>
      <c r="G19" s="1080">
        <f t="shared" si="2"/>
        <v>127764890</v>
      </c>
      <c r="H19" s="1080">
        <f t="shared" si="2"/>
        <v>0</v>
      </c>
      <c r="I19" s="1080">
        <f t="shared" si="2"/>
        <v>128727613</v>
      </c>
      <c r="J19" s="2239">
        <f t="shared" si="2"/>
        <v>127767412</v>
      </c>
      <c r="K19" s="1078">
        <f>SUM(K14:K18)</f>
        <v>106901098</v>
      </c>
      <c r="L19" s="1079"/>
      <c r="M19" s="985">
        <f t="shared" si="2"/>
        <v>108156568</v>
      </c>
      <c r="N19" s="985">
        <f t="shared" si="2"/>
        <v>0</v>
      </c>
      <c r="O19" s="985">
        <f t="shared" si="2"/>
        <v>109620493</v>
      </c>
      <c r="P19" s="985">
        <f t="shared" si="2"/>
        <v>0</v>
      </c>
      <c r="Q19" s="985">
        <f t="shared" si="2"/>
        <v>111277162</v>
      </c>
      <c r="R19" s="1080">
        <f t="shared" si="2"/>
        <v>111277162</v>
      </c>
      <c r="S19" s="1082">
        <f t="shared" si="2"/>
        <v>10631714</v>
      </c>
      <c r="T19" s="1079"/>
      <c r="U19" s="985">
        <f t="shared" si="2"/>
        <v>11121091</v>
      </c>
      <c r="V19" s="985">
        <f t="shared" si="2"/>
        <v>0</v>
      </c>
      <c r="W19" s="985">
        <f t="shared" si="2"/>
        <v>11254196</v>
      </c>
      <c r="X19" s="985">
        <f t="shared" si="2"/>
        <v>0</v>
      </c>
      <c r="Y19" s="985">
        <f t="shared" si="2"/>
        <v>10601861</v>
      </c>
      <c r="Z19" s="1080">
        <f t="shared" si="2"/>
        <v>10277940</v>
      </c>
      <c r="AA19" s="1082">
        <f t="shared" si="2"/>
        <v>6110534</v>
      </c>
      <c r="AB19" s="1079"/>
      <c r="AC19" s="1079">
        <f t="shared" si="2"/>
        <v>6205343</v>
      </c>
      <c r="AD19" s="1079">
        <f t="shared" si="2"/>
        <v>0</v>
      </c>
      <c r="AE19" s="1079">
        <f t="shared" si="2"/>
        <v>6277623</v>
      </c>
      <c r="AF19" s="1079">
        <f t="shared" si="2"/>
        <v>0</v>
      </c>
      <c r="AG19" s="1079">
        <f t="shared" si="2"/>
        <v>6230793</v>
      </c>
      <c r="AH19" s="1080">
        <f t="shared" si="2"/>
        <v>5757635</v>
      </c>
      <c r="AI19" s="1003">
        <f>SUM(AI14:AI18)</f>
        <v>603574</v>
      </c>
      <c r="AJ19" s="985"/>
      <c r="AK19" s="985">
        <f t="shared" ref="AK19:AP19" si="3">SUM(AK14:AK18)</f>
        <v>612034</v>
      </c>
      <c r="AL19" s="985">
        <f t="shared" si="3"/>
        <v>0</v>
      </c>
      <c r="AM19" s="985">
        <f t="shared" si="3"/>
        <v>612578</v>
      </c>
      <c r="AN19" s="985">
        <f t="shared" si="3"/>
        <v>0</v>
      </c>
      <c r="AO19" s="985">
        <f t="shared" si="3"/>
        <v>617797</v>
      </c>
      <c r="AP19" s="1083">
        <f t="shared" si="3"/>
        <v>454675</v>
      </c>
    </row>
    <row r="20" spans="1:42" ht="24.75" customHeight="1" thickTop="1" x14ac:dyDescent="0.25">
      <c r="A20" s="992"/>
      <c r="B20" s="992"/>
      <c r="C20" s="992"/>
      <c r="D20" s="992"/>
      <c r="E20" s="992"/>
      <c r="F20" s="992"/>
      <c r="G20" s="992"/>
      <c r="H20" s="992"/>
      <c r="I20" s="992"/>
      <c r="J20" s="992"/>
      <c r="K20" s="992"/>
      <c r="L20" s="992"/>
      <c r="M20" s="992"/>
      <c r="N20" s="992"/>
      <c r="O20" s="992"/>
      <c r="P20" s="992"/>
      <c r="Q20" s="992"/>
      <c r="R20" s="952"/>
      <c r="S20" s="952"/>
      <c r="T20" s="952"/>
      <c r="U20" s="952"/>
      <c r="V20" s="952"/>
      <c r="W20" s="952"/>
      <c r="X20" s="952"/>
      <c r="Y20" s="952"/>
      <c r="Z20" s="952"/>
      <c r="AA20" s="952"/>
      <c r="AB20" s="952"/>
      <c r="AC20" s="952"/>
      <c r="AD20" s="952"/>
      <c r="AE20" s="952"/>
      <c r="AF20" s="952"/>
      <c r="AG20" s="952"/>
      <c r="AH20" s="952"/>
      <c r="AI20" s="952"/>
      <c r="AJ20" s="952"/>
      <c r="AK20" s="952"/>
      <c r="AL20" s="952"/>
      <c r="AM20" s="952"/>
      <c r="AN20" s="952"/>
      <c r="AO20" s="952"/>
      <c r="AP20" s="952"/>
    </row>
    <row r="21" spans="1:42" x14ac:dyDescent="0.25">
      <c r="A21" s="992"/>
      <c r="B21" s="992"/>
      <c r="C21" s="992"/>
      <c r="D21" s="992"/>
      <c r="E21" s="992"/>
      <c r="F21" s="992"/>
      <c r="G21" s="992"/>
      <c r="H21" s="992"/>
      <c r="I21" s="992"/>
      <c r="J21" s="992"/>
      <c r="K21" s="992"/>
      <c r="L21" s="992"/>
      <c r="M21" s="992"/>
      <c r="N21" s="992"/>
      <c r="O21" s="992"/>
      <c r="P21" s="992"/>
      <c r="Q21" s="992"/>
      <c r="R21" s="952"/>
      <c r="S21" s="952"/>
      <c r="T21" s="952"/>
      <c r="U21" s="952"/>
      <c r="V21" s="952"/>
      <c r="W21" s="952"/>
      <c r="X21" s="952"/>
      <c r="Y21" s="952"/>
      <c r="Z21" s="95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</row>
    <row r="22" spans="1:42" ht="18.75" x14ac:dyDescent="0.3">
      <c r="A22" s="1054" t="s">
        <v>279</v>
      </c>
      <c r="B22" s="992"/>
      <c r="C22" s="1012">
        <f>SUM(C19-C11)</f>
        <v>0</v>
      </c>
      <c r="D22" s="1055"/>
      <c r="E22" s="1012">
        <f t="shared" ref="E22:J22" si="4">SUM(E19-E11)</f>
        <v>0</v>
      </c>
      <c r="F22" s="1012">
        <f t="shared" si="4"/>
        <v>0</v>
      </c>
      <c r="G22" s="1012">
        <f t="shared" si="4"/>
        <v>0</v>
      </c>
      <c r="H22" s="1012">
        <f t="shared" si="4"/>
        <v>0</v>
      </c>
      <c r="I22" s="1012">
        <f t="shared" si="4"/>
        <v>0</v>
      </c>
      <c r="J22" s="1012">
        <f t="shared" si="4"/>
        <v>-960201</v>
      </c>
      <c r="K22" s="1012">
        <f t="shared" ref="K22:AP22" si="5">SUM(K19-K11)</f>
        <v>0</v>
      </c>
      <c r="L22" s="1055"/>
      <c r="M22" s="1012">
        <f t="shared" si="5"/>
        <v>0</v>
      </c>
      <c r="N22" s="1012">
        <f t="shared" si="5"/>
        <v>0</v>
      </c>
      <c r="O22" s="1012">
        <f t="shared" si="5"/>
        <v>0</v>
      </c>
      <c r="P22" s="1012">
        <f t="shared" si="5"/>
        <v>0</v>
      </c>
      <c r="Q22" s="1012">
        <f t="shared" si="5"/>
        <v>0</v>
      </c>
      <c r="R22" s="1012">
        <f t="shared" si="5"/>
        <v>-636280</v>
      </c>
      <c r="S22" s="1012">
        <f t="shared" si="5"/>
        <v>0</v>
      </c>
      <c r="T22" s="1055"/>
      <c r="U22" s="1012">
        <f t="shared" si="5"/>
        <v>0</v>
      </c>
      <c r="V22" s="1012">
        <f t="shared" si="5"/>
        <v>0</v>
      </c>
      <c r="W22" s="1012">
        <f t="shared" si="5"/>
        <v>0</v>
      </c>
      <c r="X22" s="1012">
        <f t="shared" si="5"/>
        <v>0</v>
      </c>
      <c r="Y22" s="1012">
        <f t="shared" si="5"/>
        <v>0</v>
      </c>
      <c r="Z22" s="1012">
        <f t="shared" si="5"/>
        <v>-323921</v>
      </c>
      <c r="AA22" s="1055">
        <f t="shared" si="5"/>
        <v>0</v>
      </c>
      <c r="AB22" s="1055"/>
      <c r="AC22" s="1012">
        <f t="shared" si="5"/>
        <v>0</v>
      </c>
      <c r="AD22" s="1012">
        <f t="shared" si="5"/>
        <v>0</v>
      </c>
      <c r="AE22" s="1012">
        <f t="shared" si="5"/>
        <v>0</v>
      </c>
      <c r="AF22" s="1012">
        <f t="shared" si="5"/>
        <v>0</v>
      </c>
      <c r="AG22" s="1012">
        <f t="shared" si="5"/>
        <v>0</v>
      </c>
      <c r="AH22" s="1012">
        <f t="shared" si="5"/>
        <v>0</v>
      </c>
      <c r="AI22" s="1055">
        <f t="shared" si="5"/>
        <v>0</v>
      </c>
      <c r="AJ22" s="1055"/>
      <c r="AK22" s="1012">
        <f t="shared" si="5"/>
        <v>0</v>
      </c>
      <c r="AL22" s="1012">
        <f t="shared" si="5"/>
        <v>0</v>
      </c>
      <c r="AM22" s="1012">
        <f t="shared" si="5"/>
        <v>0</v>
      </c>
      <c r="AN22" s="1012">
        <f t="shared" si="5"/>
        <v>0</v>
      </c>
      <c r="AO22" s="1012">
        <f t="shared" si="5"/>
        <v>0</v>
      </c>
      <c r="AP22" s="1012">
        <f t="shared" si="5"/>
        <v>0</v>
      </c>
    </row>
    <row r="23" spans="1:42" x14ac:dyDescent="0.25">
      <c r="A23" s="992"/>
      <c r="B23" s="992"/>
      <c r="C23" s="992"/>
      <c r="D23" s="992"/>
      <c r="E23" s="992"/>
      <c r="F23" s="992"/>
      <c r="G23" s="992"/>
      <c r="H23" s="992"/>
      <c r="I23" s="992"/>
      <c r="J23" s="992"/>
      <c r="K23" s="992"/>
      <c r="L23" s="992"/>
      <c r="M23" s="992"/>
      <c r="N23" s="992"/>
      <c r="O23" s="992"/>
      <c r="P23" s="992"/>
      <c r="Q23" s="992"/>
      <c r="R23" s="952"/>
      <c r="S23" s="952"/>
      <c r="T23" s="952"/>
      <c r="U23" s="952"/>
      <c r="V23" s="952"/>
      <c r="W23" s="952"/>
      <c r="X23" s="952"/>
      <c r="Y23" s="952"/>
      <c r="Z23" s="952"/>
      <c r="AA23" s="952"/>
      <c r="AB23" s="952"/>
      <c r="AC23" s="952"/>
      <c r="AD23" s="952"/>
      <c r="AE23" s="952"/>
      <c r="AF23" s="952"/>
      <c r="AG23" s="952"/>
      <c r="AH23" s="952"/>
      <c r="AI23" s="952"/>
      <c r="AJ23" s="952"/>
      <c r="AK23" s="952"/>
      <c r="AL23" s="952"/>
      <c r="AM23" s="952"/>
      <c r="AN23" s="952"/>
      <c r="AO23" s="952"/>
      <c r="AP23" s="952"/>
    </row>
    <row r="24" spans="1:42" x14ac:dyDescent="0.25">
      <c r="A24" s="992"/>
      <c r="B24" s="992"/>
      <c r="C24" s="992"/>
      <c r="D24" s="992"/>
      <c r="E24" s="992"/>
      <c r="F24" s="992"/>
      <c r="G24" s="992"/>
      <c r="H24" s="992"/>
      <c r="I24" s="992"/>
      <c r="J24" s="992"/>
      <c r="K24" s="992"/>
      <c r="L24" s="992"/>
      <c r="M24" s="992"/>
      <c r="N24" s="992"/>
      <c r="O24" s="992"/>
      <c r="P24" s="992"/>
      <c r="Q24" s="992"/>
      <c r="R24" s="952"/>
      <c r="S24" s="952"/>
      <c r="T24" s="952"/>
      <c r="U24" s="952"/>
      <c r="V24" s="952"/>
      <c r="W24" s="952"/>
      <c r="X24" s="952"/>
      <c r="Y24" s="952"/>
      <c r="Z24" s="952"/>
      <c r="AA24" s="952"/>
      <c r="AB24" s="952"/>
      <c r="AC24" s="952"/>
      <c r="AD24" s="952"/>
      <c r="AE24" s="952"/>
      <c r="AF24" s="952"/>
      <c r="AG24" s="952"/>
      <c r="AH24" s="952"/>
      <c r="AI24" s="952"/>
      <c r="AJ24" s="952"/>
      <c r="AK24" s="952"/>
      <c r="AL24" s="952"/>
      <c r="AM24" s="952"/>
      <c r="AN24" s="952"/>
      <c r="AO24" s="952"/>
      <c r="AP24" s="952"/>
    </row>
    <row r="25" spans="1:42" x14ac:dyDescent="0.25">
      <c r="A25" s="992"/>
      <c r="B25" s="992"/>
      <c r="C25" s="992"/>
      <c r="D25" s="992"/>
      <c r="E25" s="992"/>
      <c r="F25" s="992"/>
      <c r="G25" s="992"/>
      <c r="H25" s="992"/>
      <c r="I25" s="992"/>
      <c r="J25" s="992"/>
      <c r="K25" s="992"/>
      <c r="L25" s="992"/>
      <c r="M25" s="992"/>
      <c r="N25" s="992"/>
      <c r="O25" s="992"/>
      <c r="P25" s="992"/>
      <c r="Q25" s="992"/>
      <c r="R25" s="952"/>
      <c r="S25" s="952"/>
      <c r="T25" s="952"/>
      <c r="U25" s="952"/>
      <c r="V25" s="952"/>
      <c r="W25" s="952"/>
      <c r="X25" s="952"/>
      <c r="Y25" s="952"/>
      <c r="Z25" s="952"/>
      <c r="AA25" s="952"/>
      <c r="AB25" s="952"/>
      <c r="AC25" s="952"/>
      <c r="AD25" s="952"/>
      <c r="AE25" s="952"/>
      <c r="AF25" s="952"/>
      <c r="AG25" s="952"/>
      <c r="AH25" s="952"/>
      <c r="AI25" s="952"/>
      <c r="AJ25" s="952"/>
      <c r="AK25" s="952"/>
      <c r="AL25" s="952"/>
      <c r="AM25" s="952"/>
      <c r="AN25" s="952"/>
      <c r="AO25" s="952"/>
      <c r="AP25" s="952"/>
    </row>
    <row r="26" spans="1:42" x14ac:dyDescent="0.25">
      <c r="A26" s="992"/>
      <c r="B26" s="992"/>
      <c r="C26" s="992"/>
      <c r="D26" s="992"/>
      <c r="E26" s="992"/>
      <c r="F26" s="992"/>
      <c r="G26" s="992"/>
      <c r="H26" s="992"/>
      <c r="I26" s="992"/>
      <c r="J26" s="992"/>
      <c r="K26" s="992"/>
      <c r="L26" s="992"/>
      <c r="M26" s="992"/>
      <c r="N26" s="992"/>
      <c r="O26" s="992"/>
      <c r="P26" s="992"/>
      <c r="Q26" s="992"/>
      <c r="R26" s="952"/>
      <c r="S26" s="952"/>
      <c r="T26" s="952"/>
      <c r="U26" s="952"/>
      <c r="V26" s="952"/>
      <c r="W26" s="952"/>
      <c r="X26" s="952"/>
      <c r="Y26" s="952"/>
      <c r="Z26" s="952"/>
      <c r="AA26" s="952"/>
      <c r="AB26" s="952"/>
      <c r="AC26" s="952"/>
      <c r="AD26" s="952"/>
      <c r="AE26" s="952"/>
      <c r="AF26" s="952"/>
      <c r="AG26" s="952"/>
      <c r="AH26" s="952"/>
      <c r="AI26" s="952"/>
      <c r="AJ26" s="952"/>
      <c r="AK26" s="952"/>
      <c r="AL26" s="952"/>
      <c r="AM26" s="952"/>
      <c r="AN26" s="952"/>
      <c r="AO26" s="952"/>
      <c r="AP26" s="952"/>
    </row>
    <row r="27" spans="1:42" x14ac:dyDescent="0.25">
      <c r="A27" s="992"/>
      <c r="B27" s="992"/>
      <c r="C27" s="992"/>
      <c r="D27" s="992"/>
      <c r="E27" s="992"/>
      <c r="F27" s="992"/>
      <c r="G27" s="992"/>
      <c r="H27" s="992"/>
      <c r="I27" s="992"/>
      <c r="J27" s="992"/>
      <c r="K27" s="992"/>
      <c r="L27" s="992"/>
      <c r="M27" s="992"/>
      <c r="N27" s="992"/>
      <c r="O27" s="992"/>
      <c r="P27" s="992"/>
      <c r="Q27" s="992"/>
      <c r="R27" s="952"/>
      <c r="S27" s="952"/>
      <c r="T27" s="952"/>
      <c r="U27" s="952"/>
      <c r="V27" s="952"/>
      <c r="W27" s="952"/>
      <c r="X27" s="952"/>
      <c r="Y27" s="952"/>
      <c r="Z27" s="952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</row>
    <row r="28" spans="1:42" ht="15.75" x14ac:dyDescent="0.25">
      <c r="A28" s="4548" t="s">
        <v>786</v>
      </c>
      <c r="B28" s="4548"/>
      <c r="C28" s="1007">
        <f>SUM('5.3 sz. mell'!F8)</f>
        <v>0</v>
      </c>
      <c r="D28" s="1007">
        <f>SUM('5.3 sz. mell'!G8)</f>
        <v>0</v>
      </c>
      <c r="E28" s="1007">
        <f>SUM('5.3 sz. mell'!H8)</f>
        <v>0</v>
      </c>
      <c r="F28" s="1007">
        <f>SUM('5.3 sz. mell'!I8)</f>
        <v>0</v>
      </c>
      <c r="G28" s="1007">
        <f>SUM('5.3 sz. mell'!J8)</f>
        <v>42811</v>
      </c>
      <c r="H28" s="1007">
        <f>SUM('5.3 sz. mell'!K8)</f>
        <v>0</v>
      </c>
      <c r="I28" s="1007">
        <f>SUM('5.3 sz. mell'!L8)</f>
        <v>42811</v>
      </c>
      <c r="J28" s="1007">
        <f>SUM('5.3 sz. mell'!M8)</f>
        <v>42811</v>
      </c>
      <c r="K28" s="992"/>
      <c r="L28" s="992"/>
      <c r="M28" s="992"/>
      <c r="N28" s="992"/>
      <c r="O28" s="992"/>
      <c r="P28" s="992"/>
      <c r="Q28" s="992"/>
      <c r="R28" s="952"/>
      <c r="S28" s="952"/>
      <c r="T28" s="952"/>
      <c r="U28" s="952"/>
      <c r="V28" s="952"/>
      <c r="W28" s="952"/>
      <c r="X28" s="952"/>
      <c r="Y28" s="952"/>
      <c r="Z28" s="952"/>
      <c r="AA28" s="952"/>
      <c r="AB28" s="952"/>
      <c r="AC28" s="952"/>
      <c r="AD28" s="952"/>
      <c r="AE28" s="952"/>
      <c r="AF28" s="952"/>
      <c r="AG28" s="952"/>
      <c r="AH28" s="952"/>
      <c r="AI28" s="952"/>
      <c r="AJ28" s="952"/>
      <c r="AK28" s="952"/>
      <c r="AL28" s="952"/>
      <c r="AM28" s="952"/>
      <c r="AN28" s="952"/>
      <c r="AO28" s="952"/>
      <c r="AP28" s="952"/>
    </row>
    <row r="29" spans="1:42" ht="15.75" x14ac:dyDescent="0.25">
      <c r="A29" s="1006" t="s">
        <v>893</v>
      </c>
      <c r="B29" s="1006"/>
      <c r="C29" s="1011">
        <f>SUM(C28-C7)</f>
        <v>0</v>
      </c>
      <c r="D29" s="1011"/>
      <c r="E29" s="1011">
        <f>SUM(E28-E7)</f>
        <v>0</v>
      </c>
      <c r="F29" s="1011"/>
      <c r="G29" s="1011">
        <f>SUM(G28-G7)</f>
        <v>42811</v>
      </c>
      <c r="H29" s="1011"/>
      <c r="I29" s="1011">
        <f>SUM(I28-I7)</f>
        <v>0</v>
      </c>
      <c r="J29" s="1011">
        <f>SUM(J28-J7)</f>
        <v>0</v>
      </c>
      <c r="K29" s="992"/>
      <c r="L29" s="992"/>
      <c r="M29" s="992"/>
      <c r="N29" s="992"/>
      <c r="O29" s="992"/>
      <c r="P29" s="992"/>
      <c r="Q29" s="992"/>
      <c r="R29" s="952"/>
      <c r="S29" s="952"/>
      <c r="T29" s="952"/>
      <c r="U29" s="952"/>
      <c r="V29" s="952"/>
      <c r="W29" s="952"/>
      <c r="X29" s="952"/>
      <c r="Y29" s="952"/>
      <c r="Z29" s="952"/>
      <c r="AA29" s="952"/>
      <c r="AB29" s="952"/>
      <c r="AC29" s="952"/>
      <c r="AD29" s="952"/>
      <c r="AE29" s="952"/>
      <c r="AF29" s="952"/>
      <c r="AG29" s="952"/>
      <c r="AH29" s="952"/>
      <c r="AI29" s="952"/>
      <c r="AJ29" s="952"/>
      <c r="AK29" s="952"/>
      <c r="AL29" s="952"/>
      <c r="AM29" s="952"/>
      <c r="AN29" s="952"/>
      <c r="AO29" s="952"/>
      <c r="AP29" s="952"/>
    </row>
    <row r="30" spans="1:42" ht="15.75" x14ac:dyDescent="0.25">
      <c r="A30" s="1008"/>
      <c r="B30" s="1008"/>
      <c r="C30" s="992"/>
      <c r="D30" s="992"/>
      <c r="E30" s="992"/>
      <c r="F30" s="992"/>
      <c r="G30" s="992"/>
      <c r="H30" s="992"/>
      <c r="I30" s="992"/>
      <c r="J30" s="992"/>
      <c r="K30" s="992"/>
      <c r="L30" s="992"/>
      <c r="M30" s="992"/>
      <c r="N30" s="992"/>
      <c r="O30" s="992"/>
      <c r="P30" s="992"/>
      <c r="Q30" s="992"/>
      <c r="R30" s="952"/>
      <c r="S30" s="952"/>
      <c r="T30" s="952"/>
      <c r="U30" s="952"/>
      <c r="V30" s="952"/>
      <c r="W30" s="952"/>
      <c r="X30" s="952"/>
      <c r="Y30" s="952"/>
      <c r="Z30" s="952"/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</row>
    <row r="31" spans="1:42" ht="15.75" x14ac:dyDescent="0.25">
      <c r="A31" s="4548" t="s">
        <v>892</v>
      </c>
      <c r="B31" s="4548"/>
      <c r="C31" s="1007">
        <f>SUM('5.3 sz. mell'!F36)</f>
        <v>124246920</v>
      </c>
      <c r="D31" s="1007"/>
      <c r="E31" s="1007">
        <f>SUM('5.3 sz. mell'!H36)</f>
        <v>126095036</v>
      </c>
      <c r="F31" s="1007">
        <f>SUM('5.3 sz. mell'!I36)</f>
        <v>2589766</v>
      </c>
      <c r="G31" s="1007">
        <f>SUM('5.3 sz. mell'!J36)</f>
        <v>128684802</v>
      </c>
      <c r="H31" s="1007">
        <f>SUM('5.3 sz. mell'!K36)</f>
        <v>0</v>
      </c>
      <c r="I31" s="1007">
        <f>SUM('5.3 sz. mell'!L36)</f>
        <v>128684802</v>
      </c>
      <c r="J31" s="1007">
        <f>SUM('5.3 sz. mell'!M36)</f>
        <v>128684802</v>
      </c>
      <c r="K31" s="992"/>
      <c r="L31" s="992"/>
      <c r="M31" s="992"/>
      <c r="N31" s="992"/>
      <c r="O31" s="992"/>
      <c r="P31" s="992"/>
      <c r="Q31" s="992"/>
      <c r="R31" s="952"/>
      <c r="S31" s="952"/>
      <c r="T31" s="952"/>
      <c r="U31" s="952"/>
      <c r="V31" s="952"/>
      <c r="W31" s="952"/>
      <c r="X31" s="952"/>
      <c r="Y31" s="952"/>
      <c r="Z31" s="952"/>
      <c r="AA31" s="952"/>
      <c r="AB31" s="952"/>
      <c r="AC31" s="952"/>
      <c r="AD31" s="952"/>
      <c r="AE31" s="952"/>
      <c r="AF31" s="952"/>
      <c r="AG31" s="952"/>
      <c r="AH31" s="952"/>
      <c r="AI31" s="952"/>
      <c r="AJ31" s="952"/>
      <c r="AK31" s="952"/>
      <c r="AL31" s="952"/>
      <c r="AM31" s="952"/>
      <c r="AN31" s="952"/>
      <c r="AO31" s="952"/>
      <c r="AP31" s="952"/>
    </row>
    <row r="32" spans="1:42" ht="15.75" x14ac:dyDescent="0.25">
      <c r="A32" s="1006" t="s">
        <v>893</v>
      </c>
      <c r="B32" s="1008"/>
      <c r="C32" s="1011">
        <f>SUM(C31-C8)</f>
        <v>0</v>
      </c>
      <c r="D32" s="1011"/>
      <c r="E32" s="1011">
        <f>SUM(E31-E8)</f>
        <v>0</v>
      </c>
      <c r="F32" s="1011"/>
      <c r="G32" s="1011">
        <f>SUM(G31-G8)</f>
        <v>919912</v>
      </c>
      <c r="H32" s="1011"/>
      <c r="I32" s="1011">
        <f>SUM(I31-I8)</f>
        <v>0</v>
      </c>
      <c r="J32" s="1011">
        <f>SUM(J31-J8)</f>
        <v>0</v>
      </c>
      <c r="K32" s="992"/>
      <c r="L32" s="992"/>
      <c r="M32" s="992"/>
      <c r="N32" s="992"/>
      <c r="O32" s="992"/>
      <c r="P32" s="992"/>
      <c r="Q32" s="992"/>
      <c r="R32" s="952"/>
      <c r="S32" s="952"/>
      <c r="T32" s="952"/>
      <c r="U32" s="952"/>
      <c r="V32" s="952"/>
      <c r="W32" s="952"/>
      <c r="X32" s="952"/>
      <c r="Y32" s="952"/>
      <c r="Z32" s="952"/>
      <c r="AA32" s="952"/>
      <c r="AB32" s="952"/>
      <c r="AC32" s="952"/>
      <c r="AD32" s="952"/>
      <c r="AE32" s="952"/>
      <c r="AF32" s="952"/>
      <c r="AG32" s="952"/>
      <c r="AH32" s="952"/>
      <c r="AI32" s="952"/>
      <c r="AJ32" s="952"/>
      <c r="AK32" s="952"/>
      <c r="AL32" s="952"/>
      <c r="AM32" s="952"/>
      <c r="AN32" s="952"/>
      <c r="AO32" s="952"/>
      <c r="AP32" s="952"/>
    </row>
    <row r="33" spans="1:42" ht="15.75" x14ac:dyDescent="0.25">
      <c r="A33" s="1008"/>
      <c r="B33" s="1008"/>
      <c r="C33" s="992"/>
      <c r="D33" s="992"/>
      <c r="E33" s="992"/>
      <c r="F33" s="992"/>
      <c r="G33" s="992"/>
      <c r="H33" s="992"/>
      <c r="I33" s="992"/>
      <c r="J33" s="992"/>
      <c r="K33" s="992"/>
      <c r="L33" s="992"/>
      <c r="M33" s="992"/>
      <c r="N33" s="992"/>
      <c r="O33" s="992"/>
      <c r="P33" s="992"/>
      <c r="Q33" s="99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</row>
    <row r="34" spans="1:42" ht="15.75" x14ac:dyDescent="0.25">
      <c r="A34" s="4548" t="s">
        <v>891</v>
      </c>
      <c r="B34" s="4548"/>
      <c r="C34" s="1007">
        <f>SUM('5.3 sz. mell'!F40)</f>
        <v>113253735</v>
      </c>
      <c r="D34" s="1007">
        <f>SUM('5.3 sz. mell'!G40)</f>
        <v>74470</v>
      </c>
      <c r="E34" s="1007">
        <f>SUM('5.3 sz. mell'!H40)</f>
        <v>113328205</v>
      </c>
      <c r="F34" s="1007">
        <f>SUM('5.3 sz. mell'!I40)</f>
        <v>-89724</v>
      </c>
      <c r="G34" s="1007">
        <f>SUM('5.3 sz. mell'!J40)</f>
        <v>113238481</v>
      </c>
      <c r="H34" s="1007">
        <f>SUM('5.3 sz. mell'!K40)</f>
        <v>0</v>
      </c>
      <c r="I34" s="1007">
        <f>SUM('5.3 sz. mell'!L40)</f>
        <v>113238481</v>
      </c>
      <c r="J34" s="1007">
        <f>SUM('5.3 sz. mell'!M40)</f>
        <v>113238481</v>
      </c>
      <c r="K34" s="992"/>
      <c r="L34" s="992"/>
      <c r="M34" s="992"/>
      <c r="N34" s="992"/>
      <c r="O34" s="992"/>
      <c r="P34" s="992"/>
      <c r="Q34" s="992"/>
      <c r="R34" s="952"/>
      <c r="S34" s="952"/>
      <c r="T34" s="952"/>
      <c r="U34" s="952"/>
      <c r="V34" s="952"/>
      <c r="W34" s="952"/>
      <c r="X34" s="952"/>
      <c r="Y34" s="952"/>
      <c r="Z34" s="952"/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  <c r="AN34" s="952"/>
      <c r="AO34" s="952"/>
      <c r="AP34" s="952"/>
    </row>
    <row r="35" spans="1:42" ht="15.75" x14ac:dyDescent="0.25">
      <c r="A35" s="1006" t="s">
        <v>893</v>
      </c>
      <c r="B35" s="1008"/>
      <c r="C35" s="1011">
        <f>SUM(C34-C9)</f>
        <v>0</v>
      </c>
      <c r="D35" s="1011">
        <f t="shared" ref="D35:J35" si="6">SUM(D34-D9)</f>
        <v>74470</v>
      </c>
      <c r="E35" s="1011">
        <f t="shared" si="6"/>
        <v>0</v>
      </c>
      <c r="F35" s="1011">
        <f t="shared" si="6"/>
        <v>-89724</v>
      </c>
      <c r="G35" s="1011">
        <f t="shared" si="6"/>
        <v>-119838</v>
      </c>
      <c r="H35" s="1011">
        <f t="shared" si="6"/>
        <v>0</v>
      </c>
      <c r="I35" s="1011">
        <f t="shared" si="6"/>
        <v>0</v>
      </c>
      <c r="J35" s="1011">
        <f t="shared" si="6"/>
        <v>0</v>
      </c>
      <c r="K35" s="992"/>
      <c r="L35" s="992"/>
      <c r="M35" s="992"/>
      <c r="N35" s="992"/>
      <c r="O35" s="992"/>
      <c r="P35" s="992"/>
      <c r="Q35" s="992"/>
      <c r="R35" s="952"/>
      <c r="S35" s="952"/>
      <c r="T35" s="952"/>
      <c r="U35" s="952"/>
      <c r="V35" s="952"/>
      <c r="W35" s="952"/>
      <c r="X35" s="952"/>
      <c r="Y35" s="952"/>
      <c r="Z35" s="952"/>
      <c r="AA35" s="952"/>
      <c r="AB35" s="952"/>
      <c r="AC35" s="952"/>
      <c r="AD35" s="952"/>
      <c r="AE35" s="952"/>
      <c r="AF35" s="952"/>
      <c r="AG35" s="952"/>
      <c r="AH35" s="952"/>
      <c r="AI35" s="952"/>
      <c r="AJ35" s="952"/>
      <c r="AK35" s="952"/>
      <c r="AL35" s="952"/>
      <c r="AM35" s="952"/>
      <c r="AN35" s="952"/>
      <c r="AO35" s="952"/>
      <c r="AP35" s="952"/>
    </row>
    <row r="36" spans="1:42" ht="15.75" x14ac:dyDescent="0.25">
      <c r="A36" s="640"/>
      <c r="B36" s="640"/>
    </row>
    <row r="37" spans="1:42" ht="15.75" x14ac:dyDescent="0.25">
      <c r="A37" s="4568" t="s">
        <v>890</v>
      </c>
      <c r="B37" s="4568"/>
      <c r="C37" s="631">
        <f>SUM('5.3 sz. mell'!F41+'5.3 sz. mell'!F37)</f>
        <v>10993185</v>
      </c>
      <c r="D37" s="631">
        <f>SUM('5.3 sz. mell'!G41+'5.3 sz. mell'!G37)</f>
        <v>1773646</v>
      </c>
      <c r="E37" s="631">
        <f>SUM('5.3 sz. mell'!H41+'5.3 sz. mell'!H37)</f>
        <v>12766831</v>
      </c>
      <c r="F37" s="631">
        <f>SUM('5.3 sz. mell'!I41+'5.3 sz. mell'!I37)</f>
        <v>2679490</v>
      </c>
      <c r="G37" s="631">
        <f>SUM('5.3 sz. mell'!J41+'5.3 sz. mell'!J37)</f>
        <v>15446321</v>
      </c>
      <c r="H37" s="631">
        <f>SUM('5.3 sz. mell'!K41+'5.3 sz. mell'!K37)</f>
        <v>0</v>
      </c>
      <c r="I37" s="631">
        <f>SUM('5.3 sz. mell'!L41+'5.3 sz. mell'!L37)</f>
        <v>15446321</v>
      </c>
      <c r="J37" s="631">
        <f>SUM('5.3 sz. mell'!M41+'5.3 sz. mell'!M37)</f>
        <v>15446321</v>
      </c>
    </row>
    <row r="38" spans="1:42" ht="15.75" x14ac:dyDescent="0.25">
      <c r="A38" s="641" t="s">
        <v>893</v>
      </c>
      <c r="B38" s="640"/>
      <c r="C38" s="646">
        <f>SUM(C37-C10)</f>
        <v>0</v>
      </c>
      <c r="D38" s="646">
        <f t="shared" ref="D38:J38" si="7">SUM(D37-D10)</f>
        <v>1773646</v>
      </c>
      <c r="E38" s="646">
        <f t="shared" si="7"/>
        <v>0</v>
      </c>
      <c r="F38" s="646">
        <f t="shared" si="7"/>
        <v>2679490</v>
      </c>
      <c r="G38" s="646">
        <f t="shared" si="7"/>
        <v>1039750</v>
      </c>
      <c r="H38" s="646">
        <f t="shared" si="7"/>
        <v>0</v>
      </c>
      <c r="I38" s="646">
        <f>SUM(I37-I10)</f>
        <v>0</v>
      </c>
      <c r="J38" s="646">
        <f t="shared" si="7"/>
        <v>0</v>
      </c>
    </row>
    <row r="39" spans="1:42" ht="16.5" thickBot="1" x14ac:dyDescent="0.3">
      <c r="A39" s="640"/>
      <c r="B39" s="640"/>
    </row>
    <row r="40" spans="1:42" ht="16.5" thickTop="1" x14ac:dyDescent="0.25">
      <c r="A40" s="4566" t="s">
        <v>894</v>
      </c>
      <c r="B40" s="4567"/>
      <c r="C40" s="650">
        <f>SUM('5.3 sz. mell'!F43)</f>
        <v>124246920</v>
      </c>
      <c r="D40" s="650"/>
      <c r="E40" s="650">
        <f>SUM('5.3 sz. mell'!H43)</f>
        <v>126095036</v>
      </c>
      <c r="F40" s="650">
        <f>SUM('5.3 sz. mell'!I43)</f>
        <v>2632577</v>
      </c>
      <c r="G40" s="650">
        <f>SUM('5.3 sz. mell'!J43)</f>
        <v>128727613</v>
      </c>
      <c r="H40" s="650">
        <f>SUM('5.3 sz. mell'!K43)</f>
        <v>0</v>
      </c>
      <c r="I40" s="650">
        <f>SUM('5.3 sz. mell'!L43)</f>
        <v>128727613</v>
      </c>
      <c r="J40" s="651">
        <f>SUM('5.3 sz. mell'!M43)</f>
        <v>128727613</v>
      </c>
    </row>
    <row r="41" spans="1:42" ht="16.5" thickBot="1" x14ac:dyDescent="0.3">
      <c r="A41" s="652" t="s">
        <v>893</v>
      </c>
      <c r="B41" s="653"/>
      <c r="C41" s="654">
        <f>SUM(C40-C11)</f>
        <v>0</v>
      </c>
      <c r="D41" s="654"/>
      <c r="E41" s="654">
        <f>SUM(E40-E11)</f>
        <v>0</v>
      </c>
      <c r="F41" s="654"/>
      <c r="G41" s="654">
        <f>SUM(G40-G11)</f>
        <v>962723</v>
      </c>
      <c r="H41" s="654"/>
      <c r="I41" s="654">
        <f>SUM(I40-I11)</f>
        <v>0</v>
      </c>
      <c r="J41" s="655">
        <f>SUM(J40-J11)</f>
        <v>0</v>
      </c>
    </row>
    <row r="42" spans="1:42" ht="15.75" thickTop="1" x14ac:dyDescent="0.25"/>
    <row r="45" spans="1:42" ht="15.75" x14ac:dyDescent="0.25">
      <c r="A45" s="4568" t="s">
        <v>236</v>
      </c>
      <c r="B45" s="4568"/>
      <c r="C45" s="639">
        <f>SUM('5.3 sz. mell'!F47)</f>
        <v>93923750</v>
      </c>
      <c r="D45" s="639">
        <f>SUM('5.3 sz. mell'!G47)</f>
        <v>1121662</v>
      </c>
      <c r="E45" s="639">
        <f>SUM('5.3 sz. mell'!H47)</f>
        <v>95045412</v>
      </c>
      <c r="F45" s="639">
        <f>SUM('5.3 sz. mell'!I47)</f>
        <v>3248585</v>
      </c>
      <c r="G45" s="639">
        <f>SUM('5.3 sz. mell'!J47)</f>
        <v>98293997</v>
      </c>
      <c r="H45" s="639">
        <f>SUM('5.3 sz. mell'!K47)</f>
        <v>0</v>
      </c>
      <c r="I45" s="639">
        <f>SUM('5.3 sz. mell'!L47)</f>
        <v>98293997</v>
      </c>
      <c r="J45" s="639">
        <f>SUM('5.3 sz. mell'!M47)</f>
        <v>97953741</v>
      </c>
    </row>
    <row r="46" spans="1:42" ht="15.75" x14ac:dyDescent="0.25">
      <c r="A46" s="641" t="s">
        <v>893</v>
      </c>
      <c r="C46" s="648">
        <f>SUM(C45-C14)</f>
        <v>0</v>
      </c>
      <c r="D46" s="648"/>
      <c r="E46" s="648">
        <f>SUM(E45-E14)</f>
        <v>0</v>
      </c>
      <c r="F46" s="648"/>
      <c r="G46" s="648">
        <f>SUM(G45-G14)</f>
        <v>1984085</v>
      </c>
      <c r="H46" s="648"/>
      <c r="I46" s="648">
        <f>SUM(I45-I14)</f>
        <v>0</v>
      </c>
      <c r="J46" s="648">
        <f>SUM(J45-J14)</f>
        <v>0</v>
      </c>
    </row>
    <row r="47" spans="1:42" ht="15.75" x14ac:dyDescent="0.25">
      <c r="C47" s="640"/>
      <c r="D47" s="640"/>
      <c r="E47" s="640"/>
      <c r="F47" s="640"/>
      <c r="G47" s="640"/>
      <c r="H47" s="640"/>
      <c r="I47" s="640"/>
      <c r="J47" s="640"/>
    </row>
    <row r="48" spans="1:42" ht="15.75" x14ac:dyDescent="0.25">
      <c r="A48" s="4568" t="s">
        <v>895</v>
      </c>
      <c r="B48" s="4568"/>
      <c r="C48" s="639">
        <f>SUM('5.3 sz. mell'!F48)</f>
        <v>19052570</v>
      </c>
      <c r="D48" s="639">
        <f>SUM('5.3 sz. mell'!G48)</f>
        <v>219222</v>
      </c>
      <c r="E48" s="639">
        <f>SUM('5.3 sz. mell'!H48)</f>
        <v>19271792</v>
      </c>
      <c r="F48" s="639">
        <f>SUM('5.3 sz. mell'!I48)</f>
        <v>847687</v>
      </c>
      <c r="G48" s="639">
        <f>SUM('5.3 sz. mell'!J48)</f>
        <v>20119479</v>
      </c>
      <c r="H48" s="639">
        <f>SUM('5.3 sz. mell'!K48)</f>
        <v>0</v>
      </c>
      <c r="I48" s="639">
        <f>SUM('5.3 sz. mell'!L48)</f>
        <v>20119479</v>
      </c>
      <c r="J48" s="639">
        <f>SUM('5.3 sz. mell'!M48)</f>
        <v>20062541</v>
      </c>
    </row>
    <row r="49" spans="1:12" ht="15.75" x14ac:dyDescent="0.25">
      <c r="A49" s="641" t="s">
        <v>893</v>
      </c>
      <c r="C49" s="648">
        <f>SUM(C48-C15)</f>
        <v>0</v>
      </c>
      <c r="D49" s="648"/>
      <c r="E49" s="648">
        <f>SUM(E48-E15)</f>
        <v>0</v>
      </c>
      <c r="F49" s="648"/>
      <c r="G49" s="648">
        <f>SUM(G48-G15)</f>
        <v>601109</v>
      </c>
      <c r="H49" s="648"/>
      <c r="I49" s="648">
        <f>SUM(I48-I15)</f>
        <v>0</v>
      </c>
      <c r="J49" s="648">
        <f>SUM(J48-J15)</f>
        <v>0</v>
      </c>
    </row>
    <row r="50" spans="1:12" ht="15.75" x14ac:dyDescent="0.25">
      <c r="C50" s="640"/>
      <c r="D50" s="640"/>
      <c r="E50" s="640"/>
      <c r="F50" s="640"/>
      <c r="G50" s="640"/>
      <c r="H50" s="640"/>
      <c r="I50" s="640"/>
      <c r="J50" s="640"/>
    </row>
    <row r="51" spans="1:12" ht="15.75" x14ac:dyDescent="0.25">
      <c r="A51" s="4565" t="s">
        <v>896</v>
      </c>
      <c r="B51" s="4565"/>
      <c r="C51" s="639">
        <f>SUM('5.3 sz. mell'!F49)</f>
        <v>10635600</v>
      </c>
      <c r="D51" s="639">
        <f>SUM('5.3 sz. mell'!G49)</f>
        <v>507232</v>
      </c>
      <c r="E51" s="639">
        <f>SUM('5.3 sz. mell'!H49)</f>
        <v>11142832</v>
      </c>
      <c r="F51" s="639">
        <f>SUM('5.3 sz. mell'!I49)</f>
        <v>-1616123</v>
      </c>
      <c r="G51" s="639">
        <f>SUM('5.3 sz. mell'!J49)</f>
        <v>9526709</v>
      </c>
      <c r="H51" s="639">
        <f>SUM('5.3 sz. mell'!K49)</f>
        <v>0</v>
      </c>
      <c r="I51" s="639">
        <f>SUM('5.3 sz. mell'!L49)</f>
        <v>9526709</v>
      </c>
      <c r="J51" s="639">
        <f>SUM('5.3 sz. mell'!M49)</f>
        <v>8963702</v>
      </c>
      <c r="K51" s="640"/>
      <c r="L51" s="640"/>
    </row>
    <row r="52" spans="1:12" ht="15.75" x14ac:dyDescent="0.25">
      <c r="A52" s="641" t="s">
        <v>893</v>
      </c>
      <c r="C52" s="648">
        <f>SUM(C51-C16)</f>
        <v>0</v>
      </c>
      <c r="D52" s="648"/>
      <c r="E52" s="648">
        <f>SUM(E51-E16)</f>
        <v>0</v>
      </c>
      <c r="F52" s="648"/>
      <c r="G52" s="648">
        <f>SUM(G51-G16)</f>
        <v>-1774899</v>
      </c>
      <c r="H52" s="648"/>
      <c r="I52" s="648">
        <f>SUM(I51-I16)</f>
        <v>0</v>
      </c>
      <c r="J52" s="648">
        <f>SUM(J51-J16)</f>
        <v>0</v>
      </c>
      <c r="K52" s="640"/>
      <c r="L52" s="640"/>
    </row>
    <row r="53" spans="1:12" ht="15.75" x14ac:dyDescent="0.25">
      <c r="C53" s="640"/>
      <c r="D53" s="640"/>
      <c r="E53" s="640"/>
      <c r="F53" s="640"/>
      <c r="G53" s="640"/>
      <c r="H53" s="640"/>
      <c r="I53" s="640"/>
      <c r="J53" s="640"/>
      <c r="K53" s="640"/>
      <c r="L53" s="640"/>
    </row>
    <row r="54" spans="1:12" ht="15.75" x14ac:dyDescent="0.25">
      <c r="A54" s="4565" t="s">
        <v>897</v>
      </c>
      <c r="B54" s="4565"/>
      <c r="C54" s="639">
        <f>SUM('5.3 sz. mell'!F51)</f>
        <v>0</v>
      </c>
      <c r="D54" s="639"/>
      <c r="E54" s="639">
        <f>SUM('5.3 sz. mell'!J51)</f>
        <v>0</v>
      </c>
      <c r="F54" s="639"/>
      <c r="G54" s="639">
        <f>SUM('5.3 sz. mell'!L51)</f>
        <v>0</v>
      </c>
      <c r="H54" s="639"/>
      <c r="I54" s="639">
        <f>SUM('5.3 sz. mell'!N51)</f>
        <v>0</v>
      </c>
      <c r="J54" s="639">
        <f>SUM('5.3 sz. mell'!M51)</f>
        <v>0</v>
      </c>
      <c r="K54" s="640"/>
      <c r="L54" s="640"/>
    </row>
    <row r="55" spans="1:12" ht="15.75" x14ac:dyDescent="0.25">
      <c r="A55" s="641" t="s">
        <v>893</v>
      </c>
      <c r="C55" s="648">
        <f>SUM(C54-C17)</f>
        <v>0</v>
      </c>
      <c r="D55" s="648"/>
      <c r="E55" s="648">
        <f>SUM(E54-E17)</f>
        <v>0</v>
      </c>
      <c r="F55" s="648"/>
      <c r="G55" s="648">
        <f>SUM(G54-G17)</f>
        <v>0</v>
      </c>
      <c r="H55" s="648"/>
      <c r="I55" s="648">
        <f>SUM(I54-I17)</f>
        <v>0</v>
      </c>
      <c r="J55" s="648">
        <f>SUM(J54-J17)</f>
        <v>0</v>
      </c>
      <c r="K55" s="640"/>
      <c r="L55" s="640"/>
    </row>
    <row r="56" spans="1:12" ht="15.75" x14ac:dyDescent="0.25">
      <c r="C56" s="640"/>
      <c r="D56" s="640"/>
      <c r="E56" s="640"/>
      <c r="F56" s="640"/>
      <c r="G56" s="640"/>
      <c r="H56" s="640"/>
      <c r="I56" s="640"/>
      <c r="J56" s="640"/>
      <c r="K56" s="640"/>
      <c r="L56" s="640"/>
    </row>
    <row r="57" spans="1:12" ht="15.75" x14ac:dyDescent="0.25">
      <c r="A57" s="4565" t="s">
        <v>898</v>
      </c>
      <c r="B57" s="4565"/>
      <c r="C57" s="639">
        <f>SUM('5.3 sz. mell'!F53)</f>
        <v>635000</v>
      </c>
      <c r="D57" s="639">
        <f>SUM('5.3 sz. mell'!G53)</f>
        <v>0</v>
      </c>
      <c r="E57" s="639">
        <f>SUM('5.3 sz. mell'!H53)</f>
        <v>635000</v>
      </c>
      <c r="F57" s="639">
        <f>SUM('5.3 sz. mell'!I53)</f>
        <v>152428</v>
      </c>
      <c r="G57" s="639">
        <f>SUM('5.3 sz. mell'!J53)</f>
        <v>787428</v>
      </c>
      <c r="H57" s="639">
        <f>SUM('5.3 sz. mell'!K53)</f>
        <v>0</v>
      </c>
      <c r="I57" s="639">
        <f>SUM('5.3 sz. mell'!L53)</f>
        <v>787428</v>
      </c>
      <c r="J57" s="639">
        <f>SUM('5.3 sz. mell'!M53)</f>
        <v>787428</v>
      </c>
      <c r="K57" s="640"/>
      <c r="L57" s="640"/>
    </row>
    <row r="58" spans="1:12" ht="15.75" x14ac:dyDescent="0.25">
      <c r="A58" s="641" t="s">
        <v>893</v>
      </c>
      <c r="C58" s="648">
        <f>SUM(C57-C18)</f>
        <v>0</v>
      </c>
      <c r="D58" s="648"/>
      <c r="E58" s="648">
        <f>SUM(E57-E18)</f>
        <v>0</v>
      </c>
      <c r="F58" s="648"/>
      <c r="G58" s="648">
        <f>SUM(G57-G18)</f>
        <v>152428</v>
      </c>
      <c r="H58" s="648"/>
      <c r="I58" s="648">
        <f>SUM(I57-I18)</f>
        <v>0</v>
      </c>
      <c r="J58" s="648">
        <f>SUM(J57-J18)</f>
        <v>0</v>
      </c>
      <c r="K58" s="640"/>
      <c r="L58" s="640"/>
    </row>
    <row r="59" spans="1:12" ht="16.5" thickBot="1" x14ac:dyDescent="0.3">
      <c r="C59" s="640"/>
      <c r="D59" s="640"/>
      <c r="E59" s="640"/>
      <c r="F59" s="640"/>
      <c r="G59" s="640"/>
      <c r="H59" s="640"/>
      <c r="I59" s="640"/>
      <c r="J59" s="640"/>
      <c r="K59" s="640"/>
      <c r="L59" s="640"/>
    </row>
    <row r="60" spans="1:12" ht="16.5" thickTop="1" x14ac:dyDescent="0.25">
      <c r="A60" s="649" t="s">
        <v>899</v>
      </c>
      <c r="B60" s="656"/>
      <c r="C60" s="650">
        <f>SUM('5.3 sz. mell'!F59)</f>
        <v>124246920</v>
      </c>
      <c r="D60" s="650">
        <f>SUM('5.3 sz. mell'!G59)</f>
        <v>1848116</v>
      </c>
      <c r="E60" s="650">
        <f>SUM('5.3 sz. mell'!H59)</f>
        <v>126095036</v>
      </c>
      <c r="F60" s="650">
        <f>SUM('5.3 sz. mell'!I59)</f>
        <v>2632577</v>
      </c>
      <c r="G60" s="650">
        <f>SUM('5.3 sz. mell'!J59)</f>
        <v>128727613</v>
      </c>
      <c r="H60" s="650">
        <f>SUM('5.3 sz. mell'!K59)</f>
        <v>0</v>
      </c>
      <c r="I60" s="650">
        <f>SUM('5.3 sz. mell'!L59)</f>
        <v>128727613</v>
      </c>
      <c r="J60" s="650">
        <f>SUM('5.3 sz. mell'!M59)</f>
        <v>127767412</v>
      </c>
      <c r="K60" s="639"/>
      <c r="L60" s="639"/>
    </row>
    <row r="61" spans="1:12" ht="16.5" thickBot="1" x14ac:dyDescent="0.3">
      <c r="A61" s="652" t="s">
        <v>893</v>
      </c>
      <c r="B61" s="657"/>
      <c r="C61" s="654">
        <f>SUM(C60-C19)</f>
        <v>0</v>
      </c>
      <c r="D61" s="654"/>
      <c r="E61" s="654">
        <f>SUM(E60-E19)</f>
        <v>0</v>
      </c>
      <c r="F61" s="654"/>
      <c r="G61" s="654">
        <f>SUM(G60-G19)</f>
        <v>962723</v>
      </c>
      <c r="H61" s="654"/>
      <c r="I61" s="654">
        <f>SUM(I60-I19)</f>
        <v>0</v>
      </c>
      <c r="J61" s="655">
        <f>SUM(J60-J19)</f>
        <v>0</v>
      </c>
      <c r="K61" s="640"/>
      <c r="L61" s="640"/>
    </row>
    <row r="62" spans="1:12" ht="16.5" thickTop="1" x14ac:dyDescent="0.25">
      <c r="A62" s="645"/>
      <c r="C62" s="640"/>
      <c r="D62" s="640"/>
      <c r="E62" s="640"/>
      <c r="F62" s="640"/>
      <c r="G62" s="640"/>
      <c r="H62" s="640"/>
      <c r="I62" s="640"/>
      <c r="J62" s="640"/>
      <c r="K62" s="640"/>
      <c r="L62" s="640"/>
    </row>
    <row r="63" spans="1:12" ht="15.75" x14ac:dyDescent="0.25">
      <c r="C63" s="640"/>
      <c r="D63" s="640"/>
      <c r="E63" s="640"/>
      <c r="F63" s="640"/>
      <c r="G63" s="640"/>
      <c r="H63" s="640"/>
      <c r="I63" s="640"/>
      <c r="J63" s="640"/>
      <c r="K63" s="640"/>
      <c r="L63" s="640"/>
    </row>
  </sheetData>
  <mergeCells count="31">
    <mergeCell ref="A1:AP1"/>
    <mergeCell ref="A2:AP2"/>
    <mergeCell ref="C5:J5"/>
    <mergeCell ref="A4:AP4"/>
    <mergeCell ref="A18:B18"/>
    <mergeCell ref="K5:R5"/>
    <mergeCell ref="AI5:AP5"/>
    <mergeCell ref="A11:B11"/>
    <mergeCell ref="A5:B6"/>
    <mergeCell ref="A7:B7"/>
    <mergeCell ref="AA5:AH5"/>
    <mergeCell ref="A15:B15"/>
    <mergeCell ref="A16:B16"/>
    <mergeCell ref="S5:Z5"/>
    <mergeCell ref="A8:B8"/>
    <mergeCell ref="A9:B9"/>
    <mergeCell ref="A10:B10"/>
    <mergeCell ref="A14:B14"/>
    <mergeCell ref="A13:AP13"/>
    <mergeCell ref="A57:B57"/>
    <mergeCell ref="A40:B40"/>
    <mergeCell ref="A17:B17"/>
    <mergeCell ref="A28:B28"/>
    <mergeCell ref="A31:B31"/>
    <mergeCell ref="A54:B54"/>
    <mergeCell ref="A37:B37"/>
    <mergeCell ref="A51:B51"/>
    <mergeCell ref="A45:B45"/>
    <mergeCell ref="A19:B19"/>
    <mergeCell ref="A48:B48"/>
    <mergeCell ref="A34:B34"/>
  </mergeCells>
  <printOptions horizontalCentered="1"/>
  <pageMargins left="0.19685039370078741" right="0.19685039370078741" top="0.70866141732283472" bottom="0.70866141732283472" header="0.31496062992125984" footer="0.31496062992125984"/>
  <pageSetup paperSize="9" scale="63" firstPageNumber="58" orientation="landscape" useFirstPageNumber="1" r:id="rId1"/>
  <headerFooter>
    <oddHeader>&amp;R&amp;12 5.3.d. számú melléklet
Forint</oddHeader>
    <oddFooter xml:space="preserve">&amp;C- &amp;P -
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G85"/>
  <sheetViews>
    <sheetView view="pageBreakPreview" topLeftCell="L37" zoomScale="90" zoomScaleNormal="100" zoomScaleSheetLayoutView="90" zoomScalePageLayoutView="60" workbookViewId="0">
      <selection activeCell="N20" sqref="N20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4.1640625" style="115" customWidth="1"/>
    <col min="4" max="5" width="9.33203125" style="115" hidden="1" customWidth="1"/>
    <col min="6" max="6" width="15.1640625" style="115" customWidth="1"/>
    <col min="7" max="7" width="12" style="1390" hidden="1" customWidth="1"/>
    <col min="8" max="8" width="12.83203125" style="115" hidden="1" customWidth="1"/>
    <col min="9" max="9" width="12" style="1390" hidden="1" customWidth="1"/>
    <col min="10" max="10" width="14" style="115" customWidth="1"/>
    <col min="11" max="11" width="14.1640625" style="1390" customWidth="1"/>
    <col min="12" max="12" width="15.83203125" style="115" customWidth="1"/>
    <col min="13" max="13" width="16.6640625" style="115" customWidth="1"/>
    <col min="14" max="14" width="12.5" style="115" customWidth="1"/>
    <col min="15" max="15" width="9.33203125" style="115"/>
    <col min="16" max="16" width="15.6640625" style="115" customWidth="1"/>
    <col min="17" max="17" width="9.33203125" style="115"/>
    <col min="18" max="18" width="14" style="1877" customWidth="1"/>
    <col min="19" max="19" width="14" style="115" hidden="1" customWidth="1"/>
    <col min="20" max="20" width="14" style="115" customWidth="1"/>
    <col min="21" max="21" width="14" style="115" hidden="1" customWidth="1"/>
    <col min="22" max="22" width="14" style="115" customWidth="1"/>
    <col min="23" max="23" width="14" style="115" hidden="1" customWidth="1"/>
    <col min="24" max="24" width="14" style="1161" customWidth="1"/>
    <col min="25" max="25" width="14" style="115" customWidth="1"/>
    <col min="26" max="26" width="14.5" style="2342" customWidth="1"/>
    <col min="27" max="27" width="14.5" style="1398" hidden="1" customWidth="1"/>
    <col min="28" max="28" width="15.5" style="115" customWidth="1"/>
    <col min="29" max="29" width="15.5" style="115" hidden="1" customWidth="1"/>
    <col min="30" max="30" width="15.5" style="115" customWidth="1"/>
    <col min="31" max="31" width="15.5" style="115" hidden="1" customWidth="1"/>
    <col min="32" max="32" width="15.5" style="1161" customWidth="1"/>
    <col min="33" max="33" width="14" style="115" customWidth="1"/>
    <col min="34" max="16384" width="9.33203125" style="115"/>
  </cols>
  <sheetData>
    <row r="1" spans="1:33" s="98" customFormat="1" ht="15" customHeight="1" thickBot="1" x14ac:dyDescent="0.25">
      <c r="A1" s="240"/>
      <c r="B1" s="241"/>
      <c r="C1" s="4526" t="s">
        <v>728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  <c r="R1" s="1872"/>
      <c r="X1" s="1868"/>
      <c r="Z1" s="2339"/>
      <c r="AA1" s="943"/>
      <c r="AF1" s="1868"/>
    </row>
    <row r="2" spans="1:33" s="303" customFormat="1" ht="48" customHeight="1" thickBot="1" x14ac:dyDescent="0.25">
      <c r="A2" s="4516" t="s">
        <v>411</v>
      </c>
      <c r="B2" s="4516"/>
      <c r="C2" s="117" t="s">
        <v>1002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  <c r="R2" s="1873"/>
      <c r="X2" s="1869"/>
      <c r="Z2" s="2340"/>
      <c r="AA2" s="1862"/>
      <c r="AF2" s="1869"/>
    </row>
    <row r="3" spans="1:33" s="303" customFormat="1" ht="30" customHeight="1" thickBot="1" x14ac:dyDescent="0.25">
      <c r="A3" s="4525" t="s">
        <v>283</v>
      </c>
      <c r="B3" s="4525"/>
      <c r="C3" s="304" t="s">
        <v>1446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  <c r="R3" s="1873"/>
      <c r="X3" s="1869"/>
      <c r="Z3" s="2340"/>
      <c r="AA3" s="1862"/>
      <c r="AF3" s="1869"/>
    </row>
    <row r="4" spans="1:3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5"/>
      <c r="M4" s="1508" t="s">
        <v>935</v>
      </c>
      <c r="R4" s="1874"/>
      <c r="S4" s="1919"/>
      <c r="T4" s="4493" t="s">
        <v>1056</v>
      </c>
      <c r="U4" s="1927"/>
      <c r="V4" s="4442" t="s">
        <v>1076</v>
      </c>
      <c r="W4" s="305"/>
      <c r="X4" s="4439" t="s">
        <v>1058</v>
      </c>
      <c r="Y4" s="1891"/>
      <c r="Z4" s="1873"/>
      <c r="AB4" s="4493" t="s">
        <v>1056</v>
      </c>
      <c r="AC4" s="1919"/>
      <c r="AD4" s="4442" t="s">
        <v>1057</v>
      </c>
      <c r="AE4" s="1927"/>
      <c r="AF4" s="4439" t="s">
        <v>1058</v>
      </c>
      <c r="AG4" s="1889"/>
    </row>
    <row r="5" spans="1:33" s="145" customFormat="1" ht="27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  <c r="R5" s="1875" t="s">
        <v>771</v>
      </c>
      <c r="S5" s="1920"/>
      <c r="T5" s="4493"/>
      <c r="U5" s="1927"/>
      <c r="V5" s="4442"/>
      <c r="W5" s="305"/>
      <c r="X5" s="4439"/>
      <c r="Y5" s="2301" t="s">
        <v>289</v>
      </c>
      <c r="Z5" s="1879" t="s">
        <v>771</v>
      </c>
      <c r="AA5" s="2296"/>
      <c r="AB5" s="4493"/>
      <c r="AC5" s="2296"/>
      <c r="AD5" s="4442"/>
      <c r="AE5" s="1927"/>
      <c r="AF5" s="4439"/>
      <c r="AG5" s="1887" t="s">
        <v>289</v>
      </c>
    </row>
    <row r="6" spans="1:3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  <c r="R6" s="1908" t="s">
        <v>767</v>
      </c>
      <c r="S6" s="1921"/>
      <c r="T6" s="1913" t="s">
        <v>767</v>
      </c>
      <c r="U6" s="1926"/>
      <c r="V6" s="2292" t="s">
        <v>767</v>
      </c>
      <c r="W6" s="2292"/>
      <c r="X6" s="2299" t="s">
        <v>767</v>
      </c>
      <c r="Y6" s="2302" t="s">
        <v>767</v>
      </c>
      <c r="Z6" s="2304" t="s">
        <v>770</v>
      </c>
      <c r="AA6" s="2297"/>
      <c r="AB6" s="1913" t="s">
        <v>770</v>
      </c>
      <c r="AC6" s="2297"/>
      <c r="AD6" s="453" t="s">
        <v>770</v>
      </c>
      <c r="AE6" s="1926"/>
      <c r="AF6" s="1910" t="s">
        <v>770</v>
      </c>
      <c r="AG6" s="1943" t="s">
        <v>770</v>
      </c>
    </row>
    <row r="7" spans="1:3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  <c r="R7" s="1875"/>
      <c r="X7" s="1870"/>
      <c r="Z7" s="1879"/>
      <c r="AA7" s="2335"/>
      <c r="AF7" s="1870"/>
    </row>
    <row r="8" spans="1:3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57115</v>
      </c>
      <c r="K8" s="1376">
        <f>SUM(L8-J8)</f>
        <v>0</v>
      </c>
      <c r="L8" s="137">
        <f>SUM(L9:L18)</f>
        <v>57115</v>
      </c>
      <c r="M8" s="137">
        <f>SUM(M9:M18)</f>
        <v>57115</v>
      </c>
      <c r="R8" s="1876">
        <f>SUM(F8-Z8)</f>
        <v>0</v>
      </c>
      <c r="S8" s="248"/>
      <c r="T8" s="1885">
        <f>SUM(H8-AB8)</f>
        <v>0</v>
      </c>
      <c r="U8" s="248"/>
      <c r="V8" s="248">
        <f t="shared" ref="V8:Y23" si="0">SUM(J8-AD8)</f>
        <v>0</v>
      </c>
      <c r="W8" s="248"/>
      <c r="X8" s="1871">
        <f t="shared" si="0"/>
        <v>0</v>
      </c>
      <c r="Y8" s="2300">
        <f t="shared" si="0"/>
        <v>0</v>
      </c>
      <c r="Z8" s="1880">
        <f>SUM('5.4.a. sz mell'!F8)</f>
        <v>0</v>
      </c>
      <c r="AA8" s="2336"/>
      <c r="AB8" s="1885">
        <f>SUM('5.4.a. sz mell'!H8)</f>
        <v>0</v>
      </c>
      <c r="AC8" s="248"/>
      <c r="AD8" s="248">
        <f>SUM('5.4.a. sz mell'!J8)</f>
        <v>57115</v>
      </c>
      <c r="AE8" s="248"/>
      <c r="AF8" s="1871">
        <f>SUM('5.4.a. sz mell'!L8)</f>
        <v>57115</v>
      </c>
      <c r="AG8" s="2300">
        <f>SUM('5.4.a. sz mell'!M8)</f>
        <v>57115</v>
      </c>
    </row>
    <row r="9" spans="1:3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5"/>
      <c r="L9" s="150">
        <v>0</v>
      </c>
      <c r="M9" s="150">
        <v>0</v>
      </c>
      <c r="R9" s="1876">
        <f t="shared" ref="R9:R62" si="1">SUM(F9-Z9)</f>
        <v>0</v>
      </c>
      <c r="S9" s="248"/>
      <c r="T9" s="1885">
        <f t="shared" ref="T9:T62" si="2">SUM(H9-AB9)</f>
        <v>0</v>
      </c>
      <c r="U9" s="248"/>
      <c r="V9" s="248">
        <f t="shared" si="0"/>
        <v>0</v>
      </c>
      <c r="W9" s="248"/>
      <c r="X9" s="1871">
        <f t="shared" si="0"/>
        <v>0</v>
      </c>
      <c r="Y9" s="2300">
        <f t="shared" si="0"/>
        <v>0</v>
      </c>
      <c r="Z9" s="1880">
        <f>SUM('5.4.a. sz mell'!F9)</f>
        <v>0</v>
      </c>
      <c r="AA9" s="2336"/>
      <c r="AB9" s="1885">
        <f>SUM('5.4.a. sz mell'!H9)</f>
        <v>0</v>
      </c>
      <c r="AC9" s="248"/>
      <c r="AD9" s="248">
        <f>SUM('5.4.a. sz mell'!J9)</f>
        <v>0</v>
      </c>
      <c r="AE9" s="248"/>
      <c r="AF9" s="1871">
        <f>SUM('5.4.a. sz mell'!L9)</f>
        <v>0</v>
      </c>
      <c r="AG9" s="2300">
        <f>SUM('5.4.a. sz mell'!M9)</f>
        <v>0</v>
      </c>
    </row>
    <row r="10" spans="1:3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6"/>
      <c r="L10" s="144">
        <v>0</v>
      </c>
      <c r="M10" s="144">
        <v>0</v>
      </c>
      <c r="R10" s="1876">
        <f t="shared" si="1"/>
        <v>0</v>
      </c>
      <c r="S10" s="248"/>
      <c r="T10" s="1885">
        <f t="shared" si="2"/>
        <v>0</v>
      </c>
      <c r="U10" s="248"/>
      <c r="V10" s="248">
        <f t="shared" si="0"/>
        <v>0</v>
      </c>
      <c r="W10" s="248"/>
      <c r="X10" s="1871">
        <f t="shared" si="0"/>
        <v>0</v>
      </c>
      <c r="Y10" s="2300">
        <f t="shared" si="0"/>
        <v>0</v>
      </c>
      <c r="Z10" s="1880">
        <f>SUM('5.4.a. sz mell'!F10)</f>
        <v>0</v>
      </c>
      <c r="AA10" s="2336"/>
      <c r="AB10" s="1885">
        <f>SUM('5.4.a. sz mell'!H10)</f>
        <v>0</v>
      </c>
      <c r="AC10" s="248"/>
      <c r="AD10" s="248">
        <f>SUM('5.4.a. sz mell'!J10)</f>
        <v>0</v>
      </c>
      <c r="AE10" s="248"/>
      <c r="AF10" s="1871">
        <f>SUM('5.4.a. sz mell'!L10)</f>
        <v>0</v>
      </c>
      <c r="AG10" s="2300">
        <f>SUM('5.4.a. sz mell'!M10)</f>
        <v>0</v>
      </c>
    </row>
    <row r="11" spans="1:3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6"/>
      <c r="L11" s="144">
        <v>0</v>
      </c>
      <c r="M11" s="144">
        <v>0</v>
      </c>
      <c r="R11" s="1876">
        <f t="shared" si="1"/>
        <v>0</v>
      </c>
      <c r="S11" s="248"/>
      <c r="T11" s="1885">
        <f t="shared" si="2"/>
        <v>0</v>
      </c>
      <c r="U11" s="248"/>
      <c r="V11" s="248">
        <f t="shared" si="0"/>
        <v>0</v>
      </c>
      <c r="W11" s="248"/>
      <c r="X11" s="1871">
        <f t="shared" si="0"/>
        <v>0</v>
      </c>
      <c r="Y11" s="2300">
        <f t="shared" si="0"/>
        <v>0</v>
      </c>
      <c r="Z11" s="1880">
        <f>SUM('5.4.a. sz mell'!F11)</f>
        <v>0</v>
      </c>
      <c r="AA11" s="2336"/>
      <c r="AB11" s="1885">
        <f>SUM('5.4.a. sz mell'!H11)</f>
        <v>0</v>
      </c>
      <c r="AC11" s="248"/>
      <c r="AD11" s="248">
        <f>SUM('5.4.a. sz mell'!J11)</f>
        <v>0</v>
      </c>
      <c r="AE11" s="248"/>
      <c r="AF11" s="1871">
        <f>SUM('5.4.a. sz mell'!L11)</f>
        <v>0</v>
      </c>
      <c r="AG11" s="2300">
        <f>SUM('5.4.a. sz mell'!M11)</f>
        <v>0</v>
      </c>
    </row>
    <row r="12" spans="1:3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6"/>
      <c r="L12" s="144">
        <v>0</v>
      </c>
      <c r="M12" s="144">
        <v>0</v>
      </c>
      <c r="R12" s="1876">
        <f t="shared" si="1"/>
        <v>0</v>
      </c>
      <c r="S12" s="248"/>
      <c r="T12" s="1885">
        <f t="shared" si="2"/>
        <v>0</v>
      </c>
      <c r="U12" s="248"/>
      <c r="V12" s="248">
        <f t="shared" si="0"/>
        <v>0</v>
      </c>
      <c r="W12" s="248"/>
      <c r="X12" s="1871">
        <f t="shared" si="0"/>
        <v>0</v>
      </c>
      <c r="Y12" s="2300">
        <f t="shared" si="0"/>
        <v>0</v>
      </c>
      <c r="Z12" s="1880">
        <f>SUM('5.4.a. sz mell'!F12)</f>
        <v>0</v>
      </c>
      <c r="AA12" s="2336"/>
      <c r="AB12" s="1885">
        <f>SUM('5.4.a. sz mell'!H12)</f>
        <v>0</v>
      </c>
      <c r="AC12" s="248"/>
      <c r="AD12" s="248">
        <f>SUM('5.4.a. sz mell'!J12)</f>
        <v>0</v>
      </c>
      <c r="AE12" s="248"/>
      <c r="AF12" s="1871">
        <f>SUM('5.4.a. sz mell'!L12)</f>
        <v>0</v>
      </c>
      <c r="AG12" s="2300">
        <f>SUM('5.4.a. sz mell'!M12)</f>
        <v>0</v>
      </c>
    </row>
    <row r="13" spans="1:3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6"/>
      <c r="L13" s="144">
        <v>0</v>
      </c>
      <c r="M13" s="144">
        <v>0</v>
      </c>
      <c r="R13" s="1876">
        <f t="shared" si="1"/>
        <v>0</v>
      </c>
      <c r="S13" s="248"/>
      <c r="T13" s="1885">
        <f t="shared" si="2"/>
        <v>0</v>
      </c>
      <c r="U13" s="248"/>
      <c r="V13" s="248">
        <f t="shared" si="0"/>
        <v>0</v>
      </c>
      <c r="W13" s="248"/>
      <c r="X13" s="1871">
        <f t="shared" si="0"/>
        <v>0</v>
      </c>
      <c r="Y13" s="2300">
        <f t="shared" si="0"/>
        <v>0</v>
      </c>
      <c r="Z13" s="1880">
        <f>SUM('5.4.a. sz mell'!F13)</f>
        <v>0</v>
      </c>
      <c r="AA13" s="2336"/>
      <c r="AB13" s="1885">
        <f>SUM('5.4.a. sz mell'!H13)</f>
        <v>0</v>
      </c>
      <c r="AC13" s="248"/>
      <c r="AD13" s="248">
        <f>SUM('5.4.a. sz mell'!J13)</f>
        <v>0</v>
      </c>
      <c r="AE13" s="248"/>
      <c r="AF13" s="1871">
        <f>SUM('5.4.a. sz mell'!L13)</f>
        <v>0</v>
      </c>
      <c r="AG13" s="2300">
        <f>SUM('5.4.a. sz mell'!M13)</f>
        <v>0</v>
      </c>
    </row>
    <row r="14" spans="1:3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6"/>
      <c r="L14" s="144">
        <v>0</v>
      </c>
      <c r="M14" s="144">
        <v>0</v>
      </c>
      <c r="R14" s="1876">
        <f t="shared" si="1"/>
        <v>0</v>
      </c>
      <c r="S14" s="248"/>
      <c r="T14" s="1885">
        <f t="shared" si="2"/>
        <v>0</v>
      </c>
      <c r="U14" s="248"/>
      <c r="V14" s="248">
        <f t="shared" si="0"/>
        <v>0</v>
      </c>
      <c r="W14" s="248"/>
      <c r="X14" s="1871">
        <f t="shared" si="0"/>
        <v>0</v>
      </c>
      <c r="Y14" s="2300">
        <f t="shared" si="0"/>
        <v>0</v>
      </c>
      <c r="Z14" s="1880">
        <f>SUM('5.4.a. sz mell'!F14)</f>
        <v>0</v>
      </c>
      <c r="AA14" s="2336"/>
      <c r="AB14" s="1885">
        <f>SUM('5.4.a. sz mell'!H14)</f>
        <v>0</v>
      </c>
      <c r="AC14" s="248"/>
      <c r="AD14" s="248">
        <f>SUM('5.4.a. sz mell'!J14)</f>
        <v>0</v>
      </c>
      <c r="AE14" s="248"/>
      <c r="AF14" s="1871">
        <f>SUM('5.4.a. sz mell'!L14)</f>
        <v>0</v>
      </c>
      <c r="AG14" s="2300">
        <f>SUM('5.4.a. sz mell'!M14)</f>
        <v>0</v>
      </c>
    </row>
    <row r="15" spans="1:3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7"/>
      <c r="L15" s="147">
        <v>0</v>
      </c>
      <c r="M15" s="147">
        <v>0</v>
      </c>
      <c r="R15" s="1876">
        <f t="shared" si="1"/>
        <v>0</v>
      </c>
      <c r="S15" s="248"/>
      <c r="T15" s="1885">
        <f t="shared" si="2"/>
        <v>0</v>
      </c>
      <c r="U15" s="248"/>
      <c r="V15" s="248">
        <f t="shared" si="0"/>
        <v>0</v>
      </c>
      <c r="W15" s="248"/>
      <c r="X15" s="1871">
        <f t="shared" si="0"/>
        <v>0</v>
      </c>
      <c r="Y15" s="2300">
        <f t="shared" si="0"/>
        <v>0</v>
      </c>
      <c r="Z15" s="1880">
        <f>SUM('5.4.a. sz mell'!F15)</f>
        <v>0</v>
      </c>
      <c r="AA15" s="2336"/>
      <c r="AB15" s="1885">
        <f>SUM('5.4.a. sz mell'!H15)</f>
        <v>0</v>
      </c>
      <c r="AC15" s="248"/>
      <c r="AD15" s="248">
        <f>SUM('5.4.a. sz mell'!J15)</f>
        <v>0</v>
      </c>
      <c r="AE15" s="248"/>
      <c r="AF15" s="1871">
        <f>SUM('5.4.a. sz mell'!L15)</f>
        <v>0</v>
      </c>
      <c r="AG15" s="2300">
        <f>SUM('5.4.a. sz mell'!M15)</f>
        <v>0</v>
      </c>
    </row>
    <row r="16" spans="1:3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0</v>
      </c>
      <c r="K16" s="1376"/>
      <c r="L16" s="144">
        <v>0</v>
      </c>
      <c r="M16" s="144"/>
      <c r="R16" s="1876">
        <f t="shared" si="1"/>
        <v>0</v>
      </c>
      <c r="S16" s="248"/>
      <c r="T16" s="1885">
        <f t="shared" si="2"/>
        <v>0</v>
      </c>
      <c r="U16" s="248"/>
      <c r="V16" s="248">
        <f t="shared" si="0"/>
        <v>0</v>
      </c>
      <c r="W16" s="248"/>
      <c r="X16" s="1871">
        <f t="shared" si="0"/>
        <v>0</v>
      </c>
      <c r="Y16" s="2300">
        <f t="shared" si="0"/>
        <v>0</v>
      </c>
      <c r="Z16" s="1880">
        <f>SUM('5.4.a. sz mell'!F16)</f>
        <v>0</v>
      </c>
      <c r="AA16" s="2336"/>
      <c r="AB16" s="1885">
        <f>SUM('5.4.a. sz mell'!H16)</f>
        <v>0</v>
      </c>
      <c r="AC16" s="248"/>
      <c r="AD16" s="248">
        <f>SUM('5.4.a. sz mell'!J16)</f>
        <v>0</v>
      </c>
      <c r="AE16" s="248"/>
      <c r="AF16" s="1871">
        <f>SUM('5.4.a. sz mell'!L16)</f>
        <v>0</v>
      </c>
      <c r="AG16" s="2300">
        <f>SUM('5.4.a. sz mell'!M16)</f>
        <v>0</v>
      </c>
    </row>
    <row r="17" spans="1:3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/>
      <c r="L17" s="153">
        <v>0</v>
      </c>
      <c r="M17" s="153"/>
      <c r="R17" s="1876">
        <f t="shared" si="1"/>
        <v>0</v>
      </c>
      <c r="S17" s="248"/>
      <c r="T17" s="1885">
        <f t="shared" si="2"/>
        <v>0</v>
      </c>
      <c r="U17" s="248"/>
      <c r="V17" s="248">
        <f t="shared" si="0"/>
        <v>0</v>
      </c>
      <c r="W17" s="248"/>
      <c r="X17" s="1871">
        <f t="shared" si="0"/>
        <v>0</v>
      </c>
      <c r="Y17" s="2300">
        <f t="shared" si="0"/>
        <v>0</v>
      </c>
      <c r="Z17" s="1880">
        <f>SUM('5.4.a. sz mell'!F17)</f>
        <v>0</v>
      </c>
      <c r="AA17" s="2336"/>
      <c r="AB17" s="1885">
        <f>SUM('5.4.a. sz mell'!H17)</f>
        <v>0</v>
      </c>
      <c r="AC17" s="248"/>
      <c r="AD17" s="248">
        <f>SUM('5.4.a. sz mell'!J17)</f>
        <v>0</v>
      </c>
      <c r="AE17" s="248"/>
      <c r="AF17" s="1871">
        <f>SUM('5.4.a. sz mell'!L17)</f>
        <v>0</v>
      </c>
      <c r="AG17" s="2300">
        <f>SUM('5.4.a. sz mell'!M17)</f>
        <v>0</v>
      </c>
    </row>
    <row r="18" spans="1:3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>
        <v>57115</v>
      </c>
      <c r="K18" s="1376">
        <f>SUM(L18-J18)</f>
        <v>0</v>
      </c>
      <c r="L18" s="153">
        <v>57115</v>
      </c>
      <c r="M18" s="153">
        <v>57115</v>
      </c>
      <c r="R18" s="1876">
        <f t="shared" si="1"/>
        <v>0</v>
      </c>
      <c r="S18" s="248"/>
      <c r="T18" s="1885">
        <f t="shared" si="2"/>
        <v>0</v>
      </c>
      <c r="U18" s="248"/>
      <c r="V18" s="248">
        <f t="shared" si="0"/>
        <v>0</v>
      </c>
      <c r="W18" s="248"/>
      <c r="X18" s="1871">
        <f t="shared" si="0"/>
        <v>0</v>
      </c>
      <c r="Y18" s="2300">
        <f t="shared" si="0"/>
        <v>0</v>
      </c>
      <c r="Z18" s="1880">
        <f>SUM('5.4.a. sz mell'!F18)</f>
        <v>0</v>
      </c>
      <c r="AA18" s="2336"/>
      <c r="AB18" s="1885">
        <f>SUM('5.4.a. sz mell'!H18)</f>
        <v>0</v>
      </c>
      <c r="AC18" s="248"/>
      <c r="AD18" s="248">
        <f>SUM('5.4.a. sz mell'!J18)</f>
        <v>57115</v>
      </c>
      <c r="AE18" s="248"/>
      <c r="AF18" s="1871">
        <f>SUM('5.4.a. sz mell'!L18)</f>
        <v>57115</v>
      </c>
      <c r="AG18" s="2300">
        <f>SUM('5.4.a. sz mell'!M18)</f>
        <v>57115</v>
      </c>
    </row>
    <row r="19" spans="1:33" s="141" customFormat="1" ht="33.75" customHeight="1" thickBot="1" x14ac:dyDescent="0.25">
      <c r="A19" s="134" t="s">
        <v>17</v>
      </c>
      <c r="B19" s="148"/>
      <c r="C19" s="247" t="s">
        <v>419</v>
      </c>
      <c r="D19" s="137">
        <f>SUM(D20:D25)</f>
        <v>88468</v>
      </c>
      <c r="E19" s="137">
        <f>SUM(E20:E25)</f>
        <v>91119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  <c r="R19" s="1876">
        <f t="shared" si="1"/>
        <v>0</v>
      </c>
      <c r="S19" s="248"/>
      <c r="T19" s="1885">
        <f t="shared" si="2"/>
        <v>0</v>
      </c>
      <c r="U19" s="248"/>
      <c r="V19" s="248">
        <f t="shared" si="0"/>
        <v>0</v>
      </c>
      <c r="W19" s="248"/>
      <c r="X19" s="1871">
        <f t="shared" si="0"/>
        <v>0</v>
      </c>
      <c r="Y19" s="2300">
        <f t="shared" si="0"/>
        <v>0</v>
      </c>
      <c r="Z19" s="1880">
        <f>SUM('5.4.a. sz mell'!F19)</f>
        <v>0</v>
      </c>
      <c r="AA19" s="2336"/>
      <c r="AB19" s="1885">
        <f>SUM('5.4.a. sz mell'!H19)</f>
        <v>0</v>
      </c>
      <c r="AC19" s="248"/>
      <c r="AD19" s="248">
        <f>SUM('5.4.a. sz mell'!J19)</f>
        <v>0</v>
      </c>
      <c r="AE19" s="248"/>
      <c r="AF19" s="1871">
        <f>SUM('5.4.a. sz mell'!L19)</f>
        <v>0</v>
      </c>
      <c r="AG19" s="2300">
        <f>SUM('5.4.a. sz mell'!M19)</f>
        <v>0</v>
      </c>
    </row>
    <row r="20" spans="1:33" s="145" customFormat="1" ht="30" x14ac:dyDescent="0.2">
      <c r="A20" s="142"/>
      <c r="B20" s="143" t="s">
        <v>5</v>
      </c>
      <c r="C20" s="251" t="s">
        <v>420</v>
      </c>
      <c r="D20" s="144">
        <v>88468</v>
      </c>
      <c r="E20" s="144">
        <v>91119</v>
      </c>
      <c r="F20" s="144"/>
      <c r="G20" s="1415"/>
      <c r="H20" s="144"/>
      <c r="I20" s="1376"/>
      <c r="J20" s="144"/>
      <c r="K20" s="1376"/>
      <c r="L20" s="144"/>
      <c r="M20" s="144"/>
      <c r="R20" s="1876">
        <f t="shared" si="1"/>
        <v>0</v>
      </c>
      <c r="S20" s="248"/>
      <c r="T20" s="1885">
        <f t="shared" si="2"/>
        <v>0</v>
      </c>
      <c r="U20" s="248"/>
      <c r="V20" s="248">
        <f t="shared" si="0"/>
        <v>0</v>
      </c>
      <c r="W20" s="248"/>
      <c r="X20" s="1871">
        <f t="shared" si="0"/>
        <v>0</v>
      </c>
      <c r="Y20" s="2300">
        <f t="shared" si="0"/>
        <v>0</v>
      </c>
      <c r="Z20" s="1880">
        <f>SUM('5.4.a. sz mell'!F20)</f>
        <v>0</v>
      </c>
      <c r="AA20" s="2336"/>
      <c r="AB20" s="1885">
        <f>SUM('5.4.a. sz mell'!H20)</f>
        <v>0</v>
      </c>
      <c r="AC20" s="248"/>
      <c r="AD20" s="248">
        <f>SUM('5.4.a. sz mell'!J20)</f>
        <v>0</v>
      </c>
      <c r="AE20" s="248"/>
      <c r="AF20" s="1871">
        <f>SUM('5.4.a. sz mell'!L20)</f>
        <v>0</v>
      </c>
      <c r="AG20" s="2300">
        <f>SUM('5.4.a. sz mell'!M20)</f>
        <v>0</v>
      </c>
    </row>
    <row r="21" spans="1:33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/>
      <c r="H21" s="144">
        <v>0</v>
      </c>
      <c r="I21" s="1376"/>
      <c r="J21" s="144">
        <v>0</v>
      </c>
      <c r="K21" s="1376"/>
      <c r="L21" s="144">
        <v>0</v>
      </c>
      <c r="M21" s="144">
        <v>0</v>
      </c>
      <c r="R21" s="1876">
        <f t="shared" si="1"/>
        <v>0</v>
      </c>
      <c r="S21" s="248"/>
      <c r="T21" s="1885">
        <f t="shared" si="2"/>
        <v>0</v>
      </c>
      <c r="U21" s="248"/>
      <c r="V21" s="248">
        <f t="shared" si="0"/>
        <v>0</v>
      </c>
      <c r="W21" s="248"/>
      <c r="X21" s="1871">
        <f t="shared" si="0"/>
        <v>0</v>
      </c>
      <c r="Y21" s="2300">
        <f t="shared" si="0"/>
        <v>0</v>
      </c>
      <c r="Z21" s="1880">
        <f>SUM('5.4.a. sz mell'!F21)</f>
        <v>0</v>
      </c>
      <c r="AA21" s="2336"/>
      <c r="AB21" s="1885">
        <f>SUM('5.4.a. sz mell'!H21)</f>
        <v>0</v>
      </c>
      <c r="AC21" s="248"/>
      <c r="AD21" s="248">
        <f>SUM('5.4.a. sz mell'!J21)</f>
        <v>0</v>
      </c>
      <c r="AE21" s="248"/>
      <c r="AF21" s="1871">
        <f>SUM('5.4.a. sz mell'!L21)</f>
        <v>0</v>
      </c>
      <c r="AG21" s="2300">
        <f>SUM('5.4.a. sz mell'!M21)</f>
        <v>0</v>
      </c>
    </row>
    <row r="22" spans="1:33" s="145" customFormat="1" ht="15" customHeight="1" x14ac:dyDescent="0.2">
      <c r="A22" s="142"/>
      <c r="B22" s="143" t="s">
        <v>360</v>
      </c>
      <c r="C22" s="55" t="s">
        <v>1437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  <c r="R22" s="1876">
        <f t="shared" si="1"/>
        <v>0</v>
      </c>
      <c r="S22" s="248"/>
      <c r="T22" s="1885">
        <f t="shared" si="2"/>
        <v>0</v>
      </c>
      <c r="U22" s="248"/>
      <c r="V22" s="248">
        <f t="shared" si="0"/>
        <v>0</v>
      </c>
      <c r="W22" s="248"/>
      <c r="X22" s="1871">
        <f t="shared" si="0"/>
        <v>0</v>
      </c>
      <c r="Y22" s="2300">
        <f t="shared" si="0"/>
        <v>0</v>
      </c>
      <c r="Z22" s="1880">
        <f>SUM('5.4.a. sz mell'!F22)</f>
        <v>0</v>
      </c>
      <c r="AA22" s="2336"/>
      <c r="AB22" s="1885">
        <f>SUM('5.4.a. sz mell'!H22)</f>
        <v>0</v>
      </c>
      <c r="AC22" s="248"/>
      <c r="AD22" s="248">
        <f>SUM('5.4.a. sz mell'!J22)</f>
        <v>0</v>
      </c>
      <c r="AE22" s="248"/>
      <c r="AF22" s="1871">
        <f>SUM('5.4.a. sz mell'!L22)</f>
        <v>0</v>
      </c>
      <c r="AG22" s="2300">
        <f>SUM('5.4.a. sz mell'!M22)</f>
        <v>0</v>
      </c>
    </row>
    <row r="23" spans="1:3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  <c r="R23" s="1876">
        <f t="shared" si="1"/>
        <v>0</v>
      </c>
      <c r="S23" s="248"/>
      <c r="T23" s="1885">
        <f t="shared" si="2"/>
        <v>0</v>
      </c>
      <c r="U23" s="248"/>
      <c r="V23" s="248">
        <f t="shared" si="0"/>
        <v>0</v>
      </c>
      <c r="W23" s="248"/>
      <c r="X23" s="1871">
        <f t="shared" si="0"/>
        <v>0</v>
      </c>
      <c r="Y23" s="2300">
        <f t="shared" si="0"/>
        <v>0</v>
      </c>
      <c r="Z23" s="1880">
        <f>SUM('5.4.a. sz mell'!F23)</f>
        <v>0</v>
      </c>
      <c r="AA23" s="2336"/>
      <c r="AB23" s="1885">
        <f>SUM('5.4.a. sz mell'!H23)</f>
        <v>0</v>
      </c>
      <c r="AC23" s="248"/>
      <c r="AD23" s="248">
        <f>SUM('5.4.a. sz mell'!J23)</f>
        <v>0</v>
      </c>
      <c r="AE23" s="248"/>
      <c r="AF23" s="1871">
        <f>SUM('5.4.a. sz mell'!L23)</f>
        <v>0</v>
      </c>
      <c r="AG23" s="2300">
        <f>SUM('5.4.a. sz mell'!M23)</f>
        <v>0</v>
      </c>
    </row>
    <row r="24" spans="1:3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  <c r="R24" s="1876">
        <f t="shared" si="1"/>
        <v>0</v>
      </c>
      <c r="S24" s="248"/>
      <c r="T24" s="1885">
        <f t="shared" si="2"/>
        <v>0</v>
      </c>
      <c r="U24" s="248"/>
      <c r="V24" s="248">
        <f t="shared" ref="V24:V62" si="3">SUM(J24-AD24)</f>
        <v>0</v>
      </c>
      <c r="W24" s="248"/>
      <c r="X24" s="1871">
        <f t="shared" ref="X24:X62" si="4">SUM(L24-AF24)</f>
        <v>0</v>
      </c>
      <c r="Y24" s="2300">
        <f t="shared" ref="Y24:Y62" si="5">SUM(M24-AG24)</f>
        <v>0</v>
      </c>
      <c r="Z24" s="1880">
        <f>SUM('5.4.a. sz mell'!F24)</f>
        <v>0</v>
      </c>
      <c r="AA24" s="2336"/>
      <c r="AB24" s="1885">
        <f>SUM('5.4.a. sz mell'!H24)</f>
        <v>0</v>
      </c>
      <c r="AC24" s="248"/>
      <c r="AD24" s="248">
        <f>SUM('5.4.a. sz mell'!J24)</f>
        <v>0</v>
      </c>
      <c r="AE24" s="248"/>
      <c r="AF24" s="1871">
        <f>SUM('5.4.a. sz mell'!L24)</f>
        <v>0</v>
      </c>
      <c r="AG24" s="2300">
        <f>SUM('5.4.a. sz mell'!M24)</f>
        <v>0</v>
      </c>
    </row>
    <row r="25" spans="1:3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  <c r="R25" s="1876">
        <f t="shared" si="1"/>
        <v>0</v>
      </c>
      <c r="S25" s="248"/>
      <c r="T25" s="1885">
        <f t="shared" si="2"/>
        <v>0</v>
      </c>
      <c r="U25" s="248"/>
      <c r="V25" s="248">
        <f t="shared" si="3"/>
        <v>0</v>
      </c>
      <c r="W25" s="248"/>
      <c r="X25" s="1871">
        <f t="shared" si="4"/>
        <v>0</v>
      </c>
      <c r="Y25" s="2300">
        <f t="shared" si="5"/>
        <v>0</v>
      </c>
      <c r="Z25" s="1880">
        <f>SUM('5.4.a. sz mell'!F25)</f>
        <v>0</v>
      </c>
      <c r="AA25" s="2336"/>
      <c r="AB25" s="1885">
        <f>SUM('5.4.a. sz mell'!H25)</f>
        <v>0</v>
      </c>
      <c r="AC25" s="248"/>
      <c r="AD25" s="248">
        <f>SUM('5.4.a. sz mell'!J25)</f>
        <v>0</v>
      </c>
      <c r="AE25" s="248"/>
      <c r="AF25" s="1871">
        <f>SUM('5.4.a. sz mell'!L25)</f>
        <v>0</v>
      </c>
      <c r="AG25" s="2300">
        <f>SUM('5.4.a. sz mell'!M25)</f>
        <v>0</v>
      </c>
    </row>
    <row r="26" spans="1:3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v>0</v>
      </c>
      <c r="G26" s="1381"/>
      <c r="H26" s="155">
        <v>0</v>
      </c>
      <c r="I26" s="1380"/>
      <c r="J26" s="155">
        <v>0</v>
      </c>
      <c r="K26" s="1380"/>
      <c r="L26" s="155">
        <v>0</v>
      </c>
      <c r="M26" s="155">
        <v>0</v>
      </c>
      <c r="R26" s="1876">
        <f t="shared" si="1"/>
        <v>0</v>
      </c>
      <c r="S26" s="248"/>
      <c r="T26" s="1885">
        <f t="shared" si="2"/>
        <v>0</v>
      </c>
      <c r="U26" s="248"/>
      <c r="V26" s="248">
        <f t="shared" si="3"/>
        <v>0</v>
      </c>
      <c r="W26" s="248"/>
      <c r="X26" s="1871">
        <f t="shared" si="4"/>
        <v>0</v>
      </c>
      <c r="Y26" s="2300">
        <f t="shared" si="5"/>
        <v>0</v>
      </c>
      <c r="Z26" s="1880">
        <f>SUM('5.4.a. sz mell'!F26)</f>
        <v>0</v>
      </c>
      <c r="AA26" s="2336"/>
      <c r="AB26" s="1885">
        <f>SUM('5.4.a. sz mell'!H26)</f>
        <v>0</v>
      </c>
      <c r="AC26" s="248"/>
      <c r="AD26" s="248">
        <f>SUM('5.4.a. sz mell'!J26)</f>
        <v>0</v>
      </c>
      <c r="AE26" s="248"/>
      <c r="AF26" s="1871">
        <f>SUM('5.4.a. sz mell'!L26)</f>
        <v>0</v>
      </c>
      <c r="AG26" s="2300">
        <f>SUM('5.4.a. sz mell'!M26)</f>
        <v>0</v>
      </c>
    </row>
    <row r="27" spans="1:33" s="145" customFormat="1" ht="1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252">
        <v>0</v>
      </c>
      <c r="G27" s="1509"/>
      <c r="H27" s="252">
        <v>0</v>
      </c>
      <c r="I27" s="1436"/>
      <c r="J27" s="252">
        <v>0</v>
      </c>
      <c r="K27" s="1436"/>
      <c r="L27" s="252">
        <v>0</v>
      </c>
      <c r="M27" s="252">
        <v>0</v>
      </c>
      <c r="R27" s="1876">
        <f t="shared" si="1"/>
        <v>0</v>
      </c>
      <c r="S27" s="248"/>
      <c r="T27" s="1885">
        <f t="shared" si="2"/>
        <v>0</v>
      </c>
      <c r="U27" s="248"/>
      <c r="V27" s="248">
        <f t="shared" si="3"/>
        <v>0</v>
      </c>
      <c r="W27" s="248"/>
      <c r="X27" s="1871">
        <f t="shared" si="4"/>
        <v>0</v>
      </c>
      <c r="Y27" s="2300">
        <f t="shared" si="5"/>
        <v>0</v>
      </c>
      <c r="Z27" s="1880">
        <f>SUM('5.4.a. sz mell'!F27)</f>
        <v>0</v>
      </c>
      <c r="AA27" s="2336"/>
      <c r="AB27" s="1885">
        <f>SUM('5.4.a. sz mell'!H27)</f>
        <v>0</v>
      </c>
      <c r="AC27" s="248"/>
      <c r="AD27" s="248">
        <f>SUM('5.4.a. sz mell'!J27)</f>
        <v>0</v>
      </c>
      <c r="AE27" s="248"/>
      <c r="AF27" s="1871">
        <f>SUM('5.4.a. sz mell'!L27)</f>
        <v>0</v>
      </c>
      <c r="AG27" s="2300">
        <f>SUM('5.4.a. sz mell'!M27)</f>
        <v>0</v>
      </c>
    </row>
    <row r="28" spans="1:33" s="141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1381"/>
      <c r="H28" s="155">
        <f>SUM(H29:H31)</f>
        <v>0</v>
      </c>
      <c r="I28" s="1380"/>
      <c r="J28" s="155">
        <f>SUM(J29:J31)</f>
        <v>0</v>
      </c>
      <c r="K28" s="1380"/>
      <c r="L28" s="155">
        <f>SUM(L29:L31)</f>
        <v>0</v>
      </c>
      <c r="M28" s="155">
        <f>SUM(M29:M31)</f>
        <v>0</v>
      </c>
      <c r="R28" s="1876">
        <f t="shared" si="1"/>
        <v>0</v>
      </c>
      <c r="S28" s="248"/>
      <c r="T28" s="1885">
        <f t="shared" si="2"/>
        <v>0</v>
      </c>
      <c r="U28" s="248"/>
      <c r="V28" s="248">
        <f t="shared" si="3"/>
        <v>0</v>
      </c>
      <c r="W28" s="248"/>
      <c r="X28" s="1871">
        <f t="shared" si="4"/>
        <v>0</v>
      </c>
      <c r="Y28" s="2300">
        <f t="shared" si="5"/>
        <v>0</v>
      </c>
      <c r="Z28" s="1880">
        <f>SUM('5.4.a. sz mell'!F28)</f>
        <v>0</v>
      </c>
      <c r="AA28" s="2336"/>
      <c r="AB28" s="1885">
        <f>SUM('5.4.a. sz mell'!H28)</f>
        <v>0</v>
      </c>
      <c r="AC28" s="248"/>
      <c r="AD28" s="248">
        <f>SUM('5.4.a. sz mell'!J28)</f>
        <v>0</v>
      </c>
      <c r="AE28" s="248"/>
      <c r="AF28" s="1871">
        <f>SUM('5.4.a. sz mell'!L28)</f>
        <v>0</v>
      </c>
      <c r="AG28" s="2300">
        <f>SUM('5.4.a. sz mell'!M28)</f>
        <v>0</v>
      </c>
    </row>
    <row r="29" spans="1:33" s="141" customFormat="1" ht="15" customHeight="1" thickBot="1" x14ac:dyDescent="0.25">
      <c r="A29" s="149"/>
      <c r="B29" s="253" t="s">
        <v>33</v>
      </c>
      <c r="C29" s="55" t="s">
        <v>359</v>
      </c>
      <c r="D29" s="295"/>
      <c r="E29" s="295"/>
      <c r="F29" s="144">
        <v>0</v>
      </c>
      <c r="G29" s="1415"/>
      <c r="H29" s="144">
        <v>0</v>
      </c>
      <c r="I29" s="1376"/>
      <c r="J29" s="144">
        <v>0</v>
      </c>
      <c r="K29" s="1376"/>
      <c r="L29" s="144">
        <v>0</v>
      </c>
      <c r="M29" s="144">
        <v>0</v>
      </c>
      <c r="R29" s="1876">
        <f t="shared" si="1"/>
        <v>0</v>
      </c>
      <c r="S29" s="248"/>
      <c r="T29" s="1885">
        <f t="shared" si="2"/>
        <v>0</v>
      </c>
      <c r="U29" s="248"/>
      <c r="V29" s="248">
        <f t="shared" si="3"/>
        <v>0</v>
      </c>
      <c r="W29" s="248"/>
      <c r="X29" s="1871">
        <f t="shared" si="4"/>
        <v>0</v>
      </c>
      <c r="Y29" s="2300">
        <f t="shared" si="5"/>
        <v>0</v>
      </c>
      <c r="Z29" s="1880">
        <f>SUM('5.4.a. sz mell'!F29)</f>
        <v>0</v>
      </c>
      <c r="AA29" s="2336"/>
      <c r="AB29" s="1885">
        <f>SUM('5.4.a. sz mell'!H29)</f>
        <v>0</v>
      </c>
      <c r="AC29" s="248"/>
      <c r="AD29" s="248">
        <f>SUM('5.4.a. sz mell'!J29)</f>
        <v>0</v>
      </c>
      <c r="AE29" s="248"/>
      <c r="AF29" s="1871">
        <f>SUM('5.4.a. sz mell'!L29)</f>
        <v>0</v>
      </c>
      <c r="AG29" s="2300">
        <f>SUM('5.4.a. sz mell'!M29)</f>
        <v>0</v>
      </c>
    </row>
    <row r="30" spans="1:33" s="141" customFormat="1" ht="15" customHeight="1" thickBot="1" x14ac:dyDescent="0.25">
      <c r="A30" s="146"/>
      <c r="B30" s="253" t="s">
        <v>39</v>
      </c>
      <c r="C30" s="55" t="s">
        <v>72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  <c r="R30" s="1876">
        <f t="shared" si="1"/>
        <v>0</v>
      </c>
      <c r="S30" s="248"/>
      <c r="T30" s="1885">
        <f t="shared" si="2"/>
        <v>0</v>
      </c>
      <c r="U30" s="248"/>
      <c r="V30" s="248">
        <f t="shared" si="3"/>
        <v>0</v>
      </c>
      <c r="W30" s="248"/>
      <c r="X30" s="1871">
        <f t="shared" si="4"/>
        <v>0</v>
      </c>
      <c r="Y30" s="2300">
        <f t="shared" si="5"/>
        <v>0</v>
      </c>
      <c r="Z30" s="1880">
        <f>SUM('5.4.a. sz mell'!F30)</f>
        <v>0</v>
      </c>
      <c r="AA30" s="2336"/>
      <c r="AB30" s="1885">
        <f>SUM('5.4.a. sz mell'!H30)</f>
        <v>0</v>
      </c>
      <c r="AC30" s="248"/>
      <c r="AD30" s="248">
        <f>SUM('5.4.a. sz mell'!J30)</f>
        <v>0</v>
      </c>
      <c r="AE30" s="248"/>
      <c r="AF30" s="1871">
        <f>SUM('5.4.a. sz mell'!L30)</f>
        <v>0</v>
      </c>
      <c r="AG30" s="2300">
        <f>SUM('5.4.a. sz mell'!M30)</f>
        <v>0</v>
      </c>
    </row>
    <row r="31" spans="1:33" s="141" customFormat="1" ht="15" customHeight="1" thickBot="1" x14ac:dyDescent="0.25">
      <c r="A31" s="178"/>
      <c r="B31" s="253" t="s">
        <v>41</v>
      </c>
      <c r="C31" s="55" t="s">
        <v>74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  <c r="R31" s="1876">
        <f t="shared" si="1"/>
        <v>0</v>
      </c>
      <c r="S31" s="248"/>
      <c r="T31" s="1885">
        <f t="shared" si="2"/>
        <v>0</v>
      </c>
      <c r="U31" s="248"/>
      <c r="V31" s="248">
        <f t="shared" si="3"/>
        <v>0</v>
      </c>
      <c r="W31" s="248"/>
      <c r="X31" s="1871">
        <f t="shared" si="4"/>
        <v>0</v>
      </c>
      <c r="Y31" s="2300">
        <f t="shared" si="5"/>
        <v>0</v>
      </c>
      <c r="Z31" s="1880">
        <f>SUM('5.4.a. sz mell'!F31)</f>
        <v>0</v>
      </c>
      <c r="AA31" s="2336"/>
      <c r="AB31" s="1885">
        <f>SUM('5.4.a. sz mell'!H31)</f>
        <v>0</v>
      </c>
      <c r="AC31" s="248"/>
      <c r="AD31" s="248">
        <f>SUM('5.4.a. sz mell'!J31)</f>
        <v>0</v>
      </c>
      <c r="AE31" s="248"/>
      <c r="AF31" s="1871">
        <f>SUM('5.4.a. sz mell'!L31)</f>
        <v>0</v>
      </c>
      <c r="AG31" s="2300">
        <f>SUM('5.4.a. sz mell'!M31)</f>
        <v>0</v>
      </c>
    </row>
    <row r="32" spans="1:33" s="141" customFormat="1" ht="29.25" thickBot="1" x14ac:dyDescent="0.25">
      <c r="A32" s="134" t="s">
        <v>67</v>
      </c>
      <c r="B32" s="254"/>
      <c r="C32" s="170" t="s">
        <v>429</v>
      </c>
      <c r="D32" s="295"/>
      <c r="E32" s="295"/>
      <c r="F32" s="295">
        <f>SUM(F33:F33)</f>
        <v>0</v>
      </c>
      <c r="G32" s="1381"/>
      <c r="H32" s="295">
        <f>SUM(H33:H33)</f>
        <v>0</v>
      </c>
      <c r="I32" s="1381"/>
      <c r="J32" s="295">
        <f>SUM(J33:J33)</f>
        <v>0</v>
      </c>
      <c r="K32" s="1381"/>
      <c r="L32" s="295">
        <f>SUM(L33:L33)</f>
        <v>0</v>
      </c>
      <c r="M32" s="295">
        <f>SUM(M33:M33)</f>
        <v>0</v>
      </c>
      <c r="R32" s="1876">
        <f t="shared" si="1"/>
        <v>0</v>
      </c>
      <c r="S32" s="248"/>
      <c r="T32" s="1885">
        <f t="shared" si="2"/>
        <v>0</v>
      </c>
      <c r="U32" s="248"/>
      <c r="V32" s="248">
        <f t="shared" si="3"/>
        <v>0</v>
      </c>
      <c r="W32" s="248"/>
      <c r="X32" s="1871">
        <f t="shared" si="4"/>
        <v>0</v>
      </c>
      <c r="Y32" s="2300">
        <f t="shared" si="5"/>
        <v>0</v>
      </c>
      <c r="Z32" s="1880">
        <f>SUM('5.4.a. sz mell'!F32)</f>
        <v>0</v>
      </c>
      <c r="AA32" s="2336"/>
      <c r="AB32" s="1885">
        <f>SUM('5.4.a. sz mell'!H32)</f>
        <v>0</v>
      </c>
      <c r="AC32" s="248"/>
      <c r="AD32" s="248">
        <f>SUM('5.4.a. sz mell'!J32)</f>
        <v>0</v>
      </c>
      <c r="AE32" s="248"/>
      <c r="AF32" s="1871">
        <f>SUM('5.4.a. sz mell'!L32)</f>
        <v>0</v>
      </c>
      <c r="AG32" s="2300">
        <f>SUM('5.4.a. sz mell'!M32)</f>
        <v>0</v>
      </c>
    </row>
    <row r="33" spans="1:33" s="141" customFormat="1" ht="30.75" thickBot="1" x14ac:dyDescent="0.25">
      <c r="A33" s="146"/>
      <c r="B33" s="255" t="s">
        <v>47</v>
      </c>
      <c r="C33" s="251" t="s">
        <v>430</v>
      </c>
      <c r="D33" s="295"/>
      <c r="E33" s="295"/>
      <c r="F33" s="144">
        <v>0</v>
      </c>
      <c r="G33" s="1415"/>
      <c r="H33" s="144"/>
      <c r="I33" s="1376"/>
      <c r="J33" s="144"/>
      <c r="K33" s="1376"/>
      <c r="L33" s="144"/>
      <c r="M33" s="144"/>
      <c r="R33" s="1876">
        <f t="shared" si="1"/>
        <v>0</v>
      </c>
      <c r="S33" s="248"/>
      <c r="T33" s="1885">
        <f t="shared" si="2"/>
        <v>0</v>
      </c>
      <c r="U33" s="248"/>
      <c r="V33" s="248">
        <f t="shared" si="3"/>
        <v>0</v>
      </c>
      <c r="W33" s="248"/>
      <c r="X33" s="1871">
        <f t="shared" si="4"/>
        <v>0</v>
      </c>
      <c r="Y33" s="2300">
        <f t="shared" si="5"/>
        <v>0</v>
      </c>
      <c r="Z33" s="1880">
        <f>SUM('5.4.a. sz mell'!F33)</f>
        <v>0</v>
      </c>
      <c r="AA33" s="2336"/>
      <c r="AB33" s="1885">
        <f>SUM('5.4.a. sz mell'!H33)</f>
        <v>0</v>
      </c>
      <c r="AC33" s="248"/>
      <c r="AD33" s="248">
        <f>SUM('5.4.a. sz mell'!J33)</f>
        <v>0</v>
      </c>
      <c r="AE33" s="248"/>
      <c r="AF33" s="1871">
        <f>SUM('5.4.a. sz mell'!L33)</f>
        <v>0</v>
      </c>
      <c r="AG33" s="2300">
        <f>SUM('5.4.a. sz mell'!M33)</f>
        <v>0</v>
      </c>
    </row>
    <row r="34" spans="1:33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>
        <f>SUM(F35)</f>
        <v>0</v>
      </c>
      <c r="G34" s="1381"/>
      <c r="H34" s="295">
        <f>SUM(H35)</f>
        <v>0</v>
      </c>
      <c r="I34" s="1381"/>
      <c r="J34" s="295">
        <f>SUM(J35)</f>
        <v>0</v>
      </c>
      <c r="K34" s="1381"/>
      <c r="L34" s="295">
        <f>SUM(L35)</f>
        <v>0</v>
      </c>
      <c r="M34" s="295">
        <f>SUM(M35)</f>
        <v>0</v>
      </c>
      <c r="R34" s="1876">
        <f t="shared" si="1"/>
        <v>0</v>
      </c>
      <c r="S34" s="248"/>
      <c r="T34" s="1885">
        <f t="shared" si="2"/>
        <v>0</v>
      </c>
      <c r="U34" s="248"/>
      <c r="V34" s="248">
        <f t="shared" si="3"/>
        <v>0</v>
      </c>
      <c r="W34" s="248"/>
      <c r="X34" s="1871">
        <f t="shared" si="4"/>
        <v>0</v>
      </c>
      <c r="Y34" s="2300">
        <f t="shared" si="5"/>
        <v>0</v>
      </c>
      <c r="Z34" s="1880">
        <f>SUM('5.4.a. sz mell'!F34)</f>
        <v>0</v>
      </c>
      <c r="AA34" s="2336"/>
      <c r="AB34" s="1885">
        <f>SUM('5.4.a. sz mell'!H34)</f>
        <v>0</v>
      </c>
      <c r="AC34" s="248"/>
      <c r="AD34" s="248">
        <f>SUM('5.4.a. sz mell'!J34)</f>
        <v>0</v>
      </c>
      <c r="AE34" s="248"/>
      <c r="AF34" s="1871">
        <f>SUM('5.4.a. sz mell'!L34)</f>
        <v>0</v>
      </c>
      <c r="AG34" s="2300">
        <f>SUM('5.4.a. sz mell'!M34)</f>
        <v>0</v>
      </c>
    </row>
    <row r="35" spans="1:33" s="141" customFormat="1" ht="30.75" thickBot="1" x14ac:dyDescent="0.25">
      <c r="A35" s="258"/>
      <c r="B35" s="257" t="s">
        <v>69</v>
      </c>
      <c r="C35" s="55" t="s">
        <v>432</v>
      </c>
      <c r="D35" s="295"/>
      <c r="E35" s="295"/>
      <c r="F35" s="295">
        <v>0</v>
      </c>
      <c r="G35" s="1381"/>
      <c r="H35" s="295"/>
      <c r="I35" s="1381"/>
      <c r="J35" s="295"/>
      <c r="K35" s="1381"/>
      <c r="L35" s="295"/>
      <c r="M35" s="295"/>
      <c r="R35" s="1876">
        <f t="shared" si="1"/>
        <v>0</v>
      </c>
      <c r="S35" s="248"/>
      <c r="T35" s="1885">
        <f t="shared" si="2"/>
        <v>0</v>
      </c>
      <c r="U35" s="248"/>
      <c r="V35" s="248">
        <f t="shared" si="3"/>
        <v>0</v>
      </c>
      <c r="W35" s="248"/>
      <c r="X35" s="1871">
        <f t="shared" si="4"/>
        <v>0</v>
      </c>
      <c r="Y35" s="2300">
        <f t="shared" si="5"/>
        <v>0</v>
      </c>
      <c r="Z35" s="1880">
        <f>SUM('5.4.a. sz mell'!F35)</f>
        <v>0</v>
      </c>
      <c r="AA35" s="2336"/>
      <c r="AB35" s="1885">
        <f>SUM('5.4.a. sz mell'!H35)</f>
        <v>0</v>
      </c>
      <c r="AC35" s="248"/>
      <c r="AD35" s="248">
        <f>SUM('5.4.a. sz mell'!J35)</f>
        <v>0</v>
      </c>
      <c r="AE35" s="248"/>
      <c r="AF35" s="1871">
        <f>SUM('5.4.a. sz mell'!L35)</f>
        <v>0</v>
      </c>
      <c r="AG35" s="2300">
        <f>SUM('5.4.a. sz mell'!M35)</f>
        <v>0</v>
      </c>
    </row>
    <row r="36" spans="1:33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120</v>
      </c>
      <c r="F36" s="285">
        <f>SUM(F37:F39)</f>
        <v>136178135</v>
      </c>
      <c r="G36" s="1382">
        <f t="shared" ref="G36:K61" si="6">SUM(H36-F36)</f>
        <v>2126883</v>
      </c>
      <c r="H36" s="285">
        <f>SUM(H37:H39)</f>
        <v>138305018</v>
      </c>
      <c r="I36" s="1382">
        <f t="shared" si="6"/>
        <v>1295737</v>
      </c>
      <c r="J36" s="285">
        <f>SUM(J37:J39)</f>
        <v>139600755</v>
      </c>
      <c r="K36" s="1382">
        <f t="shared" si="6"/>
        <v>0</v>
      </c>
      <c r="L36" s="285">
        <f>SUM(L37:L39)</f>
        <v>139600755</v>
      </c>
      <c r="M36" s="285">
        <f>SUM(M37:M39)</f>
        <v>139600755</v>
      </c>
      <c r="R36" s="1876">
        <f t="shared" si="1"/>
        <v>0</v>
      </c>
      <c r="S36" s="248"/>
      <c r="T36" s="1885">
        <f t="shared" si="2"/>
        <v>0</v>
      </c>
      <c r="U36" s="248"/>
      <c r="V36" s="248">
        <f t="shared" si="3"/>
        <v>0</v>
      </c>
      <c r="W36" s="248"/>
      <c r="X36" s="1871">
        <f t="shared" si="4"/>
        <v>0</v>
      </c>
      <c r="Y36" s="2300">
        <f t="shared" si="5"/>
        <v>0</v>
      </c>
      <c r="Z36" s="1880">
        <f>SUM('5.4.a. sz mell'!F36)</f>
        <v>136178135</v>
      </c>
      <c r="AA36" s="2336"/>
      <c r="AB36" s="1885">
        <f>SUM('5.4.a. sz mell'!H36)</f>
        <v>138305018</v>
      </c>
      <c r="AC36" s="248"/>
      <c r="AD36" s="248">
        <f>SUM('5.4.a. sz mell'!J36)</f>
        <v>139600755</v>
      </c>
      <c r="AE36" s="248"/>
      <c r="AF36" s="1871">
        <f>SUM('5.4.a. sz mell'!L36)</f>
        <v>139600755</v>
      </c>
      <c r="AG36" s="2300">
        <f>SUM('5.4.a. sz mell'!M36)</f>
        <v>139600755</v>
      </c>
    </row>
    <row r="37" spans="1:33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306">
        <v>120</v>
      </c>
      <c r="F37" s="144">
        <v>0</v>
      </c>
      <c r="G37" s="1415">
        <f t="shared" si="6"/>
        <v>643020</v>
      </c>
      <c r="H37" s="144">
        <v>643020</v>
      </c>
      <c r="I37" s="1376">
        <f t="shared" si="6"/>
        <v>0</v>
      </c>
      <c r="J37" s="144">
        <v>643020</v>
      </c>
      <c r="K37" s="1376">
        <f t="shared" si="6"/>
        <v>0</v>
      </c>
      <c r="L37" s="144">
        <v>643020</v>
      </c>
      <c r="M37" s="144">
        <v>643020</v>
      </c>
      <c r="R37" s="1876">
        <f t="shared" si="1"/>
        <v>0</v>
      </c>
      <c r="S37" s="248"/>
      <c r="T37" s="1885">
        <f t="shared" si="2"/>
        <v>0</v>
      </c>
      <c r="U37" s="248"/>
      <c r="V37" s="248">
        <f t="shared" si="3"/>
        <v>0</v>
      </c>
      <c r="W37" s="248"/>
      <c r="X37" s="1871">
        <f t="shared" si="4"/>
        <v>0</v>
      </c>
      <c r="Y37" s="2300">
        <f t="shared" si="5"/>
        <v>0</v>
      </c>
      <c r="Z37" s="1880">
        <f>SUM('5.4.a. sz mell'!F37)</f>
        <v>0</v>
      </c>
      <c r="AA37" s="2336"/>
      <c r="AB37" s="1885">
        <f>SUM('5.4.a. sz mell'!H37)</f>
        <v>643020</v>
      </c>
      <c r="AC37" s="248"/>
      <c r="AD37" s="248">
        <f>SUM('5.4.a. sz mell'!J37)</f>
        <v>643020</v>
      </c>
      <c r="AE37" s="248"/>
      <c r="AF37" s="1871">
        <f>SUM('5.4.a. sz mell'!L37)</f>
        <v>643020</v>
      </c>
      <c r="AG37" s="2300">
        <f>SUM('5.4.a. sz mell'!M37)</f>
        <v>643020</v>
      </c>
    </row>
    <row r="38" spans="1:33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294">
        <v>0</v>
      </c>
      <c r="F38" s="144">
        <v>0</v>
      </c>
      <c r="G38" s="1415">
        <f t="shared" si="6"/>
        <v>0</v>
      </c>
      <c r="H38" s="144">
        <v>0</v>
      </c>
      <c r="I38" s="1376">
        <f t="shared" si="6"/>
        <v>0</v>
      </c>
      <c r="J38" s="144"/>
      <c r="K38" s="1376">
        <f t="shared" si="6"/>
        <v>0</v>
      </c>
      <c r="L38" s="144"/>
      <c r="M38" s="144">
        <v>0</v>
      </c>
      <c r="R38" s="1876">
        <f t="shared" si="1"/>
        <v>0</v>
      </c>
      <c r="S38" s="248"/>
      <c r="T38" s="1885">
        <f t="shared" si="2"/>
        <v>0</v>
      </c>
      <c r="U38" s="248"/>
      <c r="V38" s="248">
        <f t="shared" si="3"/>
        <v>0</v>
      </c>
      <c r="W38" s="248"/>
      <c r="X38" s="1871">
        <f t="shared" si="4"/>
        <v>0</v>
      </c>
      <c r="Y38" s="2300">
        <f t="shared" si="5"/>
        <v>0</v>
      </c>
      <c r="Z38" s="1880">
        <f>SUM('5.4.a. sz mell'!F38)</f>
        <v>0</v>
      </c>
      <c r="AA38" s="2336"/>
      <c r="AB38" s="1885">
        <f>SUM('5.4.a. sz mell'!H38)</f>
        <v>0</v>
      </c>
      <c r="AC38" s="248"/>
      <c r="AD38" s="248">
        <f>SUM('5.4.a. sz mell'!J38)</f>
        <v>0</v>
      </c>
      <c r="AE38" s="248"/>
      <c r="AF38" s="1871">
        <f>SUM('5.4.a. sz mell'!L38)</f>
        <v>0</v>
      </c>
      <c r="AG38" s="2300">
        <f>SUM('5.4.a. sz mell'!M38)</f>
        <v>0</v>
      </c>
    </row>
    <row r="39" spans="1:33" s="145" customFormat="1" ht="15" customHeight="1" thickBot="1" x14ac:dyDescent="0.25">
      <c r="A39" s="142"/>
      <c r="B39" s="253" t="s">
        <v>85</v>
      </c>
      <c r="C39" s="55" t="s">
        <v>1433</v>
      </c>
      <c r="D39" s="155">
        <v>3980</v>
      </c>
      <c r="E39" s="155">
        <v>7945</v>
      </c>
      <c r="F39" s="144">
        <f>SUM(F40:F41)</f>
        <v>136178135</v>
      </c>
      <c r="G39" s="1415">
        <f t="shared" si="6"/>
        <v>1483863</v>
      </c>
      <c r="H39" s="144">
        <f>SUM(H40:H41)</f>
        <v>137661998</v>
      </c>
      <c r="I39" s="1376">
        <f t="shared" si="6"/>
        <v>1295737</v>
      </c>
      <c r="J39" s="144">
        <f>SUM(J40:J41)</f>
        <v>138957735</v>
      </c>
      <c r="K39" s="1376">
        <f t="shared" si="6"/>
        <v>0</v>
      </c>
      <c r="L39" s="144">
        <f>SUM(L40:L41)</f>
        <v>138957735</v>
      </c>
      <c r="M39" s="144">
        <f>SUM(M40:M41)</f>
        <v>138957735</v>
      </c>
      <c r="O39" s="205"/>
      <c r="P39" s="205">
        <v>0</v>
      </c>
      <c r="R39" s="1876">
        <f t="shared" si="1"/>
        <v>0</v>
      </c>
      <c r="S39" s="248"/>
      <c r="T39" s="1885">
        <f t="shared" si="2"/>
        <v>0</v>
      </c>
      <c r="U39" s="248"/>
      <c r="V39" s="248">
        <f t="shared" si="3"/>
        <v>0</v>
      </c>
      <c r="W39" s="248"/>
      <c r="X39" s="1871">
        <f t="shared" si="4"/>
        <v>0</v>
      </c>
      <c r="Y39" s="2300">
        <f t="shared" si="5"/>
        <v>0</v>
      </c>
      <c r="Z39" s="1880">
        <f>SUM('5.4.a. sz mell'!F39)</f>
        <v>136178135</v>
      </c>
      <c r="AA39" s="2336"/>
      <c r="AB39" s="1885">
        <f>SUM('5.4.a. sz mell'!H39)</f>
        <v>137661998</v>
      </c>
      <c r="AC39" s="248"/>
      <c r="AD39" s="248">
        <f>SUM('5.4.a. sz mell'!J39)</f>
        <v>138957735</v>
      </c>
      <c r="AE39" s="248"/>
      <c r="AF39" s="1871">
        <f>SUM('5.4.a. sz mell'!L39)</f>
        <v>138957735</v>
      </c>
      <c r="AG39" s="2300">
        <f>SUM('5.4.a. sz mell'!M39)</f>
        <v>138957735</v>
      </c>
    </row>
    <row r="40" spans="1:33" s="145" customFormat="1" ht="15" customHeight="1" x14ac:dyDescent="0.2">
      <c r="A40" s="142"/>
      <c r="B40" s="260" t="s">
        <v>437</v>
      </c>
      <c r="C40" s="261" t="s">
        <v>438</v>
      </c>
      <c r="D40" s="316"/>
      <c r="E40" s="316"/>
      <c r="F40" s="302">
        <v>128477267</v>
      </c>
      <c r="G40" s="1534">
        <f t="shared" si="6"/>
        <v>123058</v>
      </c>
      <c r="H40" s="302">
        <v>128600325</v>
      </c>
      <c r="I40" s="1492">
        <f t="shared" si="6"/>
        <v>2187868</v>
      </c>
      <c r="J40" s="302">
        <v>130788193</v>
      </c>
      <c r="K40" s="1492">
        <f t="shared" si="6"/>
        <v>0</v>
      </c>
      <c r="L40" s="302">
        <v>130788193</v>
      </c>
      <c r="M40" s="302">
        <v>130788193</v>
      </c>
      <c r="O40" s="205"/>
      <c r="P40" s="205"/>
      <c r="R40" s="1876">
        <f t="shared" si="1"/>
        <v>0</v>
      </c>
      <c r="S40" s="248"/>
      <c r="T40" s="1885">
        <f t="shared" si="2"/>
        <v>0</v>
      </c>
      <c r="U40" s="248"/>
      <c r="V40" s="248">
        <f t="shared" si="3"/>
        <v>0</v>
      </c>
      <c r="W40" s="248"/>
      <c r="X40" s="1871">
        <f t="shared" si="4"/>
        <v>0</v>
      </c>
      <c r="Y40" s="2300">
        <f t="shared" si="5"/>
        <v>0</v>
      </c>
      <c r="Z40" s="1880">
        <f>SUM('5.4.a. sz mell'!F40)</f>
        <v>128477267</v>
      </c>
      <c r="AA40" s="2336"/>
      <c r="AB40" s="1885">
        <f>SUM('5.4.a. sz mell'!H40)</f>
        <v>128600325</v>
      </c>
      <c r="AC40" s="248"/>
      <c r="AD40" s="248">
        <f>SUM('5.4.a. sz mell'!J40)</f>
        <v>130788193</v>
      </c>
      <c r="AE40" s="248"/>
      <c r="AF40" s="1871">
        <f>SUM('5.4.a. sz mell'!L40)</f>
        <v>130788193</v>
      </c>
      <c r="AG40" s="2300">
        <f>SUM('5.4.a. sz mell'!M40)</f>
        <v>130788193</v>
      </c>
    </row>
    <row r="41" spans="1:33" s="145" customFormat="1" ht="15" customHeight="1" thickBot="1" x14ac:dyDescent="0.25">
      <c r="A41" s="178"/>
      <c r="B41" s="263" t="s">
        <v>439</v>
      </c>
      <c r="C41" s="264" t="s">
        <v>440</v>
      </c>
      <c r="D41" s="317"/>
      <c r="E41" s="317"/>
      <c r="F41" s="181">
        <v>7700868</v>
      </c>
      <c r="G41" s="1534">
        <f t="shared" si="6"/>
        <v>1360805</v>
      </c>
      <c r="H41" s="181">
        <v>9061673</v>
      </c>
      <c r="I41" s="1492">
        <f t="shared" si="6"/>
        <v>-892131</v>
      </c>
      <c r="J41" s="181">
        <v>8169542</v>
      </c>
      <c r="K41" s="1492">
        <f t="shared" si="6"/>
        <v>0</v>
      </c>
      <c r="L41" s="181">
        <v>8169542</v>
      </c>
      <c r="M41" s="181">
        <v>8169542</v>
      </c>
      <c r="N41" s="205">
        <f>SUM(F59-F39)</f>
        <v>0</v>
      </c>
      <c r="O41" s="205"/>
      <c r="P41" s="205">
        <f>SUM(P39-M39)</f>
        <v>-138957735</v>
      </c>
      <c r="R41" s="1876">
        <f t="shared" si="1"/>
        <v>0</v>
      </c>
      <c r="S41" s="248"/>
      <c r="T41" s="1885">
        <f t="shared" si="2"/>
        <v>0</v>
      </c>
      <c r="U41" s="248"/>
      <c r="V41" s="248">
        <f t="shared" si="3"/>
        <v>0</v>
      </c>
      <c r="W41" s="248"/>
      <c r="X41" s="1871">
        <f t="shared" si="4"/>
        <v>0</v>
      </c>
      <c r="Y41" s="2300">
        <f t="shared" si="5"/>
        <v>0</v>
      </c>
      <c r="Z41" s="1880">
        <f>SUM('5.4.a. sz mell'!F41)</f>
        <v>7700868</v>
      </c>
      <c r="AA41" s="2336"/>
      <c r="AB41" s="1885">
        <f>SUM('5.4.a. sz mell'!H41)</f>
        <v>9061673</v>
      </c>
      <c r="AC41" s="248"/>
      <c r="AD41" s="248">
        <f>SUM('5.4.a. sz mell'!J41)</f>
        <v>8169542</v>
      </c>
      <c r="AE41" s="248"/>
      <c r="AF41" s="1871">
        <f>SUM('5.4.a. sz mell'!L41)</f>
        <v>8169542</v>
      </c>
      <c r="AG41" s="2300">
        <f>SUM('5.4.a. sz mell'!M41)</f>
        <v>8169542</v>
      </c>
    </row>
    <row r="42" spans="1:33" s="145" customFormat="1" ht="12.75" hidden="1" customHeight="1" x14ac:dyDescent="0.25">
      <c r="A42" s="258"/>
      <c r="B42" s="256"/>
      <c r="C42" s="170" t="s">
        <v>458</v>
      </c>
      <c r="D42" s="155"/>
      <c r="E42" s="155"/>
      <c r="F42" s="155"/>
      <c r="G42" s="1415">
        <f t="shared" si="6"/>
        <v>0</v>
      </c>
      <c r="H42" s="155"/>
      <c r="I42" s="1376">
        <f t="shared" si="6"/>
        <v>0</v>
      </c>
      <c r="J42" s="155"/>
      <c r="K42" s="1376">
        <f t="shared" si="6"/>
        <v>0</v>
      </c>
      <c r="L42" s="155"/>
      <c r="M42" s="155"/>
      <c r="O42" s="205"/>
      <c r="P42" s="205"/>
      <c r="R42" s="1876">
        <f t="shared" si="1"/>
        <v>0</v>
      </c>
      <c r="S42" s="248"/>
      <c r="T42" s="1885">
        <f t="shared" si="2"/>
        <v>0</v>
      </c>
      <c r="U42" s="248"/>
      <c r="V42" s="248">
        <f t="shared" si="3"/>
        <v>0</v>
      </c>
      <c r="W42" s="248"/>
      <c r="X42" s="1871">
        <f t="shared" si="4"/>
        <v>0</v>
      </c>
      <c r="Y42" s="2300">
        <f t="shared" si="5"/>
        <v>0</v>
      </c>
      <c r="Z42" s="1880">
        <f>SUM('5.4.a. sz mell'!F42)</f>
        <v>0</v>
      </c>
      <c r="AA42" s="2336"/>
      <c r="AB42" s="1885">
        <f>SUM('5.4.a. sz mell'!H42)</f>
        <v>0</v>
      </c>
      <c r="AC42" s="248"/>
      <c r="AD42" s="248">
        <f>SUM('5.4.a. sz mell'!J42)</f>
        <v>0</v>
      </c>
      <c r="AE42" s="248"/>
      <c r="AF42" s="1871">
        <f>SUM('5.4.a. sz mell'!L42)</f>
        <v>0</v>
      </c>
      <c r="AG42" s="2300">
        <f>SUM('5.4.a. sz mell'!M42)</f>
        <v>0</v>
      </c>
    </row>
    <row r="43" spans="1:33" s="145" customFormat="1" ht="15" customHeight="1" thickBot="1" x14ac:dyDescent="0.25">
      <c r="A43" s="192" t="s">
        <v>99</v>
      </c>
      <c r="B43" s="160"/>
      <c r="C43" s="274" t="s">
        <v>441</v>
      </c>
      <c r="D43" s="162">
        <f>SUM(D8,D19,D26,D28,D36,D39)</f>
        <v>92448</v>
      </c>
      <c r="E43" s="162">
        <f>SUM(E8,E19,E26,E28,E36,E39)</f>
        <v>99184</v>
      </c>
      <c r="F43" s="162">
        <f>SUM(F8,F19,F26,F28,F32,F34,F36)</f>
        <v>136178135</v>
      </c>
      <c r="G43" s="1437">
        <f t="shared" si="6"/>
        <v>2126883</v>
      </c>
      <c r="H43" s="162">
        <f>SUM(H8,H19,H26,H28,H32,H34,H36)</f>
        <v>138305018</v>
      </c>
      <c r="I43" s="1373">
        <f t="shared" si="6"/>
        <v>1352852</v>
      </c>
      <c r="J43" s="162">
        <f>SUM(J8,J19,J26,J28,J32,J34,J36)</f>
        <v>139657870</v>
      </c>
      <c r="K43" s="1373">
        <f t="shared" si="6"/>
        <v>0</v>
      </c>
      <c r="L43" s="162">
        <f>SUM(L8,L19,L26,L28,L32,L34,L36)</f>
        <v>139657870</v>
      </c>
      <c r="M43" s="162">
        <f>SUM(M8,M19,M26,M28,M32,M34,M36)</f>
        <v>139657870</v>
      </c>
      <c r="N43" s="205">
        <f>SUM(F59-F43)</f>
        <v>0</v>
      </c>
      <c r="O43" s="205"/>
      <c r="P43" s="205"/>
      <c r="R43" s="1876">
        <f t="shared" si="1"/>
        <v>0</v>
      </c>
      <c r="S43" s="248"/>
      <c r="T43" s="1885">
        <f t="shared" si="2"/>
        <v>0</v>
      </c>
      <c r="U43" s="248"/>
      <c r="V43" s="248">
        <f t="shared" si="3"/>
        <v>0</v>
      </c>
      <c r="W43" s="248"/>
      <c r="X43" s="1871">
        <f t="shared" si="4"/>
        <v>0</v>
      </c>
      <c r="Y43" s="2300">
        <f t="shared" si="5"/>
        <v>0</v>
      </c>
      <c r="Z43" s="1880">
        <f>SUM('5.4.a. sz mell'!F43)</f>
        <v>136178135</v>
      </c>
      <c r="AA43" s="2336"/>
      <c r="AB43" s="1885">
        <f>SUM('5.4.a. sz mell'!H43)</f>
        <v>138305018</v>
      </c>
      <c r="AC43" s="248"/>
      <c r="AD43" s="248">
        <f>SUM('5.4.a. sz mell'!J43)</f>
        <v>139657870</v>
      </c>
      <c r="AE43" s="248"/>
      <c r="AF43" s="1871">
        <f>SUM('5.4.a. sz mell'!L43)</f>
        <v>139657870</v>
      </c>
      <c r="AG43" s="2300">
        <f>SUM('5.4.a. sz mell'!M43)</f>
        <v>139657870</v>
      </c>
    </row>
    <row r="44" spans="1:33" s="145" customFormat="1" ht="15" customHeight="1" thickBot="1" x14ac:dyDescent="0.25">
      <c r="A44" s="2098"/>
      <c r="B44" s="266"/>
      <c r="C44" s="275"/>
      <c r="D44" s="286"/>
      <c r="E44" s="286"/>
      <c r="F44" s="2163"/>
      <c r="G44" s="2684"/>
      <c r="H44" s="1443"/>
      <c r="I44" s="1443"/>
      <c r="J44" s="286"/>
      <c r="K44" s="1443"/>
      <c r="L44" s="286"/>
      <c r="M44" s="1458"/>
      <c r="R44" s="1876">
        <f t="shared" si="1"/>
        <v>0</v>
      </c>
      <c r="S44" s="248"/>
      <c r="T44" s="1885">
        <f t="shared" si="2"/>
        <v>0</v>
      </c>
      <c r="U44" s="248"/>
      <c r="V44" s="248">
        <f t="shared" si="3"/>
        <v>0</v>
      </c>
      <c r="W44" s="248"/>
      <c r="X44" s="1871">
        <f t="shared" si="4"/>
        <v>0</v>
      </c>
      <c r="Y44" s="2300">
        <f t="shared" si="5"/>
        <v>0</v>
      </c>
      <c r="Z44" s="1880">
        <f>SUM('5.4.a. sz mell'!F44)</f>
        <v>0</v>
      </c>
      <c r="AA44" s="2336"/>
      <c r="AB44" s="1885">
        <f>SUM('5.4.a. sz mell'!H44)</f>
        <v>0</v>
      </c>
      <c r="AC44" s="248"/>
      <c r="AD44" s="248">
        <f>SUM('5.4.a. sz mell'!J44)</f>
        <v>0</v>
      </c>
      <c r="AE44" s="248"/>
      <c r="AF44" s="1871">
        <f>SUM('5.4.a. sz mell'!L44)</f>
        <v>0</v>
      </c>
      <c r="AG44" s="2300">
        <f>SUM('5.4.a. sz mell'!M44)</f>
        <v>0</v>
      </c>
    </row>
    <row r="45" spans="1:33" s="305" customFormat="1" ht="15" customHeight="1" thickBot="1" x14ac:dyDescent="0.25">
      <c r="A45" s="192"/>
      <c r="B45" s="160"/>
      <c r="C45" s="282" t="s">
        <v>231</v>
      </c>
      <c r="D45" s="162"/>
      <c r="E45" s="162"/>
      <c r="F45" s="162"/>
      <c r="G45" s="1437"/>
      <c r="H45" s="162"/>
      <c r="I45" s="1373"/>
      <c r="J45" s="162"/>
      <c r="K45" s="1373"/>
      <c r="L45" s="162"/>
      <c r="M45" s="162"/>
      <c r="R45" s="1876">
        <f t="shared" si="1"/>
        <v>0</v>
      </c>
      <c r="S45" s="248"/>
      <c r="T45" s="1885">
        <f t="shared" si="2"/>
        <v>0</v>
      </c>
      <c r="U45" s="248"/>
      <c r="V45" s="248">
        <f t="shared" si="3"/>
        <v>0</v>
      </c>
      <c r="W45" s="248"/>
      <c r="X45" s="1871">
        <f t="shared" si="4"/>
        <v>0</v>
      </c>
      <c r="Y45" s="2300">
        <f t="shared" si="5"/>
        <v>0</v>
      </c>
      <c r="Z45" s="1880">
        <f>SUM('5.4.a. sz mell'!F45)</f>
        <v>0</v>
      </c>
      <c r="AA45" s="2336"/>
      <c r="AB45" s="1885">
        <f>SUM('5.4.a. sz mell'!H45)</f>
        <v>0</v>
      </c>
      <c r="AC45" s="248"/>
      <c r="AD45" s="248">
        <f>SUM('5.4.a. sz mell'!J45)</f>
        <v>0</v>
      </c>
      <c r="AE45" s="248"/>
      <c r="AF45" s="1871">
        <f>SUM('5.4.a. sz mell'!L45)</f>
        <v>0</v>
      </c>
      <c r="AG45" s="2300">
        <f>SUM('5.4.a. sz mell'!M45)</f>
        <v>0</v>
      </c>
    </row>
    <row r="46" spans="1:33" s="141" customFormat="1" ht="15" customHeight="1" thickBot="1" x14ac:dyDescent="0.25">
      <c r="A46" s="134" t="s">
        <v>3</v>
      </c>
      <c r="B46" s="170"/>
      <c r="C46" s="170" t="s">
        <v>442</v>
      </c>
      <c r="D46" s="137">
        <f>SUM(D47:D51)</f>
        <v>92448</v>
      </c>
      <c r="E46" s="137">
        <f>SUM(E47:E51)</f>
        <v>99095</v>
      </c>
      <c r="F46" s="137">
        <f>SUM(F47:F51)</f>
        <v>135416135</v>
      </c>
      <c r="G46" s="1382">
        <f t="shared" si="6"/>
        <v>1153883</v>
      </c>
      <c r="H46" s="137">
        <f>SUM(H47:H51)</f>
        <v>136570018</v>
      </c>
      <c r="I46" s="1382">
        <f t="shared" si="6"/>
        <v>1269272</v>
      </c>
      <c r="J46" s="137">
        <f>SUM(J47:J51)</f>
        <v>137839290</v>
      </c>
      <c r="K46" s="1382">
        <f t="shared" si="6"/>
        <v>0</v>
      </c>
      <c r="L46" s="137">
        <f>SUM(L47:L51)</f>
        <v>137839290</v>
      </c>
      <c r="M46" s="137">
        <f>SUM(M47:M51)</f>
        <v>137508086</v>
      </c>
      <c r="R46" s="1876">
        <f t="shared" si="1"/>
        <v>0</v>
      </c>
      <c r="S46" s="248"/>
      <c r="T46" s="1885">
        <f t="shared" si="2"/>
        <v>0</v>
      </c>
      <c r="U46" s="248"/>
      <c r="V46" s="248">
        <f t="shared" si="3"/>
        <v>0</v>
      </c>
      <c r="W46" s="248"/>
      <c r="X46" s="1871">
        <f t="shared" si="4"/>
        <v>0</v>
      </c>
      <c r="Y46" s="2300">
        <f t="shared" si="5"/>
        <v>0</v>
      </c>
      <c r="Z46" s="1880">
        <f>SUM('5.4.a. sz mell'!F46)</f>
        <v>135416135</v>
      </c>
      <c r="AA46" s="2336"/>
      <c r="AB46" s="1885">
        <f>SUM('5.4.a. sz mell'!H46)</f>
        <v>136570018</v>
      </c>
      <c r="AC46" s="248"/>
      <c r="AD46" s="248">
        <f>SUM('5.4.a. sz mell'!J46)</f>
        <v>137839290</v>
      </c>
      <c r="AE46" s="248"/>
      <c r="AF46" s="1871">
        <f>SUM('5.4.a. sz mell'!L46)</f>
        <v>137839290</v>
      </c>
      <c r="AG46" s="2300">
        <f>SUM('5.4.a. sz mell'!M46)</f>
        <v>137508086</v>
      </c>
    </row>
    <row r="47" spans="1:33" s="145" customFormat="1" ht="15" customHeight="1" x14ac:dyDescent="0.2">
      <c r="A47" s="173"/>
      <c r="B47" s="267" t="s">
        <v>152</v>
      </c>
      <c r="C47" s="251" t="s">
        <v>153</v>
      </c>
      <c r="D47" s="175">
        <v>63435</v>
      </c>
      <c r="E47" s="175">
        <v>68371</v>
      </c>
      <c r="F47" s="175">
        <v>105041563</v>
      </c>
      <c r="G47" s="1415">
        <f t="shared" si="6"/>
        <v>450176</v>
      </c>
      <c r="H47" s="175">
        <v>105491739</v>
      </c>
      <c r="I47" s="1376">
        <f t="shared" si="6"/>
        <v>2320743</v>
      </c>
      <c r="J47" s="175">
        <v>107812482</v>
      </c>
      <c r="K47" s="1376">
        <f t="shared" si="6"/>
        <v>0</v>
      </c>
      <c r="L47" s="175">
        <v>107812482</v>
      </c>
      <c r="M47" s="175">
        <v>107812482</v>
      </c>
      <c r="R47" s="1876">
        <f t="shared" si="1"/>
        <v>0</v>
      </c>
      <c r="S47" s="248"/>
      <c r="T47" s="1885">
        <f t="shared" si="2"/>
        <v>0</v>
      </c>
      <c r="U47" s="248"/>
      <c r="V47" s="248">
        <f t="shared" si="3"/>
        <v>0</v>
      </c>
      <c r="W47" s="248"/>
      <c r="X47" s="1871">
        <f t="shared" si="4"/>
        <v>0</v>
      </c>
      <c r="Y47" s="2300">
        <f t="shared" si="5"/>
        <v>0</v>
      </c>
      <c r="Z47" s="1880">
        <f>SUM('5.4.a. sz mell'!F47)</f>
        <v>105041563</v>
      </c>
      <c r="AA47" s="2336"/>
      <c r="AB47" s="1885">
        <f>SUM('5.4.a. sz mell'!H47)</f>
        <v>105491739</v>
      </c>
      <c r="AC47" s="248"/>
      <c r="AD47" s="248">
        <f>SUM('5.4.a. sz mell'!J47)</f>
        <v>107812482</v>
      </c>
      <c r="AE47" s="248"/>
      <c r="AF47" s="1871">
        <f>SUM('5.4.a. sz mell'!L47)</f>
        <v>107812482</v>
      </c>
      <c r="AG47" s="2300">
        <f>SUM('5.4.a. sz mell'!M47)</f>
        <v>107812482</v>
      </c>
    </row>
    <row r="48" spans="1:33" s="145" customFormat="1" ht="15" customHeight="1" x14ac:dyDescent="0.2">
      <c r="A48" s="142"/>
      <c r="B48" s="253" t="s">
        <v>154</v>
      </c>
      <c r="C48" s="55" t="s">
        <v>155</v>
      </c>
      <c r="D48" s="144">
        <v>16960</v>
      </c>
      <c r="E48" s="144">
        <v>18293</v>
      </c>
      <c r="F48" s="144">
        <v>21164702</v>
      </c>
      <c r="G48" s="1415">
        <f t="shared" si="6"/>
        <v>89072</v>
      </c>
      <c r="H48" s="144">
        <v>21253774</v>
      </c>
      <c r="I48" s="1376">
        <f t="shared" si="6"/>
        <v>-26166</v>
      </c>
      <c r="J48" s="144">
        <v>21227608</v>
      </c>
      <c r="K48" s="1376">
        <f t="shared" si="6"/>
        <v>0</v>
      </c>
      <c r="L48" s="144">
        <v>21227608</v>
      </c>
      <c r="M48" s="144">
        <v>21226646</v>
      </c>
      <c r="R48" s="1876">
        <f t="shared" si="1"/>
        <v>0</v>
      </c>
      <c r="S48" s="248"/>
      <c r="T48" s="1885">
        <f t="shared" si="2"/>
        <v>0</v>
      </c>
      <c r="U48" s="248"/>
      <c r="V48" s="248">
        <f t="shared" si="3"/>
        <v>0</v>
      </c>
      <c r="W48" s="248"/>
      <c r="X48" s="1871">
        <f t="shared" si="4"/>
        <v>0</v>
      </c>
      <c r="Y48" s="2300">
        <f t="shared" si="5"/>
        <v>0</v>
      </c>
      <c r="Z48" s="1880">
        <f>SUM('5.4.a. sz mell'!F48)</f>
        <v>21164702</v>
      </c>
      <c r="AA48" s="2336"/>
      <c r="AB48" s="1885">
        <f>SUM('5.4.a. sz mell'!H48)</f>
        <v>21253774</v>
      </c>
      <c r="AC48" s="248"/>
      <c r="AD48" s="248">
        <f>SUM('5.4.a. sz mell'!J48)</f>
        <v>21227608</v>
      </c>
      <c r="AE48" s="248"/>
      <c r="AF48" s="1871">
        <f>SUM('5.4.a. sz mell'!L48)</f>
        <v>21227608</v>
      </c>
      <c r="AG48" s="2300">
        <f>SUM('5.4.a. sz mell'!M48)</f>
        <v>21226646</v>
      </c>
    </row>
    <row r="49" spans="1:33" s="145" customFormat="1" ht="15" customHeight="1" x14ac:dyDescent="0.2">
      <c r="A49" s="142"/>
      <c r="B49" s="253" t="s">
        <v>156</v>
      </c>
      <c r="C49" s="55" t="s">
        <v>157</v>
      </c>
      <c r="D49" s="144">
        <v>12053</v>
      </c>
      <c r="E49" s="144">
        <v>12431</v>
      </c>
      <c r="F49" s="144">
        <v>9209870</v>
      </c>
      <c r="G49" s="1415">
        <f t="shared" si="6"/>
        <v>614635</v>
      </c>
      <c r="H49" s="144">
        <v>9824505</v>
      </c>
      <c r="I49" s="1376">
        <f t="shared" si="6"/>
        <v>-1025305</v>
      </c>
      <c r="J49" s="144">
        <v>8799200</v>
      </c>
      <c r="K49" s="1376">
        <f t="shared" si="6"/>
        <v>0</v>
      </c>
      <c r="L49" s="144">
        <v>8799200</v>
      </c>
      <c r="M49" s="144">
        <v>8468958</v>
      </c>
      <c r="R49" s="1876">
        <f t="shared" si="1"/>
        <v>0</v>
      </c>
      <c r="S49" s="248"/>
      <c r="T49" s="1885">
        <f t="shared" si="2"/>
        <v>0</v>
      </c>
      <c r="U49" s="248"/>
      <c r="V49" s="248">
        <f t="shared" si="3"/>
        <v>0</v>
      </c>
      <c r="W49" s="248"/>
      <c r="X49" s="1871">
        <f t="shared" si="4"/>
        <v>0</v>
      </c>
      <c r="Y49" s="2300">
        <f t="shared" si="5"/>
        <v>0</v>
      </c>
      <c r="Z49" s="1880">
        <f>SUM('5.4.a. sz mell'!F49)</f>
        <v>9209870</v>
      </c>
      <c r="AA49" s="2336"/>
      <c r="AB49" s="1885">
        <f>SUM('5.4.a. sz mell'!H49)</f>
        <v>9824505</v>
      </c>
      <c r="AC49" s="248"/>
      <c r="AD49" s="248">
        <f>SUM('5.4.a. sz mell'!J49)</f>
        <v>8799200</v>
      </c>
      <c r="AE49" s="248"/>
      <c r="AF49" s="1871">
        <f>SUM('5.4.a. sz mell'!L49)</f>
        <v>8799200</v>
      </c>
      <c r="AG49" s="2300">
        <f>SUM('5.4.a. sz mell'!M49)</f>
        <v>8468958</v>
      </c>
    </row>
    <row r="50" spans="1:33" s="145" customFormat="1" ht="15" customHeight="1" x14ac:dyDescent="0.2">
      <c r="A50" s="142"/>
      <c r="B50" s="253" t="s">
        <v>158</v>
      </c>
      <c r="C50" s="55" t="s">
        <v>159</v>
      </c>
      <c r="D50" s="144">
        <v>0</v>
      </c>
      <c r="E50" s="144">
        <v>0</v>
      </c>
      <c r="F50" s="144"/>
      <c r="G50" s="1415">
        <f t="shared" si="6"/>
        <v>0</v>
      </c>
      <c r="H50" s="144"/>
      <c r="I50" s="1376">
        <f t="shared" si="6"/>
        <v>0</v>
      </c>
      <c r="J50" s="144"/>
      <c r="K50" s="1376">
        <f t="shared" si="6"/>
        <v>0</v>
      </c>
      <c r="L50" s="144"/>
      <c r="M50" s="144"/>
      <c r="R50" s="1876">
        <f t="shared" si="1"/>
        <v>0</v>
      </c>
      <c r="S50" s="248"/>
      <c r="T50" s="1885">
        <f t="shared" si="2"/>
        <v>0</v>
      </c>
      <c r="U50" s="248"/>
      <c r="V50" s="248">
        <f t="shared" si="3"/>
        <v>0</v>
      </c>
      <c r="W50" s="248"/>
      <c r="X50" s="1871">
        <f t="shared" si="4"/>
        <v>0</v>
      </c>
      <c r="Y50" s="2300">
        <f t="shared" si="5"/>
        <v>0</v>
      </c>
      <c r="Z50" s="1880">
        <f>SUM('5.4.a. sz mell'!F50)</f>
        <v>0</v>
      </c>
      <c r="AA50" s="2336"/>
      <c r="AB50" s="1885">
        <f>SUM('5.4.a. sz mell'!H50)</f>
        <v>0</v>
      </c>
      <c r="AC50" s="248"/>
      <c r="AD50" s="248">
        <f>SUM('5.4.a. sz mell'!J50)</f>
        <v>0</v>
      </c>
      <c r="AE50" s="248"/>
      <c r="AF50" s="1871">
        <f>SUM('5.4.a. sz mell'!L50)</f>
        <v>0</v>
      </c>
      <c r="AG50" s="2300">
        <f>SUM('5.4.a. sz mell'!M50)</f>
        <v>0</v>
      </c>
    </row>
    <row r="51" spans="1:33" s="145" customFormat="1" ht="15" customHeight="1" thickBot="1" x14ac:dyDescent="0.25">
      <c r="A51" s="142"/>
      <c r="B51" s="253" t="s">
        <v>375</v>
      </c>
      <c r="C51" s="55" t="s">
        <v>161</v>
      </c>
      <c r="D51" s="144">
        <v>0</v>
      </c>
      <c r="E51" s="144">
        <v>0</v>
      </c>
      <c r="F51" s="144">
        <v>0</v>
      </c>
      <c r="G51" s="1415">
        <f t="shared" si="6"/>
        <v>0</v>
      </c>
      <c r="H51" s="144">
        <v>0</v>
      </c>
      <c r="I51" s="1376">
        <f t="shared" si="6"/>
        <v>0</v>
      </c>
      <c r="J51" s="144"/>
      <c r="K51" s="1376">
        <f t="shared" si="6"/>
        <v>0</v>
      </c>
      <c r="L51" s="144"/>
      <c r="M51" s="144">
        <v>0</v>
      </c>
      <c r="R51" s="1876">
        <f t="shared" si="1"/>
        <v>0</v>
      </c>
      <c r="S51" s="248"/>
      <c r="T51" s="1885">
        <f t="shared" si="2"/>
        <v>0</v>
      </c>
      <c r="U51" s="248"/>
      <c r="V51" s="248">
        <f t="shared" si="3"/>
        <v>0</v>
      </c>
      <c r="W51" s="248"/>
      <c r="X51" s="1871">
        <f t="shared" si="4"/>
        <v>0</v>
      </c>
      <c r="Y51" s="2300">
        <f t="shared" si="5"/>
        <v>0</v>
      </c>
      <c r="Z51" s="1880">
        <f>SUM('5.4.a. sz mell'!F51)</f>
        <v>0</v>
      </c>
      <c r="AA51" s="2336"/>
      <c r="AB51" s="1885">
        <f>SUM('5.4.a. sz mell'!H51)</f>
        <v>0</v>
      </c>
      <c r="AC51" s="248"/>
      <c r="AD51" s="248">
        <f>SUM('5.4.a. sz mell'!J51)</f>
        <v>0</v>
      </c>
      <c r="AE51" s="248"/>
      <c r="AF51" s="1871">
        <f>SUM('5.4.a. sz mell'!L51)</f>
        <v>0</v>
      </c>
      <c r="AG51" s="2300">
        <f>SUM('5.4.a. sz mell'!M51)</f>
        <v>0</v>
      </c>
    </row>
    <row r="52" spans="1:33" s="145" customFormat="1" ht="15" customHeight="1" thickBot="1" x14ac:dyDescent="0.25">
      <c r="A52" s="134" t="s">
        <v>17</v>
      </c>
      <c r="B52" s="170"/>
      <c r="C52" s="170" t="s">
        <v>443</v>
      </c>
      <c r="D52" s="137">
        <f>SUM(D53:D56)</f>
        <v>0</v>
      </c>
      <c r="E52" s="137">
        <f>SUM(E53:E56)</f>
        <v>89</v>
      </c>
      <c r="F52" s="137">
        <f>SUM(F53:F56)</f>
        <v>762000</v>
      </c>
      <c r="G52" s="1382">
        <f t="shared" si="6"/>
        <v>973000</v>
      </c>
      <c r="H52" s="137">
        <f>SUM(H53:H56)</f>
        <v>1735000</v>
      </c>
      <c r="I52" s="1382">
        <f t="shared" si="6"/>
        <v>83580</v>
      </c>
      <c r="J52" s="137">
        <f>SUM(J53:J56)</f>
        <v>1818580</v>
      </c>
      <c r="K52" s="1382">
        <f t="shared" si="6"/>
        <v>0</v>
      </c>
      <c r="L52" s="137">
        <f>SUM(L53:L56)</f>
        <v>1818580</v>
      </c>
      <c r="M52" s="137">
        <f>SUM(M53:M56)</f>
        <v>1681450</v>
      </c>
      <c r="R52" s="1876">
        <f t="shared" si="1"/>
        <v>0</v>
      </c>
      <c r="S52" s="248"/>
      <c r="T52" s="1885">
        <f t="shared" si="2"/>
        <v>0</v>
      </c>
      <c r="U52" s="248"/>
      <c r="V52" s="248">
        <f t="shared" si="3"/>
        <v>0</v>
      </c>
      <c r="W52" s="248"/>
      <c r="X52" s="1871">
        <f t="shared" si="4"/>
        <v>0</v>
      </c>
      <c r="Y52" s="2300">
        <f t="shared" si="5"/>
        <v>0</v>
      </c>
      <c r="Z52" s="1880">
        <f>SUM('5.4.a. sz mell'!F52)</f>
        <v>762000</v>
      </c>
      <c r="AA52" s="2336"/>
      <c r="AB52" s="1885">
        <f>SUM('5.4.a. sz mell'!H52)</f>
        <v>1735000</v>
      </c>
      <c r="AC52" s="248"/>
      <c r="AD52" s="248">
        <f>SUM('5.4.a. sz mell'!J52)</f>
        <v>1818580</v>
      </c>
      <c r="AE52" s="248"/>
      <c r="AF52" s="1871">
        <f>SUM('5.4.a. sz mell'!L52)</f>
        <v>1818580</v>
      </c>
      <c r="AG52" s="2300">
        <f>SUM('5.4.a. sz mell'!M52)</f>
        <v>1681450</v>
      </c>
    </row>
    <row r="53" spans="1:33" s="141" customFormat="1" ht="15" customHeight="1" x14ac:dyDescent="0.2">
      <c r="A53" s="173"/>
      <c r="B53" s="267" t="s">
        <v>5</v>
      </c>
      <c r="C53" s="251" t="s">
        <v>183</v>
      </c>
      <c r="D53" s="175">
        <v>0</v>
      </c>
      <c r="E53" s="175">
        <v>89</v>
      </c>
      <c r="F53" s="175">
        <v>762000</v>
      </c>
      <c r="G53" s="1415">
        <f t="shared" si="6"/>
        <v>973000</v>
      </c>
      <c r="H53" s="175">
        <v>1735000</v>
      </c>
      <c r="I53" s="1376">
        <f t="shared" si="6"/>
        <v>83580</v>
      </c>
      <c r="J53" s="175">
        <v>1818580</v>
      </c>
      <c r="K53" s="1376">
        <f t="shared" si="6"/>
        <v>0</v>
      </c>
      <c r="L53" s="175">
        <v>1818580</v>
      </c>
      <c r="M53" s="175">
        <v>1681450</v>
      </c>
      <c r="R53" s="1876">
        <f t="shared" si="1"/>
        <v>0</v>
      </c>
      <c r="S53" s="248"/>
      <c r="T53" s="1885">
        <f t="shared" si="2"/>
        <v>0</v>
      </c>
      <c r="U53" s="248"/>
      <c r="V53" s="248">
        <f t="shared" si="3"/>
        <v>0</v>
      </c>
      <c r="W53" s="248"/>
      <c r="X53" s="1871">
        <f t="shared" si="4"/>
        <v>0</v>
      </c>
      <c r="Y53" s="2300">
        <f t="shared" si="5"/>
        <v>0</v>
      </c>
      <c r="Z53" s="1880">
        <f>SUM('5.4.a. sz mell'!F53)</f>
        <v>762000</v>
      </c>
      <c r="AA53" s="2336"/>
      <c r="AB53" s="1885">
        <f>SUM('5.4.a. sz mell'!H53)</f>
        <v>1735000</v>
      </c>
      <c r="AC53" s="248"/>
      <c r="AD53" s="248">
        <f>SUM('5.4.a. sz mell'!J53)</f>
        <v>1818580</v>
      </c>
      <c r="AE53" s="248"/>
      <c r="AF53" s="1871">
        <f>SUM('5.4.a. sz mell'!L53)</f>
        <v>1818580</v>
      </c>
      <c r="AG53" s="2300">
        <f>SUM('5.4.a. sz mell'!M53)</f>
        <v>1681450</v>
      </c>
    </row>
    <row r="54" spans="1:33" s="145" customFormat="1" ht="15" customHeight="1" x14ac:dyDescent="0.2">
      <c r="A54" s="142"/>
      <c r="B54" s="253" t="s">
        <v>7</v>
      </c>
      <c r="C54" s="55" t="s">
        <v>185</v>
      </c>
      <c r="D54" s="144">
        <v>0</v>
      </c>
      <c r="E54" s="144">
        <v>0</v>
      </c>
      <c r="F54" s="144">
        <v>0</v>
      </c>
      <c r="G54" s="1415">
        <f t="shared" si="6"/>
        <v>0</v>
      </c>
      <c r="H54" s="144">
        <v>0</v>
      </c>
      <c r="I54" s="1376">
        <f t="shared" si="6"/>
        <v>0</v>
      </c>
      <c r="J54" s="144"/>
      <c r="K54" s="1376">
        <f t="shared" si="6"/>
        <v>0</v>
      </c>
      <c r="L54" s="144"/>
      <c r="M54" s="144">
        <v>0</v>
      </c>
      <c r="R54" s="1876">
        <f t="shared" si="1"/>
        <v>0</v>
      </c>
      <c r="S54" s="248"/>
      <c r="T54" s="1885">
        <f t="shared" si="2"/>
        <v>0</v>
      </c>
      <c r="U54" s="248"/>
      <c r="V54" s="248">
        <f t="shared" si="3"/>
        <v>0</v>
      </c>
      <c r="W54" s="248"/>
      <c r="X54" s="1871">
        <f t="shared" si="4"/>
        <v>0</v>
      </c>
      <c r="Y54" s="2300">
        <f t="shared" si="5"/>
        <v>0</v>
      </c>
      <c r="Z54" s="1880">
        <f>SUM('5.4.a. sz mell'!F54)</f>
        <v>0</v>
      </c>
      <c r="AA54" s="2336"/>
      <c r="AB54" s="1885">
        <f>SUM('5.4.a. sz mell'!H54)</f>
        <v>0</v>
      </c>
      <c r="AC54" s="248"/>
      <c r="AD54" s="248">
        <f>SUM('5.4.a. sz mell'!J54)</f>
        <v>0</v>
      </c>
      <c r="AE54" s="248"/>
      <c r="AF54" s="1871">
        <f>SUM('5.4.a. sz mell'!L54)</f>
        <v>0</v>
      </c>
      <c r="AG54" s="2300">
        <f>SUM('5.4.a. sz mell'!M54)</f>
        <v>0</v>
      </c>
    </row>
    <row r="55" spans="1:33" s="145" customFormat="1" ht="15.75" thickBot="1" x14ac:dyDescent="0.25">
      <c r="A55" s="142"/>
      <c r="B55" s="253" t="s">
        <v>9</v>
      </c>
      <c r="C55" s="55" t="s">
        <v>444</v>
      </c>
      <c r="D55" s="144">
        <v>0</v>
      </c>
      <c r="E55" s="144">
        <v>0</v>
      </c>
      <c r="F55" s="144">
        <v>0</v>
      </c>
      <c r="G55" s="1415">
        <f t="shared" si="6"/>
        <v>0</v>
      </c>
      <c r="H55" s="144">
        <v>0</v>
      </c>
      <c r="I55" s="1376">
        <f t="shared" si="6"/>
        <v>0</v>
      </c>
      <c r="J55" s="144"/>
      <c r="K55" s="1376">
        <f t="shared" si="6"/>
        <v>0</v>
      </c>
      <c r="L55" s="144"/>
      <c r="M55" s="144">
        <v>0</v>
      </c>
      <c r="R55" s="1876">
        <f t="shared" si="1"/>
        <v>0</v>
      </c>
      <c r="S55" s="248"/>
      <c r="T55" s="1885">
        <f t="shared" si="2"/>
        <v>0</v>
      </c>
      <c r="U55" s="248"/>
      <c r="V55" s="248">
        <f t="shared" si="3"/>
        <v>0</v>
      </c>
      <c r="W55" s="248"/>
      <c r="X55" s="1871">
        <f t="shared" si="4"/>
        <v>0</v>
      </c>
      <c r="Y55" s="2300">
        <f t="shared" si="5"/>
        <v>0</v>
      </c>
      <c r="Z55" s="1880">
        <f>SUM('5.4.a. sz mell'!F55)</f>
        <v>0</v>
      </c>
      <c r="AA55" s="2336"/>
      <c r="AB55" s="1885">
        <f>SUM('5.4.a. sz mell'!H55)</f>
        <v>0</v>
      </c>
      <c r="AC55" s="248"/>
      <c r="AD55" s="248">
        <f>SUM('5.4.a. sz mell'!J55)</f>
        <v>0</v>
      </c>
      <c r="AE55" s="248"/>
      <c r="AF55" s="1871">
        <f>SUM('5.4.a. sz mell'!L55)</f>
        <v>0</v>
      </c>
      <c r="AG55" s="2300">
        <f>SUM('5.4.a. sz mell'!M55)</f>
        <v>0</v>
      </c>
    </row>
    <row r="56" spans="1:33" s="145" customFormat="1" ht="12.75" hidden="1" customHeight="1" x14ac:dyDescent="0.2">
      <c r="A56" s="142"/>
      <c r="B56" s="176" t="s">
        <v>189</v>
      </c>
      <c r="C56" s="55" t="s">
        <v>448</v>
      </c>
      <c r="D56" s="144">
        <v>0</v>
      </c>
      <c r="E56" s="144">
        <v>0</v>
      </c>
      <c r="F56" s="144">
        <v>0</v>
      </c>
      <c r="G56" s="1415">
        <f t="shared" si="6"/>
        <v>0</v>
      </c>
      <c r="H56" s="144">
        <v>0</v>
      </c>
      <c r="I56" s="1376">
        <f t="shared" si="6"/>
        <v>0</v>
      </c>
      <c r="J56" s="144">
        <v>0</v>
      </c>
      <c r="K56" s="1376">
        <f t="shared" si="6"/>
        <v>0</v>
      </c>
      <c r="L56" s="144">
        <v>0</v>
      </c>
      <c r="M56" s="144">
        <v>0</v>
      </c>
      <c r="R56" s="1876">
        <f t="shared" si="1"/>
        <v>0</v>
      </c>
      <c r="S56" s="248"/>
      <c r="T56" s="1885">
        <f t="shared" si="2"/>
        <v>0</v>
      </c>
      <c r="U56" s="248"/>
      <c r="V56" s="248">
        <f t="shared" si="3"/>
        <v>0</v>
      </c>
      <c r="W56" s="248"/>
      <c r="X56" s="1871">
        <f t="shared" si="4"/>
        <v>0</v>
      </c>
      <c r="Y56" s="2300">
        <f t="shared" si="5"/>
        <v>0</v>
      </c>
      <c r="Z56" s="1880">
        <f>SUM('5.4.a. sz mell'!F56)</f>
        <v>0</v>
      </c>
      <c r="AA56" s="2336"/>
      <c r="AB56" s="1885">
        <f>SUM('5.4.a. sz mell'!H56)</f>
        <v>0</v>
      </c>
      <c r="AC56" s="248"/>
      <c r="AD56" s="248">
        <f>SUM('5.4.a. sz mell'!J56)</f>
        <v>0</v>
      </c>
      <c r="AE56" s="248"/>
      <c r="AF56" s="1871">
        <f>SUM('5.4.a. sz mell'!L56)</f>
        <v>0</v>
      </c>
      <c r="AG56" s="2300">
        <f>SUM('5.4.a. sz mell'!M56)</f>
        <v>0</v>
      </c>
    </row>
    <row r="57" spans="1:33" s="145" customFormat="1" ht="12.75" hidden="1" customHeight="1" x14ac:dyDescent="0.2">
      <c r="A57" s="134" t="s">
        <v>31</v>
      </c>
      <c r="B57" s="170"/>
      <c r="C57" s="171" t="s">
        <v>445</v>
      </c>
      <c r="D57" s="155">
        <v>0</v>
      </c>
      <c r="E57" s="155">
        <v>0</v>
      </c>
      <c r="F57" s="155">
        <v>0</v>
      </c>
      <c r="G57" s="1415">
        <f t="shared" si="6"/>
        <v>0</v>
      </c>
      <c r="H57" s="155">
        <v>0</v>
      </c>
      <c r="I57" s="1376">
        <f t="shared" si="6"/>
        <v>0</v>
      </c>
      <c r="J57" s="155">
        <v>0</v>
      </c>
      <c r="K57" s="1376">
        <f t="shared" si="6"/>
        <v>0</v>
      </c>
      <c r="L57" s="155">
        <v>0</v>
      </c>
      <c r="M57" s="155">
        <v>0</v>
      </c>
      <c r="R57" s="1876">
        <f t="shared" si="1"/>
        <v>0</v>
      </c>
      <c r="S57" s="248"/>
      <c r="T57" s="1885">
        <f t="shared" si="2"/>
        <v>0</v>
      </c>
      <c r="U57" s="248"/>
      <c r="V57" s="248">
        <f t="shared" si="3"/>
        <v>0</v>
      </c>
      <c r="W57" s="248"/>
      <c r="X57" s="1871">
        <f t="shared" si="4"/>
        <v>0</v>
      </c>
      <c r="Y57" s="2300">
        <f t="shared" si="5"/>
        <v>0</v>
      </c>
      <c r="Z57" s="1880">
        <f>SUM('5.4.a. sz mell'!F57)</f>
        <v>0</v>
      </c>
      <c r="AA57" s="2336"/>
      <c r="AB57" s="1885">
        <f>SUM('5.4.a. sz mell'!H57)</f>
        <v>0</v>
      </c>
      <c r="AC57" s="248"/>
      <c r="AD57" s="248">
        <f>SUM('5.4.a. sz mell'!J57)</f>
        <v>0</v>
      </c>
      <c r="AE57" s="248"/>
      <c r="AF57" s="1871">
        <f>SUM('5.4.a. sz mell'!L57)</f>
        <v>0</v>
      </c>
      <c r="AG57" s="2300">
        <f>SUM('5.4.a. sz mell'!M57)</f>
        <v>0</v>
      </c>
    </row>
    <row r="58" spans="1:33" s="145" customFormat="1" ht="12.75" hidden="1" customHeight="1" x14ac:dyDescent="0.2">
      <c r="A58" s="134"/>
      <c r="B58" s="170"/>
      <c r="C58" s="171" t="s">
        <v>459</v>
      </c>
      <c r="D58" s="155"/>
      <c r="E58" s="155"/>
      <c r="F58" s="155"/>
      <c r="G58" s="1415">
        <f t="shared" si="6"/>
        <v>0</v>
      </c>
      <c r="H58" s="155"/>
      <c r="I58" s="1376">
        <f t="shared" si="6"/>
        <v>0</v>
      </c>
      <c r="J58" s="155"/>
      <c r="K58" s="1376">
        <f t="shared" si="6"/>
        <v>0</v>
      </c>
      <c r="L58" s="155"/>
      <c r="M58" s="155"/>
      <c r="R58" s="1876">
        <f t="shared" si="1"/>
        <v>0</v>
      </c>
      <c r="S58" s="248"/>
      <c r="T58" s="1885">
        <f t="shared" si="2"/>
        <v>0</v>
      </c>
      <c r="U58" s="248"/>
      <c r="V58" s="248">
        <f t="shared" si="3"/>
        <v>0</v>
      </c>
      <c r="W58" s="248"/>
      <c r="X58" s="1871">
        <f t="shared" si="4"/>
        <v>0</v>
      </c>
      <c r="Y58" s="2300">
        <f t="shared" si="5"/>
        <v>0</v>
      </c>
      <c r="Z58" s="1880">
        <f>SUM('5.4.a. sz mell'!F58)</f>
        <v>0</v>
      </c>
      <c r="AA58" s="2336"/>
      <c r="AB58" s="1885">
        <f>SUM('5.4.a. sz mell'!H58)</f>
        <v>0</v>
      </c>
      <c r="AC58" s="248"/>
      <c r="AD58" s="248">
        <f>SUM('5.4.a. sz mell'!J58)</f>
        <v>0</v>
      </c>
      <c r="AE58" s="248"/>
      <c r="AF58" s="1871">
        <f>SUM('5.4.a. sz mell'!L58)</f>
        <v>0</v>
      </c>
      <c r="AG58" s="2300">
        <f>SUM('5.4.a. sz mell'!M58)</f>
        <v>0</v>
      </c>
    </row>
    <row r="59" spans="1:33" s="145" customFormat="1" ht="15" customHeight="1" thickBot="1" x14ac:dyDescent="0.25">
      <c r="A59" s="192" t="s">
        <v>31</v>
      </c>
      <c r="B59" s="160"/>
      <c r="C59" s="274" t="s">
        <v>465</v>
      </c>
      <c r="D59" s="162">
        <f>+D46+D52+D57</f>
        <v>92448</v>
      </c>
      <c r="E59" s="162">
        <f>+E46+E52+E57</f>
        <v>99184</v>
      </c>
      <c r="F59" s="162">
        <f>+F46+F52+F57+F58</f>
        <v>136178135</v>
      </c>
      <c r="G59" s="1437">
        <f t="shared" si="6"/>
        <v>2126883</v>
      </c>
      <c r="H59" s="162">
        <f>+H46+H52+H57+H58</f>
        <v>138305018</v>
      </c>
      <c r="I59" s="1373">
        <f t="shared" si="6"/>
        <v>1352852</v>
      </c>
      <c r="J59" s="162">
        <f>+J46+J52+J57+J58</f>
        <v>139657870</v>
      </c>
      <c r="K59" s="1373">
        <f t="shared" si="6"/>
        <v>0</v>
      </c>
      <c r="L59" s="162">
        <f>+L46+L52+L57+L58</f>
        <v>139657870</v>
      </c>
      <c r="M59" s="162">
        <f>+M46+M52+M57+M58</f>
        <v>139189536</v>
      </c>
      <c r="R59" s="1876">
        <f t="shared" si="1"/>
        <v>0</v>
      </c>
      <c r="S59" s="248"/>
      <c r="T59" s="1885">
        <f t="shared" si="2"/>
        <v>0</v>
      </c>
      <c r="U59" s="248"/>
      <c r="V59" s="248">
        <f t="shared" si="3"/>
        <v>0</v>
      </c>
      <c r="W59" s="248"/>
      <c r="X59" s="1871">
        <f t="shared" si="4"/>
        <v>0</v>
      </c>
      <c r="Y59" s="2300">
        <f t="shared" si="5"/>
        <v>0</v>
      </c>
      <c r="Z59" s="1880">
        <f>SUM('5.4.a. sz mell'!F59)</f>
        <v>136178135</v>
      </c>
      <c r="AA59" s="2336"/>
      <c r="AB59" s="1885">
        <f>SUM('5.4.a. sz mell'!H59)</f>
        <v>138305018</v>
      </c>
      <c r="AC59" s="248"/>
      <c r="AD59" s="248">
        <f>SUM('5.4.a. sz mell'!J59)</f>
        <v>139657870</v>
      </c>
      <c r="AE59" s="248"/>
      <c r="AF59" s="1871">
        <f>SUM('5.4.a. sz mell'!L59)</f>
        <v>139657870</v>
      </c>
      <c r="AG59" s="2300">
        <f>SUM('5.4.a. sz mell'!M59)</f>
        <v>139189536</v>
      </c>
    </row>
    <row r="60" spans="1:33" s="145" customFormat="1" ht="15" customHeight="1" thickBot="1" x14ac:dyDescent="0.25">
      <c r="A60" s="1303"/>
      <c r="B60" s="886"/>
      <c r="C60" s="886"/>
      <c r="D60" s="886"/>
      <c r="E60" s="886"/>
      <c r="F60" s="2100"/>
      <c r="G60" s="1550"/>
      <c r="H60" s="1550"/>
      <c r="I60" s="1550"/>
      <c r="J60" s="1550"/>
      <c r="K60" s="1550"/>
      <c r="L60" s="1550"/>
      <c r="M60" s="1304"/>
      <c r="R60" s="1876">
        <f t="shared" si="1"/>
        <v>0</v>
      </c>
      <c r="S60" s="248"/>
      <c r="T60" s="1885">
        <f t="shared" si="2"/>
        <v>0</v>
      </c>
      <c r="U60" s="248"/>
      <c r="V60" s="248">
        <f t="shared" si="3"/>
        <v>0</v>
      </c>
      <c r="W60" s="248"/>
      <c r="X60" s="1871">
        <f t="shared" si="4"/>
        <v>0</v>
      </c>
      <c r="Y60" s="2300">
        <f t="shared" si="5"/>
        <v>0</v>
      </c>
      <c r="Z60" s="1880">
        <f>SUM('5.4.a. sz mell'!F60)</f>
        <v>0</v>
      </c>
      <c r="AA60" s="2336"/>
      <c r="AB60" s="1885">
        <f>SUM('5.4.a. sz mell'!H60)</f>
        <v>0</v>
      </c>
      <c r="AC60" s="248"/>
      <c r="AD60" s="248">
        <f>SUM('5.4.a. sz mell'!J60)</f>
        <v>0</v>
      </c>
      <c r="AE60" s="248"/>
      <c r="AF60" s="1871">
        <f>SUM('5.4.a. sz mell'!L60)</f>
        <v>0</v>
      </c>
      <c r="AG60" s="2300">
        <f>SUM('5.4.a. sz mell'!M60)</f>
        <v>0</v>
      </c>
    </row>
    <row r="61" spans="1:33" s="145" customFormat="1" ht="15" customHeight="1" thickBot="1" x14ac:dyDescent="0.25">
      <c r="A61" s="276" t="s">
        <v>324</v>
      </c>
      <c r="B61" s="277"/>
      <c r="C61" s="278"/>
      <c r="D61" s="200">
        <v>31.5</v>
      </c>
      <c r="E61" s="200">
        <v>31.5</v>
      </c>
      <c r="F61" s="200">
        <v>31.5</v>
      </c>
      <c r="G61" s="1559">
        <f>SUM(H61-F61)</f>
        <v>0</v>
      </c>
      <c r="H61" s="200">
        <v>31.5</v>
      </c>
      <c r="I61" s="1373">
        <f t="shared" si="6"/>
        <v>0</v>
      </c>
      <c r="J61" s="200">
        <v>31.5</v>
      </c>
      <c r="K61" s="3511">
        <f>SUM(L61-J61)</f>
        <v>0</v>
      </c>
      <c r="L61" s="200">
        <v>31.5</v>
      </c>
      <c r="M61" s="200">
        <v>31.5</v>
      </c>
      <c r="R61" s="1876">
        <f t="shared" si="1"/>
        <v>0</v>
      </c>
      <c r="S61" s="248"/>
      <c r="T61" s="1885">
        <f t="shared" si="2"/>
        <v>0</v>
      </c>
      <c r="U61" s="248"/>
      <c r="V61" s="248">
        <f t="shared" si="3"/>
        <v>0</v>
      </c>
      <c r="W61" s="248"/>
      <c r="X61" s="1871">
        <f t="shared" si="4"/>
        <v>0</v>
      </c>
      <c r="Y61" s="2300">
        <f t="shared" si="5"/>
        <v>0</v>
      </c>
      <c r="Z61" s="2341">
        <f>SUM('5.4.a. sz mell'!F61)</f>
        <v>31.5</v>
      </c>
      <c r="AA61" s="2337"/>
      <c r="AB61" s="1885">
        <f>SUM('5.4.a. sz mell'!H61)</f>
        <v>31.5</v>
      </c>
      <c r="AC61" s="488"/>
      <c r="AD61" s="488">
        <f>SUM('5.4.a. sz mell'!J61)</f>
        <v>31.5</v>
      </c>
      <c r="AE61" s="488"/>
      <c r="AF61" s="2338">
        <f>SUM('5.4.a. sz mell'!L61)</f>
        <v>31.5</v>
      </c>
      <c r="AG61" s="2300">
        <f>SUM('5.4.a. sz mell'!M61)</f>
        <v>31.5</v>
      </c>
    </row>
    <row r="62" spans="1:33" s="145" customFormat="1" ht="15" customHeight="1" thickBot="1" x14ac:dyDescent="0.25">
      <c r="A62" s="276" t="s">
        <v>325</v>
      </c>
      <c r="B62" s="277"/>
      <c r="C62" s="278"/>
      <c r="D62" s="279"/>
      <c r="E62" s="279"/>
      <c r="F62" s="279"/>
      <c r="G62" s="1560"/>
      <c r="H62" s="279"/>
      <c r="I62" s="1389"/>
      <c r="J62" s="279"/>
      <c r="K62" s="1389"/>
      <c r="L62" s="279"/>
      <c r="M62" s="279"/>
      <c r="R62" s="1876">
        <f t="shared" si="1"/>
        <v>0</v>
      </c>
      <c r="S62" s="248"/>
      <c r="T62" s="1885">
        <f t="shared" si="2"/>
        <v>0</v>
      </c>
      <c r="U62" s="248"/>
      <c r="V62" s="248">
        <f t="shared" si="3"/>
        <v>0</v>
      </c>
      <c r="W62" s="248"/>
      <c r="X62" s="1871">
        <f t="shared" si="4"/>
        <v>0</v>
      </c>
      <c r="Y62" s="2300">
        <f t="shared" si="5"/>
        <v>0</v>
      </c>
      <c r="Z62" s="1880">
        <f>SUM('5.4.a. sz mell'!F62)</f>
        <v>0</v>
      </c>
      <c r="AA62" s="2336"/>
      <c r="AB62" s="1885">
        <f>SUM('5.4.a. sz mell'!H62)</f>
        <v>0</v>
      </c>
      <c r="AC62" s="248"/>
      <c r="AD62" s="248">
        <f>SUM('5.4.a. sz mell'!J62)</f>
        <v>0</v>
      </c>
      <c r="AE62" s="248"/>
      <c r="AF62" s="1871">
        <f>SUM('5.4.a. sz mell'!L62)</f>
        <v>0</v>
      </c>
      <c r="AG62" s="2300">
        <f>SUM('5.4.a. sz mell'!M62)</f>
        <v>0</v>
      </c>
    </row>
    <row r="64" spans="1:33" x14ac:dyDescent="0.2">
      <c r="F64" s="92">
        <f>SUM(F43-F59)</f>
        <v>0</v>
      </c>
      <c r="G64" s="92">
        <f t="shared" ref="G64:M64" si="7">SUM(G43-G59)</f>
        <v>0</v>
      </c>
      <c r="H64" s="92">
        <f t="shared" si="7"/>
        <v>0</v>
      </c>
      <c r="I64" s="92">
        <f t="shared" si="7"/>
        <v>0</v>
      </c>
      <c r="J64" s="92">
        <f t="shared" si="7"/>
        <v>0</v>
      </c>
      <c r="K64" s="92">
        <f t="shared" si="7"/>
        <v>0</v>
      </c>
      <c r="L64" s="92">
        <f t="shared" si="7"/>
        <v>0</v>
      </c>
      <c r="M64" s="92">
        <f t="shared" si="7"/>
        <v>468334</v>
      </c>
    </row>
    <row r="67" spans="3:13" ht="15.75" x14ac:dyDescent="0.2">
      <c r="C67" s="116" t="s">
        <v>945</v>
      </c>
    </row>
    <row r="68" spans="3:13" ht="15.75" x14ac:dyDescent="0.2">
      <c r="C68" s="116" t="s">
        <v>942</v>
      </c>
      <c r="H68" s="116">
        <v>138305018</v>
      </c>
      <c r="I68" s="1416"/>
      <c r="J68" s="203">
        <v>139657870</v>
      </c>
      <c r="K68" s="203"/>
      <c r="L68" s="203">
        <v>139657870</v>
      </c>
      <c r="M68" s="203">
        <v>139189536</v>
      </c>
    </row>
    <row r="69" spans="3:13" ht="15.75" x14ac:dyDescent="0.2">
      <c r="C69" s="116" t="s">
        <v>943</v>
      </c>
      <c r="H69" s="116">
        <v>0</v>
      </c>
      <c r="I69" s="1416"/>
      <c r="J69" s="203"/>
      <c r="K69" s="203"/>
      <c r="L69" s="203"/>
      <c r="M69" s="203">
        <v>0</v>
      </c>
    </row>
    <row r="70" spans="3:13" ht="18.75" x14ac:dyDescent="0.2">
      <c r="C70" s="781" t="s">
        <v>944</v>
      </c>
      <c r="H70" s="116">
        <f t="shared" ref="H70:M70" si="8">SUM(H68:H69)</f>
        <v>138305018</v>
      </c>
      <c r="I70" s="116">
        <f t="shared" si="8"/>
        <v>0</v>
      </c>
      <c r="J70" s="203">
        <f t="shared" si="8"/>
        <v>139657870</v>
      </c>
      <c r="K70" s="203">
        <f t="shared" si="8"/>
        <v>0</v>
      </c>
      <c r="L70" s="203">
        <f t="shared" si="8"/>
        <v>139657870</v>
      </c>
      <c r="M70" s="203">
        <f t="shared" si="8"/>
        <v>139189536</v>
      </c>
    </row>
    <row r="71" spans="3:13" ht="15.75" x14ac:dyDescent="0.2">
      <c r="C71" s="116"/>
      <c r="H71" s="116"/>
      <c r="I71" s="1416"/>
      <c r="J71" s="203"/>
      <c r="K71" s="203"/>
      <c r="L71" s="203"/>
      <c r="M71" s="203"/>
    </row>
    <row r="72" spans="3:13" ht="15.75" x14ac:dyDescent="0.2">
      <c r="C72" s="780" t="s">
        <v>893</v>
      </c>
      <c r="H72" s="482">
        <f>SUM(H59-H70)</f>
        <v>0</v>
      </c>
      <c r="I72" s="482"/>
      <c r="J72" s="482">
        <f>SUM(J59-J70)</f>
        <v>0</v>
      </c>
      <c r="K72" s="482">
        <f>SUM(K59-K70)</f>
        <v>0</v>
      </c>
      <c r="L72" s="482">
        <f>SUM(L59-L70)</f>
        <v>0</v>
      </c>
      <c r="M72" s="482">
        <f>SUM(M59-M70)</f>
        <v>0</v>
      </c>
    </row>
    <row r="73" spans="3:13" ht="15.75" x14ac:dyDescent="0.2">
      <c r="H73" s="116"/>
      <c r="I73" s="1416"/>
      <c r="J73" s="116"/>
      <c r="K73" s="1416"/>
      <c r="L73" s="116"/>
      <c r="M73" s="116"/>
    </row>
    <row r="74" spans="3:13" ht="15.75" x14ac:dyDescent="0.2">
      <c r="H74" s="116"/>
      <c r="I74" s="1416"/>
      <c r="J74" s="116"/>
      <c r="K74" s="1416"/>
      <c r="L74" s="116"/>
      <c r="M74" s="116"/>
    </row>
    <row r="75" spans="3:13" ht="15.75" x14ac:dyDescent="0.2">
      <c r="H75" s="116"/>
      <c r="I75" s="1416"/>
      <c r="J75" s="116"/>
      <c r="K75" s="1416"/>
      <c r="L75" s="116"/>
      <c r="M75" s="116"/>
    </row>
    <row r="76" spans="3:13" ht="15.75" x14ac:dyDescent="0.2">
      <c r="C76" s="116" t="s">
        <v>946</v>
      </c>
      <c r="H76" s="116"/>
      <c r="I76" s="1416"/>
      <c r="J76" s="116"/>
      <c r="K76" s="1416"/>
      <c r="L76" s="116"/>
      <c r="M76" s="116"/>
    </row>
    <row r="77" spans="3:13" ht="15.75" x14ac:dyDescent="0.2">
      <c r="C77" s="116"/>
      <c r="H77" s="116"/>
      <c r="I77" s="1416"/>
      <c r="J77" s="116"/>
      <c r="K77" s="1416"/>
      <c r="L77" s="116"/>
      <c r="M77" s="116"/>
    </row>
    <row r="78" spans="3:13" ht="15.75" x14ac:dyDescent="0.2">
      <c r="C78" s="116" t="s">
        <v>947</v>
      </c>
      <c r="H78" s="203">
        <v>0</v>
      </c>
      <c r="I78" s="1470"/>
      <c r="J78" s="203">
        <v>57115</v>
      </c>
      <c r="K78" s="1470"/>
      <c r="L78" s="203">
        <v>57115</v>
      </c>
      <c r="M78" s="203">
        <v>57115</v>
      </c>
    </row>
    <row r="79" spans="3:13" ht="15.75" x14ac:dyDescent="0.2">
      <c r="C79" s="116" t="s">
        <v>948</v>
      </c>
      <c r="H79" s="203">
        <v>138305018</v>
      </c>
      <c r="I79" s="1470"/>
      <c r="J79" s="203">
        <v>139600755</v>
      </c>
      <c r="K79" s="1470"/>
      <c r="L79" s="203">
        <v>139600755</v>
      </c>
      <c r="M79" s="203">
        <v>139600755</v>
      </c>
    </row>
    <row r="80" spans="3:13" ht="18.75" x14ac:dyDescent="0.2">
      <c r="C80" s="471" t="s">
        <v>944</v>
      </c>
      <c r="H80" s="482">
        <f t="shared" ref="H80:M80" si="9">SUM(H78:H79)</f>
        <v>138305018</v>
      </c>
      <c r="I80" s="482">
        <f t="shared" si="9"/>
        <v>0</v>
      </c>
      <c r="J80" s="482">
        <f t="shared" si="9"/>
        <v>139657870</v>
      </c>
      <c r="K80" s="482">
        <f>SUM(K67-K78)</f>
        <v>0</v>
      </c>
      <c r="L80" s="482">
        <f t="shared" si="9"/>
        <v>139657870</v>
      </c>
      <c r="M80" s="482">
        <f t="shared" si="9"/>
        <v>139657870</v>
      </c>
    </row>
    <row r="81" spans="3:13" ht="15.75" x14ac:dyDescent="0.2">
      <c r="C81" s="116"/>
      <c r="H81" s="116"/>
      <c r="I81" s="1416"/>
      <c r="J81" s="116"/>
      <c r="K81" s="116"/>
      <c r="L81" s="116"/>
      <c r="M81" s="116"/>
    </row>
    <row r="82" spans="3:13" ht="15.75" x14ac:dyDescent="0.2">
      <c r="C82" s="780" t="s">
        <v>279</v>
      </c>
      <c r="H82" s="482">
        <f>SUM(H43-H80)</f>
        <v>0</v>
      </c>
      <c r="I82" s="482"/>
      <c r="J82" s="482">
        <f>SUM(J43-J80)</f>
        <v>0</v>
      </c>
      <c r="K82" s="482">
        <f>SUM(K43-K80)</f>
        <v>0</v>
      </c>
      <c r="L82" s="482">
        <f>SUM(L43-L80)</f>
        <v>0</v>
      </c>
      <c r="M82" s="482">
        <f>SUM(M43-M80)</f>
        <v>0</v>
      </c>
    </row>
    <row r="83" spans="3:13" ht="15.75" x14ac:dyDescent="0.2">
      <c r="C83" s="116"/>
      <c r="H83" s="116"/>
      <c r="I83" s="1416"/>
      <c r="J83" s="116"/>
      <c r="K83" s="116"/>
      <c r="L83" s="116"/>
      <c r="M83" s="116"/>
    </row>
    <row r="84" spans="3:13" ht="15.75" x14ac:dyDescent="0.2">
      <c r="H84" s="116"/>
      <c r="I84" s="1416"/>
      <c r="J84" s="116"/>
      <c r="K84" s="1416"/>
      <c r="L84" s="116"/>
      <c r="M84" s="116"/>
    </row>
    <row r="85" spans="3:13" ht="15.75" x14ac:dyDescent="0.2">
      <c r="H85" s="116"/>
      <c r="I85" s="1416"/>
      <c r="J85" s="116"/>
      <c r="K85" s="1416"/>
      <c r="L85" s="116"/>
      <c r="M85" s="116"/>
    </row>
  </sheetData>
  <mergeCells count="20">
    <mergeCell ref="C1:M1"/>
    <mergeCell ref="H2:H3"/>
    <mergeCell ref="M2:M3"/>
    <mergeCell ref="D4:F4"/>
    <mergeCell ref="A5:B5"/>
    <mergeCell ref="A2:B2"/>
    <mergeCell ref="D2:D3"/>
    <mergeCell ref="F2:F3"/>
    <mergeCell ref="A3:B3"/>
    <mergeCell ref="G2:G3"/>
    <mergeCell ref="V4:V5"/>
    <mergeCell ref="X4:X5"/>
    <mergeCell ref="AD4:AD5"/>
    <mergeCell ref="AF4:AF5"/>
    <mergeCell ref="I2:I3"/>
    <mergeCell ref="J2:J3"/>
    <mergeCell ref="K2:K3"/>
    <mergeCell ref="L2:L3"/>
    <mergeCell ref="AB4:AB5"/>
    <mergeCell ref="T4:T5"/>
  </mergeCells>
  <printOptions horizontalCentered="1"/>
  <pageMargins left="0.23622047244094491" right="0.19685039370078741" top="0.35433070866141736" bottom="0.39370078740157483" header="0.51181102362204722" footer="0.15748031496062992"/>
  <pageSetup paperSize="9" scale="71" firstPageNumber="59" orientation="portrait" useFirstPageNumber="1" r:id="rId1"/>
  <headerFooter>
    <oddFooter>&amp;C- &amp;P -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W62"/>
  <sheetViews>
    <sheetView view="pageBreakPreview" topLeftCell="A34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4.1640625" style="115" customWidth="1"/>
    <col min="4" max="5" width="9.33203125" style="115" hidden="1" customWidth="1"/>
    <col min="6" max="6" width="12.6640625" style="115" customWidth="1"/>
    <col min="7" max="7" width="12.6640625" style="1390" hidden="1" customWidth="1"/>
    <col min="8" max="8" width="13.5" style="115" hidden="1" customWidth="1"/>
    <col min="9" max="9" width="11.1640625" style="1390" hidden="1" customWidth="1"/>
    <col min="10" max="10" width="12.5" style="115" customWidth="1"/>
    <col min="11" max="11" width="13.1640625" style="1390" customWidth="1"/>
    <col min="12" max="12" width="15.83203125" style="115" customWidth="1"/>
    <col min="13" max="13" width="14.33203125" style="115" customWidth="1"/>
    <col min="14" max="20" width="9.33203125" style="115"/>
    <col min="21" max="21" width="16.5" style="115" customWidth="1"/>
    <col min="22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729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46.5" customHeight="1" thickBot="1" x14ac:dyDescent="0.25">
      <c r="A2" s="4516" t="s">
        <v>411</v>
      </c>
      <c r="B2" s="4516"/>
      <c r="C2" s="117" t="s">
        <v>1002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25" t="s">
        <v>283</v>
      </c>
      <c r="B3" s="4525"/>
      <c r="C3" s="304" t="s">
        <v>478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5"/>
      <c r="M4" s="1508" t="s">
        <v>935</v>
      </c>
    </row>
    <row r="5" spans="1:13" s="145" customFormat="1" ht="25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57115</v>
      </c>
      <c r="K8" s="1382">
        <f>SUM(L8-J8)</f>
        <v>0</v>
      </c>
      <c r="L8" s="137">
        <f>SUM(L9:L18)</f>
        <v>57115</v>
      </c>
      <c r="M8" s="137">
        <f>SUM(M9:M18)</f>
        <v>57115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432"/>
      <c r="H9" s="144">
        <f>SUM('5.4. sz mell'!H9)</f>
        <v>0</v>
      </c>
      <c r="I9" s="1376"/>
      <c r="J9" s="144">
        <f>SUM('5.4. sz mell'!J9)</f>
        <v>0</v>
      </c>
      <c r="K9" s="1376"/>
      <c r="L9" s="144">
        <f>SUM('5.4. sz mell'!L9)</f>
        <v>0</v>
      </c>
      <c r="M9" s="144">
        <f>SUM('5.4. sz mell'!M9)</f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f>SUM('5.4. sz mell'!H10)</f>
        <v>0</v>
      </c>
      <c r="I10" s="1376"/>
      <c r="J10" s="144">
        <f>SUM('5.4. sz mell'!J10)</f>
        <v>0</v>
      </c>
      <c r="K10" s="1376"/>
      <c r="L10" s="144">
        <f>SUM('5.4. sz mell'!L10)</f>
        <v>0</v>
      </c>
      <c r="M10" s="144">
        <f>SUM('5.4. sz mell'!M10)</f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f>SUM('5.4. sz mell'!H11)</f>
        <v>0</v>
      </c>
      <c r="I11" s="1376"/>
      <c r="J11" s="144">
        <f>SUM('5.4. sz mell'!J11)</f>
        <v>0</v>
      </c>
      <c r="K11" s="1376"/>
      <c r="L11" s="144">
        <f>SUM('5.4. sz mell'!L11)</f>
        <v>0</v>
      </c>
      <c r="M11" s="144">
        <f>SUM('5.4. sz mell'!M11)</f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f>SUM('5.4. sz mell'!H12)</f>
        <v>0</v>
      </c>
      <c r="I12" s="1376"/>
      <c r="J12" s="144">
        <f>SUM('5.4. sz mell'!J12)</f>
        <v>0</v>
      </c>
      <c r="K12" s="1376"/>
      <c r="L12" s="144">
        <f>SUM('5.4. sz mell'!L12)</f>
        <v>0</v>
      </c>
      <c r="M12" s="144">
        <f>SUM('5.4. sz mell'!M12)</f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f>SUM('5.4. sz mell'!H13)</f>
        <v>0</v>
      </c>
      <c r="I13" s="1376"/>
      <c r="J13" s="144">
        <f>SUM('5.4. sz mell'!J13)</f>
        <v>0</v>
      </c>
      <c r="K13" s="1376"/>
      <c r="L13" s="144">
        <f>SUM('5.4. sz mell'!L13)</f>
        <v>0</v>
      </c>
      <c r="M13" s="144">
        <f>SUM('5.4. sz mell'!M13)</f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f>SUM('5.4. sz mell'!H14)</f>
        <v>0</v>
      </c>
      <c r="I14" s="1376"/>
      <c r="J14" s="144">
        <f>SUM('5.4. sz mell'!J14)</f>
        <v>0</v>
      </c>
      <c r="K14" s="1376"/>
      <c r="L14" s="144">
        <f>SUM('5.4. sz mell'!L14)</f>
        <v>0</v>
      </c>
      <c r="M14" s="144">
        <f>SUM('5.4. sz mell'!M14)</f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4">
        <f>SUM('5.4. sz mell'!H15)</f>
        <v>0</v>
      </c>
      <c r="I15" s="1376"/>
      <c r="J15" s="144">
        <f>SUM('5.4. sz mell'!J15)</f>
        <v>0</v>
      </c>
      <c r="K15" s="1376"/>
      <c r="L15" s="144">
        <f>SUM('5.4. sz mell'!L15)</f>
        <v>0</v>
      </c>
      <c r="M15" s="144">
        <f>SUM('5.4. sz mell'!M15)</f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f>SUM('5.4. sz mell'!H16)</f>
        <v>0</v>
      </c>
      <c r="I16" s="1376"/>
      <c r="J16" s="144">
        <f>SUM('5.4. sz mell'!J16)</f>
        <v>0</v>
      </c>
      <c r="K16" s="1376"/>
      <c r="L16" s="144">
        <f>SUM('5.4. sz mell'!L16)</f>
        <v>0</v>
      </c>
      <c r="M16" s="144">
        <f>SUM('5.4. sz mell'!M16)</f>
        <v>0</v>
      </c>
    </row>
    <row r="17" spans="1:13" s="145" customFormat="1" ht="15" customHeight="1" thickBot="1" x14ac:dyDescent="0.25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44">
        <f>SUM('5.4. sz mell'!H17)</f>
        <v>0</v>
      </c>
      <c r="I17" s="1376"/>
      <c r="J17" s="144">
        <f>SUM('5.4. sz mell'!J17)</f>
        <v>0</v>
      </c>
      <c r="K17" s="1376"/>
      <c r="L17" s="144">
        <f>SUM('5.4. sz mell'!L17)</f>
        <v>0</v>
      </c>
      <c r="M17" s="144">
        <f>SUM('5.4. sz mell'!M17)</f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44">
        <f>SUM('5.4. sz mell'!F18)</f>
        <v>0</v>
      </c>
      <c r="G18" s="1415"/>
      <c r="H18" s="144">
        <f>SUM('5.4. sz mell'!H18)</f>
        <v>0</v>
      </c>
      <c r="I18" s="1376"/>
      <c r="J18" s="144">
        <f>SUM('5.4. sz mell'!J18)</f>
        <v>57115</v>
      </c>
      <c r="K18" s="2446">
        <f>SUM(L18-J18)</f>
        <v>0</v>
      </c>
      <c r="L18" s="144">
        <f>SUM('5.4. sz mell'!L18)</f>
        <v>57115</v>
      </c>
      <c r="M18" s="144">
        <f>SUM('5.4. sz mell'!M18)</f>
        <v>57115</v>
      </c>
    </row>
    <row r="19" spans="1:13" s="141" customFormat="1" ht="34.5" customHeight="1" thickBot="1" x14ac:dyDescent="0.25">
      <c r="A19" s="134" t="s">
        <v>17</v>
      </c>
      <c r="B19" s="148"/>
      <c r="C19" s="247" t="s">
        <v>419</v>
      </c>
      <c r="D19" s="137">
        <f>SUM(D20:D25)</f>
        <v>88468</v>
      </c>
      <c r="E19" s="137">
        <f>SUM(E20:E25)</f>
        <v>91119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</row>
    <row r="20" spans="1:13" s="145" customFormat="1" ht="30" x14ac:dyDescent="0.2">
      <c r="A20" s="142"/>
      <c r="B20" s="143" t="s">
        <v>5</v>
      </c>
      <c r="C20" s="251" t="s">
        <v>420</v>
      </c>
      <c r="D20" s="144">
        <v>88468</v>
      </c>
      <c r="E20" s="144">
        <v>91119</v>
      </c>
      <c r="F20" s="144"/>
      <c r="G20" s="1415"/>
      <c r="H20" s="144"/>
      <c r="I20" s="1376"/>
      <c r="J20" s="144"/>
      <c r="K20" s="1376"/>
      <c r="L20" s="144"/>
      <c r="M20" s="144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/>
      <c r="H21" s="144">
        <v>0</v>
      </c>
      <c r="I21" s="1376"/>
      <c r="J21" s="144">
        <v>0</v>
      </c>
      <c r="K21" s="1376"/>
      <c r="L21" s="144">
        <v>0</v>
      </c>
      <c r="M21" s="144">
        <v>0</v>
      </c>
    </row>
    <row r="22" spans="1:13" s="145" customFormat="1" ht="15" customHeight="1" x14ac:dyDescent="0.2">
      <c r="A22" s="142"/>
      <c r="B22" s="143" t="s">
        <v>360</v>
      </c>
      <c r="C22" s="55" t="s">
        <v>1430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f>SUM(F27)</f>
        <v>0</v>
      </c>
      <c r="G26" s="1381"/>
      <c r="H26" s="155">
        <f>SUM(H27)</f>
        <v>0</v>
      </c>
      <c r="I26" s="1380"/>
      <c r="J26" s="155">
        <f>SUM(J27)</f>
        <v>0</v>
      </c>
      <c r="K26" s="1380"/>
      <c r="L26" s="155">
        <f>SUM(L27)</f>
        <v>0</v>
      </c>
      <c r="M26" s="155">
        <f>SUM(M27)</f>
        <v>0</v>
      </c>
    </row>
    <row r="27" spans="1:13" s="145" customFormat="1" ht="30.7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155">
        <v>0</v>
      </c>
      <c r="G27" s="1381"/>
      <c r="H27" s="155"/>
      <c r="I27" s="1380"/>
      <c r="J27" s="155"/>
      <c r="K27" s="1380"/>
      <c r="L27" s="155"/>
      <c r="M27" s="155"/>
    </row>
    <row r="28" spans="1:13" s="141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1381"/>
      <c r="H28" s="155">
        <f>SUM(H29:H31)</f>
        <v>0</v>
      </c>
      <c r="I28" s="1380"/>
      <c r="J28" s="155">
        <f>SUM(J29:J31)</f>
        <v>0</v>
      </c>
      <c r="K28" s="1380"/>
      <c r="L28" s="155">
        <f>SUM(L29:L31)</f>
        <v>0</v>
      </c>
      <c r="M28" s="155">
        <f>SUM(M29:M31)</f>
        <v>0</v>
      </c>
    </row>
    <row r="29" spans="1:13" s="141" customFormat="1" ht="15" customHeight="1" thickBot="1" x14ac:dyDescent="0.25">
      <c r="A29" s="149"/>
      <c r="B29" s="253" t="s">
        <v>33</v>
      </c>
      <c r="C29" s="55" t="s">
        <v>359</v>
      </c>
      <c r="D29" s="295"/>
      <c r="E29" s="295"/>
      <c r="F29" s="144">
        <v>0</v>
      </c>
      <c r="G29" s="1415"/>
      <c r="H29" s="144">
        <v>0</v>
      </c>
      <c r="I29" s="1376"/>
      <c r="J29" s="144">
        <v>0</v>
      </c>
      <c r="K29" s="1376"/>
      <c r="L29" s="144">
        <v>0</v>
      </c>
      <c r="M29" s="144">
        <v>0</v>
      </c>
    </row>
    <row r="30" spans="1:13" s="141" customFormat="1" ht="15" customHeight="1" thickBot="1" x14ac:dyDescent="0.25">
      <c r="A30" s="146"/>
      <c r="B30" s="253" t="s">
        <v>39</v>
      </c>
      <c r="C30" s="55" t="s">
        <v>72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78"/>
      <c r="B31" s="253" t="s">
        <v>41</v>
      </c>
      <c r="C31" s="55" t="s">
        <v>74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29.25" thickBot="1" x14ac:dyDescent="0.25">
      <c r="A32" s="134" t="s">
        <v>67</v>
      </c>
      <c r="B32" s="254"/>
      <c r="C32" s="170" t="s">
        <v>429</v>
      </c>
      <c r="D32" s="295"/>
      <c r="E32" s="295"/>
      <c r="F32" s="295">
        <f>SUM(F33:F33)</f>
        <v>0</v>
      </c>
      <c r="G32" s="1381"/>
      <c r="H32" s="295">
        <f>SUM(H33:H33)</f>
        <v>0</v>
      </c>
      <c r="I32" s="1381"/>
      <c r="J32" s="295">
        <f>SUM(J33:J33)</f>
        <v>0</v>
      </c>
      <c r="K32" s="1381"/>
      <c r="L32" s="295">
        <f>SUM(L33:L33)</f>
        <v>0</v>
      </c>
      <c r="M32" s="295">
        <f>SUM(M33:M33)</f>
        <v>0</v>
      </c>
    </row>
    <row r="33" spans="1:23" s="141" customFormat="1" ht="30.75" thickBot="1" x14ac:dyDescent="0.25">
      <c r="A33" s="146"/>
      <c r="B33" s="255" t="s">
        <v>47</v>
      </c>
      <c r="C33" s="251" t="s">
        <v>430</v>
      </c>
      <c r="D33" s="295"/>
      <c r="E33" s="295"/>
      <c r="F33" s="144">
        <v>0</v>
      </c>
      <c r="G33" s="1415"/>
      <c r="H33" s="144"/>
      <c r="I33" s="1376"/>
      <c r="J33" s="144"/>
      <c r="K33" s="1376"/>
      <c r="L33" s="144"/>
      <c r="M33" s="144"/>
    </row>
    <row r="34" spans="1:23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155">
        <f>SUM(F35)</f>
        <v>0</v>
      </c>
      <c r="G34" s="1381"/>
      <c r="H34" s="155">
        <f>SUM(H35)</f>
        <v>0</v>
      </c>
      <c r="I34" s="1380"/>
      <c r="J34" s="155">
        <f>SUM(J35)</f>
        <v>0</v>
      </c>
      <c r="K34" s="1380"/>
      <c r="L34" s="155">
        <f>SUM(L35)</f>
        <v>0</v>
      </c>
      <c r="M34" s="155">
        <f>SUM(M35)</f>
        <v>0</v>
      </c>
    </row>
    <row r="35" spans="1:23" s="141" customFormat="1" ht="30.75" thickBot="1" x14ac:dyDescent="0.25">
      <c r="A35" s="258"/>
      <c r="B35" s="257" t="s">
        <v>69</v>
      </c>
      <c r="C35" s="55" t="s">
        <v>432</v>
      </c>
      <c r="D35" s="295"/>
      <c r="E35" s="295"/>
      <c r="F35" s="315">
        <v>0</v>
      </c>
      <c r="G35" s="1509"/>
      <c r="H35" s="315"/>
      <c r="I35" s="1509"/>
      <c r="J35" s="315"/>
      <c r="K35" s="1509"/>
      <c r="L35" s="315"/>
      <c r="M35" s="315"/>
    </row>
    <row r="36" spans="1:23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120</v>
      </c>
      <c r="F36" s="285">
        <f>SUM(F37:F39)</f>
        <v>136178135</v>
      </c>
      <c r="G36" s="1382">
        <f t="shared" ref="G36:K59" si="0">SUM(H36-F36)</f>
        <v>2126883</v>
      </c>
      <c r="H36" s="285">
        <f>SUM(H37:H39)</f>
        <v>138305018</v>
      </c>
      <c r="I36" s="1382">
        <f t="shared" si="0"/>
        <v>1295737</v>
      </c>
      <c r="J36" s="285">
        <f>SUM(J37:J39)</f>
        <v>139600755</v>
      </c>
      <c r="K36" s="1382">
        <f t="shared" si="0"/>
        <v>0</v>
      </c>
      <c r="L36" s="285">
        <f>SUM(L37:L39)</f>
        <v>139600755</v>
      </c>
      <c r="M36" s="285">
        <f>SUM(M37:M39)</f>
        <v>139600755</v>
      </c>
    </row>
    <row r="37" spans="1:23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306">
        <v>120</v>
      </c>
      <c r="F37" s="306">
        <v>0</v>
      </c>
      <c r="G37" s="1415">
        <f t="shared" si="0"/>
        <v>643020</v>
      </c>
      <c r="H37" s="306">
        <f>SUM('5.4. sz mell'!H37)</f>
        <v>643020</v>
      </c>
      <c r="I37" s="1376">
        <f t="shared" si="0"/>
        <v>0</v>
      </c>
      <c r="J37" s="306">
        <f>SUM('5.4. sz mell'!J37)</f>
        <v>643020</v>
      </c>
      <c r="K37" s="1376">
        <f t="shared" si="0"/>
        <v>0</v>
      </c>
      <c r="L37" s="306">
        <f>SUM('5.4. sz mell'!L37)</f>
        <v>643020</v>
      </c>
      <c r="M37" s="306">
        <f>SUM('5.4. sz mell'!M37)</f>
        <v>643020</v>
      </c>
    </row>
    <row r="38" spans="1:23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294">
        <v>0</v>
      </c>
      <c r="F38" s="144">
        <v>0</v>
      </c>
      <c r="G38" s="1415">
        <f t="shared" si="0"/>
        <v>0</v>
      </c>
      <c r="H38" s="144">
        <v>0</v>
      </c>
      <c r="I38" s="1376">
        <f t="shared" si="0"/>
        <v>0</v>
      </c>
      <c r="J38" s="144">
        <v>0</v>
      </c>
      <c r="K38" s="1376">
        <f t="shared" si="0"/>
        <v>0</v>
      </c>
      <c r="L38" s="144">
        <v>0</v>
      </c>
      <c r="M38" s="144">
        <v>0</v>
      </c>
    </row>
    <row r="39" spans="1:23" s="145" customFormat="1" ht="15" customHeight="1" thickBot="1" x14ac:dyDescent="0.25">
      <c r="A39" s="142"/>
      <c r="B39" s="253" t="s">
        <v>85</v>
      </c>
      <c r="C39" s="55" t="s">
        <v>1432</v>
      </c>
      <c r="D39" s="155">
        <v>3980</v>
      </c>
      <c r="E39" s="155">
        <v>7945</v>
      </c>
      <c r="F39" s="144">
        <f>SUM(F40:F41)</f>
        <v>136178135</v>
      </c>
      <c r="G39" s="1415">
        <f t="shared" si="0"/>
        <v>1483863</v>
      </c>
      <c r="H39" s="144">
        <f>SUM(H40:H41)</f>
        <v>137661998</v>
      </c>
      <c r="I39" s="1376">
        <f t="shared" si="0"/>
        <v>1295737</v>
      </c>
      <c r="J39" s="144">
        <f>SUM(J40:J41)</f>
        <v>138957735</v>
      </c>
      <c r="K39" s="1376">
        <f t="shared" si="0"/>
        <v>0</v>
      </c>
      <c r="L39" s="144">
        <f>SUM(L40:L41)</f>
        <v>138957735</v>
      </c>
      <c r="M39" s="144">
        <f>SUM(M40:M41)</f>
        <v>138957735</v>
      </c>
    </row>
    <row r="40" spans="1:23" s="145" customFormat="1" ht="15" customHeight="1" x14ac:dyDescent="0.2">
      <c r="A40" s="142"/>
      <c r="B40" s="260" t="s">
        <v>437</v>
      </c>
      <c r="C40" s="261" t="s">
        <v>438</v>
      </c>
      <c r="D40" s="316"/>
      <c r="E40" s="316"/>
      <c r="F40" s="302">
        <f>SUM('5.4. sz mell'!F40)</f>
        <v>128477267</v>
      </c>
      <c r="G40" s="1534">
        <f t="shared" si="0"/>
        <v>123058</v>
      </c>
      <c r="H40" s="302">
        <f>SUM('5.4. sz mell'!H40)</f>
        <v>128600325</v>
      </c>
      <c r="I40" s="1492">
        <f t="shared" si="0"/>
        <v>2187868</v>
      </c>
      <c r="J40" s="302">
        <f>SUM('5.4. sz mell'!J40)</f>
        <v>130788193</v>
      </c>
      <c r="K40" s="1492">
        <f t="shared" si="0"/>
        <v>0</v>
      </c>
      <c r="L40" s="302">
        <f>SUM('5.4. sz mell'!L40)</f>
        <v>130788193</v>
      </c>
      <c r="M40" s="302">
        <f>SUM('5.4. sz mell'!M40)</f>
        <v>130788193</v>
      </c>
    </row>
    <row r="41" spans="1:23" s="145" customFormat="1" ht="15" customHeight="1" thickBot="1" x14ac:dyDescent="0.25">
      <c r="A41" s="178"/>
      <c r="B41" s="263" t="s">
        <v>439</v>
      </c>
      <c r="C41" s="264" t="s">
        <v>440</v>
      </c>
      <c r="D41" s="317"/>
      <c r="E41" s="317"/>
      <c r="F41" s="302">
        <f>SUM('5.4. sz mell'!F41)</f>
        <v>7700868</v>
      </c>
      <c r="G41" s="1534">
        <f t="shared" si="0"/>
        <v>1360805</v>
      </c>
      <c r="H41" s="302">
        <f>SUM('5.4. sz mell'!H41)</f>
        <v>9061673</v>
      </c>
      <c r="I41" s="1492">
        <f t="shared" si="0"/>
        <v>-892131</v>
      </c>
      <c r="J41" s="302">
        <f>SUM('5.4. sz mell'!J41)</f>
        <v>8169542</v>
      </c>
      <c r="K41" s="1492">
        <f t="shared" si="0"/>
        <v>0</v>
      </c>
      <c r="L41" s="302">
        <f>SUM('5.4. sz mell'!L41)</f>
        <v>8169542</v>
      </c>
      <c r="M41" s="302">
        <f>SUM('5.4. sz mell'!M41)</f>
        <v>8169542</v>
      </c>
    </row>
    <row r="42" spans="1:23" s="145" customFormat="1" ht="12.75" hidden="1" customHeight="1" x14ac:dyDescent="0.25">
      <c r="A42" s="258"/>
      <c r="B42" s="256"/>
      <c r="C42" s="170" t="s">
        <v>458</v>
      </c>
      <c r="D42" s="155"/>
      <c r="E42" s="155"/>
      <c r="F42" s="155"/>
      <c r="G42" s="1415">
        <f t="shared" si="0"/>
        <v>0</v>
      </c>
      <c r="H42" s="155"/>
      <c r="I42" s="1376">
        <f t="shared" si="0"/>
        <v>0</v>
      </c>
      <c r="J42" s="155"/>
      <c r="K42" s="1376">
        <f t="shared" si="0"/>
        <v>0</v>
      </c>
      <c r="L42" s="155"/>
      <c r="M42" s="155"/>
    </row>
    <row r="43" spans="1:23" s="145" customFormat="1" ht="15" customHeight="1" thickBot="1" x14ac:dyDescent="0.25">
      <c r="A43" s="192" t="s">
        <v>99</v>
      </c>
      <c r="B43" s="160"/>
      <c r="C43" s="274" t="s">
        <v>441</v>
      </c>
      <c r="D43" s="162">
        <f>SUM(D8,D19,D26,D28,D36,D39)</f>
        <v>92448</v>
      </c>
      <c r="E43" s="162">
        <f>SUM(E8,E19,E26,E28,E36,E39)</f>
        <v>99184</v>
      </c>
      <c r="F43" s="162">
        <f>SUM(F8,F19,F26,F28,F36)</f>
        <v>136178135</v>
      </c>
      <c r="G43" s="1437">
        <f t="shared" si="0"/>
        <v>2126883</v>
      </c>
      <c r="H43" s="162">
        <f>SUM(H8,H19,H26,H28,H36)</f>
        <v>138305018</v>
      </c>
      <c r="I43" s="1373">
        <f t="shared" si="0"/>
        <v>1352852</v>
      </c>
      <c r="J43" s="162">
        <f>SUM(J8,J19,J26,J28,J36)</f>
        <v>139657870</v>
      </c>
      <c r="K43" s="1373">
        <f t="shared" si="0"/>
        <v>0</v>
      </c>
      <c r="L43" s="162">
        <f>SUM(L8,L19,L26,L28,L36)</f>
        <v>139657870</v>
      </c>
      <c r="M43" s="162">
        <f>SUM(M8,M19,M26,M28,M36)</f>
        <v>139657870</v>
      </c>
      <c r="O43" s="205">
        <f>SUM(F59-F43)</f>
        <v>0</v>
      </c>
      <c r="P43" s="205">
        <f t="shared" ref="P43:U43" si="1">SUM(H59-H43)</f>
        <v>0</v>
      </c>
      <c r="Q43" s="205">
        <f t="shared" si="1"/>
        <v>0</v>
      </c>
      <c r="R43" s="205">
        <f t="shared" si="1"/>
        <v>0</v>
      </c>
      <c r="S43" s="205">
        <f t="shared" si="1"/>
        <v>0</v>
      </c>
      <c r="T43" s="205">
        <f t="shared" si="1"/>
        <v>0</v>
      </c>
      <c r="U43" s="205">
        <f t="shared" si="1"/>
        <v>-468334</v>
      </c>
      <c r="V43" s="205"/>
      <c r="W43" s="205"/>
    </row>
    <row r="44" spans="1:23" s="145" customFormat="1" ht="15" customHeight="1" thickBot="1" x14ac:dyDescent="0.25">
      <c r="A44" s="2098"/>
      <c r="B44" s="266"/>
      <c r="C44" s="275"/>
      <c r="D44" s="286"/>
      <c r="E44" s="286"/>
      <c r="F44" s="2163"/>
      <c r="G44" s="2684"/>
      <c r="H44" s="1443"/>
      <c r="I44" s="1443"/>
      <c r="J44" s="1443"/>
      <c r="K44" s="1443"/>
      <c r="L44" s="1443"/>
      <c r="M44" s="1458"/>
    </row>
    <row r="45" spans="1:23" s="305" customFormat="1" ht="15" customHeight="1" thickBot="1" x14ac:dyDescent="0.25">
      <c r="A45" s="192"/>
      <c r="B45" s="160"/>
      <c r="C45" s="282" t="s">
        <v>231</v>
      </c>
      <c r="D45" s="162"/>
      <c r="E45" s="162"/>
      <c r="F45" s="162"/>
      <c r="G45" s="1437"/>
      <c r="H45" s="162"/>
      <c r="I45" s="1373"/>
      <c r="J45" s="162"/>
      <c r="K45" s="1373"/>
      <c r="L45" s="162"/>
      <c r="M45" s="162"/>
    </row>
    <row r="46" spans="1:23" s="141" customFormat="1" ht="15" customHeight="1" thickBot="1" x14ac:dyDescent="0.25">
      <c r="A46" s="134" t="s">
        <v>3</v>
      </c>
      <c r="B46" s="170"/>
      <c r="C46" s="170" t="s">
        <v>442</v>
      </c>
      <c r="D46" s="137">
        <f>SUM(D47:D51)</f>
        <v>92448</v>
      </c>
      <c r="E46" s="137">
        <f>SUM(E47:E51)</f>
        <v>99095</v>
      </c>
      <c r="F46" s="137">
        <f>SUM(F47:F51)</f>
        <v>135416135</v>
      </c>
      <c r="G46" s="1382">
        <f t="shared" si="0"/>
        <v>1153883</v>
      </c>
      <c r="H46" s="137">
        <f>SUM(H47:H51)</f>
        <v>136570018</v>
      </c>
      <c r="I46" s="1382">
        <f t="shared" si="0"/>
        <v>1269272</v>
      </c>
      <c r="J46" s="137">
        <f>SUM(J47:J51)</f>
        <v>137839290</v>
      </c>
      <c r="K46" s="1382">
        <f t="shared" si="0"/>
        <v>0</v>
      </c>
      <c r="L46" s="137">
        <f>SUM(L47:L51)</f>
        <v>137839290</v>
      </c>
      <c r="M46" s="137">
        <f>SUM(M47:M51)</f>
        <v>137508086</v>
      </c>
    </row>
    <row r="47" spans="1:23" s="145" customFormat="1" ht="15" customHeight="1" x14ac:dyDescent="0.2">
      <c r="A47" s="173"/>
      <c r="B47" s="267" t="s">
        <v>152</v>
      </c>
      <c r="C47" s="251" t="s">
        <v>153</v>
      </c>
      <c r="D47" s="175">
        <v>63435</v>
      </c>
      <c r="E47" s="175">
        <v>68371</v>
      </c>
      <c r="F47" s="175">
        <f>SUM('5.4. sz mell'!F47)</f>
        <v>105041563</v>
      </c>
      <c r="G47" s="1415">
        <f t="shared" si="0"/>
        <v>450176</v>
      </c>
      <c r="H47" s="175">
        <f>SUM('5.4. sz mell'!H47)</f>
        <v>105491739</v>
      </c>
      <c r="I47" s="1376">
        <f t="shared" si="0"/>
        <v>2320743</v>
      </c>
      <c r="J47" s="175">
        <f>SUM('5.4. sz mell'!J47)</f>
        <v>107812482</v>
      </c>
      <c r="K47" s="1376">
        <f t="shared" si="0"/>
        <v>0</v>
      </c>
      <c r="L47" s="175">
        <f>SUM('5.4. sz mell'!L47)</f>
        <v>107812482</v>
      </c>
      <c r="M47" s="175">
        <f>SUM('5.4. sz mell'!M47)</f>
        <v>107812482</v>
      </c>
    </row>
    <row r="48" spans="1:23" s="145" customFormat="1" ht="15" customHeight="1" x14ac:dyDescent="0.2">
      <c r="A48" s="142"/>
      <c r="B48" s="253" t="s">
        <v>154</v>
      </c>
      <c r="C48" s="55" t="s">
        <v>155</v>
      </c>
      <c r="D48" s="144">
        <v>16960</v>
      </c>
      <c r="E48" s="144">
        <v>18293</v>
      </c>
      <c r="F48" s="175">
        <f>SUM('5.4. sz mell'!F48)</f>
        <v>21164702</v>
      </c>
      <c r="G48" s="1415">
        <f t="shared" si="0"/>
        <v>89072</v>
      </c>
      <c r="H48" s="175">
        <f>SUM('5.4. sz mell'!H48)</f>
        <v>21253774</v>
      </c>
      <c r="I48" s="1376">
        <f t="shared" si="0"/>
        <v>-26166</v>
      </c>
      <c r="J48" s="175">
        <f>SUM('5.4. sz mell'!J48)</f>
        <v>21227608</v>
      </c>
      <c r="K48" s="1376">
        <f t="shared" si="0"/>
        <v>0</v>
      </c>
      <c r="L48" s="175">
        <f>SUM('5.4. sz mell'!L48)</f>
        <v>21227608</v>
      </c>
      <c r="M48" s="175">
        <f>SUM('5.4. sz mell'!M48)</f>
        <v>21226646</v>
      </c>
    </row>
    <row r="49" spans="1:13" s="145" customFormat="1" ht="15" customHeight="1" x14ac:dyDescent="0.2">
      <c r="A49" s="142"/>
      <c r="B49" s="253" t="s">
        <v>156</v>
      </c>
      <c r="C49" s="55" t="s">
        <v>157</v>
      </c>
      <c r="D49" s="144">
        <v>12053</v>
      </c>
      <c r="E49" s="144">
        <v>12431</v>
      </c>
      <c r="F49" s="175">
        <f>SUM('5.4. sz mell'!F49)</f>
        <v>9209870</v>
      </c>
      <c r="G49" s="1415">
        <f t="shared" si="0"/>
        <v>614635</v>
      </c>
      <c r="H49" s="175">
        <f>SUM('5.4. sz mell'!H49)</f>
        <v>9824505</v>
      </c>
      <c r="I49" s="1376">
        <f t="shared" si="0"/>
        <v>-1025305</v>
      </c>
      <c r="J49" s="175">
        <f>SUM('5.4. sz mell'!J49)</f>
        <v>8799200</v>
      </c>
      <c r="K49" s="1376">
        <f t="shared" si="0"/>
        <v>0</v>
      </c>
      <c r="L49" s="175">
        <f>SUM('5.4. sz mell'!L49)</f>
        <v>8799200</v>
      </c>
      <c r="M49" s="175">
        <f>SUM('5.4. sz mell'!M49)</f>
        <v>8468958</v>
      </c>
    </row>
    <row r="50" spans="1:13" s="145" customFormat="1" ht="15" customHeight="1" x14ac:dyDescent="0.2">
      <c r="A50" s="142"/>
      <c r="B50" s="253" t="s">
        <v>158</v>
      </c>
      <c r="C50" s="55" t="s">
        <v>159</v>
      </c>
      <c r="D50" s="144">
        <v>0</v>
      </c>
      <c r="E50" s="144">
        <v>0</v>
      </c>
      <c r="F50" s="144">
        <v>0</v>
      </c>
      <c r="G50" s="1415">
        <f t="shared" si="0"/>
        <v>0</v>
      </c>
      <c r="H50" s="175">
        <f>SUM('5.4. sz mell'!H50)</f>
        <v>0</v>
      </c>
      <c r="I50" s="1376">
        <f t="shared" si="0"/>
        <v>0</v>
      </c>
      <c r="J50" s="175">
        <f>SUM('5.4. sz mell'!J50)</f>
        <v>0</v>
      </c>
      <c r="K50" s="1376">
        <f t="shared" si="0"/>
        <v>0</v>
      </c>
      <c r="L50" s="175">
        <f>SUM('5.4. sz mell'!L50)</f>
        <v>0</v>
      </c>
      <c r="M50" s="175">
        <f>SUM('5.4. sz mell'!M50)</f>
        <v>0</v>
      </c>
    </row>
    <row r="51" spans="1:13" s="145" customFormat="1" ht="15" customHeight="1" thickBot="1" x14ac:dyDescent="0.25">
      <c r="A51" s="142"/>
      <c r="B51" s="253" t="s">
        <v>375</v>
      </c>
      <c r="C51" s="55" t="s">
        <v>161</v>
      </c>
      <c r="D51" s="144">
        <v>0</v>
      </c>
      <c r="E51" s="144">
        <v>0</v>
      </c>
      <c r="F51" s="144">
        <v>0</v>
      </c>
      <c r="G51" s="1415">
        <f t="shared" si="0"/>
        <v>0</v>
      </c>
      <c r="H51" s="175">
        <f>SUM('5.4. sz mell'!H51)</f>
        <v>0</v>
      </c>
      <c r="I51" s="1376">
        <f t="shared" si="0"/>
        <v>0</v>
      </c>
      <c r="J51" s="175">
        <f>SUM('5.4. sz mell'!J51)</f>
        <v>0</v>
      </c>
      <c r="K51" s="1376">
        <f t="shared" si="0"/>
        <v>0</v>
      </c>
      <c r="L51" s="175">
        <f>SUM('5.4. sz mell'!L51)</f>
        <v>0</v>
      </c>
      <c r="M51" s="175">
        <f>SUM('5.4. sz mell'!M51)</f>
        <v>0</v>
      </c>
    </row>
    <row r="52" spans="1:13" s="145" customFormat="1" ht="15" customHeight="1" thickBot="1" x14ac:dyDescent="0.25">
      <c r="A52" s="134" t="s">
        <v>17</v>
      </c>
      <c r="B52" s="170"/>
      <c r="C52" s="170" t="s">
        <v>443</v>
      </c>
      <c r="D52" s="137">
        <f>SUM(D53:D56)</f>
        <v>0</v>
      </c>
      <c r="E52" s="137">
        <f>SUM(E53:E56)</f>
        <v>89</v>
      </c>
      <c r="F52" s="137">
        <f>SUM(F53:F56)</f>
        <v>762000</v>
      </c>
      <c r="G52" s="1382">
        <f t="shared" si="0"/>
        <v>973000</v>
      </c>
      <c r="H52" s="137">
        <f>SUM(H53:H56)</f>
        <v>1735000</v>
      </c>
      <c r="I52" s="1382">
        <f t="shared" si="0"/>
        <v>83580</v>
      </c>
      <c r="J52" s="137">
        <f>SUM(J53:J56)</f>
        <v>1818580</v>
      </c>
      <c r="K52" s="1382">
        <f t="shared" si="0"/>
        <v>0</v>
      </c>
      <c r="L52" s="137">
        <f>SUM(L53:L56)</f>
        <v>1818580</v>
      </c>
      <c r="M52" s="137">
        <f>SUM(M53:M56)</f>
        <v>1681450</v>
      </c>
    </row>
    <row r="53" spans="1:13" s="141" customFormat="1" ht="15" customHeight="1" x14ac:dyDescent="0.2">
      <c r="A53" s="173"/>
      <c r="B53" s="267" t="s">
        <v>5</v>
      </c>
      <c r="C53" s="251" t="s">
        <v>183</v>
      </c>
      <c r="D53" s="175">
        <v>0</v>
      </c>
      <c r="E53" s="175">
        <v>89</v>
      </c>
      <c r="F53" s="175">
        <f>SUM('5.4. sz mell'!F53)</f>
        <v>762000</v>
      </c>
      <c r="G53" s="1415">
        <f t="shared" si="0"/>
        <v>973000</v>
      </c>
      <c r="H53" s="175">
        <f>SUM('5.4. sz mell'!H53)</f>
        <v>1735000</v>
      </c>
      <c r="I53" s="1376">
        <f t="shared" si="0"/>
        <v>83580</v>
      </c>
      <c r="J53" s="175">
        <f>SUM('5.4. sz mell'!J53)</f>
        <v>1818580</v>
      </c>
      <c r="K53" s="1376">
        <f t="shared" si="0"/>
        <v>0</v>
      </c>
      <c r="L53" s="175">
        <f>SUM('5.4. sz mell'!L53)</f>
        <v>1818580</v>
      </c>
      <c r="M53" s="175">
        <f>SUM('5.4. sz mell'!M53)</f>
        <v>1681450</v>
      </c>
    </row>
    <row r="54" spans="1:13" s="145" customFormat="1" ht="15" customHeight="1" x14ac:dyDescent="0.2">
      <c r="A54" s="142"/>
      <c r="B54" s="253" t="s">
        <v>7</v>
      </c>
      <c r="C54" s="55" t="s">
        <v>185</v>
      </c>
      <c r="D54" s="144">
        <v>0</v>
      </c>
      <c r="E54" s="144">
        <v>0</v>
      </c>
      <c r="F54" s="175">
        <f>SUM('5.4. sz mell'!F54)</f>
        <v>0</v>
      </c>
      <c r="G54" s="1415">
        <f t="shared" si="0"/>
        <v>0</v>
      </c>
      <c r="H54" s="175">
        <f>SUM('5.4. sz mell'!H54)</f>
        <v>0</v>
      </c>
      <c r="I54" s="1376">
        <f t="shared" si="0"/>
        <v>0</v>
      </c>
      <c r="J54" s="175">
        <f>SUM('5.4. sz mell'!J54)</f>
        <v>0</v>
      </c>
      <c r="K54" s="1376">
        <f t="shared" si="0"/>
        <v>0</v>
      </c>
      <c r="L54" s="175">
        <f>SUM('5.4. sz mell'!L54)</f>
        <v>0</v>
      </c>
      <c r="M54" s="175">
        <f>SUM('5.4. sz mell'!M54)</f>
        <v>0</v>
      </c>
    </row>
    <row r="55" spans="1:13" s="145" customFormat="1" ht="15.75" thickBot="1" x14ac:dyDescent="0.25">
      <c r="A55" s="142"/>
      <c r="B55" s="253" t="s">
        <v>9</v>
      </c>
      <c r="C55" s="55" t="s">
        <v>444</v>
      </c>
      <c r="D55" s="144">
        <v>0</v>
      </c>
      <c r="E55" s="144">
        <v>0</v>
      </c>
      <c r="F55" s="144">
        <v>0</v>
      </c>
      <c r="G55" s="1415">
        <f t="shared" si="0"/>
        <v>0</v>
      </c>
      <c r="H55" s="175">
        <f>SUM('5.4. sz mell'!H55)</f>
        <v>0</v>
      </c>
      <c r="I55" s="1376">
        <f t="shared" si="0"/>
        <v>0</v>
      </c>
      <c r="J55" s="175">
        <f>SUM('5.4. sz mell'!J55)</f>
        <v>0</v>
      </c>
      <c r="K55" s="1376">
        <f t="shared" si="0"/>
        <v>0</v>
      </c>
      <c r="L55" s="175">
        <f>SUM('5.4. sz mell'!L55)</f>
        <v>0</v>
      </c>
      <c r="M55" s="175">
        <f>SUM('5.4. sz mell'!M55)</f>
        <v>0</v>
      </c>
    </row>
    <row r="56" spans="1:13" s="145" customFormat="1" ht="12.75" hidden="1" customHeight="1" x14ac:dyDescent="0.2">
      <c r="A56" s="142"/>
      <c r="B56" s="176" t="s">
        <v>189</v>
      </c>
      <c r="C56" s="55" t="s">
        <v>448</v>
      </c>
      <c r="D56" s="144">
        <v>0</v>
      </c>
      <c r="E56" s="144">
        <v>0</v>
      </c>
      <c r="F56" s="144">
        <v>0</v>
      </c>
      <c r="G56" s="1415">
        <f t="shared" si="0"/>
        <v>0</v>
      </c>
      <c r="H56" s="144">
        <v>0</v>
      </c>
      <c r="I56" s="1376">
        <f t="shared" si="0"/>
        <v>0</v>
      </c>
      <c r="J56" s="144">
        <v>0</v>
      </c>
      <c r="K56" s="1376">
        <f t="shared" si="0"/>
        <v>0</v>
      </c>
      <c r="L56" s="144">
        <v>0</v>
      </c>
      <c r="M56" s="144">
        <v>0</v>
      </c>
    </row>
    <row r="57" spans="1:13" s="145" customFormat="1" ht="12.75" hidden="1" customHeight="1" x14ac:dyDescent="0.2">
      <c r="A57" s="134" t="s">
        <v>31</v>
      </c>
      <c r="B57" s="170"/>
      <c r="C57" s="171" t="s">
        <v>445</v>
      </c>
      <c r="D57" s="155">
        <v>0</v>
      </c>
      <c r="E57" s="155">
        <v>0</v>
      </c>
      <c r="F57" s="155">
        <v>0</v>
      </c>
      <c r="G57" s="1415">
        <f t="shared" si="0"/>
        <v>0</v>
      </c>
      <c r="H57" s="155">
        <v>0</v>
      </c>
      <c r="I57" s="1376">
        <f t="shared" si="0"/>
        <v>0</v>
      </c>
      <c r="J57" s="155">
        <v>0</v>
      </c>
      <c r="K57" s="1376">
        <f t="shared" si="0"/>
        <v>0</v>
      </c>
      <c r="L57" s="155">
        <v>0</v>
      </c>
      <c r="M57" s="155">
        <v>0</v>
      </c>
    </row>
    <row r="58" spans="1:13" s="145" customFormat="1" ht="12.75" hidden="1" customHeight="1" x14ac:dyDescent="0.2">
      <c r="A58" s="134"/>
      <c r="B58" s="170"/>
      <c r="C58" s="171" t="s">
        <v>459</v>
      </c>
      <c r="D58" s="155"/>
      <c r="E58" s="155"/>
      <c r="F58" s="155"/>
      <c r="G58" s="1415">
        <f t="shared" si="0"/>
        <v>0</v>
      </c>
      <c r="H58" s="155"/>
      <c r="I58" s="1376">
        <f t="shared" si="0"/>
        <v>0</v>
      </c>
      <c r="J58" s="155"/>
      <c r="K58" s="1376">
        <f t="shared" si="0"/>
        <v>0</v>
      </c>
      <c r="L58" s="155"/>
      <c r="M58" s="155"/>
    </row>
    <row r="59" spans="1:13" s="145" customFormat="1" ht="15" customHeight="1" thickBot="1" x14ac:dyDescent="0.25">
      <c r="A59" s="192" t="s">
        <v>31</v>
      </c>
      <c r="B59" s="160"/>
      <c r="C59" s="274" t="s">
        <v>465</v>
      </c>
      <c r="D59" s="162">
        <f>+D46+D52+D57</f>
        <v>92448</v>
      </c>
      <c r="E59" s="162">
        <f>+E46+E52+E57</f>
        <v>99184</v>
      </c>
      <c r="F59" s="162">
        <f>+F46+F52+F57+F58</f>
        <v>136178135</v>
      </c>
      <c r="G59" s="1437">
        <f t="shared" si="0"/>
        <v>2126883</v>
      </c>
      <c r="H59" s="162">
        <f>+H46+H52+H57+H58</f>
        <v>138305018</v>
      </c>
      <c r="I59" s="1373">
        <f t="shared" si="0"/>
        <v>1352852</v>
      </c>
      <c r="J59" s="162">
        <f>+J46+J52+J57+J58</f>
        <v>139657870</v>
      </c>
      <c r="K59" s="1373">
        <f t="shared" si="0"/>
        <v>0</v>
      </c>
      <c r="L59" s="162">
        <f>+L46+L52+L57+L58</f>
        <v>139657870</v>
      </c>
      <c r="M59" s="162">
        <f>+M46+M52+M57+M58</f>
        <v>139189536</v>
      </c>
    </row>
    <row r="60" spans="1:13" s="145" customFormat="1" ht="15" customHeight="1" thickBot="1" x14ac:dyDescent="0.25">
      <c r="A60" s="1303"/>
      <c r="B60" s="886"/>
      <c r="C60" s="886"/>
      <c r="D60" s="886"/>
      <c r="E60" s="886"/>
      <c r="F60" s="2100"/>
      <c r="G60" s="1550"/>
      <c r="H60" s="1550"/>
      <c r="I60" s="1550"/>
      <c r="J60" s="1550"/>
      <c r="K60" s="1550"/>
      <c r="L60" s="1550"/>
      <c r="M60" s="1304"/>
    </row>
    <row r="61" spans="1:13" s="145" customFormat="1" ht="15" customHeight="1" thickBot="1" x14ac:dyDescent="0.25">
      <c r="A61" s="276" t="s">
        <v>324</v>
      </c>
      <c r="B61" s="277"/>
      <c r="C61" s="278"/>
      <c r="D61" s="200">
        <v>31.5</v>
      </c>
      <c r="E61" s="200">
        <v>31.5</v>
      </c>
      <c r="F61" s="200">
        <f>SUM('5.4. sz mell'!F61)</f>
        <v>31.5</v>
      </c>
      <c r="G61" s="200">
        <f>SUM('5.4. sz mell'!G61)</f>
        <v>0</v>
      </c>
      <c r="H61" s="200">
        <f>SUM('5.4. sz mell'!H61)</f>
        <v>31.5</v>
      </c>
      <c r="I61" s="200">
        <f>SUM('5.4. sz mell'!I61)</f>
        <v>0</v>
      </c>
      <c r="J61" s="200">
        <f>SUM('5.4. sz mell'!J61)</f>
        <v>31.5</v>
      </c>
      <c r="K61" s="3514">
        <f>SUM('5.4. sz mell'!K61)</f>
        <v>0</v>
      </c>
      <c r="L61" s="200">
        <f>SUM('5.4. sz mell'!L61)</f>
        <v>31.5</v>
      </c>
      <c r="M61" s="200">
        <f>SUM('5.4. sz mell'!M61)</f>
        <v>31.5</v>
      </c>
    </row>
    <row r="62" spans="1:13" s="145" customFormat="1" ht="15" customHeight="1" thickBot="1" x14ac:dyDescent="0.25">
      <c r="A62" s="276" t="s">
        <v>325</v>
      </c>
      <c r="B62" s="277"/>
      <c r="C62" s="278"/>
      <c r="D62" s="279"/>
      <c r="E62" s="279"/>
      <c r="F62" s="279"/>
      <c r="G62" s="1560"/>
      <c r="H62" s="279"/>
      <c r="I62" s="1389"/>
      <c r="J62" s="279"/>
      <c r="K62" s="1389"/>
      <c r="L62" s="279"/>
      <c r="M62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3622047244094491" right="0.19685039370078741" top="0.35433070866141736" bottom="0.39370078740157483" header="0.51181102362204722" footer="0.15748031496062992"/>
  <pageSetup paperSize="9" scale="73" firstPageNumber="60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60"/>
  <sheetViews>
    <sheetView view="pageBreakPreview" topLeftCell="A31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4.1640625" style="115" customWidth="1"/>
    <col min="4" max="5" width="9.33203125" style="115" hidden="1" customWidth="1"/>
    <col min="6" max="6" width="10.5" style="115" customWidth="1"/>
    <col min="7" max="7" width="13.5" style="1390" hidden="1" customWidth="1"/>
    <col min="8" max="8" width="12.1640625" style="115" hidden="1" customWidth="1"/>
    <col min="9" max="9" width="10.5" style="1390" hidden="1" customWidth="1"/>
    <col min="10" max="10" width="11.83203125" style="115" customWidth="1"/>
    <col min="11" max="11" width="12.6640625" style="1390" customWidth="1"/>
    <col min="12" max="12" width="14" style="115" customWidth="1"/>
    <col min="13" max="13" width="15.16406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730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49.5" customHeight="1" thickBot="1" x14ac:dyDescent="0.25">
      <c r="A2" s="4516" t="s">
        <v>411</v>
      </c>
      <c r="B2" s="4516"/>
      <c r="C2" s="117" t="s">
        <v>1002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25" t="s">
        <v>283</v>
      </c>
      <c r="B3" s="4525"/>
      <c r="C3" s="304" t="s">
        <v>1436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27.7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>
        <v>0</v>
      </c>
      <c r="K9" s="1375"/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0</v>
      </c>
      <c r="E10" s="144">
        <v>0</v>
      </c>
      <c r="F10" s="144">
        <v>0</v>
      </c>
      <c r="G10" s="1415"/>
      <c r="H10" s="144">
        <v>0</v>
      </c>
      <c r="I10" s="1376"/>
      <c r="J10" s="144">
        <v>0</v>
      </c>
      <c r="K10" s="1376"/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v>0</v>
      </c>
      <c r="G11" s="1415"/>
      <c r="H11" s="144">
        <v>0</v>
      </c>
      <c r="I11" s="1376"/>
      <c r="J11" s="144">
        <v>0</v>
      </c>
      <c r="K11" s="1376"/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0</v>
      </c>
      <c r="E12" s="144">
        <v>0</v>
      </c>
      <c r="F12" s="144">
        <v>0</v>
      </c>
      <c r="G12" s="1415"/>
      <c r="H12" s="144">
        <v>0</v>
      </c>
      <c r="I12" s="1376"/>
      <c r="J12" s="144">
        <v>0</v>
      </c>
      <c r="K12" s="1376"/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v>0</v>
      </c>
      <c r="G13" s="1415"/>
      <c r="H13" s="144">
        <v>0</v>
      </c>
      <c r="I13" s="1376"/>
      <c r="J13" s="144">
        <v>0</v>
      </c>
      <c r="K13" s="1376"/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0</v>
      </c>
      <c r="E14" s="147">
        <v>0</v>
      </c>
      <c r="F14" s="144">
        <v>0</v>
      </c>
      <c r="G14" s="1415"/>
      <c r="H14" s="144">
        <v>0</v>
      </c>
      <c r="I14" s="1376"/>
      <c r="J14" s="144">
        <v>0</v>
      </c>
      <c r="K14" s="1376"/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>
        <v>0</v>
      </c>
      <c r="K15" s="1377"/>
      <c r="L15" s="147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>
        <v>0</v>
      </c>
      <c r="E16" s="144">
        <v>0</v>
      </c>
      <c r="F16" s="144">
        <v>0</v>
      </c>
      <c r="G16" s="1415"/>
      <c r="H16" s="144">
        <v>0</v>
      </c>
      <c r="I16" s="1376"/>
      <c r="J16" s="144">
        <v>0</v>
      </c>
      <c r="K16" s="1376"/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1378"/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>
        <v>0</v>
      </c>
      <c r="K18" s="1378"/>
      <c r="L18" s="153">
        <v>0</v>
      </c>
      <c r="M18" s="153">
        <v>0</v>
      </c>
    </row>
    <row r="19" spans="1:13" s="141" customFormat="1" ht="33" customHeight="1" thickBot="1" x14ac:dyDescent="0.25">
      <c r="A19" s="134" t="s">
        <v>17</v>
      </c>
      <c r="B19" s="148"/>
      <c r="C19" s="247" t="s">
        <v>419</v>
      </c>
      <c r="D19" s="137">
        <f>SUM(D20:D25)</f>
        <v>88468</v>
      </c>
      <c r="E19" s="137">
        <f>SUM(E20:E25)</f>
        <v>91119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</row>
    <row r="20" spans="1:13" s="145" customFormat="1" ht="30" x14ac:dyDescent="0.2">
      <c r="A20" s="142"/>
      <c r="B20" s="143" t="s">
        <v>5</v>
      </c>
      <c r="C20" s="251" t="s">
        <v>420</v>
      </c>
      <c r="D20" s="144">
        <v>88468</v>
      </c>
      <c r="E20" s="144">
        <v>91119</v>
      </c>
      <c r="F20" s="144">
        <v>0</v>
      </c>
      <c r="G20" s="1415"/>
      <c r="H20" s="144">
        <v>0</v>
      </c>
      <c r="I20" s="1376"/>
      <c r="J20" s="144">
        <v>0</v>
      </c>
      <c r="K20" s="1376"/>
      <c r="L20" s="144">
        <v>0</v>
      </c>
      <c r="M20" s="144">
        <v>0</v>
      </c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/>
      <c r="H21" s="144">
        <v>0</v>
      </c>
      <c r="I21" s="1376"/>
      <c r="J21" s="144">
        <v>0</v>
      </c>
      <c r="K21" s="1376"/>
      <c r="L21" s="144">
        <v>0</v>
      </c>
      <c r="M21" s="144">
        <v>0</v>
      </c>
    </row>
    <row r="22" spans="1:13" s="145" customFormat="1" ht="15" customHeight="1" x14ac:dyDescent="0.2">
      <c r="A22" s="142"/>
      <c r="B22" s="143" t="s">
        <v>360</v>
      </c>
      <c r="C22" s="55" t="s">
        <v>1430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v>0</v>
      </c>
      <c r="G26" s="1381"/>
      <c r="H26" s="155">
        <v>0</v>
      </c>
      <c r="I26" s="1380"/>
      <c r="J26" s="155">
        <v>0</v>
      </c>
      <c r="K26" s="1380"/>
      <c r="L26" s="155">
        <v>0</v>
      </c>
      <c r="M26" s="155">
        <v>0</v>
      </c>
    </row>
    <row r="27" spans="1:13" s="145" customFormat="1" ht="1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252">
        <v>0</v>
      </c>
      <c r="G27" s="1509"/>
      <c r="H27" s="252">
        <v>0</v>
      </c>
      <c r="I27" s="1436"/>
      <c r="J27" s="252">
        <v>0</v>
      </c>
      <c r="K27" s="1436"/>
      <c r="L27" s="252">
        <v>0</v>
      </c>
      <c r="M27" s="252">
        <v>0</v>
      </c>
    </row>
    <row r="28" spans="1:13" s="141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1381"/>
      <c r="H28" s="155">
        <f>SUM(H29:H31)</f>
        <v>0</v>
      </c>
      <c r="I28" s="1380"/>
      <c r="J28" s="155">
        <f>SUM(J29:J31)</f>
        <v>0</v>
      </c>
      <c r="K28" s="1380"/>
      <c r="L28" s="155">
        <f>SUM(L29:L31)</f>
        <v>0</v>
      </c>
      <c r="M28" s="155">
        <f>SUM(M29:M31)</f>
        <v>0</v>
      </c>
    </row>
    <row r="29" spans="1:13" s="141" customFormat="1" ht="15" customHeight="1" thickBot="1" x14ac:dyDescent="0.25">
      <c r="A29" s="149"/>
      <c r="B29" s="253" t="s">
        <v>33</v>
      </c>
      <c r="C29" s="55" t="s">
        <v>359</v>
      </c>
      <c r="D29" s="295"/>
      <c r="E29" s="295"/>
      <c r="F29" s="144">
        <v>0</v>
      </c>
      <c r="G29" s="1415"/>
      <c r="H29" s="144">
        <v>0</v>
      </c>
      <c r="I29" s="1376"/>
      <c r="J29" s="144">
        <v>0</v>
      </c>
      <c r="K29" s="1376"/>
      <c r="L29" s="144">
        <v>0</v>
      </c>
      <c r="M29" s="144">
        <v>0</v>
      </c>
    </row>
    <row r="30" spans="1:13" s="141" customFormat="1" ht="15" customHeight="1" thickBot="1" x14ac:dyDescent="0.25">
      <c r="A30" s="146"/>
      <c r="B30" s="253" t="s">
        <v>39</v>
      </c>
      <c r="C30" s="55" t="s">
        <v>72</v>
      </c>
      <c r="D30" s="295"/>
      <c r="E30" s="29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</row>
    <row r="31" spans="1:13" s="141" customFormat="1" ht="15" customHeight="1" thickBot="1" x14ac:dyDescent="0.25">
      <c r="A31" s="178"/>
      <c r="B31" s="253" t="s">
        <v>41</v>
      </c>
      <c r="C31" s="55" t="s">
        <v>74</v>
      </c>
      <c r="D31" s="295"/>
      <c r="E31" s="29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</row>
    <row r="32" spans="1:13" s="141" customFormat="1" ht="29.25" thickBot="1" x14ac:dyDescent="0.25">
      <c r="A32" s="134" t="s">
        <v>67</v>
      </c>
      <c r="B32" s="254"/>
      <c r="C32" s="170" t="s">
        <v>429</v>
      </c>
      <c r="D32" s="295"/>
      <c r="E32" s="295"/>
      <c r="F32" s="295">
        <f>SUM(F33:F33)</f>
        <v>0</v>
      </c>
      <c r="G32" s="1381"/>
      <c r="H32" s="295">
        <f>SUM(H33:H33)</f>
        <v>0</v>
      </c>
      <c r="I32" s="1381"/>
      <c r="J32" s="295">
        <f>SUM(J33:J33)</f>
        <v>0</v>
      </c>
      <c r="K32" s="1381"/>
      <c r="L32" s="295">
        <f>SUM(L33:L33)</f>
        <v>0</v>
      </c>
      <c r="M32" s="295">
        <f>SUM(M33:M33)</f>
        <v>0</v>
      </c>
    </row>
    <row r="33" spans="1:13" s="141" customFormat="1" ht="30.75" thickBot="1" x14ac:dyDescent="0.25">
      <c r="A33" s="146"/>
      <c r="B33" s="255" t="s">
        <v>47</v>
      </c>
      <c r="C33" s="251" t="s">
        <v>430</v>
      </c>
      <c r="D33" s="295"/>
      <c r="E33" s="295"/>
      <c r="F33" s="144">
        <v>0</v>
      </c>
      <c r="G33" s="1415"/>
      <c r="H33" s="144">
        <v>0</v>
      </c>
      <c r="I33" s="1376"/>
      <c r="J33" s="144">
        <v>0</v>
      </c>
      <c r="K33" s="1376"/>
      <c r="L33" s="144">
        <v>0</v>
      </c>
      <c r="M33" s="144">
        <v>0</v>
      </c>
    </row>
    <row r="34" spans="1:13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>
        <v>0</v>
      </c>
      <c r="G34" s="1381"/>
      <c r="H34" s="295">
        <v>0</v>
      </c>
      <c r="I34" s="1381"/>
      <c r="J34" s="295">
        <v>0</v>
      </c>
      <c r="K34" s="1381"/>
      <c r="L34" s="295">
        <v>0</v>
      </c>
      <c r="M34" s="295">
        <v>0</v>
      </c>
    </row>
    <row r="35" spans="1:13" s="141" customFormat="1" ht="30.75" thickBot="1" x14ac:dyDescent="0.25">
      <c r="A35" s="258"/>
      <c r="B35" s="257" t="s">
        <v>69</v>
      </c>
      <c r="C35" s="55" t="s">
        <v>432</v>
      </c>
      <c r="D35" s="295"/>
      <c r="E35" s="295"/>
      <c r="F35" s="295">
        <v>0</v>
      </c>
      <c r="G35" s="1381"/>
      <c r="H35" s="295">
        <v>0</v>
      </c>
      <c r="I35" s="1381"/>
      <c r="J35" s="295">
        <v>0</v>
      </c>
      <c r="K35" s="1381"/>
      <c r="L35" s="295">
        <v>0</v>
      </c>
      <c r="M35" s="295">
        <v>0</v>
      </c>
    </row>
    <row r="36" spans="1:13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120</v>
      </c>
      <c r="F36" s="285">
        <f>SUM(F37:F39)</f>
        <v>0</v>
      </c>
      <c r="G36" s="1382"/>
      <c r="H36" s="285">
        <f>SUM(H37:H39)</f>
        <v>0</v>
      </c>
      <c r="I36" s="1382"/>
      <c r="J36" s="285">
        <f>SUM(J37:J39)</f>
        <v>0</v>
      </c>
      <c r="K36" s="1382"/>
      <c r="L36" s="285">
        <f>SUM(L37:L39)</f>
        <v>0</v>
      </c>
      <c r="M36" s="285">
        <f>SUM(M37:M39)</f>
        <v>0</v>
      </c>
    </row>
    <row r="37" spans="1:13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306">
        <v>120</v>
      </c>
      <c r="F37" s="144">
        <v>0</v>
      </c>
      <c r="G37" s="1415"/>
      <c r="H37" s="144">
        <v>0</v>
      </c>
      <c r="I37" s="1376"/>
      <c r="J37" s="144">
        <v>0</v>
      </c>
      <c r="K37" s="1376"/>
      <c r="L37" s="144">
        <v>0</v>
      </c>
      <c r="M37" s="144">
        <v>0</v>
      </c>
    </row>
    <row r="38" spans="1:13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294">
        <v>0</v>
      </c>
      <c r="F38" s="144">
        <v>0</v>
      </c>
      <c r="G38" s="1415"/>
      <c r="H38" s="144">
        <v>0</v>
      </c>
      <c r="I38" s="1376"/>
      <c r="J38" s="144">
        <v>0</v>
      </c>
      <c r="K38" s="1376"/>
      <c r="L38" s="144">
        <v>0</v>
      </c>
      <c r="M38" s="144">
        <v>0</v>
      </c>
    </row>
    <row r="39" spans="1:13" s="145" customFormat="1" ht="15" customHeight="1" thickBot="1" x14ac:dyDescent="0.25">
      <c r="A39" s="178"/>
      <c r="B39" s="253" t="s">
        <v>85</v>
      </c>
      <c r="C39" s="55" t="s">
        <v>1433</v>
      </c>
      <c r="D39" s="155">
        <v>3980</v>
      </c>
      <c r="E39" s="155">
        <v>7945</v>
      </c>
      <c r="F39" s="144">
        <v>0</v>
      </c>
      <c r="G39" s="1415"/>
      <c r="H39" s="144">
        <v>0</v>
      </c>
      <c r="I39" s="1376"/>
      <c r="J39" s="144">
        <v>0</v>
      </c>
      <c r="K39" s="1376"/>
      <c r="L39" s="144">
        <v>0</v>
      </c>
      <c r="M39" s="144">
        <v>0</v>
      </c>
    </row>
    <row r="40" spans="1:13" s="145" customFormat="1" ht="12.75" hidden="1" customHeight="1" x14ac:dyDescent="0.25">
      <c r="A40" s="258"/>
      <c r="B40" s="256"/>
      <c r="C40" s="170" t="s">
        <v>458</v>
      </c>
      <c r="D40" s="155"/>
      <c r="E40" s="155"/>
      <c r="F40" s="155"/>
      <c r="G40" s="1381"/>
      <c r="H40" s="155"/>
      <c r="I40" s="1380"/>
      <c r="J40" s="155"/>
      <c r="K40" s="1380"/>
      <c r="L40" s="155"/>
      <c r="M40" s="155"/>
    </row>
    <row r="41" spans="1:13" s="145" customFormat="1" ht="15" customHeight="1" thickBot="1" x14ac:dyDescent="0.25">
      <c r="A41" s="192" t="s">
        <v>99</v>
      </c>
      <c r="B41" s="160"/>
      <c r="C41" s="274" t="s">
        <v>441</v>
      </c>
      <c r="D41" s="162">
        <f>SUM(D8,D19,D26,D28,D36,D39)</f>
        <v>92448</v>
      </c>
      <c r="E41" s="162">
        <f>SUM(E8,E19,E26,E28,E36,E39)</f>
        <v>99184</v>
      </c>
      <c r="F41" s="162">
        <f>SUM(F8,F19,F26,F28,F32,F34,F36)</f>
        <v>0</v>
      </c>
      <c r="G41" s="1437"/>
      <c r="H41" s="162">
        <f>SUM(H8,H19,H26,H28,H32,H34,H36)</f>
        <v>0</v>
      </c>
      <c r="I41" s="1373"/>
      <c r="J41" s="162">
        <f>SUM(J8,J19,J26,J28,J32,J34,J36)</f>
        <v>0</v>
      </c>
      <c r="K41" s="1373"/>
      <c r="L41" s="162">
        <f>SUM(L8,L19,L26,L28,L32,L34,L36)</f>
        <v>0</v>
      </c>
      <c r="M41" s="162">
        <f>SUM(M8,M19,M26,M28,M32,M34,M36)</f>
        <v>0</v>
      </c>
    </row>
    <row r="42" spans="1:13" s="145" customFormat="1" ht="15" customHeight="1" thickBot="1" x14ac:dyDescent="0.25">
      <c r="A42" s="2098"/>
      <c r="B42" s="266"/>
      <c r="C42" s="275"/>
      <c r="D42" s="286"/>
      <c r="E42" s="286"/>
      <c r="F42" s="1458"/>
      <c r="G42" s="1443"/>
      <c r="H42" s="1443"/>
      <c r="I42" s="1443"/>
      <c r="J42" s="1443"/>
      <c r="K42" s="1443"/>
      <c r="L42" s="1443"/>
      <c r="M42" s="1458"/>
    </row>
    <row r="43" spans="1:13" s="305" customFormat="1" ht="15" customHeight="1" thickBot="1" x14ac:dyDescent="0.25">
      <c r="A43" s="192"/>
      <c r="B43" s="160"/>
      <c r="C43" s="282" t="s">
        <v>231</v>
      </c>
      <c r="D43" s="162"/>
      <c r="E43" s="162"/>
      <c r="F43" s="162"/>
      <c r="G43" s="1437"/>
      <c r="H43" s="162"/>
      <c r="I43" s="1373"/>
      <c r="J43" s="162"/>
      <c r="K43" s="1373"/>
      <c r="L43" s="162"/>
      <c r="M43" s="162"/>
    </row>
    <row r="44" spans="1:13" s="141" customFormat="1" ht="15" customHeight="1" thickBot="1" x14ac:dyDescent="0.25">
      <c r="A44" s="134" t="s">
        <v>3</v>
      </c>
      <c r="B44" s="170"/>
      <c r="C44" s="170" t="s">
        <v>442</v>
      </c>
      <c r="D44" s="137">
        <f>SUM(D45:D49)</f>
        <v>92448</v>
      </c>
      <c r="E44" s="137">
        <f>SUM(E45:E49)</f>
        <v>99095</v>
      </c>
      <c r="F44" s="137">
        <f>SUM(F45:F49)</f>
        <v>0</v>
      </c>
      <c r="G44" s="1382"/>
      <c r="H44" s="137">
        <f>SUM(H45:H49)</f>
        <v>0</v>
      </c>
      <c r="I44" s="1374"/>
      <c r="J44" s="137">
        <f>SUM(J45:J49)</f>
        <v>0</v>
      </c>
      <c r="K44" s="1374"/>
      <c r="L44" s="137">
        <f>SUM(L45:L49)</f>
        <v>0</v>
      </c>
      <c r="M44" s="137">
        <f>SUM(M45:M49)</f>
        <v>0</v>
      </c>
    </row>
    <row r="45" spans="1:13" s="145" customFormat="1" ht="15" customHeight="1" x14ac:dyDescent="0.2">
      <c r="A45" s="173"/>
      <c r="B45" s="267" t="s">
        <v>152</v>
      </c>
      <c r="C45" s="251" t="s">
        <v>153</v>
      </c>
      <c r="D45" s="175">
        <v>63435</v>
      </c>
      <c r="E45" s="175">
        <v>68371</v>
      </c>
      <c r="F45" s="175">
        <v>0</v>
      </c>
      <c r="G45" s="1432"/>
      <c r="H45" s="175">
        <v>0</v>
      </c>
      <c r="I45" s="1386"/>
      <c r="J45" s="175">
        <v>0</v>
      </c>
      <c r="K45" s="1386"/>
      <c r="L45" s="175">
        <v>0</v>
      </c>
      <c r="M45" s="175">
        <v>0</v>
      </c>
    </row>
    <row r="46" spans="1:13" s="145" customFormat="1" ht="15" customHeight="1" x14ac:dyDescent="0.2">
      <c r="A46" s="142"/>
      <c r="B46" s="253" t="s">
        <v>154</v>
      </c>
      <c r="C46" s="55" t="s">
        <v>155</v>
      </c>
      <c r="D46" s="144">
        <v>16960</v>
      </c>
      <c r="E46" s="144">
        <v>18293</v>
      </c>
      <c r="F46" s="144">
        <v>0</v>
      </c>
      <c r="G46" s="1415"/>
      <c r="H46" s="144">
        <v>0</v>
      </c>
      <c r="I46" s="1376"/>
      <c r="J46" s="144">
        <v>0</v>
      </c>
      <c r="K46" s="1376"/>
      <c r="L46" s="144">
        <v>0</v>
      </c>
      <c r="M46" s="144">
        <v>0</v>
      </c>
    </row>
    <row r="47" spans="1:13" s="145" customFormat="1" ht="15" customHeight="1" x14ac:dyDescent="0.2">
      <c r="A47" s="142"/>
      <c r="B47" s="253" t="s">
        <v>156</v>
      </c>
      <c r="C47" s="55" t="s">
        <v>157</v>
      </c>
      <c r="D47" s="144">
        <v>12053</v>
      </c>
      <c r="E47" s="144">
        <v>12431</v>
      </c>
      <c r="F47" s="144">
        <v>0</v>
      </c>
      <c r="G47" s="1415"/>
      <c r="H47" s="144">
        <v>0</v>
      </c>
      <c r="I47" s="1376"/>
      <c r="J47" s="144">
        <v>0</v>
      </c>
      <c r="K47" s="1376"/>
      <c r="L47" s="144">
        <v>0</v>
      </c>
      <c r="M47" s="144">
        <v>0</v>
      </c>
    </row>
    <row r="48" spans="1:13" s="145" customFormat="1" ht="15" customHeight="1" x14ac:dyDescent="0.2">
      <c r="A48" s="142"/>
      <c r="B48" s="253" t="s">
        <v>158</v>
      </c>
      <c r="C48" s="55" t="s">
        <v>159</v>
      </c>
      <c r="D48" s="144">
        <v>0</v>
      </c>
      <c r="E48" s="144">
        <v>0</v>
      </c>
      <c r="F48" s="144">
        <v>0</v>
      </c>
      <c r="G48" s="1415"/>
      <c r="H48" s="144">
        <v>0</v>
      </c>
      <c r="I48" s="1376"/>
      <c r="J48" s="144">
        <v>0</v>
      </c>
      <c r="K48" s="1376"/>
      <c r="L48" s="144">
        <v>0</v>
      </c>
      <c r="M48" s="144">
        <v>0</v>
      </c>
    </row>
    <row r="49" spans="1:13" s="145" customFormat="1" ht="15" customHeight="1" thickBot="1" x14ac:dyDescent="0.25">
      <c r="A49" s="142"/>
      <c r="B49" s="253" t="s">
        <v>375</v>
      </c>
      <c r="C49" s="55" t="s">
        <v>161</v>
      </c>
      <c r="D49" s="144">
        <v>0</v>
      </c>
      <c r="E49" s="144">
        <v>0</v>
      </c>
      <c r="F49" s="144">
        <v>0</v>
      </c>
      <c r="G49" s="1415"/>
      <c r="H49" s="144">
        <v>0</v>
      </c>
      <c r="I49" s="1376"/>
      <c r="J49" s="144">
        <v>0</v>
      </c>
      <c r="K49" s="1376"/>
      <c r="L49" s="144">
        <v>0</v>
      </c>
      <c r="M49" s="144">
        <v>0</v>
      </c>
    </row>
    <row r="50" spans="1:13" s="145" customFormat="1" ht="15" customHeight="1" thickBot="1" x14ac:dyDescent="0.25">
      <c r="A50" s="134" t="s">
        <v>17</v>
      </c>
      <c r="B50" s="170"/>
      <c r="C50" s="170" t="s">
        <v>443</v>
      </c>
      <c r="D50" s="137">
        <f>SUM(D51:D54)</f>
        <v>0</v>
      </c>
      <c r="E50" s="137">
        <f>SUM(E51:E54)</f>
        <v>89</v>
      </c>
      <c r="F50" s="137">
        <f>SUM(F51:F54)</f>
        <v>0</v>
      </c>
      <c r="G50" s="1382"/>
      <c r="H50" s="137">
        <f>SUM(H51:H54)</f>
        <v>0</v>
      </c>
      <c r="I50" s="1374"/>
      <c r="J50" s="137">
        <f>SUM(J51:J54)</f>
        <v>0</v>
      </c>
      <c r="K50" s="1374"/>
      <c r="L50" s="137">
        <f>SUM(L51:L54)</f>
        <v>0</v>
      </c>
      <c r="M50" s="137">
        <f>SUM(M51:M54)</f>
        <v>0</v>
      </c>
    </row>
    <row r="51" spans="1:13" s="141" customFormat="1" ht="15" customHeight="1" x14ac:dyDescent="0.2">
      <c r="A51" s="173"/>
      <c r="B51" s="267" t="s">
        <v>5</v>
      </c>
      <c r="C51" s="251" t="s">
        <v>183</v>
      </c>
      <c r="D51" s="175">
        <v>0</v>
      </c>
      <c r="E51" s="175">
        <v>89</v>
      </c>
      <c r="F51" s="175">
        <v>0</v>
      </c>
      <c r="G51" s="1432"/>
      <c r="H51" s="175">
        <v>0</v>
      </c>
      <c r="I51" s="1386"/>
      <c r="J51" s="175">
        <v>0</v>
      </c>
      <c r="K51" s="1386"/>
      <c r="L51" s="175">
        <v>0</v>
      </c>
      <c r="M51" s="175">
        <v>0</v>
      </c>
    </row>
    <row r="52" spans="1:13" s="145" customFormat="1" ht="15" customHeight="1" x14ac:dyDescent="0.2">
      <c r="A52" s="142"/>
      <c r="B52" s="253" t="s">
        <v>7</v>
      </c>
      <c r="C52" s="55" t="s">
        <v>185</v>
      </c>
      <c r="D52" s="144">
        <v>0</v>
      </c>
      <c r="E52" s="144">
        <v>0</v>
      </c>
      <c r="F52" s="144">
        <v>0</v>
      </c>
      <c r="G52" s="1415"/>
      <c r="H52" s="144">
        <v>0</v>
      </c>
      <c r="I52" s="1376"/>
      <c r="J52" s="144">
        <v>0</v>
      </c>
      <c r="K52" s="1376"/>
      <c r="L52" s="144">
        <v>0</v>
      </c>
      <c r="M52" s="144">
        <v>0</v>
      </c>
    </row>
    <row r="53" spans="1:13" s="145" customFormat="1" ht="15.75" thickBot="1" x14ac:dyDescent="0.25">
      <c r="A53" s="142"/>
      <c r="B53" s="253" t="s">
        <v>9</v>
      </c>
      <c r="C53" s="55" t="s">
        <v>444</v>
      </c>
      <c r="D53" s="144">
        <v>0</v>
      </c>
      <c r="E53" s="144">
        <v>0</v>
      </c>
      <c r="F53" s="144">
        <v>0</v>
      </c>
      <c r="G53" s="1415"/>
      <c r="H53" s="144">
        <v>0</v>
      </c>
      <c r="I53" s="1376"/>
      <c r="J53" s="144">
        <v>0</v>
      </c>
      <c r="K53" s="1376"/>
      <c r="L53" s="144">
        <v>0</v>
      </c>
      <c r="M53" s="144">
        <v>0</v>
      </c>
    </row>
    <row r="54" spans="1:13" s="145" customFormat="1" ht="12.75" hidden="1" customHeight="1" x14ac:dyDescent="0.2">
      <c r="A54" s="142"/>
      <c r="B54" s="176" t="s">
        <v>189</v>
      </c>
      <c r="C54" s="55" t="s">
        <v>448</v>
      </c>
      <c r="D54" s="144">
        <v>0</v>
      </c>
      <c r="E54" s="144">
        <v>0</v>
      </c>
      <c r="F54" s="144">
        <v>0</v>
      </c>
      <c r="G54" s="1415"/>
      <c r="H54" s="144">
        <v>0</v>
      </c>
      <c r="I54" s="1376"/>
      <c r="J54" s="144">
        <v>0</v>
      </c>
      <c r="K54" s="1376"/>
      <c r="L54" s="144">
        <v>0</v>
      </c>
      <c r="M54" s="144">
        <v>0</v>
      </c>
    </row>
    <row r="55" spans="1:13" s="145" customFormat="1" ht="12.75" hidden="1" customHeight="1" x14ac:dyDescent="0.2">
      <c r="A55" s="134" t="s">
        <v>31</v>
      </c>
      <c r="B55" s="170"/>
      <c r="C55" s="171" t="s">
        <v>445</v>
      </c>
      <c r="D55" s="155">
        <v>0</v>
      </c>
      <c r="E55" s="155">
        <v>0</v>
      </c>
      <c r="F55" s="155">
        <v>0</v>
      </c>
      <c r="G55" s="1381"/>
      <c r="H55" s="155">
        <v>0</v>
      </c>
      <c r="I55" s="1380"/>
      <c r="J55" s="155">
        <v>0</v>
      </c>
      <c r="K55" s="1380"/>
      <c r="L55" s="155">
        <v>0</v>
      </c>
      <c r="M55" s="155">
        <v>0</v>
      </c>
    </row>
    <row r="56" spans="1:13" s="145" customFormat="1" ht="12.75" hidden="1" customHeight="1" x14ac:dyDescent="0.2">
      <c r="A56" s="134"/>
      <c r="B56" s="170"/>
      <c r="C56" s="171" t="s">
        <v>459</v>
      </c>
      <c r="D56" s="155"/>
      <c r="E56" s="155"/>
      <c r="F56" s="155"/>
      <c r="G56" s="1381"/>
      <c r="H56" s="155"/>
      <c r="I56" s="1380"/>
      <c r="J56" s="155"/>
      <c r="K56" s="1380"/>
      <c r="L56" s="155"/>
      <c r="M56" s="155"/>
    </row>
    <row r="57" spans="1:13" s="145" customFormat="1" ht="15" customHeight="1" thickBot="1" x14ac:dyDescent="0.25">
      <c r="A57" s="192" t="s">
        <v>31</v>
      </c>
      <c r="B57" s="160"/>
      <c r="C57" s="274" t="s">
        <v>465</v>
      </c>
      <c r="D57" s="162">
        <f>+D44+D50+D55</f>
        <v>92448</v>
      </c>
      <c r="E57" s="162">
        <f>+E44+E50+E55</f>
        <v>99184</v>
      </c>
      <c r="F57" s="162">
        <f>+F44+F50+F55+F56</f>
        <v>0</v>
      </c>
      <c r="G57" s="1437"/>
      <c r="H57" s="162">
        <f>+H44+H50+H55+H56</f>
        <v>0</v>
      </c>
      <c r="I57" s="1373"/>
      <c r="J57" s="162">
        <f>+J44+J50+J55+J56</f>
        <v>0</v>
      </c>
      <c r="K57" s="1373"/>
      <c r="L57" s="162">
        <f>+L44+L50+L55+L56</f>
        <v>0</v>
      </c>
      <c r="M57" s="162">
        <f>+M44+M50+M55+M56</f>
        <v>0</v>
      </c>
    </row>
    <row r="58" spans="1:13" s="145" customFormat="1" ht="15" customHeight="1" thickBot="1" x14ac:dyDescent="0.25">
      <c r="A58" s="1303"/>
      <c r="B58" s="886"/>
      <c r="C58" s="886"/>
      <c r="D58" s="886"/>
      <c r="E58" s="886"/>
      <c r="F58" s="2100"/>
      <c r="G58" s="1550"/>
      <c r="H58" s="1550"/>
      <c r="I58" s="1550"/>
      <c r="J58" s="1550"/>
      <c r="K58" s="1550"/>
      <c r="L58" s="1550"/>
      <c r="M58" s="1304"/>
    </row>
    <row r="59" spans="1:13" s="145" customFormat="1" ht="15" customHeight="1" thickBot="1" x14ac:dyDescent="0.25">
      <c r="A59" s="276" t="s">
        <v>324</v>
      </c>
      <c r="B59" s="277"/>
      <c r="C59" s="278"/>
      <c r="D59" s="200">
        <v>31.5</v>
      </c>
      <c r="E59" s="200">
        <v>31.5</v>
      </c>
      <c r="F59" s="200"/>
      <c r="G59" s="1559"/>
      <c r="H59" s="200"/>
      <c r="I59" s="1388"/>
      <c r="J59" s="200"/>
      <c r="K59" s="1388"/>
      <c r="L59" s="200"/>
      <c r="M59" s="200"/>
    </row>
    <row r="60" spans="1:13" s="145" customFormat="1" ht="15" customHeight="1" thickBot="1" x14ac:dyDescent="0.25">
      <c r="A60" s="276" t="s">
        <v>325</v>
      </c>
      <c r="B60" s="277"/>
      <c r="C60" s="278"/>
      <c r="D60" s="279"/>
      <c r="E60" s="279"/>
      <c r="F60" s="279"/>
      <c r="G60" s="1560"/>
      <c r="H60" s="279"/>
      <c r="I60" s="1389"/>
      <c r="J60" s="279"/>
      <c r="K60" s="1389"/>
      <c r="L60" s="279"/>
      <c r="M60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3622047244094491" right="0.19685039370078741" top="0.35433070866141736" bottom="0.39370078740157483" header="0.51181102362204722" footer="0.15748031496062992"/>
  <pageSetup paperSize="9" scale="76" firstPageNumber="61" orientation="portrait" useFirstPageNumber="1" r:id="rId1"/>
  <headerFooter>
    <oddFooter>&amp;C- &amp;P -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M60"/>
  <sheetViews>
    <sheetView view="pageBreakPreview" topLeftCell="A31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4.1640625" style="115" customWidth="1"/>
    <col min="4" max="5" width="9.33203125" style="115" hidden="1" customWidth="1"/>
    <col min="6" max="6" width="10.83203125" style="115" customWidth="1"/>
    <col min="7" max="7" width="13.5" style="1390" hidden="1" customWidth="1"/>
    <col min="8" max="8" width="12" style="115" hidden="1" customWidth="1"/>
    <col min="9" max="9" width="10.83203125" style="1390" hidden="1" customWidth="1"/>
    <col min="10" max="10" width="12.5" style="115" customWidth="1"/>
    <col min="11" max="11" width="12.1640625" style="1390" customWidth="1"/>
    <col min="12" max="12" width="14.1640625" style="115" customWidth="1"/>
    <col min="13" max="13" width="14.332031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731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48" customHeight="1" thickBot="1" x14ac:dyDescent="0.25">
      <c r="A2" s="4516" t="s">
        <v>411</v>
      </c>
      <c r="B2" s="4516"/>
      <c r="C2" s="805" t="s">
        <v>1002</v>
      </c>
      <c r="D2" s="4444" t="s">
        <v>282</v>
      </c>
      <c r="E2" s="818"/>
      <c r="F2" s="4415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25" t="s">
        <v>283</v>
      </c>
      <c r="B3" s="4525"/>
      <c r="C3" s="842" t="s">
        <v>480</v>
      </c>
      <c r="D3" s="4444"/>
      <c r="E3" s="819"/>
      <c r="F3" s="4415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2722"/>
      <c r="D4" s="4465"/>
      <c r="E4" s="4574"/>
      <c r="F4" s="4574"/>
      <c r="G4" s="1440"/>
      <c r="H4" s="1449"/>
      <c r="I4" s="1454"/>
      <c r="J4" s="1449"/>
      <c r="K4" s="1454"/>
      <c r="L4" s="1449"/>
      <c r="M4" s="1508" t="s">
        <v>935</v>
      </c>
    </row>
    <row r="5" spans="1:13" s="145" customFormat="1" ht="26.25" customHeight="1" thickBot="1" x14ac:dyDescent="0.25">
      <c r="A5" s="4431" t="s">
        <v>285</v>
      </c>
      <c r="B5" s="4431"/>
      <c r="C5" s="807" t="s">
        <v>286</v>
      </c>
      <c r="D5" s="126" t="s">
        <v>287</v>
      </c>
      <c r="E5" s="821" t="s">
        <v>288</v>
      </c>
      <c r="F5" s="821"/>
      <c r="G5" s="2659"/>
      <c r="H5" s="821"/>
      <c r="I5" s="1399"/>
      <c r="J5" s="821"/>
      <c r="K5" s="1399"/>
      <c r="L5" s="821"/>
      <c r="M5" s="821"/>
    </row>
    <row r="6" spans="1:13" s="305" customFormat="1" ht="15" customHeight="1" thickBot="1" x14ac:dyDescent="0.25">
      <c r="A6" s="124"/>
      <c r="B6" s="127"/>
      <c r="C6" s="843"/>
      <c r="D6" s="128"/>
      <c r="E6" s="446"/>
      <c r="F6" s="446"/>
      <c r="G6" s="2455"/>
      <c r="H6" s="446"/>
      <c r="I6" s="1400"/>
      <c r="J6" s="446"/>
      <c r="K6" s="1400"/>
      <c r="L6" s="446"/>
      <c r="M6" s="446"/>
    </row>
    <row r="7" spans="1:13" s="305" customFormat="1" ht="15" customHeight="1" thickBot="1" x14ac:dyDescent="0.25">
      <c r="A7" s="192"/>
      <c r="B7" s="160"/>
      <c r="C7" s="809" t="s">
        <v>230</v>
      </c>
      <c r="D7" s="162"/>
      <c r="E7" s="545"/>
      <c r="F7" s="545"/>
      <c r="G7" s="1437"/>
      <c r="H7" s="545"/>
      <c r="I7" s="1401"/>
      <c r="J7" s="545"/>
      <c r="K7" s="1401"/>
      <c r="L7" s="545"/>
      <c r="M7" s="545"/>
    </row>
    <row r="8" spans="1:13" s="141" customFormat="1" ht="15" customHeight="1" thickBot="1" x14ac:dyDescent="0.25">
      <c r="A8" s="134" t="s">
        <v>3</v>
      </c>
      <c r="B8" s="148"/>
      <c r="C8" s="810" t="s">
        <v>413</v>
      </c>
      <c r="D8" s="137">
        <f>SUM(D9:D18)</f>
        <v>0</v>
      </c>
      <c r="E8" s="826">
        <f>SUM(E9:E18)</f>
        <v>0</v>
      </c>
      <c r="F8" s="826">
        <f>SUM(F9:F18)</f>
        <v>0</v>
      </c>
      <c r="G8" s="1382"/>
      <c r="H8" s="826">
        <f>SUM(H9:H18)</f>
        <v>0</v>
      </c>
      <c r="I8" s="1407"/>
      <c r="J8" s="826">
        <f>SUM(J9:J18)</f>
        <v>0</v>
      </c>
      <c r="K8" s="1407"/>
      <c r="L8" s="826">
        <f>SUM(L9:L18)</f>
        <v>0</v>
      </c>
      <c r="M8" s="826">
        <f>SUM(M9:M18)</f>
        <v>0</v>
      </c>
    </row>
    <row r="9" spans="1:13" s="141" customFormat="1" ht="15" customHeight="1" x14ac:dyDescent="0.2">
      <c r="A9" s="149"/>
      <c r="B9" s="143" t="s">
        <v>152</v>
      </c>
      <c r="C9" s="811" t="s">
        <v>48</v>
      </c>
      <c r="D9" s="150">
        <v>0</v>
      </c>
      <c r="E9" s="310">
        <v>0</v>
      </c>
      <c r="F9" s="310">
        <v>0</v>
      </c>
      <c r="G9" s="1533"/>
      <c r="H9" s="310">
        <v>0</v>
      </c>
      <c r="I9" s="1403"/>
      <c r="J9" s="310">
        <v>0</v>
      </c>
      <c r="K9" s="1403"/>
      <c r="L9" s="310">
        <v>0</v>
      </c>
      <c r="M9" s="310">
        <v>0</v>
      </c>
    </row>
    <row r="10" spans="1:13" s="141" customFormat="1" ht="15" customHeight="1" x14ac:dyDescent="0.2">
      <c r="A10" s="142"/>
      <c r="B10" s="143" t="s">
        <v>154</v>
      </c>
      <c r="C10" s="812" t="s">
        <v>50</v>
      </c>
      <c r="D10" s="144">
        <v>0</v>
      </c>
      <c r="E10" s="483">
        <v>0</v>
      </c>
      <c r="F10" s="483">
        <v>0</v>
      </c>
      <c r="G10" s="1415"/>
      <c r="H10" s="483">
        <v>0</v>
      </c>
      <c r="I10" s="1404"/>
      <c r="J10" s="483">
        <v>0</v>
      </c>
      <c r="K10" s="1404"/>
      <c r="L10" s="483">
        <v>0</v>
      </c>
      <c r="M10" s="483">
        <v>0</v>
      </c>
    </row>
    <row r="11" spans="1:13" s="141" customFormat="1" ht="15" customHeight="1" x14ac:dyDescent="0.2">
      <c r="A11" s="142"/>
      <c r="B11" s="143" t="s">
        <v>156</v>
      </c>
      <c r="C11" s="812" t="s">
        <v>414</v>
      </c>
      <c r="D11" s="144">
        <v>0</v>
      </c>
      <c r="E11" s="483">
        <v>0</v>
      </c>
      <c r="F11" s="483">
        <v>0</v>
      </c>
      <c r="G11" s="1415"/>
      <c r="H11" s="483">
        <v>0</v>
      </c>
      <c r="I11" s="1404"/>
      <c r="J11" s="483">
        <v>0</v>
      </c>
      <c r="K11" s="1404"/>
      <c r="L11" s="483">
        <v>0</v>
      </c>
      <c r="M11" s="483">
        <v>0</v>
      </c>
    </row>
    <row r="12" spans="1:13" s="141" customFormat="1" ht="15" customHeight="1" x14ac:dyDescent="0.2">
      <c r="A12" s="142"/>
      <c r="B12" s="143" t="s">
        <v>158</v>
      </c>
      <c r="C12" s="812" t="s">
        <v>415</v>
      </c>
      <c r="D12" s="144">
        <v>0</v>
      </c>
      <c r="E12" s="483">
        <v>0</v>
      </c>
      <c r="F12" s="483">
        <v>0</v>
      </c>
      <c r="G12" s="1415"/>
      <c r="H12" s="483">
        <v>0</v>
      </c>
      <c r="I12" s="1404"/>
      <c r="J12" s="483">
        <v>0</v>
      </c>
      <c r="K12" s="1404"/>
      <c r="L12" s="483">
        <v>0</v>
      </c>
      <c r="M12" s="483">
        <v>0</v>
      </c>
    </row>
    <row r="13" spans="1:13" s="141" customFormat="1" ht="15" customHeight="1" x14ac:dyDescent="0.2">
      <c r="A13" s="142"/>
      <c r="B13" s="143" t="s">
        <v>375</v>
      </c>
      <c r="C13" s="813" t="s">
        <v>416</v>
      </c>
      <c r="D13" s="144">
        <v>0</v>
      </c>
      <c r="E13" s="483">
        <v>0</v>
      </c>
      <c r="F13" s="483">
        <v>0</v>
      </c>
      <c r="G13" s="1415"/>
      <c r="H13" s="483">
        <v>0</v>
      </c>
      <c r="I13" s="1404"/>
      <c r="J13" s="483">
        <v>0</v>
      </c>
      <c r="K13" s="1404"/>
      <c r="L13" s="483">
        <v>0</v>
      </c>
      <c r="M13" s="483">
        <v>0</v>
      </c>
    </row>
    <row r="14" spans="1:13" s="141" customFormat="1" ht="15" customHeight="1" x14ac:dyDescent="0.2">
      <c r="A14" s="142"/>
      <c r="B14" s="143" t="s">
        <v>162</v>
      </c>
      <c r="C14" s="812" t="s">
        <v>340</v>
      </c>
      <c r="D14" s="147">
        <v>0</v>
      </c>
      <c r="E14" s="824">
        <v>0</v>
      </c>
      <c r="F14" s="483">
        <v>0</v>
      </c>
      <c r="G14" s="1415"/>
      <c r="H14" s="483">
        <v>0</v>
      </c>
      <c r="I14" s="1404"/>
      <c r="J14" s="483">
        <v>0</v>
      </c>
      <c r="K14" s="1404"/>
      <c r="L14" s="483">
        <v>0</v>
      </c>
      <c r="M14" s="483">
        <v>0</v>
      </c>
    </row>
    <row r="15" spans="1:13" s="141" customFormat="1" ht="15" customHeight="1" x14ac:dyDescent="0.2">
      <c r="A15" s="146"/>
      <c r="B15" s="143" t="s">
        <v>164</v>
      </c>
      <c r="C15" s="812" t="s">
        <v>60</v>
      </c>
      <c r="D15" s="147"/>
      <c r="E15" s="824"/>
      <c r="F15" s="824">
        <v>0</v>
      </c>
      <c r="G15" s="1519"/>
      <c r="H15" s="824">
        <v>0</v>
      </c>
      <c r="I15" s="1405"/>
      <c r="J15" s="824">
        <v>0</v>
      </c>
      <c r="K15" s="1405"/>
      <c r="L15" s="824">
        <v>0</v>
      </c>
      <c r="M15" s="824">
        <v>0</v>
      </c>
    </row>
    <row r="16" spans="1:13" s="145" customFormat="1" ht="15" customHeight="1" x14ac:dyDescent="0.2">
      <c r="A16" s="142"/>
      <c r="B16" s="152" t="s">
        <v>166</v>
      </c>
      <c r="C16" s="812" t="s">
        <v>417</v>
      </c>
      <c r="D16" s="144">
        <v>0</v>
      </c>
      <c r="E16" s="483">
        <v>0</v>
      </c>
      <c r="F16" s="483">
        <v>0</v>
      </c>
      <c r="G16" s="1415"/>
      <c r="H16" s="483">
        <v>0</v>
      </c>
      <c r="I16" s="1404"/>
      <c r="J16" s="483">
        <v>0</v>
      </c>
      <c r="K16" s="1404"/>
      <c r="L16" s="483">
        <v>0</v>
      </c>
      <c r="M16" s="483">
        <v>0</v>
      </c>
    </row>
    <row r="17" spans="1:13" s="145" customFormat="1" ht="15" customHeight="1" x14ac:dyDescent="0.2">
      <c r="A17" s="151"/>
      <c r="B17" s="152" t="s">
        <v>168</v>
      </c>
      <c r="C17" s="812" t="s">
        <v>64</v>
      </c>
      <c r="D17" s="153"/>
      <c r="E17" s="825"/>
      <c r="F17" s="825">
        <v>0</v>
      </c>
      <c r="G17" s="1518"/>
      <c r="H17" s="825">
        <v>0</v>
      </c>
      <c r="I17" s="1406"/>
      <c r="J17" s="825">
        <v>0</v>
      </c>
      <c r="K17" s="1406"/>
      <c r="L17" s="825">
        <v>0</v>
      </c>
      <c r="M17" s="825">
        <v>0</v>
      </c>
    </row>
    <row r="18" spans="1:13" s="145" customFormat="1" ht="15" customHeight="1" thickBot="1" x14ac:dyDescent="0.25">
      <c r="A18" s="151"/>
      <c r="B18" s="152" t="s">
        <v>170</v>
      </c>
      <c r="C18" s="813" t="s">
        <v>418</v>
      </c>
      <c r="D18" s="153">
        <v>0</v>
      </c>
      <c r="E18" s="825">
        <v>0</v>
      </c>
      <c r="F18" s="825">
        <v>0</v>
      </c>
      <c r="G18" s="1518"/>
      <c r="H18" s="825">
        <v>0</v>
      </c>
      <c r="I18" s="1406"/>
      <c r="J18" s="825">
        <v>0</v>
      </c>
      <c r="K18" s="1406"/>
      <c r="L18" s="825">
        <v>0</v>
      </c>
      <c r="M18" s="825">
        <v>0</v>
      </c>
    </row>
    <row r="19" spans="1:13" s="141" customFormat="1" ht="29.25" customHeight="1" thickBot="1" x14ac:dyDescent="0.25">
      <c r="A19" s="134" t="s">
        <v>17</v>
      </c>
      <c r="B19" s="148"/>
      <c r="C19" s="810" t="s">
        <v>419</v>
      </c>
      <c r="D19" s="137">
        <f>SUM(D20:D25)</f>
        <v>88468</v>
      </c>
      <c r="E19" s="826">
        <f>SUM(E20:E25)</f>
        <v>91119</v>
      </c>
      <c r="F19" s="826">
        <f>SUM(F20:F25)</f>
        <v>0</v>
      </c>
      <c r="G19" s="1382"/>
      <c r="H19" s="826">
        <f>SUM(H20:H25)</f>
        <v>0</v>
      </c>
      <c r="I19" s="1407"/>
      <c r="J19" s="826">
        <f>SUM(J20:J25)</f>
        <v>0</v>
      </c>
      <c r="K19" s="1407"/>
      <c r="L19" s="826">
        <f>SUM(L20:L25)</f>
        <v>0</v>
      </c>
      <c r="M19" s="826">
        <f>SUM(M20:M25)</f>
        <v>0</v>
      </c>
    </row>
    <row r="20" spans="1:13" s="145" customFormat="1" ht="30" customHeight="1" x14ac:dyDescent="0.2">
      <c r="A20" s="142"/>
      <c r="B20" s="143" t="s">
        <v>5</v>
      </c>
      <c r="C20" s="814" t="s">
        <v>420</v>
      </c>
      <c r="D20" s="144">
        <v>88468</v>
      </c>
      <c r="E20" s="483">
        <v>91119</v>
      </c>
      <c r="F20" s="483">
        <v>0</v>
      </c>
      <c r="G20" s="1415"/>
      <c r="H20" s="483">
        <v>0</v>
      </c>
      <c r="I20" s="1404"/>
      <c r="J20" s="483">
        <v>0</v>
      </c>
      <c r="K20" s="1404"/>
      <c r="L20" s="483">
        <v>0</v>
      </c>
      <c r="M20" s="483">
        <v>0</v>
      </c>
    </row>
    <row r="21" spans="1:13" s="145" customFormat="1" ht="15" customHeight="1" x14ac:dyDescent="0.2">
      <c r="A21" s="142"/>
      <c r="B21" s="143" t="s">
        <v>421</v>
      </c>
      <c r="C21" s="812" t="s">
        <v>422</v>
      </c>
      <c r="D21" s="144">
        <v>0</v>
      </c>
      <c r="E21" s="483">
        <v>0</v>
      </c>
      <c r="F21" s="483">
        <v>0</v>
      </c>
      <c r="G21" s="1415"/>
      <c r="H21" s="483">
        <v>0</v>
      </c>
      <c r="I21" s="1404"/>
      <c r="J21" s="483">
        <v>0</v>
      </c>
      <c r="K21" s="1404"/>
      <c r="L21" s="483">
        <v>0</v>
      </c>
      <c r="M21" s="483">
        <v>0</v>
      </c>
    </row>
    <row r="22" spans="1:13" s="145" customFormat="1" ht="15" customHeight="1" x14ac:dyDescent="0.2">
      <c r="A22" s="142"/>
      <c r="B22" s="143" t="s">
        <v>360</v>
      </c>
      <c r="C22" s="812" t="s">
        <v>1430</v>
      </c>
      <c r="D22" s="144"/>
      <c r="E22" s="483"/>
      <c r="F22" s="483">
        <v>0</v>
      </c>
      <c r="G22" s="1415"/>
      <c r="H22" s="483">
        <v>0</v>
      </c>
      <c r="I22" s="1404"/>
      <c r="J22" s="483">
        <v>0</v>
      </c>
      <c r="K22" s="1404"/>
      <c r="L22" s="483">
        <v>0</v>
      </c>
      <c r="M22" s="483">
        <v>0</v>
      </c>
    </row>
    <row r="23" spans="1:13" s="145" customFormat="1" ht="15" customHeight="1" x14ac:dyDescent="0.2">
      <c r="A23" s="142"/>
      <c r="B23" s="143" t="s">
        <v>357</v>
      </c>
      <c r="C23" s="812" t="s">
        <v>424</v>
      </c>
      <c r="D23" s="144">
        <v>0</v>
      </c>
      <c r="E23" s="483">
        <v>0</v>
      </c>
      <c r="F23" s="483">
        <v>0</v>
      </c>
      <c r="G23" s="1415"/>
      <c r="H23" s="483">
        <v>0</v>
      </c>
      <c r="I23" s="1404"/>
      <c r="J23" s="483">
        <v>0</v>
      </c>
      <c r="K23" s="1404"/>
      <c r="L23" s="483">
        <v>0</v>
      </c>
      <c r="M23" s="483">
        <v>0</v>
      </c>
    </row>
    <row r="24" spans="1:13" s="145" customFormat="1" ht="15" customHeight="1" x14ac:dyDescent="0.2">
      <c r="A24" s="142"/>
      <c r="B24" s="143" t="s">
        <v>7</v>
      </c>
      <c r="C24" s="812" t="s">
        <v>6</v>
      </c>
      <c r="D24" s="144"/>
      <c r="E24" s="483"/>
      <c r="F24" s="483">
        <v>0</v>
      </c>
      <c r="G24" s="1415"/>
      <c r="H24" s="483">
        <v>0</v>
      </c>
      <c r="I24" s="1404"/>
      <c r="J24" s="483">
        <v>0</v>
      </c>
      <c r="K24" s="1404"/>
      <c r="L24" s="483">
        <v>0</v>
      </c>
      <c r="M24" s="483">
        <v>0</v>
      </c>
    </row>
    <row r="25" spans="1:13" s="145" customFormat="1" ht="15" customHeight="1" thickBot="1" x14ac:dyDescent="0.25">
      <c r="A25" s="142"/>
      <c r="B25" s="143" t="s">
        <v>9</v>
      </c>
      <c r="C25" s="812" t="s">
        <v>425</v>
      </c>
      <c r="D25" s="144">
        <v>0</v>
      </c>
      <c r="E25" s="483">
        <v>0</v>
      </c>
      <c r="F25" s="483">
        <v>0</v>
      </c>
      <c r="G25" s="1415"/>
      <c r="H25" s="483">
        <v>0</v>
      </c>
      <c r="I25" s="1404"/>
      <c r="J25" s="483">
        <v>0</v>
      </c>
      <c r="K25" s="1404"/>
      <c r="L25" s="483">
        <v>0</v>
      </c>
      <c r="M25" s="483">
        <v>0</v>
      </c>
    </row>
    <row r="26" spans="1:13" s="145" customFormat="1" ht="15" customHeight="1" thickBot="1" x14ac:dyDescent="0.25">
      <c r="A26" s="134" t="s">
        <v>31</v>
      </c>
      <c r="B26" s="170"/>
      <c r="C26" s="810" t="s">
        <v>426</v>
      </c>
      <c r="D26" s="155">
        <v>0</v>
      </c>
      <c r="E26" s="827">
        <v>0</v>
      </c>
      <c r="F26" s="827">
        <v>0</v>
      </c>
      <c r="G26" s="1381"/>
      <c r="H26" s="827">
        <v>0</v>
      </c>
      <c r="I26" s="1408"/>
      <c r="J26" s="827">
        <v>0</v>
      </c>
      <c r="K26" s="1408"/>
      <c r="L26" s="827">
        <v>0</v>
      </c>
      <c r="M26" s="827">
        <v>0</v>
      </c>
    </row>
    <row r="27" spans="1:13" s="145" customFormat="1" ht="30" customHeight="1" thickBot="1" x14ac:dyDescent="0.25">
      <c r="A27" s="134"/>
      <c r="B27" s="143" t="s">
        <v>19</v>
      </c>
      <c r="C27" s="812" t="s">
        <v>427</v>
      </c>
      <c r="D27" s="155"/>
      <c r="E27" s="827"/>
      <c r="F27" s="844">
        <v>0</v>
      </c>
      <c r="G27" s="1509"/>
      <c r="H27" s="844">
        <v>0</v>
      </c>
      <c r="I27" s="1421"/>
      <c r="J27" s="844">
        <v>0</v>
      </c>
      <c r="K27" s="1421"/>
      <c r="L27" s="844">
        <v>0</v>
      </c>
      <c r="M27" s="844">
        <v>0</v>
      </c>
    </row>
    <row r="28" spans="1:13" s="141" customFormat="1" ht="15" customHeight="1" thickBot="1" x14ac:dyDescent="0.25">
      <c r="A28" s="134" t="s">
        <v>45</v>
      </c>
      <c r="B28" s="148"/>
      <c r="C28" s="815" t="s">
        <v>428</v>
      </c>
      <c r="D28" s="155">
        <v>0</v>
      </c>
      <c r="E28" s="827">
        <v>0</v>
      </c>
      <c r="F28" s="827">
        <f>SUM(F29:F31)</f>
        <v>0</v>
      </c>
      <c r="G28" s="1381"/>
      <c r="H28" s="827">
        <f>SUM(H29:H31)</f>
        <v>0</v>
      </c>
      <c r="I28" s="1408"/>
      <c r="J28" s="827">
        <f>SUM(J29:J31)</f>
        <v>0</v>
      </c>
      <c r="K28" s="1408"/>
      <c r="L28" s="827">
        <f>SUM(L29:L31)</f>
        <v>0</v>
      </c>
      <c r="M28" s="827">
        <f>SUM(M29:M31)</f>
        <v>0</v>
      </c>
    </row>
    <row r="29" spans="1:13" s="141" customFormat="1" ht="15" customHeight="1" thickBot="1" x14ac:dyDescent="0.25">
      <c r="A29" s="149"/>
      <c r="B29" s="253" t="s">
        <v>33</v>
      </c>
      <c r="C29" s="812" t="s">
        <v>359</v>
      </c>
      <c r="D29" s="155"/>
      <c r="E29" s="827"/>
      <c r="F29" s="483">
        <v>0</v>
      </c>
      <c r="G29" s="1415"/>
      <c r="H29" s="483">
        <v>0</v>
      </c>
      <c r="I29" s="1404"/>
      <c r="J29" s="483">
        <v>0</v>
      </c>
      <c r="K29" s="1404"/>
      <c r="L29" s="483">
        <v>0</v>
      </c>
      <c r="M29" s="483">
        <v>0</v>
      </c>
    </row>
    <row r="30" spans="1:13" s="141" customFormat="1" ht="15" customHeight="1" thickBot="1" x14ac:dyDescent="0.25">
      <c r="A30" s="146"/>
      <c r="B30" s="253" t="s">
        <v>39</v>
      </c>
      <c r="C30" s="812" t="s">
        <v>72</v>
      </c>
      <c r="D30" s="155"/>
      <c r="E30" s="827"/>
      <c r="F30" s="483">
        <v>0</v>
      </c>
      <c r="G30" s="1415"/>
      <c r="H30" s="483">
        <v>0</v>
      </c>
      <c r="I30" s="1404"/>
      <c r="J30" s="483">
        <v>0</v>
      </c>
      <c r="K30" s="1404"/>
      <c r="L30" s="483">
        <v>0</v>
      </c>
      <c r="M30" s="483">
        <v>0</v>
      </c>
    </row>
    <row r="31" spans="1:13" s="141" customFormat="1" ht="15" customHeight="1" thickBot="1" x14ac:dyDescent="0.25">
      <c r="A31" s="178"/>
      <c r="B31" s="253" t="s">
        <v>41</v>
      </c>
      <c r="C31" s="812" t="s">
        <v>74</v>
      </c>
      <c r="D31" s="155"/>
      <c r="E31" s="827"/>
      <c r="F31" s="483">
        <v>0</v>
      </c>
      <c r="G31" s="1415"/>
      <c r="H31" s="483">
        <v>0</v>
      </c>
      <c r="I31" s="1404"/>
      <c r="J31" s="483">
        <v>0</v>
      </c>
      <c r="K31" s="1404"/>
      <c r="L31" s="483">
        <v>0</v>
      </c>
      <c r="M31" s="483">
        <v>0</v>
      </c>
    </row>
    <row r="32" spans="1:13" s="141" customFormat="1" ht="29.25" thickBot="1" x14ac:dyDescent="0.25">
      <c r="A32" s="134" t="s">
        <v>67</v>
      </c>
      <c r="B32" s="254"/>
      <c r="C32" s="815" t="s">
        <v>429</v>
      </c>
      <c r="D32" s="155"/>
      <c r="E32" s="827"/>
      <c r="F32" s="827">
        <f>SUM(F33:F33)</f>
        <v>0</v>
      </c>
      <c r="G32" s="1381"/>
      <c r="H32" s="827">
        <f>SUM(H33:H33)</f>
        <v>0</v>
      </c>
      <c r="I32" s="1408"/>
      <c r="J32" s="827">
        <f>SUM(J33:J33)</f>
        <v>0</v>
      </c>
      <c r="K32" s="1408"/>
      <c r="L32" s="827">
        <f>SUM(L33:L33)</f>
        <v>0</v>
      </c>
      <c r="M32" s="827">
        <f>SUM(M33:M33)</f>
        <v>0</v>
      </c>
    </row>
    <row r="33" spans="1:13" s="141" customFormat="1" ht="30.75" thickBot="1" x14ac:dyDescent="0.25">
      <c r="A33" s="146"/>
      <c r="B33" s="255" t="s">
        <v>47</v>
      </c>
      <c r="C33" s="814" t="s">
        <v>430</v>
      </c>
      <c r="D33" s="155"/>
      <c r="E33" s="827"/>
      <c r="F33" s="483">
        <v>0</v>
      </c>
      <c r="G33" s="1415"/>
      <c r="H33" s="483">
        <v>0</v>
      </c>
      <c r="I33" s="1404"/>
      <c r="J33" s="483">
        <v>0</v>
      </c>
      <c r="K33" s="1404"/>
      <c r="L33" s="483">
        <v>0</v>
      </c>
      <c r="M33" s="483">
        <v>0</v>
      </c>
    </row>
    <row r="34" spans="1:13" s="141" customFormat="1" ht="15" customHeight="1" thickBot="1" x14ac:dyDescent="0.3">
      <c r="A34" s="258" t="s">
        <v>79</v>
      </c>
      <c r="B34" s="256"/>
      <c r="C34" s="810" t="s">
        <v>431</v>
      </c>
      <c r="D34" s="155"/>
      <c r="E34" s="827"/>
      <c r="F34" s="827">
        <v>0</v>
      </c>
      <c r="G34" s="1381"/>
      <c r="H34" s="827">
        <v>0</v>
      </c>
      <c r="I34" s="1408"/>
      <c r="J34" s="827">
        <v>0</v>
      </c>
      <c r="K34" s="1408"/>
      <c r="L34" s="827">
        <v>0</v>
      </c>
      <c r="M34" s="827">
        <v>0</v>
      </c>
    </row>
    <row r="35" spans="1:13" s="141" customFormat="1" ht="30.75" thickBot="1" x14ac:dyDescent="0.25">
      <c r="A35" s="258"/>
      <c r="B35" s="257" t="s">
        <v>69</v>
      </c>
      <c r="C35" s="812" t="s">
        <v>432</v>
      </c>
      <c r="D35" s="155"/>
      <c r="E35" s="827"/>
      <c r="F35" s="844">
        <v>0</v>
      </c>
      <c r="G35" s="1509"/>
      <c r="H35" s="844">
        <v>0</v>
      </c>
      <c r="I35" s="1421"/>
      <c r="J35" s="844">
        <v>0</v>
      </c>
      <c r="K35" s="1421"/>
      <c r="L35" s="844">
        <v>0</v>
      </c>
      <c r="M35" s="844">
        <v>0</v>
      </c>
    </row>
    <row r="36" spans="1:13" s="141" customFormat="1" ht="15" customHeight="1" thickBot="1" x14ac:dyDescent="0.3">
      <c r="A36" s="258" t="s">
        <v>89</v>
      </c>
      <c r="B36" s="256"/>
      <c r="C36" s="815" t="s">
        <v>433</v>
      </c>
      <c r="D36" s="137">
        <f>+D37+D38</f>
        <v>0</v>
      </c>
      <c r="E36" s="826">
        <f>+E37+E38</f>
        <v>120</v>
      </c>
      <c r="F36" s="826">
        <f>+F37+F38+SUM(F37:F39)</f>
        <v>0</v>
      </c>
      <c r="G36" s="1382"/>
      <c r="H36" s="826">
        <f>+H37+H38+SUM(H37:H39)</f>
        <v>0</v>
      </c>
      <c r="I36" s="1407"/>
      <c r="J36" s="826">
        <f>+J37+J38+SUM(J37:J39)</f>
        <v>0</v>
      </c>
      <c r="K36" s="1407"/>
      <c r="L36" s="826">
        <f>+L37+L38+SUM(L37:L39)</f>
        <v>0</v>
      </c>
      <c r="M36" s="826">
        <f>+M37+M38+SUM(M37:M39)</f>
        <v>0</v>
      </c>
    </row>
    <row r="37" spans="1:13" s="141" customFormat="1" ht="15" customHeight="1" x14ac:dyDescent="0.2">
      <c r="A37" s="149"/>
      <c r="B37" s="253" t="s">
        <v>81</v>
      </c>
      <c r="C37" s="812" t="s">
        <v>434</v>
      </c>
      <c r="D37" s="1326">
        <v>0</v>
      </c>
      <c r="E37" s="828">
        <v>120</v>
      </c>
      <c r="F37" s="483">
        <v>0</v>
      </c>
      <c r="G37" s="1415"/>
      <c r="H37" s="483">
        <v>0</v>
      </c>
      <c r="I37" s="1404"/>
      <c r="J37" s="483">
        <v>0</v>
      </c>
      <c r="K37" s="1404"/>
      <c r="L37" s="483">
        <v>0</v>
      </c>
      <c r="M37" s="483">
        <v>0</v>
      </c>
    </row>
    <row r="38" spans="1:13" s="141" customFormat="1" ht="15" customHeight="1" thickBot="1" x14ac:dyDescent="0.25">
      <c r="A38" s="146"/>
      <c r="B38" s="253" t="s">
        <v>83</v>
      </c>
      <c r="C38" s="812" t="s">
        <v>435</v>
      </c>
      <c r="D38" s="294">
        <v>0</v>
      </c>
      <c r="E38" s="829">
        <v>0</v>
      </c>
      <c r="F38" s="483">
        <v>0</v>
      </c>
      <c r="G38" s="1415"/>
      <c r="H38" s="483">
        <v>0</v>
      </c>
      <c r="I38" s="1404"/>
      <c r="J38" s="483">
        <v>0</v>
      </c>
      <c r="K38" s="1404"/>
      <c r="L38" s="483">
        <v>0</v>
      </c>
      <c r="M38" s="483">
        <v>0</v>
      </c>
    </row>
    <row r="39" spans="1:13" s="145" customFormat="1" ht="15" customHeight="1" thickBot="1" x14ac:dyDescent="0.25">
      <c r="A39" s="178"/>
      <c r="B39" s="253" t="s">
        <v>85</v>
      </c>
      <c r="C39" s="812" t="s">
        <v>1434</v>
      </c>
      <c r="D39" s="155">
        <v>3980</v>
      </c>
      <c r="E39" s="827">
        <v>7945</v>
      </c>
      <c r="F39" s="483">
        <v>0</v>
      </c>
      <c r="G39" s="1415"/>
      <c r="H39" s="483">
        <v>0</v>
      </c>
      <c r="I39" s="1404"/>
      <c r="J39" s="483">
        <v>0</v>
      </c>
      <c r="K39" s="1404"/>
      <c r="L39" s="483">
        <v>0</v>
      </c>
      <c r="M39" s="483">
        <v>0</v>
      </c>
    </row>
    <row r="40" spans="1:13" s="145" customFormat="1" ht="12.75" hidden="1" customHeight="1" x14ac:dyDescent="0.25">
      <c r="A40" s="258"/>
      <c r="B40" s="256"/>
      <c r="C40" s="815" t="s">
        <v>458</v>
      </c>
      <c r="D40" s="155"/>
      <c r="E40" s="827"/>
      <c r="F40" s="827"/>
      <c r="G40" s="1381"/>
      <c r="H40" s="827"/>
      <c r="I40" s="1408"/>
      <c r="J40" s="827"/>
      <c r="K40" s="1408"/>
      <c r="L40" s="827"/>
      <c r="M40" s="827"/>
    </row>
    <row r="41" spans="1:13" s="145" customFormat="1" ht="15" customHeight="1" thickBot="1" x14ac:dyDescent="0.25">
      <c r="A41" s="192" t="s">
        <v>99</v>
      </c>
      <c r="B41" s="160"/>
      <c r="C41" s="816" t="s">
        <v>441</v>
      </c>
      <c r="D41" s="162">
        <f>SUM(D8,D19,D26,D28,D36,D39)</f>
        <v>92448</v>
      </c>
      <c r="E41" s="545">
        <f>SUM(E8,E19,E26,E28,E36,E39)</f>
        <v>99184</v>
      </c>
      <c r="F41" s="545">
        <f>SUM(F8,F19,F26,F28,F32,F34,F36)</f>
        <v>0</v>
      </c>
      <c r="G41" s="1437"/>
      <c r="H41" s="545">
        <f>SUM(H8,H19,H26,H28,H32,H34,H36)</f>
        <v>0</v>
      </c>
      <c r="I41" s="1401"/>
      <c r="J41" s="545">
        <f>SUM(J8,J19,J26,J28,J32,J34,J36)</f>
        <v>0</v>
      </c>
      <c r="K41" s="1401"/>
      <c r="L41" s="545">
        <f>SUM(L8,L19,L26,L28,L32,L34,L36)</f>
        <v>0</v>
      </c>
      <c r="M41" s="545">
        <f>SUM(M8,M19,M26,M28,M32,M34,M36)</f>
        <v>0</v>
      </c>
    </row>
    <row r="42" spans="1:13" s="145" customFormat="1" ht="15" customHeight="1" thickBot="1" x14ac:dyDescent="0.25">
      <c r="A42" s="2098"/>
      <c r="B42" s="266"/>
      <c r="C42" s="275"/>
      <c r="D42" s="156"/>
      <c r="E42" s="1459"/>
      <c r="F42" s="2456"/>
      <c r="G42" s="1443"/>
      <c r="H42" s="1460"/>
      <c r="I42" s="1443"/>
      <c r="J42" s="1460"/>
      <c r="K42" s="1443"/>
      <c r="L42" s="1460"/>
      <c r="M42" s="1458"/>
    </row>
    <row r="43" spans="1:13" s="305" customFormat="1" ht="15" customHeight="1" thickBot="1" x14ac:dyDescent="0.25">
      <c r="A43" s="192"/>
      <c r="B43" s="160"/>
      <c r="C43" s="809" t="s">
        <v>231</v>
      </c>
      <c r="D43" s="162"/>
      <c r="E43" s="545"/>
      <c r="F43" s="545"/>
      <c r="G43" s="1437"/>
      <c r="H43" s="545"/>
      <c r="I43" s="1401"/>
      <c r="J43" s="545"/>
      <c r="K43" s="1401"/>
      <c r="L43" s="545"/>
      <c r="M43" s="545"/>
    </row>
    <row r="44" spans="1:13" s="141" customFormat="1" ht="15" customHeight="1" thickBot="1" x14ac:dyDescent="0.25">
      <c r="A44" s="134" t="s">
        <v>3</v>
      </c>
      <c r="B44" s="170"/>
      <c r="C44" s="815" t="s">
        <v>442</v>
      </c>
      <c r="D44" s="137">
        <f>SUM(D45:D49)</f>
        <v>92448</v>
      </c>
      <c r="E44" s="826">
        <f>SUM(E45:E49)</f>
        <v>99095</v>
      </c>
      <c r="F44" s="826">
        <f>SUM(F45:F49)</f>
        <v>0</v>
      </c>
      <c r="G44" s="1382"/>
      <c r="H44" s="826">
        <f>SUM(H45:H49)</f>
        <v>0</v>
      </c>
      <c r="I44" s="1407"/>
      <c r="J44" s="826">
        <f>SUM(J45:J49)</f>
        <v>0</v>
      </c>
      <c r="K44" s="1407"/>
      <c r="L44" s="826">
        <f>SUM(L45:L49)</f>
        <v>0</v>
      </c>
      <c r="M44" s="826">
        <f>SUM(M45:M49)</f>
        <v>0</v>
      </c>
    </row>
    <row r="45" spans="1:13" s="145" customFormat="1" ht="15" customHeight="1" x14ac:dyDescent="0.2">
      <c r="A45" s="173"/>
      <c r="B45" s="267" t="s">
        <v>152</v>
      </c>
      <c r="C45" s="814" t="s">
        <v>153</v>
      </c>
      <c r="D45" s="175">
        <v>63435</v>
      </c>
      <c r="E45" s="831">
        <v>68371</v>
      </c>
      <c r="F45" s="831">
        <v>0</v>
      </c>
      <c r="G45" s="1432"/>
      <c r="H45" s="831">
        <v>0</v>
      </c>
      <c r="I45" s="1411"/>
      <c r="J45" s="831">
        <v>0</v>
      </c>
      <c r="K45" s="1411"/>
      <c r="L45" s="831">
        <v>0</v>
      </c>
      <c r="M45" s="831">
        <v>0</v>
      </c>
    </row>
    <row r="46" spans="1:13" s="145" customFormat="1" ht="15" customHeight="1" x14ac:dyDescent="0.2">
      <c r="A46" s="142"/>
      <c r="B46" s="253" t="s">
        <v>154</v>
      </c>
      <c r="C46" s="812" t="s">
        <v>155</v>
      </c>
      <c r="D46" s="144">
        <v>16960</v>
      </c>
      <c r="E46" s="483">
        <v>18293</v>
      </c>
      <c r="F46" s="483">
        <v>0</v>
      </c>
      <c r="G46" s="1415"/>
      <c r="H46" s="483">
        <v>0</v>
      </c>
      <c r="I46" s="1404"/>
      <c r="J46" s="483">
        <v>0</v>
      </c>
      <c r="K46" s="1404"/>
      <c r="L46" s="483">
        <v>0</v>
      </c>
      <c r="M46" s="483">
        <v>0</v>
      </c>
    </row>
    <row r="47" spans="1:13" s="145" customFormat="1" ht="15" customHeight="1" x14ac:dyDescent="0.2">
      <c r="A47" s="142"/>
      <c r="B47" s="253" t="s">
        <v>156</v>
      </c>
      <c r="C47" s="812" t="s">
        <v>157</v>
      </c>
      <c r="D47" s="144">
        <v>12053</v>
      </c>
      <c r="E47" s="483">
        <v>12431</v>
      </c>
      <c r="F47" s="483">
        <v>0</v>
      </c>
      <c r="G47" s="1415"/>
      <c r="H47" s="483">
        <v>0</v>
      </c>
      <c r="I47" s="1404"/>
      <c r="J47" s="483">
        <v>0</v>
      </c>
      <c r="K47" s="1404"/>
      <c r="L47" s="483">
        <v>0</v>
      </c>
      <c r="M47" s="483">
        <v>0</v>
      </c>
    </row>
    <row r="48" spans="1:13" s="145" customFormat="1" ht="15" customHeight="1" x14ac:dyDescent="0.2">
      <c r="A48" s="142"/>
      <c r="B48" s="253" t="s">
        <v>158</v>
      </c>
      <c r="C48" s="812" t="s">
        <v>159</v>
      </c>
      <c r="D48" s="144">
        <v>0</v>
      </c>
      <c r="E48" s="483">
        <v>0</v>
      </c>
      <c r="F48" s="483">
        <v>0</v>
      </c>
      <c r="G48" s="1415"/>
      <c r="H48" s="483">
        <v>0</v>
      </c>
      <c r="I48" s="1404"/>
      <c r="J48" s="483">
        <v>0</v>
      </c>
      <c r="K48" s="1404"/>
      <c r="L48" s="483">
        <v>0</v>
      </c>
      <c r="M48" s="483">
        <v>0</v>
      </c>
    </row>
    <row r="49" spans="1:13" s="145" customFormat="1" ht="15" customHeight="1" thickBot="1" x14ac:dyDescent="0.25">
      <c r="A49" s="142"/>
      <c r="B49" s="253" t="s">
        <v>375</v>
      </c>
      <c r="C49" s="812" t="s">
        <v>161</v>
      </c>
      <c r="D49" s="144">
        <v>0</v>
      </c>
      <c r="E49" s="483">
        <v>0</v>
      </c>
      <c r="F49" s="483">
        <v>0</v>
      </c>
      <c r="G49" s="1415"/>
      <c r="H49" s="483">
        <v>0</v>
      </c>
      <c r="I49" s="1404"/>
      <c r="J49" s="483">
        <v>0</v>
      </c>
      <c r="K49" s="1404"/>
      <c r="L49" s="483">
        <v>0</v>
      </c>
      <c r="M49" s="483">
        <v>0</v>
      </c>
    </row>
    <row r="50" spans="1:13" s="145" customFormat="1" ht="15" customHeight="1" thickBot="1" x14ac:dyDescent="0.25">
      <c r="A50" s="134" t="s">
        <v>17</v>
      </c>
      <c r="B50" s="170"/>
      <c r="C50" s="815" t="s">
        <v>443</v>
      </c>
      <c r="D50" s="137">
        <f>SUM(D51:D54)</f>
        <v>0</v>
      </c>
      <c r="E50" s="826">
        <f>SUM(E51:E54)</f>
        <v>89</v>
      </c>
      <c r="F50" s="826">
        <f>SUM(F51:F54)</f>
        <v>0</v>
      </c>
      <c r="G50" s="1382"/>
      <c r="H50" s="826">
        <f>SUM(H51:H54)</f>
        <v>0</v>
      </c>
      <c r="I50" s="1407"/>
      <c r="J50" s="826">
        <f>SUM(J51:J54)</f>
        <v>0</v>
      </c>
      <c r="K50" s="1407"/>
      <c r="L50" s="826">
        <f>SUM(L51:L54)</f>
        <v>0</v>
      </c>
      <c r="M50" s="826">
        <f>SUM(M51:M54)</f>
        <v>0</v>
      </c>
    </row>
    <row r="51" spans="1:13" s="141" customFormat="1" ht="15" customHeight="1" x14ac:dyDescent="0.2">
      <c r="A51" s="173"/>
      <c r="B51" s="267" t="s">
        <v>5</v>
      </c>
      <c r="C51" s="814" t="s">
        <v>183</v>
      </c>
      <c r="D51" s="175">
        <v>0</v>
      </c>
      <c r="E51" s="831">
        <v>89</v>
      </c>
      <c r="F51" s="831">
        <v>0</v>
      </c>
      <c r="G51" s="1432"/>
      <c r="H51" s="831">
        <v>0</v>
      </c>
      <c r="I51" s="1411"/>
      <c r="J51" s="831">
        <v>0</v>
      </c>
      <c r="K51" s="1411"/>
      <c r="L51" s="831">
        <v>0</v>
      </c>
      <c r="M51" s="831">
        <v>0</v>
      </c>
    </row>
    <row r="52" spans="1:13" s="145" customFormat="1" ht="15" customHeight="1" x14ac:dyDescent="0.2">
      <c r="A52" s="142"/>
      <c r="B52" s="253" t="s">
        <v>7</v>
      </c>
      <c r="C52" s="812" t="s">
        <v>185</v>
      </c>
      <c r="D52" s="144">
        <v>0</v>
      </c>
      <c r="E52" s="483">
        <v>0</v>
      </c>
      <c r="F52" s="483">
        <v>0</v>
      </c>
      <c r="G52" s="1415"/>
      <c r="H52" s="483">
        <v>0</v>
      </c>
      <c r="I52" s="1404"/>
      <c r="J52" s="483">
        <v>0</v>
      </c>
      <c r="K52" s="1404"/>
      <c r="L52" s="483">
        <v>0</v>
      </c>
      <c r="M52" s="483">
        <v>0</v>
      </c>
    </row>
    <row r="53" spans="1:13" s="145" customFormat="1" ht="15.75" thickBot="1" x14ac:dyDescent="0.25">
      <c r="A53" s="142"/>
      <c r="B53" s="253" t="s">
        <v>9</v>
      </c>
      <c r="C53" s="812" t="s">
        <v>444</v>
      </c>
      <c r="D53" s="144">
        <v>0</v>
      </c>
      <c r="E53" s="483">
        <v>0</v>
      </c>
      <c r="F53" s="483">
        <v>0</v>
      </c>
      <c r="G53" s="1415"/>
      <c r="H53" s="483">
        <v>0</v>
      </c>
      <c r="I53" s="1404"/>
      <c r="J53" s="483">
        <v>0</v>
      </c>
      <c r="K53" s="1404"/>
      <c r="L53" s="483">
        <v>0</v>
      </c>
      <c r="M53" s="483">
        <v>0</v>
      </c>
    </row>
    <row r="54" spans="1:13" s="145" customFormat="1" ht="12.75" hidden="1" customHeight="1" x14ac:dyDescent="0.2">
      <c r="A54" s="142"/>
      <c r="B54" s="176" t="s">
        <v>189</v>
      </c>
      <c r="C54" s="812" t="s">
        <v>448</v>
      </c>
      <c r="D54" s="144">
        <v>0</v>
      </c>
      <c r="E54" s="483">
        <v>0</v>
      </c>
      <c r="F54" s="483">
        <v>0</v>
      </c>
      <c r="G54" s="1415"/>
      <c r="H54" s="483">
        <v>0</v>
      </c>
      <c r="I54" s="1404"/>
      <c r="J54" s="483">
        <v>0</v>
      </c>
      <c r="K54" s="1404"/>
      <c r="L54" s="483">
        <v>0</v>
      </c>
      <c r="M54" s="483">
        <v>0</v>
      </c>
    </row>
    <row r="55" spans="1:13" s="145" customFormat="1" ht="12.75" hidden="1" customHeight="1" x14ac:dyDescent="0.2">
      <c r="A55" s="134" t="s">
        <v>31</v>
      </c>
      <c r="B55" s="170"/>
      <c r="C55" s="817" t="s">
        <v>445</v>
      </c>
      <c r="D55" s="155">
        <v>0</v>
      </c>
      <c r="E55" s="827">
        <v>0</v>
      </c>
      <c r="F55" s="827">
        <v>0</v>
      </c>
      <c r="G55" s="1381"/>
      <c r="H55" s="827">
        <v>0</v>
      </c>
      <c r="I55" s="1408"/>
      <c r="J55" s="827">
        <v>0</v>
      </c>
      <c r="K55" s="1408"/>
      <c r="L55" s="827">
        <v>0</v>
      </c>
      <c r="M55" s="827">
        <v>0</v>
      </c>
    </row>
    <row r="56" spans="1:13" s="145" customFormat="1" ht="12.75" hidden="1" customHeight="1" x14ac:dyDescent="0.2">
      <c r="A56" s="134"/>
      <c r="B56" s="170"/>
      <c r="C56" s="817" t="s">
        <v>459</v>
      </c>
      <c r="D56" s="155"/>
      <c r="E56" s="827"/>
      <c r="F56" s="827"/>
      <c r="G56" s="1381"/>
      <c r="H56" s="827"/>
      <c r="I56" s="1408"/>
      <c r="J56" s="827"/>
      <c r="K56" s="1408"/>
      <c r="L56" s="827"/>
      <c r="M56" s="827"/>
    </row>
    <row r="57" spans="1:13" s="145" customFormat="1" ht="15" customHeight="1" thickBot="1" x14ac:dyDescent="0.25">
      <c r="A57" s="192" t="s">
        <v>31</v>
      </c>
      <c r="B57" s="160"/>
      <c r="C57" s="816" t="s">
        <v>465</v>
      </c>
      <c r="D57" s="162">
        <f>+D44+D50+D55</f>
        <v>92448</v>
      </c>
      <c r="E57" s="545">
        <f>+E44+E50+E55</f>
        <v>99184</v>
      </c>
      <c r="F57" s="545">
        <f>+F44+F50+F55+F56</f>
        <v>0</v>
      </c>
      <c r="G57" s="1437"/>
      <c r="H57" s="545">
        <f>+H44+H50+H55+H56</f>
        <v>0</v>
      </c>
      <c r="I57" s="1401"/>
      <c r="J57" s="545">
        <f>+J44+J50+J55+J56</f>
        <v>0</v>
      </c>
      <c r="K57" s="1401"/>
      <c r="L57" s="545">
        <f>+L44+L50+L55+L56</f>
        <v>0</v>
      </c>
      <c r="M57" s="545">
        <f>+M44+M50+M55+M56</f>
        <v>0</v>
      </c>
    </row>
    <row r="58" spans="1:13" s="145" customFormat="1" ht="15" customHeight="1" thickBot="1" x14ac:dyDescent="0.25">
      <c r="A58" s="1303"/>
      <c r="B58" s="886"/>
      <c r="C58" s="886"/>
      <c r="D58" s="2721"/>
      <c r="E58" s="886"/>
      <c r="F58" s="2100"/>
      <c r="G58" s="1550"/>
      <c r="H58" s="1550"/>
      <c r="I58" s="1550"/>
      <c r="J58" s="1550"/>
      <c r="K58" s="1550"/>
      <c r="L58" s="886"/>
      <c r="M58" s="1304"/>
    </row>
    <row r="59" spans="1:13" s="145" customFormat="1" ht="15" customHeight="1" thickBot="1" x14ac:dyDescent="0.25">
      <c r="A59" s="276" t="s">
        <v>324</v>
      </c>
      <c r="B59" s="277"/>
      <c r="C59" s="2720"/>
      <c r="D59" s="200">
        <v>31.5</v>
      </c>
      <c r="E59" s="200">
        <v>31.5</v>
      </c>
      <c r="F59" s="200"/>
      <c r="G59" s="1559"/>
      <c r="H59" s="200"/>
      <c r="I59" s="1388"/>
      <c r="J59" s="200"/>
      <c r="K59" s="1388"/>
      <c r="L59" s="200"/>
      <c r="M59" s="200"/>
    </row>
    <row r="60" spans="1:13" s="145" customFormat="1" ht="15" customHeight="1" thickBot="1" x14ac:dyDescent="0.25">
      <c r="A60" s="276" t="s">
        <v>325</v>
      </c>
      <c r="B60" s="277"/>
      <c r="C60" s="2720"/>
      <c r="D60" s="279"/>
      <c r="E60" s="279"/>
      <c r="F60" s="279"/>
      <c r="G60" s="1560"/>
      <c r="H60" s="279"/>
      <c r="I60" s="1389"/>
      <c r="J60" s="279"/>
      <c r="K60" s="1389"/>
      <c r="L60" s="279"/>
      <c r="M60" s="279"/>
    </row>
  </sheetData>
  <mergeCells count="14">
    <mergeCell ref="D4:F4"/>
    <mergeCell ref="A5:B5"/>
    <mergeCell ref="A2:B2"/>
    <mergeCell ref="D2:D3"/>
    <mergeCell ref="F2:F3"/>
    <mergeCell ref="A3:B3"/>
    <mergeCell ref="I2:I3"/>
    <mergeCell ref="J2:J3"/>
    <mergeCell ref="K2:K3"/>
    <mergeCell ref="L2:L3"/>
    <mergeCell ref="C1:M1"/>
    <mergeCell ref="H2:H3"/>
    <mergeCell ref="M2:M3"/>
    <mergeCell ref="G2:G3"/>
  </mergeCells>
  <printOptions horizontalCentered="1"/>
  <pageMargins left="0.23622047244094491" right="0.19685039370078741" top="0.35433070866141736" bottom="0.39370078740157483" header="0.51181102362204722" footer="0.15748031496062992"/>
  <pageSetup paperSize="9" scale="76" firstPageNumber="62" orientation="portrait" useFirstPageNumber="1" r:id="rId1"/>
  <headerFooter>
    <oddFooter>&amp;C- &amp;P -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S51"/>
  <sheetViews>
    <sheetView view="pageBreakPreview" topLeftCell="A16" zoomScale="80" zoomScaleNormal="90" zoomScaleSheetLayoutView="80" workbookViewId="0">
      <selection activeCell="R21" sqref="R21"/>
    </sheetView>
  </sheetViews>
  <sheetFormatPr defaultColWidth="9.33203125" defaultRowHeight="15" x14ac:dyDescent="0.25"/>
  <cols>
    <col min="1" max="1" width="15.33203125" style="621" customWidth="1"/>
    <col min="2" max="2" width="13.5" style="621" customWidth="1"/>
    <col min="3" max="3" width="16.1640625" style="621" customWidth="1"/>
    <col min="4" max="4" width="15.6640625" style="621" hidden="1" customWidth="1"/>
    <col min="5" max="5" width="17.5" style="621" hidden="1" customWidth="1"/>
    <col min="6" max="6" width="15.1640625" style="621" hidden="1" customWidth="1"/>
    <col min="7" max="7" width="16" style="621" hidden="1" customWidth="1"/>
    <col min="8" max="8" width="15.1640625" style="621" hidden="1" customWidth="1"/>
    <col min="9" max="9" width="18.1640625" style="621" customWidth="1"/>
    <col min="10" max="10" width="15.6640625" style="621" customWidth="1"/>
    <col min="11" max="11" width="16" style="621" customWidth="1"/>
    <col min="12" max="12" width="15.5" style="621" hidden="1" customWidth="1"/>
    <col min="13" max="13" width="16.5" style="621" hidden="1" customWidth="1"/>
    <col min="14" max="14" width="1.1640625" style="621" hidden="1" customWidth="1"/>
    <col min="15" max="15" width="15.5" style="621" hidden="1" customWidth="1"/>
    <col min="16" max="16" width="16.5" style="621" hidden="1" customWidth="1"/>
    <col min="17" max="17" width="16.5" style="621" customWidth="1"/>
    <col min="18" max="18" width="16.1640625" style="621" customWidth="1"/>
    <col min="19" max="19" width="13.1640625" style="621" customWidth="1"/>
    <col min="20" max="20" width="14.5" style="621" hidden="1" customWidth="1"/>
    <col min="21" max="22" width="15" style="621" hidden="1" customWidth="1"/>
    <col min="23" max="23" width="14.1640625" style="621" hidden="1" customWidth="1"/>
    <col min="24" max="24" width="15" style="621" hidden="1" customWidth="1"/>
    <col min="25" max="25" width="15" style="621" customWidth="1"/>
    <col min="26" max="26" width="16.83203125" style="621" customWidth="1"/>
    <col min="27" max="27" width="12.83203125" style="619" customWidth="1"/>
    <col min="28" max="28" width="14" style="619" hidden="1" customWidth="1"/>
    <col min="29" max="29" width="13.83203125" style="619" hidden="1" customWidth="1"/>
    <col min="30" max="30" width="0.5" style="619" hidden="1" customWidth="1"/>
    <col min="31" max="31" width="13.6640625" style="619" hidden="1" customWidth="1"/>
    <col min="32" max="32" width="13.83203125" style="619" hidden="1" customWidth="1"/>
    <col min="33" max="33" width="13.83203125" style="619" customWidth="1"/>
    <col min="34" max="34" width="12.83203125" style="619" customWidth="1"/>
    <col min="35" max="35" width="11.33203125" style="619" customWidth="1"/>
    <col min="36" max="36" width="12.83203125" style="619" hidden="1" customWidth="1"/>
    <col min="37" max="38" width="13.5" style="619" hidden="1" customWidth="1"/>
    <col min="39" max="39" width="11.1640625" style="619" hidden="1" customWidth="1"/>
    <col min="40" max="40" width="13.5" style="619" hidden="1" customWidth="1"/>
    <col min="41" max="41" width="13.5" style="619" customWidth="1"/>
    <col min="42" max="42" width="10.5" style="619" customWidth="1"/>
    <col min="43" max="43" width="13.5" style="619" hidden="1" customWidth="1"/>
    <col min="44" max="44" width="12.5" style="619" hidden="1" customWidth="1"/>
    <col min="45" max="45" width="12" style="619" hidden="1" customWidth="1"/>
    <col min="46" max="16384" width="9.33203125" style="619"/>
  </cols>
  <sheetData>
    <row r="1" spans="1:45" ht="26.25" customHeight="1" x14ac:dyDescent="0.3">
      <c r="A1" s="4536" t="s">
        <v>1002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4536"/>
      <c r="AJ1" s="4536"/>
      <c r="AK1" s="4536"/>
      <c r="AL1" s="4536"/>
      <c r="AM1" s="4536"/>
      <c r="AN1" s="4536"/>
      <c r="AO1" s="4536"/>
      <c r="AP1" s="4536"/>
      <c r="AQ1" s="952"/>
      <c r="AR1" s="952"/>
      <c r="AS1" s="952"/>
    </row>
    <row r="2" spans="1:45" ht="26.25" customHeight="1" x14ac:dyDescent="0.3">
      <c r="A2" s="4536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536"/>
      <c r="AI2" s="4536"/>
      <c r="AJ2" s="4536"/>
      <c r="AK2" s="4536"/>
      <c r="AL2" s="4536"/>
      <c r="AM2" s="4536"/>
      <c r="AN2" s="4536"/>
      <c r="AO2" s="4536"/>
      <c r="AP2" s="4536"/>
      <c r="AQ2" s="952"/>
      <c r="AR2" s="952"/>
      <c r="AS2" s="952"/>
    </row>
    <row r="3" spans="1:45" ht="21.75" customHeight="1" thickBot="1" x14ac:dyDescent="0.3">
      <c r="A3" s="1040"/>
      <c r="B3" s="1040"/>
      <c r="C3" s="1040"/>
      <c r="D3" s="1040"/>
      <c r="E3" s="1040"/>
      <c r="F3" s="1040"/>
      <c r="G3" s="1040"/>
      <c r="H3" s="1040"/>
      <c r="I3" s="1040"/>
      <c r="J3" s="1040"/>
      <c r="K3" s="1040"/>
      <c r="L3" s="1040"/>
      <c r="M3" s="1040"/>
      <c r="N3" s="1040"/>
      <c r="O3" s="1040"/>
      <c r="P3" s="1040"/>
      <c r="Q3" s="1040"/>
      <c r="R3" s="1040"/>
      <c r="S3" s="1040"/>
      <c r="T3" s="1040"/>
      <c r="U3" s="1040"/>
      <c r="V3" s="1040"/>
      <c r="W3" s="1040"/>
      <c r="X3" s="1040"/>
      <c r="Y3" s="1040"/>
      <c r="Z3" s="1040"/>
      <c r="AA3" s="1040"/>
      <c r="AB3" s="1040"/>
      <c r="AC3" s="1040"/>
      <c r="AD3" s="1040"/>
      <c r="AE3" s="1040"/>
      <c r="AF3" s="1040"/>
      <c r="AG3" s="1040"/>
      <c r="AH3" s="1040"/>
      <c r="AI3" s="1040"/>
      <c r="AJ3" s="1040"/>
      <c r="AK3" s="1040"/>
      <c r="AL3" s="1040"/>
      <c r="AM3" s="1040"/>
      <c r="AN3" s="1040"/>
      <c r="AO3" s="1040"/>
      <c r="AP3" s="1040"/>
      <c r="AQ3" s="952"/>
      <c r="AR3" s="952"/>
      <c r="AS3" s="952"/>
    </row>
    <row r="4" spans="1:45" ht="29.25" customHeight="1" thickTop="1" thickBot="1" x14ac:dyDescent="0.3">
      <c r="A4" s="4533" t="s">
        <v>230</v>
      </c>
      <c r="B4" s="4534"/>
      <c r="C4" s="4534"/>
      <c r="D4" s="4534"/>
      <c r="E4" s="4534"/>
      <c r="F4" s="4534"/>
      <c r="G4" s="4534"/>
      <c r="H4" s="4534"/>
      <c r="I4" s="4534"/>
      <c r="J4" s="4534"/>
      <c r="K4" s="4534"/>
      <c r="L4" s="4534"/>
      <c r="M4" s="4534"/>
      <c r="N4" s="4534"/>
      <c r="O4" s="4534"/>
      <c r="P4" s="4534"/>
      <c r="Q4" s="4534"/>
      <c r="R4" s="4534"/>
      <c r="S4" s="4534"/>
      <c r="T4" s="4534"/>
      <c r="U4" s="4534"/>
      <c r="V4" s="4534"/>
      <c r="W4" s="4534"/>
      <c r="X4" s="4534"/>
      <c r="Y4" s="4534"/>
      <c r="Z4" s="4534"/>
      <c r="AA4" s="4534"/>
      <c r="AB4" s="4534"/>
      <c r="AC4" s="4534"/>
      <c r="AD4" s="4534"/>
      <c r="AE4" s="4534"/>
      <c r="AF4" s="4534"/>
      <c r="AG4" s="4534"/>
      <c r="AH4" s="4534"/>
      <c r="AI4" s="4534"/>
      <c r="AJ4" s="4534"/>
      <c r="AK4" s="4534"/>
      <c r="AL4" s="4534"/>
      <c r="AM4" s="4534"/>
      <c r="AN4" s="4534"/>
      <c r="AO4" s="4534"/>
      <c r="AP4" s="4535"/>
      <c r="AQ4" s="1056"/>
      <c r="AR4" s="1056"/>
      <c r="AS4" s="1057"/>
    </row>
    <row r="5" spans="1:45" ht="66.75" customHeight="1" thickTop="1" thickBot="1" x14ac:dyDescent="0.3">
      <c r="A5" s="4537"/>
      <c r="B5" s="4538"/>
      <c r="C5" s="4541" t="s">
        <v>869</v>
      </c>
      <c r="D5" s="4542"/>
      <c r="E5" s="4542"/>
      <c r="F5" s="4542"/>
      <c r="G5" s="4542"/>
      <c r="H5" s="4542"/>
      <c r="I5" s="4542"/>
      <c r="J5" s="4545"/>
      <c r="K5" s="4541" t="s">
        <v>1833</v>
      </c>
      <c r="L5" s="4542"/>
      <c r="M5" s="4542"/>
      <c r="N5" s="4542"/>
      <c r="O5" s="4542"/>
      <c r="P5" s="4542"/>
      <c r="Q5" s="4542"/>
      <c r="R5" s="4545"/>
      <c r="S5" s="4541" t="s">
        <v>1834</v>
      </c>
      <c r="T5" s="4542"/>
      <c r="U5" s="4542"/>
      <c r="V5" s="4542"/>
      <c r="W5" s="4542"/>
      <c r="X5" s="4542"/>
      <c r="Y5" s="4542"/>
      <c r="Z5" s="4545"/>
      <c r="AA5" s="4541" t="s">
        <v>972</v>
      </c>
      <c r="AB5" s="4542"/>
      <c r="AC5" s="4542"/>
      <c r="AD5" s="4542"/>
      <c r="AE5" s="4542"/>
      <c r="AF5" s="4542"/>
      <c r="AG5" s="4542"/>
      <c r="AH5" s="4545"/>
      <c r="AI5" s="4579" t="s">
        <v>954</v>
      </c>
      <c r="AJ5" s="4580"/>
      <c r="AK5" s="4581"/>
      <c r="AL5" s="4581"/>
      <c r="AM5" s="4581"/>
      <c r="AN5" s="4581"/>
      <c r="AO5" s="4581"/>
      <c r="AP5" s="4544"/>
      <c r="AQ5" s="4575" t="s">
        <v>964</v>
      </c>
      <c r="AR5" s="4576"/>
      <c r="AS5" s="4577"/>
    </row>
    <row r="6" spans="1:45" ht="54.75" customHeight="1" thickTop="1" thickBot="1" x14ac:dyDescent="0.3">
      <c r="A6" s="4539"/>
      <c r="B6" s="4540"/>
      <c r="C6" s="958" t="s">
        <v>867</v>
      </c>
      <c r="D6" s="1028"/>
      <c r="E6" s="959" t="s">
        <v>1070</v>
      </c>
      <c r="F6" s="959"/>
      <c r="G6" s="959" t="s">
        <v>1071</v>
      </c>
      <c r="H6" s="959"/>
      <c r="I6" s="959" t="s">
        <v>1072</v>
      </c>
      <c r="J6" s="959" t="s">
        <v>289</v>
      </c>
      <c r="K6" s="958" t="s">
        <v>867</v>
      </c>
      <c r="L6" s="1028"/>
      <c r="M6" s="959" t="s">
        <v>1070</v>
      </c>
      <c r="N6" s="959"/>
      <c r="O6" s="959" t="s">
        <v>1071</v>
      </c>
      <c r="P6" s="959"/>
      <c r="Q6" s="959" t="s">
        <v>1072</v>
      </c>
      <c r="R6" s="958" t="s">
        <v>289</v>
      </c>
      <c r="S6" s="2074" t="s">
        <v>867</v>
      </c>
      <c r="T6" s="1028"/>
      <c r="U6" s="959" t="s">
        <v>1070</v>
      </c>
      <c r="V6" s="959"/>
      <c r="W6" s="959" t="s">
        <v>1071</v>
      </c>
      <c r="X6" s="959"/>
      <c r="Y6" s="959" t="s">
        <v>1072</v>
      </c>
      <c r="Z6" s="959" t="s">
        <v>289</v>
      </c>
      <c r="AA6" s="958" t="s">
        <v>867</v>
      </c>
      <c r="AB6" s="1028"/>
      <c r="AC6" s="959" t="s">
        <v>1070</v>
      </c>
      <c r="AD6" s="959"/>
      <c r="AE6" s="959" t="s">
        <v>1071</v>
      </c>
      <c r="AF6" s="959"/>
      <c r="AG6" s="959" t="s">
        <v>1072</v>
      </c>
      <c r="AH6" s="958" t="s">
        <v>289</v>
      </c>
      <c r="AI6" s="2074" t="s">
        <v>867</v>
      </c>
      <c r="AJ6" s="1028"/>
      <c r="AK6" s="959" t="s">
        <v>1070</v>
      </c>
      <c r="AL6" s="959"/>
      <c r="AM6" s="959" t="s">
        <v>1071</v>
      </c>
      <c r="AN6" s="959"/>
      <c r="AO6" s="959" t="s">
        <v>1072</v>
      </c>
      <c r="AP6" s="1027" t="s">
        <v>289</v>
      </c>
      <c r="AQ6" s="1169" t="s">
        <v>957</v>
      </c>
      <c r="AR6" s="1058" t="s">
        <v>868</v>
      </c>
      <c r="AS6" s="3140" t="s">
        <v>998</v>
      </c>
    </row>
    <row r="7" spans="1:45" ht="20.25" customHeight="1" thickTop="1" x14ac:dyDescent="0.25">
      <c r="A7" s="4527" t="s">
        <v>837</v>
      </c>
      <c r="B7" s="4555"/>
      <c r="C7" s="1059">
        <f>SUM(K7+S7+AA7+AI7)</f>
        <v>0</v>
      </c>
      <c r="D7" s="1051"/>
      <c r="E7" s="1044">
        <f>SUM(M7+U7+AC7+AK7)</f>
        <v>0</v>
      </c>
      <c r="F7" s="1045"/>
      <c r="G7" s="1044">
        <f>SUM(O7+W7+AE7+AM7)</f>
        <v>0</v>
      </c>
      <c r="H7" s="1045"/>
      <c r="I7" s="1046">
        <f t="shared" ref="I7:J11" si="0">SUM(Q7+Y7+AG7+AO7)</f>
        <v>57115</v>
      </c>
      <c r="J7" s="1042">
        <f t="shared" si="0"/>
        <v>57115</v>
      </c>
      <c r="K7" s="1059"/>
      <c r="L7" s="1051"/>
      <c r="M7" s="1044"/>
      <c r="N7" s="1045"/>
      <c r="O7" s="1044"/>
      <c r="P7" s="1045"/>
      <c r="Q7" s="1044">
        <v>1</v>
      </c>
      <c r="R7" s="1042">
        <v>1</v>
      </c>
      <c r="S7" s="1059">
        <v>0</v>
      </c>
      <c r="T7" s="1051"/>
      <c r="U7" s="1044">
        <v>0</v>
      </c>
      <c r="V7" s="1044"/>
      <c r="W7" s="1044">
        <v>0</v>
      </c>
      <c r="X7" s="1044"/>
      <c r="Y7" s="1044">
        <v>57114</v>
      </c>
      <c r="Z7" s="1044">
        <v>57114</v>
      </c>
      <c r="AA7" s="1059">
        <v>0</v>
      </c>
      <c r="AB7" s="1051"/>
      <c r="AC7" s="1044"/>
      <c r="AD7" s="1045"/>
      <c r="AE7" s="1044"/>
      <c r="AF7" s="1045"/>
      <c r="AG7" s="1044"/>
      <c r="AH7" s="1042"/>
      <c r="AI7" s="1060"/>
      <c r="AJ7" s="1047"/>
      <c r="AK7" s="2247"/>
      <c r="AL7" s="2247"/>
      <c r="AM7" s="2247"/>
      <c r="AN7" s="2247"/>
      <c r="AO7" s="2247"/>
      <c r="AP7" s="2241"/>
      <c r="AQ7" s="1170"/>
      <c r="AR7" s="1062"/>
      <c r="AS7" s="1063"/>
    </row>
    <row r="8" spans="1:45" ht="20.25" customHeight="1" x14ac:dyDescent="0.25">
      <c r="A8" s="4529" t="s">
        <v>838</v>
      </c>
      <c r="B8" s="4559"/>
      <c r="C8" s="1064">
        <f>SUM(K8+S8+AA8+AI8)</f>
        <v>136178135</v>
      </c>
      <c r="D8" s="1124"/>
      <c r="E8" s="964">
        <f>SUM(M8+U8+AC8+AK8)</f>
        <v>138305018</v>
      </c>
      <c r="F8" s="968"/>
      <c r="G8" s="964">
        <f>SUM(O8+W8+AE8+AM8)</f>
        <v>140121210</v>
      </c>
      <c r="H8" s="968"/>
      <c r="I8" s="969">
        <f>SUM(Q8+Y8+AG8+AO8)</f>
        <v>139600755</v>
      </c>
      <c r="J8" s="1049">
        <f>SUM(R8+Z8+AH8+AP8)</f>
        <v>139600755</v>
      </c>
      <c r="K8" s="1064">
        <f>SUM(K9:K10)</f>
        <v>120167753</v>
      </c>
      <c r="L8" s="1124"/>
      <c r="M8" s="964">
        <f>SUM(M9:M10)</f>
        <v>120706513</v>
      </c>
      <c r="N8" s="968"/>
      <c r="O8" s="964">
        <f>SUM(O9:O10)</f>
        <v>122326504</v>
      </c>
      <c r="P8" s="968"/>
      <c r="Q8" s="964">
        <f>SUM(Q9:Q10)</f>
        <v>121577831</v>
      </c>
      <c r="R8" s="1049">
        <f>SUM(R9:R10)</f>
        <v>122046165</v>
      </c>
      <c r="S8" s="1064">
        <f>SUM(S9:S10)</f>
        <v>9973934</v>
      </c>
      <c r="T8" s="1124"/>
      <c r="U8" s="964">
        <f t="shared" ref="U8:AA8" si="1">SUM(U9:U10)</f>
        <v>11545412</v>
      </c>
      <c r="V8" s="964">
        <f t="shared" si="1"/>
        <v>0</v>
      </c>
      <c r="W8" s="964">
        <f t="shared" si="1"/>
        <v>11661587</v>
      </c>
      <c r="X8" s="964">
        <f t="shared" si="1"/>
        <v>0</v>
      </c>
      <c r="Y8" s="964">
        <f t="shared" si="1"/>
        <v>11553471</v>
      </c>
      <c r="Z8" s="964">
        <f t="shared" si="1"/>
        <v>11229229</v>
      </c>
      <c r="AA8" s="1064">
        <f t="shared" si="1"/>
        <v>5450756</v>
      </c>
      <c r="AB8" s="1124"/>
      <c r="AC8" s="964">
        <f>SUM(AC9:AC10)</f>
        <v>5465382</v>
      </c>
      <c r="AD8" s="968"/>
      <c r="AE8" s="964">
        <f>SUM(AE9:AE10)</f>
        <v>5545114</v>
      </c>
      <c r="AF8" s="968"/>
      <c r="AG8" s="964">
        <f>SUM(AG9:AG10)</f>
        <v>5966568</v>
      </c>
      <c r="AH8" s="1049">
        <f>SUM(AH9:AH10)</f>
        <v>5837137</v>
      </c>
      <c r="AI8" s="1064">
        <f>SUM(AI9:AI10)</f>
        <v>585692</v>
      </c>
      <c r="AJ8" s="1124"/>
      <c r="AK8" s="964">
        <f>SUM(AK9:AK10)</f>
        <v>587711</v>
      </c>
      <c r="AL8" s="964"/>
      <c r="AM8" s="964">
        <f>SUM(AM9:AM10)</f>
        <v>588005</v>
      </c>
      <c r="AN8" s="964"/>
      <c r="AO8" s="964">
        <f>SUM(AO9:AO10)</f>
        <v>502885</v>
      </c>
      <c r="AP8" s="2244">
        <f>SUM(AP9:AP10)</f>
        <v>488224</v>
      </c>
      <c r="AQ8" s="1128">
        <f>SUM(AQ9:AQ10)</f>
        <v>0</v>
      </c>
      <c r="AR8" s="1065">
        <f>SUM(AR9:AR10)</f>
        <v>0</v>
      </c>
      <c r="AS8" s="1037">
        <f>SUM(AS9:AS10)</f>
        <v>0</v>
      </c>
    </row>
    <row r="9" spans="1:45" ht="20.25" customHeight="1" x14ac:dyDescent="0.25">
      <c r="A9" s="4531" t="s">
        <v>839</v>
      </c>
      <c r="B9" s="4552"/>
      <c r="C9" s="1064">
        <f>SUM(K9+S9+AA9+AI9)</f>
        <v>128477267</v>
      </c>
      <c r="D9" s="1124"/>
      <c r="E9" s="964">
        <f>SUM(M9+U9+AC9+AK9)</f>
        <v>128600325</v>
      </c>
      <c r="F9" s="968"/>
      <c r="G9" s="964">
        <f>SUM(O9+W9+AE9+AM9)</f>
        <v>128636533</v>
      </c>
      <c r="H9" s="968"/>
      <c r="I9" s="969">
        <f t="shared" si="0"/>
        <v>130788193</v>
      </c>
      <c r="J9" s="1049">
        <f t="shared" si="0"/>
        <v>130788193</v>
      </c>
      <c r="K9" s="1064">
        <v>115453333</v>
      </c>
      <c r="L9" s="1124"/>
      <c r="M9" s="964">
        <v>115575903</v>
      </c>
      <c r="N9" s="968"/>
      <c r="O9" s="964">
        <v>115612111</v>
      </c>
      <c r="P9" s="968"/>
      <c r="Q9" s="964">
        <v>117763771</v>
      </c>
      <c r="R9" s="1049">
        <v>117763771</v>
      </c>
      <c r="S9" s="1064">
        <v>9973934</v>
      </c>
      <c r="T9" s="1124"/>
      <c r="U9" s="964">
        <v>9973934</v>
      </c>
      <c r="V9" s="968"/>
      <c r="W9" s="964">
        <v>9973934</v>
      </c>
      <c r="X9" s="968"/>
      <c r="Y9" s="964">
        <v>9974422</v>
      </c>
      <c r="Z9" s="1049">
        <v>9974422</v>
      </c>
      <c r="AA9" s="1064">
        <v>3050000</v>
      </c>
      <c r="AB9" s="1124"/>
      <c r="AC9" s="964">
        <v>3050488</v>
      </c>
      <c r="AD9" s="968"/>
      <c r="AE9" s="964">
        <v>3050488</v>
      </c>
      <c r="AF9" s="968"/>
      <c r="AG9" s="964">
        <v>3050000</v>
      </c>
      <c r="AH9" s="1049">
        <v>3050000</v>
      </c>
      <c r="AI9" s="1066"/>
      <c r="AJ9" s="971"/>
      <c r="AK9" s="972"/>
      <c r="AL9" s="972"/>
      <c r="AM9" s="972"/>
      <c r="AN9" s="972"/>
      <c r="AO9" s="972"/>
      <c r="AP9" s="2242"/>
      <c r="AQ9" s="1171"/>
      <c r="AR9" s="1068"/>
      <c r="AS9" s="1069"/>
    </row>
    <row r="10" spans="1:45" ht="20.25" customHeight="1" x14ac:dyDescent="0.25">
      <c r="A10" s="4531" t="s">
        <v>840</v>
      </c>
      <c r="B10" s="4552"/>
      <c r="C10" s="1064">
        <f>SUM(K10+S10+AA10+AI10)</f>
        <v>7700868</v>
      </c>
      <c r="D10" s="1124"/>
      <c r="E10" s="964">
        <f>SUM(M10+U10+AC10+AK10)</f>
        <v>9704693</v>
      </c>
      <c r="F10" s="968"/>
      <c r="G10" s="964">
        <f>SUM(O10+W10+AE10+AM10)</f>
        <v>11484677</v>
      </c>
      <c r="H10" s="968"/>
      <c r="I10" s="969">
        <f t="shared" si="0"/>
        <v>8812562</v>
      </c>
      <c r="J10" s="1049">
        <f t="shared" si="0"/>
        <v>8812562</v>
      </c>
      <c r="K10" s="1064">
        <v>4714420</v>
      </c>
      <c r="L10" s="1124"/>
      <c r="M10" s="964">
        <v>5130610</v>
      </c>
      <c r="N10" s="968"/>
      <c r="O10" s="964">
        <v>6714393</v>
      </c>
      <c r="P10" s="968"/>
      <c r="Q10" s="964">
        <v>3814060</v>
      </c>
      <c r="R10" s="1049">
        <v>4282394</v>
      </c>
      <c r="S10" s="1064"/>
      <c r="T10" s="1124"/>
      <c r="U10" s="964">
        <v>1571478</v>
      </c>
      <c r="V10" s="968"/>
      <c r="W10" s="964">
        <v>1687653</v>
      </c>
      <c r="X10" s="968"/>
      <c r="Y10" s="964">
        <v>1579049</v>
      </c>
      <c r="Z10" s="1049">
        <v>1254807</v>
      </c>
      <c r="AA10" s="1064">
        <v>2400756</v>
      </c>
      <c r="AB10" s="1124"/>
      <c r="AC10" s="964">
        <v>2414894</v>
      </c>
      <c r="AD10" s="968"/>
      <c r="AE10" s="964">
        <v>2494626</v>
      </c>
      <c r="AF10" s="968"/>
      <c r="AG10" s="964">
        <v>2916568</v>
      </c>
      <c r="AH10" s="1049">
        <v>2787137</v>
      </c>
      <c r="AI10" s="969">
        <v>585692</v>
      </c>
      <c r="AJ10" s="963"/>
      <c r="AK10" s="964">
        <v>587711</v>
      </c>
      <c r="AL10" s="964"/>
      <c r="AM10" s="964">
        <v>588005</v>
      </c>
      <c r="AN10" s="964"/>
      <c r="AO10" s="964">
        <v>502885</v>
      </c>
      <c r="AP10" s="1309">
        <v>488224</v>
      </c>
      <c r="AQ10" s="1171"/>
      <c r="AR10" s="1068"/>
      <c r="AS10" s="1070">
        <v>0</v>
      </c>
    </row>
    <row r="11" spans="1:45" s="636" customFormat="1" ht="24.75" customHeight="1" thickBot="1" x14ac:dyDescent="0.3">
      <c r="A11" s="4553" t="s">
        <v>299</v>
      </c>
      <c r="B11" s="4560"/>
      <c r="C11" s="1078">
        <f>SUM(K11+S11+AA11+AI11)</f>
        <v>136178135</v>
      </c>
      <c r="D11" s="1082"/>
      <c r="E11" s="1079">
        <f>SUM(M11+U11+AC11+AK11)</f>
        <v>138305018</v>
      </c>
      <c r="F11" s="1079">
        <f>SUM(N11+V11+AD11+AL11)</f>
        <v>0</v>
      </c>
      <c r="G11" s="1079">
        <f>SUM(O11+W11+AE11+AM11)</f>
        <v>140121210</v>
      </c>
      <c r="H11" s="1079">
        <f>SUM(P11+X11+AF11+AN11)</f>
        <v>0</v>
      </c>
      <c r="I11" s="1079">
        <f t="shared" si="0"/>
        <v>139657870</v>
      </c>
      <c r="J11" s="1079">
        <f>SUM(R11+Z11+AH11+AP11)</f>
        <v>139657870</v>
      </c>
      <c r="K11" s="1078">
        <f>SUM(K7+K9+K10)</f>
        <v>120167753</v>
      </c>
      <c r="L11" s="1082"/>
      <c r="M11" s="1079">
        <f>SUM(M7+M9+M10)</f>
        <v>120706513</v>
      </c>
      <c r="N11" s="2239"/>
      <c r="O11" s="1079">
        <f>SUM(O7+O9+O10)</f>
        <v>122326504</v>
      </c>
      <c r="P11" s="2239"/>
      <c r="Q11" s="1079">
        <f>SUM(Q7+Q9+Q10)</f>
        <v>121577832</v>
      </c>
      <c r="R11" s="1080">
        <f>SUM(R7+R8)</f>
        <v>122046166</v>
      </c>
      <c r="S11" s="1078">
        <f>SUM(S7+S9+S10)</f>
        <v>9973934</v>
      </c>
      <c r="T11" s="1082"/>
      <c r="U11" s="1079">
        <f>SUM(U7+U9+U10)</f>
        <v>11545412</v>
      </c>
      <c r="V11" s="2239"/>
      <c r="W11" s="1079">
        <f>SUM(W7+W9+W10)</f>
        <v>11661587</v>
      </c>
      <c r="X11" s="2239"/>
      <c r="Y11" s="1079">
        <f>SUM(Y7+Y9+Y10)</f>
        <v>11610585</v>
      </c>
      <c r="Z11" s="1080">
        <f>SUM(Z7+Z9+Z10)</f>
        <v>11286343</v>
      </c>
      <c r="AA11" s="1078">
        <f>SUM(AA7+AA9+AA10)</f>
        <v>5450756</v>
      </c>
      <c r="AB11" s="1082"/>
      <c r="AC11" s="1079">
        <f>SUM(AC7+AC9+AC10)</f>
        <v>5465382</v>
      </c>
      <c r="AD11" s="2239"/>
      <c r="AE11" s="1079">
        <f>SUM(AE7+AE9+AE10)</f>
        <v>5545114</v>
      </c>
      <c r="AF11" s="2239"/>
      <c r="AG11" s="1079">
        <f>SUM(AG7+AG9+AG10)</f>
        <v>5966568</v>
      </c>
      <c r="AH11" s="1080">
        <f>SUM(AH7+AH9+AH10)</f>
        <v>5837137</v>
      </c>
      <c r="AI11" s="1078">
        <f>SUM(AI7+AI9+AI10)</f>
        <v>585692</v>
      </c>
      <c r="AJ11" s="1082"/>
      <c r="AK11" s="1079">
        <f>SUM(AK7+AK9+AK10)</f>
        <v>587711</v>
      </c>
      <c r="AL11" s="1079"/>
      <c r="AM11" s="1079">
        <f>SUM(AM7+AM9+AM10)</f>
        <v>588005</v>
      </c>
      <c r="AN11" s="1079"/>
      <c r="AO11" s="1079">
        <f>SUM(AO7+AO9+AO10)</f>
        <v>502885</v>
      </c>
      <c r="AP11" s="1121">
        <f>SUM(AP7+AP9+AP10)</f>
        <v>488224</v>
      </c>
      <c r="AQ11" s="1082">
        <f>SUM(AQ7+AQ9+AQ10)</f>
        <v>0</v>
      </c>
      <c r="AR11" s="1079">
        <f>SUM(AR7+AR9+AR10)</f>
        <v>0</v>
      </c>
      <c r="AS11" s="1121">
        <f>SUM(AS7+AS9+AS10)</f>
        <v>0</v>
      </c>
    </row>
    <row r="12" spans="1:45" ht="33" customHeight="1" thickTop="1" thickBot="1" x14ac:dyDescent="0.3">
      <c r="A12" s="2148"/>
      <c r="B12" s="953"/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  <c r="AF12" s="953"/>
      <c r="AG12" s="953"/>
      <c r="AH12" s="953"/>
      <c r="AI12" s="953"/>
      <c r="AJ12" s="953"/>
      <c r="AK12" s="953"/>
      <c r="AL12" s="953"/>
      <c r="AM12" s="953"/>
      <c r="AN12" s="953"/>
      <c r="AO12" s="953"/>
      <c r="AP12" s="2149"/>
      <c r="AQ12" s="952"/>
      <c r="AR12" s="952"/>
      <c r="AS12" s="952"/>
    </row>
    <row r="13" spans="1:45" ht="32.25" customHeight="1" thickTop="1" thickBot="1" x14ac:dyDescent="0.3">
      <c r="A13" s="4533" t="s">
        <v>841</v>
      </c>
      <c r="B13" s="4534"/>
      <c r="C13" s="4534"/>
      <c r="D13" s="4534"/>
      <c r="E13" s="4534"/>
      <c r="F13" s="4534"/>
      <c r="G13" s="4534"/>
      <c r="H13" s="4534"/>
      <c r="I13" s="4534"/>
      <c r="J13" s="4534"/>
      <c r="K13" s="4534"/>
      <c r="L13" s="4534"/>
      <c r="M13" s="4534"/>
      <c r="N13" s="4534"/>
      <c r="O13" s="4534"/>
      <c r="P13" s="4534"/>
      <c r="Q13" s="4534"/>
      <c r="R13" s="4534"/>
      <c r="S13" s="4534"/>
      <c r="T13" s="4534"/>
      <c r="U13" s="4534"/>
      <c r="V13" s="4534"/>
      <c r="W13" s="4534"/>
      <c r="X13" s="4534"/>
      <c r="Y13" s="4534"/>
      <c r="Z13" s="4534"/>
      <c r="AA13" s="4534"/>
      <c r="AB13" s="4534"/>
      <c r="AC13" s="4534"/>
      <c r="AD13" s="4534"/>
      <c r="AE13" s="4534"/>
      <c r="AF13" s="4534"/>
      <c r="AG13" s="4534"/>
      <c r="AH13" s="4534"/>
      <c r="AI13" s="4534"/>
      <c r="AJ13" s="4534"/>
      <c r="AK13" s="4534"/>
      <c r="AL13" s="4534"/>
      <c r="AM13" s="4534"/>
      <c r="AN13" s="4534"/>
      <c r="AO13" s="4534"/>
      <c r="AP13" s="4535"/>
      <c r="AQ13" s="1056"/>
      <c r="AR13" s="1056"/>
      <c r="AS13" s="1057"/>
    </row>
    <row r="14" spans="1:45" s="951" customFormat="1" ht="20.25" customHeight="1" thickTop="1" x14ac:dyDescent="0.25">
      <c r="A14" s="4527" t="s">
        <v>842</v>
      </c>
      <c r="B14" s="4555"/>
      <c r="C14" s="993">
        <f>SUM(K14+S14+AA14+AI14)</f>
        <v>105041563</v>
      </c>
      <c r="D14" s="993"/>
      <c r="E14" s="993">
        <f>SUM(M14+U14+AC14+AK14)</f>
        <v>105491739</v>
      </c>
      <c r="F14" s="993"/>
      <c r="G14" s="993">
        <f>SUM(O14+W14+AE14+AM14)</f>
        <v>106920539</v>
      </c>
      <c r="H14" s="993"/>
      <c r="I14" s="993">
        <f>SUM(Q14+Y14+AG14+AO14)</f>
        <v>107812482</v>
      </c>
      <c r="J14" s="993">
        <f>SUM(R14+Z14+AH14+AP14)</f>
        <v>107812482</v>
      </c>
      <c r="K14" s="997">
        <v>97981663</v>
      </c>
      <c r="L14" s="996"/>
      <c r="M14" s="994">
        <v>98431439</v>
      </c>
      <c r="N14" s="1034"/>
      <c r="O14" s="1034">
        <v>99745239</v>
      </c>
      <c r="P14" s="1034"/>
      <c r="Q14" s="1034">
        <v>99924232</v>
      </c>
      <c r="R14" s="995">
        <v>99924232</v>
      </c>
      <c r="S14" s="997">
        <v>2252500</v>
      </c>
      <c r="T14" s="996"/>
      <c r="U14" s="994">
        <v>2252500</v>
      </c>
      <c r="V14" s="1034"/>
      <c r="W14" s="1034">
        <v>2302500</v>
      </c>
      <c r="X14" s="1034"/>
      <c r="Y14" s="1034">
        <v>2950735</v>
      </c>
      <c r="Z14" s="995">
        <v>2950735</v>
      </c>
      <c r="AA14" s="997">
        <v>4343400</v>
      </c>
      <c r="AB14" s="996"/>
      <c r="AC14" s="994">
        <v>4343800</v>
      </c>
      <c r="AD14" s="1034"/>
      <c r="AE14" s="1034">
        <v>4408800</v>
      </c>
      <c r="AF14" s="1034"/>
      <c r="AG14" s="1034">
        <v>4563962</v>
      </c>
      <c r="AH14" s="995">
        <v>4563962</v>
      </c>
      <c r="AI14" s="1059">
        <v>464000</v>
      </c>
      <c r="AJ14" s="1051"/>
      <c r="AK14" s="1051">
        <v>464000</v>
      </c>
      <c r="AL14" s="2260"/>
      <c r="AM14" s="2260">
        <v>464000</v>
      </c>
      <c r="AN14" s="2260"/>
      <c r="AO14" s="2260">
        <v>373553</v>
      </c>
      <c r="AP14" s="1052">
        <v>373553</v>
      </c>
      <c r="AQ14" s="1013"/>
      <c r="AR14" s="1071"/>
      <c r="AS14" s="1122"/>
    </row>
    <row r="15" spans="1:45" s="951" customFormat="1" ht="20.25" customHeight="1" x14ac:dyDescent="0.25">
      <c r="A15" s="4531" t="s">
        <v>843</v>
      </c>
      <c r="B15" s="4552"/>
      <c r="C15" s="962">
        <f>SUM(K15+S15+AA15+AI15)</f>
        <v>21164702</v>
      </c>
      <c r="D15" s="962"/>
      <c r="E15" s="962">
        <f>SUM(M15+U15+AC15+AK15)</f>
        <v>21253774</v>
      </c>
      <c r="F15" s="962"/>
      <c r="G15" s="962">
        <f t="shared" ref="G15:I17" si="2">SUM(O15+W15+AE15+AM15)</f>
        <v>21532390</v>
      </c>
      <c r="H15" s="962"/>
      <c r="I15" s="962">
        <f t="shared" si="2"/>
        <v>21227608</v>
      </c>
      <c r="J15" s="962">
        <f>SUM(R15+Z15+AH15+AP15)</f>
        <v>21226646</v>
      </c>
      <c r="K15" s="969">
        <v>19720940</v>
      </c>
      <c r="L15" s="963"/>
      <c r="M15" s="1035">
        <v>19809924</v>
      </c>
      <c r="N15" s="1065"/>
      <c r="O15" s="1065">
        <v>20066115</v>
      </c>
      <c r="P15" s="1065"/>
      <c r="Q15" s="1065">
        <v>19610555</v>
      </c>
      <c r="R15" s="970">
        <v>19610555</v>
      </c>
      <c r="S15" s="969">
        <v>461094</v>
      </c>
      <c r="T15" s="963"/>
      <c r="U15" s="1035">
        <v>461094</v>
      </c>
      <c r="V15" s="1065"/>
      <c r="W15" s="1065">
        <v>470844</v>
      </c>
      <c r="X15" s="1065"/>
      <c r="Y15" s="1065">
        <v>600791</v>
      </c>
      <c r="Z15" s="970">
        <v>600791</v>
      </c>
      <c r="AA15" s="969">
        <v>889868</v>
      </c>
      <c r="AB15" s="963"/>
      <c r="AC15" s="1035">
        <v>889956</v>
      </c>
      <c r="AD15" s="1065"/>
      <c r="AE15" s="1065">
        <v>902631</v>
      </c>
      <c r="AF15" s="1065"/>
      <c r="AG15" s="1065">
        <v>943420</v>
      </c>
      <c r="AH15" s="970">
        <v>942458</v>
      </c>
      <c r="AI15" s="1072">
        <v>92800</v>
      </c>
      <c r="AJ15" s="1036"/>
      <c r="AK15" s="1036">
        <v>92800</v>
      </c>
      <c r="AL15" s="1035"/>
      <c r="AM15" s="1035">
        <v>92800</v>
      </c>
      <c r="AN15" s="1035"/>
      <c r="AO15" s="1035">
        <v>72842</v>
      </c>
      <c r="AP15" s="1053">
        <v>72842</v>
      </c>
      <c r="AQ15" s="1073"/>
      <c r="AR15" s="1074"/>
      <c r="AS15" s="1070"/>
    </row>
    <row r="16" spans="1:45" s="951" customFormat="1" ht="20.25" customHeight="1" x14ac:dyDescent="0.25">
      <c r="A16" s="4546" t="s">
        <v>844</v>
      </c>
      <c r="B16" s="4547"/>
      <c r="C16" s="962">
        <f>SUM(K16+S16+AA16+AI16)</f>
        <v>9209870</v>
      </c>
      <c r="D16" s="962"/>
      <c r="E16" s="962">
        <f>SUM(M16+U16+AC16+AK16)</f>
        <v>9824505</v>
      </c>
      <c r="F16" s="962"/>
      <c r="G16" s="962">
        <f t="shared" si="2"/>
        <v>9933281</v>
      </c>
      <c r="H16" s="962"/>
      <c r="I16" s="962">
        <f t="shared" si="2"/>
        <v>8799200</v>
      </c>
      <c r="J16" s="962">
        <f>SUM(R16+Z16+AH16+AP16)</f>
        <v>8468958</v>
      </c>
      <c r="K16" s="969">
        <v>2084150</v>
      </c>
      <c r="L16" s="963"/>
      <c r="M16" s="1035">
        <v>2084150</v>
      </c>
      <c r="N16" s="1065"/>
      <c r="O16" s="1065">
        <v>2134150</v>
      </c>
      <c r="P16" s="1065"/>
      <c r="Q16" s="1065">
        <v>1614074</v>
      </c>
      <c r="R16" s="970">
        <v>1614074</v>
      </c>
      <c r="S16" s="969">
        <v>6894580</v>
      </c>
      <c r="T16" s="963"/>
      <c r="U16" s="1035">
        <v>7493058</v>
      </c>
      <c r="V16" s="1065"/>
      <c r="W16" s="1065">
        <v>7549483</v>
      </c>
      <c r="X16" s="1065"/>
      <c r="Y16" s="1065">
        <v>6929250</v>
      </c>
      <c r="Z16" s="970">
        <v>6612238</v>
      </c>
      <c r="AA16" s="969">
        <v>202248</v>
      </c>
      <c r="AB16" s="963"/>
      <c r="AC16" s="1035">
        <v>216386</v>
      </c>
      <c r="AD16" s="1065"/>
      <c r="AE16" s="1065">
        <v>218443</v>
      </c>
      <c r="AF16" s="1065"/>
      <c r="AG16" s="1065">
        <v>225366</v>
      </c>
      <c r="AH16" s="970">
        <v>213807</v>
      </c>
      <c r="AI16" s="1072">
        <v>28892</v>
      </c>
      <c r="AJ16" s="1036"/>
      <c r="AK16" s="1036">
        <v>30911</v>
      </c>
      <c r="AL16" s="1035"/>
      <c r="AM16" s="1035">
        <v>31205</v>
      </c>
      <c r="AN16" s="1035"/>
      <c r="AO16" s="1035">
        <v>30510</v>
      </c>
      <c r="AP16" s="1053">
        <v>28839</v>
      </c>
      <c r="AQ16" s="1073"/>
      <c r="AR16" s="1074">
        <v>0</v>
      </c>
      <c r="AS16" s="1070">
        <v>0</v>
      </c>
    </row>
    <row r="17" spans="1:45" s="951" customFormat="1" ht="20.25" customHeight="1" x14ac:dyDescent="0.25">
      <c r="A17" s="4546" t="s">
        <v>887</v>
      </c>
      <c r="B17" s="4547"/>
      <c r="C17" s="962">
        <f>SUM(K17+S17+AA17+AI17)</f>
        <v>762000</v>
      </c>
      <c r="D17" s="962"/>
      <c r="E17" s="962">
        <f>SUM(M17+U17+AC17+AK17)</f>
        <v>1735000</v>
      </c>
      <c r="F17" s="962"/>
      <c r="G17" s="962">
        <f t="shared" si="2"/>
        <v>1735000</v>
      </c>
      <c r="H17" s="962"/>
      <c r="I17" s="962">
        <f t="shared" si="2"/>
        <v>1818580</v>
      </c>
      <c r="J17" s="962">
        <f>SUM(R17+Z17+AH17+AP17)</f>
        <v>1681450</v>
      </c>
      <c r="K17" s="969">
        <v>381000</v>
      </c>
      <c r="L17" s="964"/>
      <c r="M17" s="964">
        <v>381000</v>
      </c>
      <c r="N17" s="964"/>
      <c r="O17" s="964">
        <v>381000</v>
      </c>
      <c r="P17" s="964"/>
      <c r="Q17" s="964">
        <v>428971</v>
      </c>
      <c r="R17" s="970">
        <v>428971</v>
      </c>
      <c r="S17" s="969">
        <v>365760</v>
      </c>
      <c r="T17" s="963"/>
      <c r="U17" s="1035">
        <v>1338760</v>
      </c>
      <c r="V17" s="1065"/>
      <c r="W17" s="1065">
        <v>1338760</v>
      </c>
      <c r="X17" s="1065"/>
      <c r="Y17" s="1065">
        <v>1129809</v>
      </c>
      <c r="Z17" s="970">
        <v>1122579</v>
      </c>
      <c r="AA17" s="969">
        <v>15240</v>
      </c>
      <c r="AB17" s="963"/>
      <c r="AC17" s="1035">
        <v>15240</v>
      </c>
      <c r="AD17" s="1065"/>
      <c r="AE17" s="1065">
        <v>15240</v>
      </c>
      <c r="AF17" s="1065"/>
      <c r="AG17" s="1065">
        <v>233820</v>
      </c>
      <c r="AH17" s="970">
        <v>116910</v>
      </c>
      <c r="AI17" s="1072"/>
      <c r="AJ17" s="1036"/>
      <c r="AK17" s="1036"/>
      <c r="AL17" s="1035"/>
      <c r="AM17" s="1035"/>
      <c r="AN17" s="1035"/>
      <c r="AO17" s="1035">
        <v>25980</v>
      </c>
      <c r="AP17" s="1053">
        <v>12990</v>
      </c>
      <c r="AQ17" s="1073"/>
      <c r="AR17" s="1074"/>
      <c r="AS17" s="1070"/>
    </row>
    <row r="18" spans="1:45" s="636" customFormat="1" ht="24.75" customHeight="1" thickBot="1" x14ac:dyDescent="0.3">
      <c r="A18" s="4550" t="s">
        <v>517</v>
      </c>
      <c r="B18" s="4551"/>
      <c r="C18" s="1118">
        <f t="shared" ref="C18:AS18" si="3">SUM(C14:C17)</f>
        <v>136178135</v>
      </c>
      <c r="D18" s="1118"/>
      <c r="E18" s="1118">
        <f t="shared" si="3"/>
        <v>138305018</v>
      </c>
      <c r="F18" s="1118"/>
      <c r="G18" s="1118">
        <f t="shared" si="3"/>
        <v>140121210</v>
      </c>
      <c r="H18" s="1118"/>
      <c r="I18" s="1118">
        <f t="shared" si="3"/>
        <v>139657870</v>
      </c>
      <c r="J18" s="1118">
        <f t="shared" si="3"/>
        <v>139189536</v>
      </c>
      <c r="K18" s="1078">
        <f t="shared" si="3"/>
        <v>120167753</v>
      </c>
      <c r="L18" s="1079"/>
      <c r="M18" s="985">
        <f t="shared" si="3"/>
        <v>120706513</v>
      </c>
      <c r="N18" s="985"/>
      <c r="O18" s="985">
        <f t="shared" si="3"/>
        <v>122326504</v>
      </c>
      <c r="P18" s="985"/>
      <c r="Q18" s="985">
        <f t="shared" si="3"/>
        <v>121577832</v>
      </c>
      <c r="R18" s="1080">
        <f t="shared" si="3"/>
        <v>121577832</v>
      </c>
      <c r="S18" s="1078">
        <f t="shared" si="3"/>
        <v>9973934</v>
      </c>
      <c r="T18" s="1079"/>
      <c r="U18" s="985">
        <f t="shared" si="3"/>
        <v>11545412</v>
      </c>
      <c r="V18" s="985"/>
      <c r="W18" s="985">
        <f t="shared" si="3"/>
        <v>11661587</v>
      </c>
      <c r="X18" s="985"/>
      <c r="Y18" s="985">
        <f t="shared" si="3"/>
        <v>11610585</v>
      </c>
      <c r="Z18" s="1080">
        <f t="shared" si="3"/>
        <v>11286343</v>
      </c>
      <c r="AA18" s="1078">
        <f t="shared" si="3"/>
        <v>5450756</v>
      </c>
      <c r="AB18" s="1079"/>
      <c r="AC18" s="1079">
        <f t="shared" si="3"/>
        <v>5465382</v>
      </c>
      <c r="AD18" s="1079"/>
      <c r="AE18" s="1079">
        <f t="shared" si="3"/>
        <v>5545114</v>
      </c>
      <c r="AF18" s="1079"/>
      <c r="AG18" s="1079">
        <f t="shared" si="3"/>
        <v>5966568</v>
      </c>
      <c r="AH18" s="1080">
        <f t="shared" si="3"/>
        <v>5837137</v>
      </c>
      <c r="AI18" s="1091">
        <f t="shared" si="3"/>
        <v>585692</v>
      </c>
      <c r="AJ18" s="1003"/>
      <c r="AK18" s="1003">
        <f t="shared" si="3"/>
        <v>587711</v>
      </c>
      <c r="AL18" s="1003"/>
      <c r="AM18" s="1003">
        <f t="shared" si="3"/>
        <v>588005</v>
      </c>
      <c r="AN18" s="1003"/>
      <c r="AO18" s="1003">
        <f t="shared" si="3"/>
        <v>502885</v>
      </c>
      <c r="AP18" s="1083">
        <f t="shared" si="3"/>
        <v>488224</v>
      </c>
      <c r="AQ18" s="1003">
        <f t="shared" si="3"/>
        <v>0</v>
      </c>
      <c r="AR18" s="1079">
        <f t="shared" si="3"/>
        <v>0</v>
      </c>
      <c r="AS18" s="1117">
        <f t="shared" si="3"/>
        <v>0</v>
      </c>
    </row>
    <row r="19" spans="1:45" ht="15.75" thickTop="1" x14ac:dyDescent="0.25">
      <c r="A19" s="992"/>
      <c r="B19" s="992"/>
      <c r="C19" s="992"/>
      <c r="D19" s="992"/>
      <c r="E19" s="992"/>
      <c r="F19" s="992"/>
      <c r="G19" s="992"/>
      <c r="H19" s="992"/>
      <c r="I19" s="992"/>
      <c r="J19" s="992"/>
      <c r="K19" s="992"/>
      <c r="L19" s="992"/>
      <c r="M19" s="992"/>
      <c r="N19" s="992"/>
      <c r="O19" s="992"/>
      <c r="P19" s="992"/>
      <c r="Q19" s="992"/>
      <c r="R19" s="992"/>
      <c r="S19" s="992"/>
      <c r="T19" s="992"/>
      <c r="U19" s="992"/>
      <c r="V19" s="992"/>
      <c r="W19" s="992"/>
      <c r="X19" s="992"/>
      <c r="Y19" s="992"/>
      <c r="Z19" s="992"/>
      <c r="AA19" s="952"/>
      <c r="AB19" s="952"/>
      <c r="AC19" s="952"/>
      <c r="AD19" s="952"/>
      <c r="AE19" s="952"/>
      <c r="AF19" s="952"/>
      <c r="AG19" s="952"/>
      <c r="AH19" s="952"/>
      <c r="AI19" s="952"/>
      <c r="AJ19" s="952"/>
      <c r="AK19" s="952"/>
      <c r="AL19" s="952"/>
      <c r="AM19" s="952"/>
      <c r="AN19" s="952"/>
      <c r="AO19" s="952"/>
      <c r="AP19" s="952"/>
      <c r="AQ19" s="952"/>
      <c r="AR19" s="952"/>
      <c r="AS19" s="952"/>
    </row>
    <row r="20" spans="1:45" x14ac:dyDescent="0.25">
      <c r="A20" s="992"/>
      <c r="B20" s="992"/>
      <c r="C20" s="992"/>
      <c r="D20" s="992"/>
      <c r="E20" s="992"/>
      <c r="F20" s="992"/>
      <c r="G20" s="992"/>
      <c r="H20" s="992"/>
      <c r="I20" s="992"/>
      <c r="J20" s="992"/>
      <c r="K20" s="992"/>
      <c r="L20" s="992"/>
      <c r="M20" s="992"/>
      <c r="N20" s="992"/>
      <c r="O20" s="992"/>
      <c r="P20" s="992"/>
      <c r="Q20" s="992"/>
      <c r="R20" s="992"/>
      <c r="S20" s="992"/>
      <c r="T20" s="992"/>
      <c r="U20" s="992"/>
      <c r="V20" s="992"/>
      <c r="W20" s="992"/>
      <c r="X20" s="992"/>
      <c r="Y20" s="992"/>
      <c r="Z20" s="992"/>
      <c r="AA20" s="952"/>
      <c r="AB20" s="952"/>
      <c r="AC20" s="952"/>
      <c r="AD20" s="952"/>
      <c r="AE20" s="952"/>
      <c r="AF20" s="952"/>
      <c r="AG20" s="952"/>
      <c r="AH20" s="952"/>
      <c r="AI20" s="952"/>
      <c r="AJ20" s="952"/>
      <c r="AK20" s="952"/>
      <c r="AL20" s="952"/>
      <c r="AM20" s="952"/>
      <c r="AN20" s="952"/>
      <c r="AO20" s="952"/>
      <c r="AP20" s="952"/>
      <c r="AQ20" s="952"/>
      <c r="AR20" s="952"/>
      <c r="AS20" s="952"/>
    </row>
    <row r="21" spans="1:45" ht="18.75" x14ac:dyDescent="0.3">
      <c r="A21" s="1054" t="s">
        <v>279</v>
      </c>
      <c r="B21" s="992"/>
      <c r="C21" s="1012">
        <f>SUM(C18-C11)</f>
        <v>0</v>
      </c>
      <c r="D21" s="1012"/>
      <c r="E21" s="1012">
        <f>SUM(E18-E11)</f>
        <v>0</v>
      </c>
      <c r="F21" s="1012"/>
      <c r="G21" s="1012">
        <f>SUM(G18-G11)</f>
        <v>0</v>
      </c>
      <c r="H21" s="1012"/>
      <c r="I21" s="1012">
        <f>SUM(I18-I11)</f>
        <v>0</v>
      </c>
      <c r="J21" s="1012"/>
      <c r="K21" s="1012">
        <f>SUM(K18-K11)</f>
        <v>0</v>
      </c>
      <c r="L21" s="1012"/>
      <c r="M21" s="1012">
        <f t="shared" ref="M21:S21" si="4">SUM(M18-M11)</f>
        <v>0</v>
      </c>
      <c r="N21" s="1012">
        <f t="shared" si="4"/>
        <v>0</v>
      </c>
      <c r="O21" s="1012">
        <f t="shared" si="4"/>
        <v>0</v>
      </c>
      <c r="P21" s="1012">
        <f t="shared" si="4"/>
        <v>0</v>
      </c>
      <c r="Q21" s="1012">
        <f t="shared" si="4"/>
        <v>0</v>
      </c>
      <c r="R21" s="1012"/>
      <c r="S21" s="1012">
        <f t="shared" si="4"/>
        <v>0</v>
      </c>
      <c r="T21" s="1012"/>
      <c r="U21" s="1012">
        <f t="shared" ref="U21:AA21" si="5">SUM(U18-U11)</f>
        <v>0</v>
      </c>
      <c r="V21" s="1012">
        <f t="shared" si="5"/>
        <v>0</v>
      </c>
      <c r="W21" s="1012">
        <f t="shared" si="5"/>
        <v>0</v>
      </c>
      <c r="X21" s="1012">
        <f t="shared" si="5"/>
        <v>0</v>
      </c>
      <c r="Y21" s="1012">
        <f t="shared" si="5"/>
        <v>0</v>
      </c>
      <c r="Z21" s="1012">
        <f t="shared" si="5"/>
        <v>0</v>
      </c>
      <c r="AA21" s="1012">
        <f t="shared" si="5"/>
        <v>0</v>
      </c>
      <c r="AB21" s="1012"/>
      <c r="AC21" s="1012">
        <f t="shared" ref="AC21:AI21" si="6">SUM(AC18-AC11)</f>
        <v>0</v>
      </c>
      <c r="AD21" s="1012">
        <f t="shared" si="6"/>
        <v>0</v>
      </c>
      <c r="AE21" s="1012">
        <f t="shared" si="6"/>
        <v>0</v>
      </c>
      <c r="AF21" s="1012">
        <f t="shared" si="6"/>
        <v>0</v>
      </c>
      <c r="AG21" s="1012">
        <f t="shared" si="6"/>
        <v>0</v>
      </c>
      <c r="AH21" s="1012">
        <f t="shared" si="6"/>
        <v>0</v>
      </c>
      <c r="AI21" s="1012">
        <f t="shared" si="6"/>
        <v>0</v>
      </c>
      <c r="AJ21" s="1012"/>
      <c r="AK21" s="1012">
        <f t="shared" ref="AK21:AP21" si="7">SUM(AK18-AK11)</f>
        <v>0</v>
      </c>
      <c r="AL21" s="1012">
        <f t="shared" si="7"/>
        <v>0</v>
      </c>
      <c r="AM21" s="1012">
        <f t="shared" si="7"/>
        <v>0</v>
      </c>
      <c r="AN21" s="1012">
        <f t="shared" si="7"/>
        <v>0</v>
      </c>
      <c r="AO21" s="1012">
        <f t="shared" si="7"/>
        <v>0</v>
      </c>
      <c r="AP21" s="1012">
        <f t="shared" si="7"/>
        <v>0</v>
      </c>
      <c r="AQ21" s="1009"/>
      <c r="AR21" s="1009"/>
      <c r="AS21" s="1009"/>
    </row>
    <row r="22" spans="1:45" x14ac:dyDescent="0.25">
      <c r="A22" s="992"/>
      <c r="B22" s="992"/>
      <c r="C22" s="992"/>
      <c r="D22" s="992"/>
      <c r="E22" s="992"/>
      <c r="F22" s="992"/>
      <c r="G22" s="992"/>
      <c r="H22" s="992"/>
      <c r="I22" s="992"/>
      <c r="J22" s="992"/>
      <c r="K22" s="992"/>
      <c r="L22" s="992"/>
      <c r="M22" s="992"/>
      <c r="N22" s="992"/>
      <c r="O22" s="992"/>
      <c r="P22" s="992"/>
      <c r="Q22" s="992"/>
      <c r="R22" s="992"/>
      <c r="S22" s="992"/>
      <c r="T22" s="992"/>
      <c r="U22" s="992"/>
      <c r="V22" s="992"/>
      <c r="W22" s="992"/>
      <c r="X22" s="992"/>
      <c r="Y22" s="992"/>
      <c r="Z22" s="992"/>
      <c r="AA22" s="952"/>
      <c r="AB22" s="952"/>
      <c r="AC22" s="952"/>
      <c r="AD22" s="952"/>
      <c r="AE22" s="952"/>
      <c r="AF22" s="952"/>
      <c r="AG22" s="952"/>
      <c r="AH22" s="952"/>
      <c r="AI22" s="952"/>
      <c r="AJ22" s="952"/>
      <c r="AK22" s="952"/>
      <c r="AL22" s="952"/>
      <c r="AM22" s="952"/>
      <c r="AN22" s="952"/>
      <c r="AO22" s="952"/>
      <c r="AP22" s="952"/>
      <c r="AQ22" s="952"/>
      <c r="AR22" s="952"/>
      <c r="AS22" s="952"/>
    </row>
    <row r="23" spans="1:45" x14ac:dyDescent="0.25">
      <c r="A23" s="992"/>
      <c r="B23" s="992"/>
      <c r="C23" s="992"/>
      <c r="D23" s="992"/>
      <c r="E23" s="992"/>
      <c r="F23" s="992"/>
      <c r="G23" s="992"/>
      <c r="H23" s="992"/>
      <c r="I23" s="992"/>
      <c r="J23" s="992"/>
      <c r="K23" s="992"/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2"/>
      <c r="Y23" s="992"/>
      <c r="Z23" s="992"/>
      <c r="AA23" s="952"/>
      <c r="AB23" s="952"/>
      <c r="AC23" s="952"/>
      <c r="AD23" s="952"/>
      <c r="AE23" s="952"/>
      <c r="AF23" s="952"/>
      <c r="AG23" s="952"/>
      <c r="AH23" s="952"/>
      <c r="AI23" s="952"/>
      <c r="AJ23" s="952"/>
      <c r="AK23" s="952"/>
      <c r="AL23" s="952"/>
      <c r="AM23" s="952"/>
      <c r="AN23" s="952"/>
      <c r="AO23" s="952"/>
      <c r="AP23" s="952"/>
      <c r="AQ23" s="952"/>
      <c r="AR23" s="952"/>
      <c r="AS23" s="952"/>
    </row>
    <row r="24" spans="1:45" s="636" customFormat="1" ht="19.5" customHeight="1" x14ac:dyDescent="0.25">
      <c r="A24" s="4558" t="s">
        <v>888</v>
      </c>
      <c r="B24" s="4558"/>
      <c r="C24" s="1008"/>
      <c r="D24" s="1008"/>
      <c r="E24" s="1008"/>
      <c r="F24" s="1008"/>
      <c r="G24" s="1008"/>
      <c r="H24" s="1008"/>
      <c r="I24" s="1008"/>
      <c r="J24" s="1008"/>
      <c r="K24" s="1008"/>
      <c r="L24" s="1008"/>
      <c r="M24" s="1008"/>
      <c r="N24" s="1008"/>
      <c r="O24" s="1008"/>
      <c r="P24" s="1008"/>
      <c r="Q24" s="1008"/>
      <c r="R24" s="1008"/>
      <c r="S24" s="1008"/>
      <c r="T24" s="1008"/>
      <c r="U24" s="1008"/>
      <c r="V24" s="1008"/>
      <c r="W24" s="1008"/>
      <c r="X24" s="1008"/>
      <c r="Y24" s="1008"/>
      <c r="Z24" s="1008"/>
      <c r="AA24" s="1009"/>
      <c r="AB24" s="1009"/>
      <c r="AC24" s="1009"/>
      <c r="AD24" s="1009"/>
      <c r="AE24" s="1009"/>
      <c r="AF24" s="1009"/>
      <c r="AG24" s="1009"/>
      <c r="AH24" s="1009"/>
      <c r="AI24" s="1009"/>
      <c r="AJ24" s="1009"/>
      <c r="AK24" s="1009"/>
      <c r="AL24" s="1009"/>
      <c r="AM24" s="1009"/>
      <c r="AN24" s="1009"/>
      <c r="AO24" s="1009"/>
      <c r="AP24" s="1009"/>
      <c r="AQ24" s="1009"/>
      <c r="AR24" s="1009"/>
      <c r="AS24" s="1009"/>
    </row>
    <row r="25" spans="1:45" s="636" customFormat="1" ht="19.5" customHeight="1" x14ac:dyDescent="0.25">
      <c r="A25" s="1009"/>
      <c r="B25" s="1009"/>
      <c r="C25" s="1009"/>
      <c r="D25" s="1009"/>
      <c r="E25" s="1009"/>
      <c r="F25" s="1009"/>
      <c r="G25" s="1009"/>
      <c r="H25" s="1009"/>
      <c r="I25" s="1009"/>
      <c r="J25" s="1009"/>
      <c r="K25" s="1008"/>
      <c r="L25" s="1008"/>
      <c r="M25" s="1008"/>
      <c r="N25" s="1008"/>
      <c r="O25" s="1008"/>
      <c r="P25" s="1008"/>
      <c r="Q25" s="1008"/>
      <c r="R25" s="1008"/>
      <c r="S25" s="1008"/>
      <c r="T25" s="1008"/>
      <c r="U25" s="1008"/>
      <c r="V25" s="1008"/>
      <c r="W25" s="1008"/>
      <c r="X25" s="1008"/>
      <c r="Y25" s="1008"/>
      <c r="Z25" s="1008"/>
      <c r="AA25" s="1009"/>
      <c r="AB25" s="1009"/>
      <c r="AC25" s="1009"/>
      <c r="AD25" s="1009"/>
      <c r="AE25" s="1009"/>
      <c r="AF25" s="1009"/>
      <c r="AG25" s="1009"/>
      <c r="AH25" s="1009"/>
      <c r="AI25" s="1009"/>
      <c r="AJ25" s="1009"/>
      <c r="AK25" s="1009"/>
      <c r="AL25" s="1009"/>
      <c r="AM25" s="1009"/>
      <c r="AN25" s="1009"/>
      <c r="AO25" s="1009"/>
      <c r="AP25" s="1009"/>
      <c r="AQ25" s="1009"/>
      <c r="AR25" s="1009"/>
      <c r="AS25" s="1009"/>
    </row>
    <row r="26" spans="1:45" s="636" customFormat="1" ht="19.5" customHeight="1" x14ac:dyDescent="0.25">
      <c r="A26" s="4548" t="s">
        <v>786</v>
      </c>
      <c r="B26" s="4548"/>
      <c r="C26" s="1007">
        <f>SUM('5.4. sz mell'!F8)</f>
        <v>0</v>
      </c>
      <c r="D26" s="1007">
        <f>SUM('5.4. sz mell'!G8)</f>
        <v>0</v>
      </c>
      <c r="E26" s="1007">
        <f>SUM('5.4. sz mell'!H8)</f>
        <v>0</v>
      </c>
      <c r="F26" s="1007">
        <f>SUM('5.4. sz mell'!I8)</f>
        <v>0</v>
      </c>
      <c r="G26" s="1007">
        <f>SUM('5.4. sz mell'!J8)</f>
        <v>57115</v>
      </c>
      <c r="H26" s="1007">
        <f>SUM('5.4. sz mell'!K8)</f>
        <v>0</v>
      </c>
      <c r="I26" s="1007">
        <f>SUM('5.4. sz mell'!L8)</f>
        <v>57115</v>
      </c>
      <c r="J26" s="1007">
        <f>SUM('5.4. sz mell'!M8)</f>
        <v>57115</v>
      </c>
      <c r="K26" s="992"/>
      <c r="L26" s="992"/>
      <c r="M26" s="4548" t="s">
        <v>236</v>
      </c>
      <c r="N26" s="4548"/>
      <c r="O26" s="4548"/>
      <c r="P26" s="4548"/>
      <c r="Q26" s="4548"/>
      <c r="R26" s="4548"/>
      <c r="S26" s="1010">
        <f>SUM('5.4. sz mell'!F47)</f>
        <v>105041563</v>
      </c>
      <c r="T26" s="1010">
        <f>SUM('5.4. sz mell'!G47)</f>
        <v>450176</v>
      </c>
      <c r="U26" s="1010">
        <f>SUM('5.4. sz mell'!H47)</f>
        <v>105491739</v>
      </c>
      <c r="V26" s="1010">
        <f>SUM('5.4. sz mell'!I47)</f>
        <v>2320743</v>
      </c>
      <c r="W26" s="1010">
        <f>SUM('5.4. sz mell'!J47)</f>
        <v>107812482</v>
      </c>
      <c r="X26" s="1010">
        <f>SUM('5.4. sz mell'!K47)</f>
        <v>0</v>
      </c>
      <c r="Y26" s="1010">
        <f>SUM('5.4. sz mell'!L47)</f>
        <v>107812482</v>
      </c>
      <c r="Z26" s="1010">
        <f>SUM('5.4. sz mell'!M47)</f>
        <v>107812482</v>
      </c>
      <c r="AA26" s="1009"/>
      <c r="AB26" s="1009"/>
      <c r="AC26" s="1009"/>
      <c r="AD26" s="1009"/>
      <c r="AE26" s="1009"/>
      <c r="AF26" s="1009"/>
      <c r="AG26" s="1009"/>
      <c r="AH26" s="1009"/>
      <c r="AI26" s="1009"/>
      <c r="AJ26" s="1009"/>
      <c r="AK26" s="1009"/>
      <c r="AL26" s="1009"/>
      <c r="AM26" s="1009"/>
      <c r="AN26" s="1009"/>
      <c r="AO26" s="1009"/>
      <c r="AP26" s="1009"/>
      <c r="AQ26" s="1009"/>
      <c r="AR26" s="1009"/>
      <c r="AS26" s="1009"/>
    </row>
    <row r="27" spans="1:45" s="636" customFormat="1" ht="19.5" customHeight="1" x14ac:dyDescent="0.25">
      <c r="A27" s="1006" t="s">
        <v>893</v>
      </c>
      <c r="B27" s="1006"/>
      <c r="C27" s="1011">
        <f>SUM(C26-C7)</f>
        <v>0</v>
      </c>
      <c r="D27" s="1011"/>
      <c r="E27" s="1011">
        <f>SUM(E26-E7)</f>
        <v>0</v>
      </c>
      <c r="F27" s="1011"/>
      <c r="G27" s="1011">
        <f>SUM(G26-G7)</f>
        <v>57115</v>
      </c>
      <c r="H27" s="1011"/>
      <c r="I27" s="1011">
        <f>SUM(I26-I7)</f>
        <v>0</v>
      </c>
      <c r="J27" s="1011">
        <f>SUM(J26-J7)</f>
        <v>0</v>
      </c>
      <c r="K27" s="992"/>
      <c r="L27" s="992"/>
      <c r="M27" s="1006" t="s">
        <v>893</v>
      </c>
      <c r="N27" s="1006"/>
      <c r="O27" s="1006"/>
      <c r="P27" s="1006"/>
      <c r="Q27" s="1006"/>
      <c r="R27" s="992"/>
      <c r="S27" s="1012">
        <f>SUM(S26-C14)</f>
        <v>0</v>
      </c>
      <c r="T27" s="1012"/>
      <c r="U27" s="1012">
        <f>SUM(U26-E14)</f>
        <v>0</v>
      </c>
      <c r="V27" s="1012"/>
      <c r="W27" s="1012">
        <f>SUM(W26-G14)</f>
        <v>891943</v>
      </c>
      <c r="X27" s="1012"/>
      <c r="Y27" s="1012">
        <f>SUM(Y26-I14)</f>
        <v>0</v>
      </c>
      <c r="Z27" s="1012">
        <f>SUM(Z26-J14)</f>
        <v>0</v>
      </c>
      <c r="AA27" s="1009"/>
      <c r="AB27" s="1009"/>
      <c r="AC27" s="1009"/>
      <c r="AD27" s="1009"/>
      <c r="AE27" s="1009"/>
      <c r="AF27" s="1009"/>
      <c r="AG27" s="1009"/>
      <c r="AH27" s="1009"/>
      <c r="AI27" s="1009"/>
      <c r="AJ27" s="1009"/>
      <c r="AK27" s="1009"/>
      <c r="AL27" s="1009"/>
      <c r="AM27" s="1009"/>
      <c r="AN27" s="1009"/>
      <c r="AO27" s="1009"/>
      <c r="AP27" s="1009"/>
      <c r="AQ27" s="1009"/>
      <c r="AR27" s="1009"/>
      <c r="AS27" s="1009"/>
    </row>
    <row r="28" spans="1:45" s="636" customFormat="1" ht="19.5" customHeight="1" x14ac:dyDescent="0.25">
      <c r="A28" s="1008"/>
      <c r="B28" s="1008"/>
      <c r="C28" s="992"/>
      <c r="D28" s="992"/>
      <c r="E28" s="992"/>
      <c r="F28" s="992"/>
      <c r="G28" s="992"/>
      <c r="H28" s="992"/>
      <c r="I28" s="992"/>
      <c r="J28" s="992"/>
      <c r="K28" s="992"/>
      <c r="L28" s="992"/>
      <c r="M28" s="992"/>
      <c r="N28" s="992"/>
      <c r="O28" s="992"/>
      <c r="P28" s="992"/>
      <c r="Q28" s="992"/>
      <c r="R28" s="992"/>
      <c r="S28" s="1008"/>
      <c r="T28" s="1008"/>
      <c r="U28" s="1008"/>
      <c r="V28" s="1008"/>
      <c r="W28" s="1008"/>
      <c r="X28" s="1008"/>
      <c r="Y28" s="1008"/>
      <c r="Z28" s="1008"/>
      <c r="AA28" s="1009"/>
      <c r="AB28" s="1009"/>
      <c r="AC28" s="1009"/>
      <c r="AD28" s="1009"/>
      <c r="AE28" s="1009"/>
      <c r="AF28" s="1009"/>
      <c r="AG28" s="1009"/>
      <c r="AH28" s="1009"/>
      <c r="AI28" s="1009"/>
      <c r="AJ28" s="1009"/>
      <c r="AK28" s="1009"/>
      <c r="AL28" s="1009"/>
      <c r="AM28" s="1009"/>
      <c r="AN28" s="1009"/>
      <c r="AO28" s="1009"/>
      <c r="AP28" s="1009"/>
      <c r="AQ28" s="1009"/>
      <c r="AR28" s="1009"/>
      <c r="AS28" s="1009"/>
    </row>
    <row r="29" spans="1:45" s="636" customFormat="1" ht="19.5" customHeight="1" x14ac:dyDescent="0.25">
      <c r="A29" s="4548" t="s">
        <v>892</v>
      </c>
      <c r="B29" s="4548"/>
      <c r="C29" s="1007">
        <f>SUM('5.4. sz mell'!F36)</f>
        <v>136178135</v>
      </c>
      <c r="D29" s="1007">
        <f>SUM('5.4. sz mell'!G36)</f>
        <v>2126883</v>
      </c>
      <c r="E29" s="1007">
        <f>SUM('5.4. sz mell'!H36)</f>
        <v>138305018</v>
      </c>
      <c r="F29" s="1007">
        <f>SUM('5.4. sz mell'!I36)</f>
        <v>1295737</v>
      </c>
      <c r="G29" s="1007">
        <f>SUM('5.4. sz mell'!J36)</f>
        <v>139600755</v>
      </c>
      <c r="H29" s="1007">
        <f>SUM('5.4. sz mell'!K36)</f>
        <v>0</v>
      </c>
      <c r="I29" s="1007">
        <f>SUM('5.4. sz mell'!L36)</f>
        <v>139600755</v>
      </c>
      <c r="J29" s="1007">
        <f>SUM('5.4. sz mell'!M36)</f>
        <v>139600755</v>
      </c>
      <c r="K29" s="992"/>
      <c r="L29" s="992"/>
      <c r="M29" s="4548" t="s">
        <v>895</v>
      </c>
      <c r="N29" s="4548"/>
      <c r="O29" s="4548"/>
      <c r="P29" s="4548"/>
      <c r="Q29" s="4548"/>
      <c r="R29" s="4548"/>
      <c r="S29" s="1010">
        <f>SUM('5.4. sz mell'!F48)</f>
        <v>21164702</v>
      </c>
      <c r="T29" s="1010">
        <f>SUM('5.4. sz mell'!G48)</f>
        <v>89072</v>
      </c>
      <c r="U29" s="1010">
        <f>SUM('5.4. sz mell'!H48)</f>
        <v>21253774</v>
      </c>
      <c r="V29" s="1010">
        <f>SUM('5.4. sz mell'!I48)</f>
        <v>-26166</v>
      </c>
      <c r="W29" s="1010">
        <f>SUM('5.4. sz mell'!J48)</f>
        <v>21227608</v>
      </c>
      <c r="X29" s="1010">
        <f>SUM('5.4. sz mell'!K48)</f>
        <v>0</v>
      </c>
      <c r="Y29" s="1010">
        <f>SUM('5.4. sz mell'!L48)</f>
        <v>21227608</v>
      </c>
      <c r="Z29" s="1010">
        <f>SUM('5.4. sz mell'!M48)</f>
        <v>21226646</v>
      </c>
      <c r="AA29" s="1009"/>
      <c r="AB29" s="1009"/>
      <c r="AC29" s="1009"/>
      <c r="AD29" s="1009"/>
      <c r="AE29" s="1009"/>
      <c r="AF29" s="1009"/>
      <c r="AG29" s="1009"/>
      <c r="AH29" s="1009"/>
      <c r="AI29" s="1009"/>
      <c r="AJ29" s="1009"/>
      <c r="AK29" s="1009"/>
      <c r="AL29" s="1009"/>
      <c r="AM29" s="1009"/>
      <c r="AN29" s="1009"/>
      <c r="AO29" s="1009"/>
      <c r="AP29" s="1009"/>
      <c r="AQ29" s="1009"/>
      <c r="AR29" s="1009"/>
      <c r="AS29" s="1009"/>
    </row>
    <row r="30" spans="1:45" ht="15.75" x14ac:dyDescent="0.25">
      <c r="A30" s="1006" t="s">
        <v>893</v>
      </c>
      <c r="B30" s="1008"/>
      <c r="C30" s="1011">
        <f>SUM(C29-C8)</f>
        <v>0</v>
      </c>
      <c r="D30" s="1011"/>
      <c r="E30" s="1011">
        <f>SUM(E29-E8)</f>
        <v>0</v>
      </c>
      <c r="F30" s="1011"/>
      <c r="G30" s="1011">
        <f>SUM(G29-G8)</f>
        <v>-520455</v>
      </c>
      <c r="H30" s="1011"/>
      <c r="I30" s="1011">
        <f>SUM(I29-I8)</f>
        <v>0</v>
      </c>
      <c r="J30" s="1011">
        <f>SUM(J29-J8)</f>
        <v>0</v>
      </c>
      <c r="K30" s="992"/>
      <c r="L30" s="992"/>
      <c r="M30" s="1006" t="s">
        <v>893</v>
      </c>
      <c r="N30" s="1006"/>
      <c r="O30" s="1006"/>
      <c r="P30" s="1006"/>
      <c r="Q30" s="1006"/>
      <c r="R30" s="992"/>
      <c r="S30" s="1012">
        <f>SUM(S29-C15)</f>
        <v>0</v>
      </c>
      <c r="T30" s="1012"/>
      <c r="U30" s="1012">
        <f>SUM(U29-E15)</f>
        <v>0</v>
      </c>
      <c r="V30" s="1012"/>
      <c r="W30" s="1012">
        <f>SUM(W29-G15)</f>
        <v>-304782</v>
      </c>
      <c r="X30" s="1012"/>
      <c r="Y30" s="1012">
        <f>SUM(Y29-I15)</f>
        <v>0</v>
      </c>
      <c r="Z30" s="1012">
        <f>SUM(Z29-J15)</f>
        <v>0</v>
      </c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  <c r="AR30" s="952"/>
      <c r="AS30" s="952"/>
    </row>
    <row r="31" spans="1:45" ht="15.75" x14ac:dyDescent="0.25">
      <c r="A31" s="1008"/>
      <c r="B31" s="1008"/>
      <c r="C31" s="992"/>
      <c r="D31" s="992"/>
      <c r="E31" s="992"/>
      <c r="F31" s="992"/>
      <c r="G31" s="992"/>
      <c r="H31" s="992"/>
      <c r="I31" s="992"/>
      <c r="J31" s="992"/>
      <c r="K31" s="992"/>
      <c r="L31" s="992"/>
      <c r="M31" s="992"/>
      <c r="N31" s="992"/>
      <c r="O31" s="992"/>
      <c r="P31" s="992"/>
      <c r="Q31" s="992"/>
      <c r="R31" s="992"/>
      <c r="S31" s="1008"/>
      <c r="T31" s="1008"/>
      <c r="U31" s="1008"/>
      <c r="V31" s="1008"/>
      <c r="W31" s="1008"/>
      <c r="X31" s="1008"/>
      <c r="Y31" s="1008"/>
      <c r="Z31" s="1008"/>
      <c r="AA31" s="952"/>
      <c r="AB31" s="952"/>
      <c r="AC31" s="952"/>
      <c r="AD31" s="952"/>
      <c r="AE31" s="952"/>
      <c r="AF31" s="952"/>
      <c r="AG31" s="952"/>
      <c r="AH31" s="952"/>
      <c r="AI31" s="952"/>
      <c r="AJ31" s="952"/>
      <c r="AK31" s="952"/>
      <c r="AL31" s="952"/>
      <c r="AM31" s="952"/>
      <c r="AN31" s="952"/>
      <c r="AO31" s="952"/>
      <c r="AP31" s="952"/>
      <c r="AQ31" s="952"/>
      <c r="AR31" s="952"/>
      <c r="AS31" s="952"/>
    </row>
    <row r="32" spans="1:45" ht="15.75" x14ac:dyDescent="0.25">
      <c r="A32" s="4548" t="s">
        <v>891</v>
      </c>
      <c r="B32" s="4548"/>
      <c r="C32" s="1007">
        <f>SUM('5.4. sz mell'!F40)</f>
        <v>128477267</v>
      </c>
      <c r="D32" s="1007">
        <f>SUM('5.4. sz mell'!G40)</f>
        <v>123058</v>
      </c>
      <c r="E32" s="1007">
        <f>SUM('5.4. sz mell'!H40)</f>
        <v>128600325</v>
      </c>
      <c r="F32" s="1007">
        <f>SUM('5.4. sz mell'!I40)</f>
        <v>2187868</v>
      </c>
      <c r="G32" s="1007">
        <f>SUM('5.4. sz mell'!J40)</f>
        <v>130788193</v>
      </c>
      <c r="H32" s="1007">
        <f>SUM('5.4. sz mell'!K40)</f>
        <v>0</v>
      </c>
      <c r="I32" s="1007">
        <f>SUM('5.4. sz mell'!L40)</f>
        <v>130788193</v>
      </c>
      <c r="J32" s="1007">
        <f>SUM('5.4. sz mell'!M40)</f>
        <v>130788193</v>
      </c>
      <c r="K32" s="992"/>
      <c r="L32" s="992"/>
      <c r="M32" s="4549" t="s">
        <v>896</v>
      </c>
      <c r="N32" s="4549"/>
      <c r="O32" s="4549"/>
      <c r="P32" s="4549"/>
      <c r="Q32" s="4549"/>
      <c r="R32" s="4549"/>
      <c r="S32" s="1010">
        <f>SUM('5.4. sz mell'!F49)</f>
        <v>9209870</v>
      </c>
      <c r="T32" s="1010">
        <f>SUM('5.4. sz mell'!G49)</f>
        <v>614635</v>
      </c>
      <c r="U32" s="1010">
        <f>SUM('5.4. sz mell'!H49)</f>
        <v>9824505</v>
      </c>
      <c r="V32" s="1010">
        <f>SUM('5.4. sz mell'!I49)</f>
        <v>-1025305</v>
      </c>
      <c r="W32" s="1010">
        <f>SUM('5.4. sz mell'!J49)</f>
        <v>8799200</v>
      </c>
      <c r="X32" s="1010">
        <f>SUM('5.4. sz mell'!K49)</f>
        <v>0</v>
      </c>
      <c r="Y32" s="1010">
        <f>SUM('5.4. sz mell'!L49)</f>
        <v>8799200</v>
      </c>
      <c r="Z32" s="1010">
        <f>SUM('5.4. sz mell'!M49)</f>
        <v>8468958</v>
      </c>
      <c r="AA32" s="952"/>
      <c r="AB32" s="952"/>
      <c r="AC32" s="952"/>
      <c r="AD32" s="952"/>
      <c r="AE32" s="952"/>
      <c r="AF32" s="952"/>
      <c r="AG32" s="952"/>
      <c r="AH32" s="952"/>
      <c r="AI32" s="952"/>
      <c r="AJ32" s="952"/>
      <c r="AK32" s="952"/>
      <c r="AL32" s="952"/>
      <c r="AM32" s="952"/>
      <c r="AN32" s="952"/>
      <c r="AO32" s="952"/>
      <c r="AP32" s="952"/>
      <c r="AQ32" s="952"/>
      <c r="AR32" s="952"/>
      <c r="AS32" s="952"/>
    </row>
    <row r="33" spans="1:45" ht="15.75" x14ac:dyDescent="0.25">
      <c r="A33" s="1006" t="s">
        <v>893</v>
      </c>
      <c r="B33" s="1008"/>
      <c r="C33" s="1011">
        <f>SUM(C32-C9)</f>
        <v>0</v>
      </c>
      <c r="D33" s="1011"/>
      <c r="E33" s="1011">
        <f>SUM(E32-E9)</f>
        <v>0</v>
      </c>
      <c r="F33" s="1011"/>
      <c r="G33" s="1011">
        <f>SUM(G32-G9)</f>
        <v>2151660</v>
      </c>
      <c r="H33" s="1011"/>
      <c r="I33" s="1011">
        <f>SUM(I32-I9)</f>
        <v>0</v>
      </c>
      <c r="J33" s="1011">
        <f>SUM(J32-J9)</f>
        <v>0</v>
      </c>
      <c r="K33" s="992"/>
      <c r="L33" s="992"/>
      <c r="M33" s="1006" t="s">
        <v>893</v>
      </c>
      <c r="N33" s="1006"/>
      <c r="O33" s="1006"/>
      <c r="P33" s="1006"/>
      <c r="Q33" s="1006"/>
      <c r="R33" s="992"/>
      <c r="S33" s="1012">
        <f>SUM(S32-C16)</f>
        <v>0</v>
      </c>
      <c r="T33" s="1012"/>
      <c r="U33" s="1012">
        <f>SUM(U32-E16)</f>
        <v>0</v>
      </c>
      <c r="V33" s="1012"/>
      <c r="W33" s="1012">
        <f>SUM(W32-G16)</f>
        <v>-1134081</v>
      </c>
      <c r="X33" s="1012"/>
      <c r="Y33" s="1012">
        <f>SUM(Y32-I16)</f>
        <v>0</v>
      </c>
      <c r="Z33" s="1012">
        <f>SUM(Z32-J16)</f>
        <v>0</v>
      </c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  <c r="AR33" s="952"/>
      <c r="AS33" s="952"/>
    </row>
    <row r="34" spans="1:45" ht="15.75" x14ac:dyDescent="0.25">
      <c r="A34" s="1008"/>
      <c r="B34" s="1008"/>
      <c r="C34" s="992"/>
      <c r="D34" s="992"/>
      <c r="E34" s="992"/>
      <c r="F34" s="992"/>
      <c r="G34" s="992"/>
      <c r="H34" s="992"/>
      <c r="I34" s="992"/>
      <c r="J34" s="992"/>
      <c r="K34" s="992"/>
      <c r="L34" s="992"/>
      <c r="M34" s="992"/>
      <c r="N34" s="992"/>
      <c r="O34" s="992"/>
      <c r="P34" s="992"/>
      <c r="Q34" s="992"/>
      <c r="R34" s="992"/>
      <c r="S34" s="1008"/>
      <c r="T34" s="1008"/>
      <c r="U34" s="1008"/>
      <c r="V34" s="1008"/>
      <c r="W34" s="1008"/>
      <c r="X34" s="1008"/>
      <c r="Y34" s="1008"/>
      <c r="Z34" s="1008"/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  <c r="AN34" s="952"/>
      <c r="AO34" s="952"/>
      <c r="AP34" s="952"/>
      <c r="AQ34" s="952"/>
      <c r="AR34" s="952"/>
      <c r="AS34" s="952"/>
    </row>
    <row r="35" spans="1:45" ht="15.75" x14ac:dyDescent="0.25">
      <c r="A35" s="4548" t="s">
        <v>890</v>
      </c>
      <c r="B35" s="4548"/>
      <c r="C35" s="1007">
        <f>SUM('5.4. sz mell'!F41+'5.4. sz mell'!F37)</f>
        <v>7700868</v>
      </c>
      <c r="D35" s="1007">
        <f>SUM('5.4. sz mell'!G41+'5.4. sz mell'!G37)</f>
        <v>2003825</v>
      </c>
      <c r="E35" s="1007">
        <f>SUM('5.4. sz mell'!H41+'5.4. sz mell'!H37)</f>
        <v>9704693</v>
      </c>
      <c r="F35" s="1007">
        <f>SUM('5.4. sz mell'!I41+'5.4. sz mell'!I37)</f>
        <v>-892131</v>
      </c>
      <c r="G35" s="1007">
        <f>SUM('5.4. sz mell'!J41+'5.4. sz mell'!J37)</f>
        <v>8812562</v>
      </c>
      <c r="H35" s="1007">
        <f>SUM('5.4. sz mell'!K41+'5.4. sz mell'!K37)</f>
        <v>0</v>
      </c>
      <c r="I35" s="1007">
        <f>SUM('5.4. sz mell'!L41+'5.4. sz mell'!L37)</f>
        <v>8812562</v>
      </c>
      <c r="J35" s="1007">
        <f>SUM('5.4. sz mell'!M41+'5.4. sz mell'!M37)</f>
        <v>8812562</v>
      </c>
      <c r="K35" s="992"/>
      <c r="L35" s="992"/>
      <c r="M35" s="4549" t="s">
        <v>897</v>
      </c>
      <c r="N35" s="4549"/>
      <c r="O35" s="4549"/>
      <c r="P35" s="4549"/>
      <c r="Q35" s="4549"/>
      <c r="R35" s="4549"/>
      <c r="S35" s="1010"/>
      <c r="T35" s="1010"/>
      <c r="U35" s="1010"/>
      <c r="V35" s="1010"/>
      <c r="W35" s="1010"/>
      <c r="X35" s="1010"/>
      <c r="Y35" s="1010"/>
      <c r="Z35" s="1010"/>
      <c r="AA35" s="952"/>
      <c r="AB35" s="952"/>
      <c r="AC35" s="952"/>
      <c r="AD35" s="952"/>
      <c r="AE35" s="952"/>
      <c r="AF35" s="952"/>
      <c r="AG35" s="952"/>
      <c r="AH35" s="952"/>
      <c r="AI35" s="952"/>
      <c r="AJ35" s="952"/>
      <c r="AK35" s="952"/>
      <c r="AL35" s="952"/>
      <c r="AM35" s="952"/>
      <c r="AN35" s="952"/>
      <c r="AO35" s="952"/>
      <c r="AP35" s="952"/>
      <c r="AQ35" s="952"/>
      <c r="AR35" s="952"/>
      <c r="AS35" s="952"/>
    </row>
    <row r="36" spans="1:45" ht="15.75" x14ac:dyDescent="0.25">
      <c r="A36" s="1006" t="s">
        <v>893</v>
      </c>
      <c r="B36" s="1008"/>
      <c r="C36" s="1011">
        <f>SUM(C35-C10)</f>
        <v>0</v>
      </c>
      <c r="D36" s="1011"/>
      <c r="E36" s="1011">
        <f>SUM(E35-E10)</f>
        <v>0</v>
      </c>
      <c r="F36" s="1011"/>
      <c r="G36" s="1011">
        <f>SUM(G35-G10)</f>
        <v>-2672115</v>
      </c>
      <c r="H36" s="1011"/>
      <c r="I36" s="1011">
        <f>SUM(I35-I10)</f>
        <v>0</v>
      </c>
      <c r="J36" s="1011">
        <f>SUM(J35-J10)</f>
        <v>0</v>
      </c>
      <c r="K36" s="992"/>
      <c r="L36" s="992"/>
      <c r="M36" s="1006" t="s">
        <v>893</v>
      </c>
      <c r="N36" s="1006"/>
      <c r="O36" s="1006"/>
      <c r="P36" s="1006"/>
      <c r="Q36" s="1006"/>
      <c r="R36" s="992"/>
      <c r="S36" s="1012"/>
      <c r="T36" s="1012"/>
      <c r="U36" s="1012"/>
      <c r="V36" s="1012"/>
      <c r="W36" s="1012"/>
      <c r="X36" s="1012"/>
      <c r="Y36" s="1012"/>
      <c r="Z36" s="1012"/>
      <c r="AA36" s="952"/>
      <c r="AB36" s="952"/>
      <c r="AC36" s="952"/>
      <c r="AD36" s="952"/>
      <c r="AE36" s="952"/>
      <c r="AF36" s="952"/>
      <c r="AG36" s="952"/>
      <c r="AH36" s="952"/>
      <c r="AI36" s="952"/>
      <c r="AJ36" s="952"/>
      <c r="AK36" s="952"/>
      <c r="AL36" s="952"/>
      <c r="AM36" s="952"/>
      <c r="AN36" s="952"/>
      <c r="AO36" s="952"/>
      <c r="AP36" s="952"/>
      <c r="AQ36" s="952"/>
      <c r="AR36" s="952"/>
      <c r="AS36" s="952"/>
    </row>
    <row r="37" spans="1:45" ht="16.5" thickBot="1" x14ac:dyDescent="0.3">
      <c r="A37" s="992"/>
      <c r="B37" s="992"/>
      <c r="C37" s="992"/>
      <c r="D37" s="992"/>
      <c r="E37" s="992"/>
      <c r="F37" s="992"/>
      <c r="G37" s="992"/>
      <c r="H37" s="992"/>
      <c r="I37" s="992"/>
      <c r="J37" s="992"/>
      <c r="K37" s="992"/>
      <c r="L37" s="992"/>
      <c r="M37" s="992"/>
      <c r="N37" s="992"/>
      <c r="O37" s="992"/>
      <c r="P37" s="992"/>
      <c r="Q37" s="992"/>
      <c r="R37" s="992"/>
      <c r="S37" s="1008"/>
      <c r="T37" s="1008"/>
      <c r="U37" s="1008"/>
      <c r="V37" s="1008"/>
      <c r="W37" s="1008"/>
      <c r="X37" s="1008"/>
      <c r="Y37" s="1008"/>
      <c r="Z37" s="1008"/>
      <c r="AA37" s="952"/>
      <c r="AB37" s="952"/>
      <c r="AC37" s="952"/>
      <c r="AD37" s="952"/>
      <c r="AE37" s="952"/>
      <c r="AF37" s="952"/>
      <c r="AG37" s="952"/>
      <c r="AH37" s="952"/>
      <c r="AI37" s="952"/>
      <c r="AJ37" s="952"/>
      <c r="AK37" s="952"/>
      <c r="AL37" s="952"/>
      <c r="AM37" s="952"/>
      <c r="AN37" s="952"/>
      <c r="AO37" s="952"/>
      <c r="AP37" s="952"/>
      <c r="AQ37" s="952"/>
      <c r="AR37" s="952"/>
      <c r="AS37" s="952"/>
    </row>
    <row r="38" spans="1:45" ht="16.5" thickTop="1" x14ac:dyDescent="0.25">
      <c r="A38" s="4556" t="s">
        <v>889</v>
      </c>
      <c r="B38" s="4557"/>
      <c r="C38" s="1015">
        <f>SUM('5.4. sz mell'!F43)</f>
        <v>136178135</v>
      </c>
      <c r="D38" s="1015">
        <f>SUM('5.4. sz mell'!G43)</f>
        <v>2126883</v>
      </c>
      <c r="E38" s="1015">
        <f>SUM('5.4. sz mell'!H43)</f>
        <v>138305018</v>
      </c>
      <c r="F38" s="1015">
        <f>SUM('5.4. sz mell'!I43)</f>
        <v>1352852</v>
      </c>
      <c r="G38" s="1015">
        <f>SUM('5.4. sz mell'!J43)</f>
        <v>139657870</v>
      </c>
      <c r="H38" s="1015">
        <f>SUM('5.4. sz mell'!K43)</f>
        <v>0</v>
      </c>
      <c r="I38" s="1015">
        <f>SUM('5.4. sz mell'!L43)</f>
        <v>139657870</v>
      </c>
      <c r="J38" s="1015">
        <f>SUM('5.4. sz mell'!M43)</f>
        <v>139657870</v>
      </c>
      <c r="K38" s="992"/>
      <c r="L38" s="992"/>
      <c r="M38" s="4549" t="s">
        <v>898</v>
      </c>
      <c r="N38" s="4549"/>
      <c r="O38" s="4549"/>
      <c r="P38" s="4549"/>
      <c r="Q38" s="4549"/>
      <c r="R38" s="4549"/>
      <c r="S38" s="1010">
        <f>SUM('5.4. sz mell'!F52)</f>
        <v>762000</v>
      </c>
      <c r="T38" s="1010">
        <f>SUM('5.4. sz mell'!G52)</f>
        <v>973000</v>
      </c>
      <c r="U38" s="1010">
        <f>SUM('5.4. sz mell'!H52)</f>
        <v>1735000</v>
      </c>
      <c r="V38" s="1010">
        <f>SUM('5.4. sz mell'!I52)</f>
        <v>83580</v>
      </c>
      <c r="W38" s="1010">
        <f>SUM('5.4. sz mell'!J52)</f>
        <v>1818580</v>
      </c>
      <c r="X38" s="1010">
        <f>SUM('5.4. sz mell'!K52)</f>
        <v>0</v>
      </c>
      <c r="Y38" s="1010">
        <f>SUM('5.4. sz mell'!L52)</f>
        <v>1818580</v>
      </c>
      <c r="Z38" s="1010">
        <f>SUM('5.4. sz mell'!M52)</f>
        <v>1681450</v>
      </c>
      <c r="AA38" s="952"/>
      <c r="AB38" s="952"/>
      <c r="AC38" s="952"/>
      <c r="AD38" s="952"/>
      <c r="AE38" s="952"/>
      <c r="AF38" s="952"/>
      <c r="AG38" s="952"/>
      <c r="AH38" s="952"/>
      <c r="AI38" s="952"/>
      <c r="AJ38" s="952"/>
      <c r="AK38" s="952"/>
      <c r="AL38" s="952"/>
      <c r="AM38" s="952"/>
      <c r="AN38" s="952"/>
      <c r="AO38" s="952"/>
      <c r="AP38" s="952"/>
      <c r="AQ38" s="952"/>
      <c r="AR38" s="952"/>
      <c r="AS38" s="952"/>
    </row>
    <row r="39" spans="1:45" ht="16.5" thickBot="1" x14ac:dyDescent="0.3">
      <c r="A39" s="1020" t="s">
        <v>960</v>
      </c>
      <c r="B39" s="1021"/>
      <c r="C39" s="1022">
        <f>SUM(C38-C11)</f>
        <v>0</v>
      </c>
      <c r="D39" s="1022"/>
      <c r="E39" s="1022">
        <f>SUM(E38-E11)</f>
        <v>0</v>
      </c>
      <c r="F39" s="1022"/>
      <c r="G39" s="1022">
        <f>SUM(G38-G11)</f>
        <v>-463340</v>
      </c>
      <c r="H39" s="1022">
        <f>SUM(H38-H11)</f>
        <v>0</v>
      </c>
      <c r="I39" s="1022">
        <f>SUM(I38-I11)</f>
        <v>0</v>
      </c>
      <c r="J39" s="1022">
        <f>SUM(J38-J11)</f>
        <v>0</v>
      </c>
      <c r="K39" s="992"/>
      <c r="L39" s="992"/>
      <c r="M39" s="1006" t="s">
        <v>893</v>
      </c>
      <c r="N39" s="1006"/>
      <c r="O39" s="1006"/>
      <c r="P39" s="1006"/>
      <c r="Q39" s="1006"/>
      <c r="R39" s="992"/>
      <c r="S39" s="1012">
        <f>SUM(S38-C17)</f>
        <v>0</v>
      </c>
      <c r="T39" s="1012"/>
      <c r="U39" s="1012">
        <f>SUM(U38-E17)</f>
        <v>0</v>
      </c>
      <c r="V39" s="1012"/>
      <c r="W39" s="1012">
        <f>SUM(W38-G17)</f>
        <v>83580</v>
      </c>
      <c r="X39" s="1012"/>
      <c r="Y39" s="1012">
        <f>SUM(Y38-I17)</f>
        <v>0</v>
      </c>
      <c r="Z39" s="1012">
        <f>SUM(Z38-J17)</f>
        <v>0</v>
      </c>
      <c r="AA39" s="952"/>
      <c r="AB39" s="952"/>
      <c r="AC39" s="952"/>
      <c r="AD39" s="952"/>
      <c r="AE39" s="952"/>
      <c r="AF39" s="952"/>
      <c r="AG39" s="952"/>
      <c r="AH39" s="952"/>
      <c r="AI39" s="952"/>
      <c r="AJ39" s="952"/>
      <c r="AK39" s="952"/>
      <c r="AL39" s="952"/>
      <c r="AM39" s="952"/>
      <c r="AN39" s="952"/>
      <c r="AO39" s="952"/>
      <c r="AP39" s="952"/>
      <c r="AQ39" s="952"/>
      <c r="AR39" s="952"/>
      <c r="AS39" s="952"/>
    </row>
    <row r="40" spans="1:45" ht="17.25" thickTop="1" thickBot="1" x14ac:dyDescent="0.3">
      <c r="A40" s="992"/>
      <c r="B40" s="992"/>
      <c r="C40" s="992"/>
      <c r="D40" s="992"/>
      <c r="E40" s="992"/>
      <c r="F40" s="992"/>
      <c r="G40" s="992"/>
      <c r="H40" s="992"/>
      <c r="I40" s="992"/>
      <c r="J40" s="992"/>
      <c r="K40" s="992"/>
      <c r="L40" s="992"/>
      <c r="M40" s="992"/>
      <c r="N40" s="992"/>
      <c r="O40" s="992"/>
      <c r="P40" s="992"/>
      <c r="Q40" s="992"/>
      <c r="R40" s="992"/>
      <c r="S40" s="1008"/>
      <c r="T40" s="1008"/>
      <c r="U40" s="1008"/>
      <c r="V40" s="1008"/>
      <c r="W40" s="1008"/>
      <c r="X40" s="1008"/>
      <c r="Y40" s="1008"/>
      <c r="Z40" s="1008"/>
      <c r="AA40" s="952"/>
      <c r="AB40" s="952"/>
      <c r="AC40" s="952"/>
      <c r="AD40" s="952"/>
      <c r="AE40" s="952"/>
      <c r="AF40" s="952"/>
      <c r="AG40" s="952"/>
      <c r="AH40" s="952"/>
      <c r="AI40" s="952"/>
      <c r="AJ40" s="952"/>
      <c r="AK40" s="952"/>
      <c r="AL40" s="952"/>
      <c r="AM40" s="952"/>
      <c r="AN40" s="952"/>
      <c r="AO40" s="952"/>
      <c r="AP40" s="952"/>
      <c r="AQ40" s="952"/>
      <c r="AR40" s="952"/>
      <c r="AS40" s="952"/>
    </row>
    <row r="41" spans="1:45" ht="16.5" thickTop="1" x14ac:dyDescent="0.25">
      <c r="A41" s="992"/>
      <c r="B41" s="992"/>
      <c r="C41" s="992"/>
      <c r="D41" s="992"/>
      <c r="E41" s="992"/>
      <c r="F41" s="992"/>
      <c r="G41" s="992"/>
      <c r="H41" s="992"/>
      <c r="I41" s="992"/>
      <c r="J41" s="992"/>
      <c r="K41" s="992"/>
      <c r="L41" s="992"/>
      <c r="M41" s="1014" t="s">
        <v>899</v>
      </c>
      <c r="N41" s="2214"/>
      <c r="O41" s="2214"/>
      <c r="P41" s="2214"/>
      <c r="Q41" s="1014"/>
      <c r="R41" s="1017"/>
      <c r="S41" s="1018">
        <f>SUM('5.4. sz mell'!F59)</f>
        <v>136178135</v>
      </c>
      <c r="T41" s="1018">
        <f>SUM('5.4. sz mell'!G59)</f>
        <v>2126883</v>
      </c>
      <c r="U41" s="1018">
        <f>SUM('5.4. sz mell'!H59)</f>
        <v>138305018</v>
      </c>
      <c r="V41" s="1018">
        <f>SUM('5.4. sz mell'!I59)</f>
        <v>1352852</v>
      </c>
      <c r="W41" s="1018">
        <f>SUM('5.4. sz mell'!J59)</f>
        <v>139657870</v>
      </c>
      <c r="X41" s="1018">
        <f>SUM('5.4. sz mell'!K59)</f>
        <v>0</v>
      </c>
      <c r="Y41" s="1018">
        <f>SUM('5.4. sz mell'!L59)</f>
        <v>139657870</v>
      </c>
      <c r="Z41" s="1019">
        <f>SUM('5.4. sz mell'!M59)</f>
        <v>139189536</v>
      </c>
      <c r="AA41" s="952"/>
      <c r="AB41" s="952"/>
      <c r="AC41" s="952"/>
      <c r="AD41" s="952"/>
      <c r="AE41" s="952"/>
      <c r="AF41" s="952"/>
      <c r="AG41" s="952"/>
      <c r="AH41" s="952"/>
      <c r="AI41" s="952"/>
      <c r="AJ41" s="952"/>
      <c r="AK41" s="952"/>
      <c r="AL41" s="952"/>
      <c r="AM41" s="952"/>
      <c r="AN41" s="952"/>
      <c r="AO41" s="952"/>
      <c r="AP41" s="952"/>
      <c r="AQ41" s="952"/>
      <c r="AR41" s="952"/>
      <c r="AS41" s="952"/>
    </row>
    <row r="42" spans="1:45" ht="16.5" thickBot="1" x14ac:dyDescent="0.3">
      <c r="A42" s="992"/>
      <c r="B42" s="992"/>
      <c r="C42" s="992"/>
      <c r="D42" s="992"/>
      <c r="E42" s="992"/>
      <c r="F42" s="992"/>
      <c r="G42" s="992"/>
      <c r="H42" s="992"/>
      <c r="I42" s="992"/>
      <c r="J42" s="992"/>
      <c r="K42" s="992"/>
      <c r="L42" s="992"/>
      <c r="M42" s="1020" t="s">
        <v>893</v>
      </c>
      <c r="N42" s="2222"/>
      <c r="O42" s="2222"/>
      <c r="P42" s="2222"/>
      <c r="Q42" s="1020"/>
      <c r="R42" s="1024"/>
      <c r="S42" s="1025">
        <f>SUM(S41-C18)</f>
        <v>0</v>
      </c>
      <c r="T42" s="1025"/>
      <c r="U42" s="1025">
        <f>SUM(U41-E18)</f>
        <v>0</v>
      </c>
      <c r="V42" s="1025"/>
      <c r="W42" s="1025">
        <f>SUM(W41-G18)</f>
        <v>-463340</v>
      </c>
      <c r="X42" s="1025"/>
      <c r="Y42" s="1025">
        <f>SUM(Y41-I18)</f>
        <v>0</v>
      </c>
      <c r="Z42" s="1026">
        <f>SUM(Z41-J18)</f>
        <v>0</v>
      </c>
      <c r="AA42" s="952"/>
      <c r="AB42" s="952"/>
      <c r="AC42" s="952"/>
      <c r="AD42" s="952"/>
      <c r="AE42" s="952"/>
      <c r="AF42" s="952"/>
      <c r="AG42" s="952"/>
      <c r="AH42" s="952"/>
      <c r="AI42" s="952"/>
      <c r="AJ42" s="952"/>
      <c r="AK42" s="952"/>
      <c r="AL42" s="952"/>
      <c r="AM42" s="952"/>
      <c r="AN42" s="952"/>
      <c r="AO42" s="952"/>
      <c r="AP42" s="952"/>
      <c r="AQ42" s="952"/>
      <c r="AR42" s="952"/>
      <c r="AS42" s="952"/>
    </row>
    <row r="43" spans="1:45" ht="15.75" thickTop="1" x14ac:dyDescent="0.25">
      <c r="A43" s="992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992"/>
      <c r="N43" s="992"/>
      <c r="O43" s="992"/>
      <c r="P43" s="992"/>
      <c r="Q43" s="992"/>
      <c r="R43" s="992"/>
      <c r="S43" s="992"/>
      <c r="T43" s="992"/>
      <c r="U43" s="992"/>
      <c r="V43" s="992"/>
      <c r="W43" s="992"/>
      <c r="X43" s="992"/>
      <c r="Y43" s="992"/>
      <c r="Z43" s="992"/>
      <c r="AA43" s="952"/>
      <c r="AB43" s="952"/>
      <c r="AC43" s="952"/>
      <c r="AD43" s="952"/>
      <c r="AE43" s="952"/>
      <c r="AF43" s="952"/>
      <c r="AG43" s="952"/>
      <c r="AH43" s="952"/>
      <c r="AI43" s="952"/>
      <c r="AJ43" s="952"/>
      <c r="AK43" s="952"/>
      <c r="AL43" s="952"/>
      <c r="AM43" s="952"/>
      <c r="AN43" s="952"/>
      <c r="AO43" s="952"/>
      <c r="AP43" s="952"/>
      <c r="AQ43" s="952"/>
      <c r="AR43" s="952"/>
      <c r="AS43" s="952"/>
    </row>
    <row r="44" spans="1:45" x14ac:dyDescent="0.25">
      <c r="A44" s="992"/>
      <c r="B44" s="992"/>
      <c r="C44" s="992"/>
      <c r="D44" s="992"/>
      <c r="E44" s="992"/>
      <c r="F44" s="992"/>
      <c r="G44" s="992"/>
      <c r="H44" s="992"/>
      <c r="I44" s="992"/>
      <c r="J44" s="992"/>
      <c r="K44" s="992"/>
      <c r="L44" s="992"/>
      <c r="M44" s="992"/>
      <c r="N44" s="992"/>
      <c r="O44" s="992"/>
      <c r="P44" s="992"/>
      <c r="Q44" s="992"/>
      <c r="R44" s="992"/>
      <c r="S44" s="992"/>
      <c r="T44" s="992"/>
      <c r="U44" s="992"/>
      <c r="V44" s="992"/>
      <c r="W44" s="992"/>
      <c r="X44" s="992"/>
      <c r="Y44" s="992"/>
      <c r="Z44" s="992"/>
      <c r="AA44" s="952"/>
      <c r="AB44" s="952"/>
      <c r="AC44" s="952"/>
      <c r="AD44" s="952"/>
      <c r="AE44" s="952"/>
      <c r="AF44" s="952"/>
      <c r="AG44" s="952"/>
      <c r="AH44" s="952"/>
      <c r="AI44" s="952"/>
      <c r="AJ44" s="952"/>
      <c r="AK44" s="952"/>
      <c r="AL44" s="952"/>
      <c r="AM44" s="952"/>
      <c r="AN44" s="952"/>
      <c r="AO44" s="952"/>
      <c r="AP44" s="952"/>
      <c r="AQ44" s="952"/>
      <c r="AR44" s="952"/>
      <c r="AS44" s="952"/>
    </row>
    <row r="47" spans="1:45" ht="15.75" x14ac:dyDescent="0.25">
      <c r="A47" s="4578"/>
      <c r="B47" s="4578"/>
      <c r="C47" s="643"/>
      <c r="D47" s="643"/>
      <c r="E47" s="642"/>
      <c r="F47" s="642"/>
      <c r="G47" s="642"/>
      <c r="H47" s="642"/>
      <c r="I47" s="642"/>
      <c r="J47" s="642"/>
    </row>
    <row r="48" spans="1:45" ht="15.75" x14ac:dyDescent="0.25">
      <c r="A48" s="641"/>
      <c r="B48" s="638"/>
      <c r="C48" s="644"/>
      <c r="D48" s="644"/>
      <c r="E48" s="644"/>
      <c r="F48" s="644"/>
      <c r="G48" s="644"/>
      <c r="H48" s="644"/>
      <c r="I48" s="644"/>
      <c r="J48" s="644"/>
    </row>
    <row r="49" spans="1:10" ht="15.75" x14ac:dyDescent="0.25">
      <c r="A49" s="638"/>
      <c r="B49" s="638"/>
      <c r="C49" s="643"/>
      <c r="D49" s="643"/>
      <c r="E49" s="638"/>
      <c r="F49" s="638"/>
      <c r="G49" s="638"/>
      <c r="H49" s="638"/>
      <c r="I49" s="638"/>
      <c r="J49" s="638"/>
    </row>
    <row r="50" spans="1:10" ht="15.75" x14ac:dyDescent="0.25">
      <c r="A50" s="638"/>
      <c r="B50" s="638"/>
      <c r="C50" s="643"/>
      <c r="D50" s="643"/>
      <c r="E50" s="643"/>
      <c r="F50" s="643"/>
      <c r="G50" s="643"/>
      <c r="H50" s="643"/>
      <c r="I50" s="643"/>
      <c r="J50" s="643"/>
    </row>
    <row r="51" spans="1:10" ht="15.75" x14ac:dyDescent="0.25">
      <c r="A51" s="641"/>
      <c r="B51" s="638"/>
      <c r="C51" s="644"/>
      <c r="D51" s="644"/>
      <c r="E51" s="644"/>
      <c r="F51" s="644"/>
      <c r="G51" s="644"/>
      <c r="H51" s="644"/>
      <c r="I51" s="644"/>
      <c r="J51" s="644"/>
    </row>
  </sheetData>
  <mergeCells count="33">
    <mergeCell ref="M32:R32"/>
    <mergeCell ref="A16:B16"/>
    <mergeCell ref="M29:R29"/>
    <mergeCell ref="M38:R38"/>
    <mergeCell ref="M26:R26"/>
    <mergeCell ref="A29:B29"/>
    <mergeCell ref="M35:R35"/>
    <mergeCell ref="A14:B14"/>
    <mergeCell ref="A15:B15"/>
    <mergeCell ref="AI5:AP5"/>
    <mergeCell ref="S5:Z5"/>
    <mergeCell ref="AA5:AH5"/>
    <mergeCell ref="A7:B7"/>
    <mergeCell ref="A11:B11"/>
    <mergeCell ref="A9:B9"/>
    <mergeCell ref="A13:AP13"/>
    <mergeCell ref="A47:B47"/>
    <mergeCell ref="A24:B24"/>
    <mergeCell ref="A17:B17"/>
    <mergeCell ref="A26:B26"/>
    <mergeCell ref="A32:B32"/>
    <mergeCell ref="A38:B38"/>
    <mergeCell ref="A35:B35"/>
    <mergeCell ref="A18:B18"/>
    <mergeCell ref="A1:AP1"/>
    <mergeCell ref="A2:AP2"/>
    <mergeCell ref="AQ5:AS5"/>
    <mergeCell ref="A10:B10"/>
    <mergeCell ref="A5:B6"/>
    <mergeCell ref="C5:J5"/>
    <mergeCell ref="K5:R5"/>
    <mergeCell ref="A8:B8"/>
    <mergeCell ref="A4:AP4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64" firstPageNumber="63" orientation="landscape" useFirstPageNumber="1" r:id="rId1"/>
  <headerFooter>
    <oddHeader xml:space="preserve">&amp;R&amp;12 5.4.d.számú melléklet
</oddHeader>
    <oddFooter>&amp;C&amp;12-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F66"/>
  <sheetViews>
    <sheetView view="pageBreakPreview" topLeftCell="A37" zoomScale="80" zoomScaleNormal="70" zoomScaleSheetLayoutView="80" workbookViewId="0">
      <pane xSplit="1" topLeftCell="B1" activePane="topRight" state="frozen"/>
      <selection activeCell="A4" sqref="A4"/>
      <selection pane="topRight" activeCell="Y15" sqref="Y15"/>
    </sheetView>
  </sheetViews>
  <sheetFormatPr defaultColWidth="9.33203125" defaultRowHeight="15" x14ac:dyDescent="0.25"/>
  <cols>
    <col min="1" max="1" width="67.83203125" style="2477" customWidth="1"/>
    <col min="2" max="2" width="17.83203125" style="2477" customWidth="1"/>
    <col min="3" max="5" width="20.6640625" style="2477" hidden="1" customWidth="1"/>
    <col min="6" max="6" width="18.33203125" style="2477" hidden="1" customWidth="1"/>
    <col min="7" max="7" width="20.6640625" style="2477" hidden="1" customWidth="1"/>
    <col min="8" max="9" width="20.6640625" style="2477" customWidth="1"/>
    <col min="10" max="10" width="17.83203125" style="2477" customWidth="1"/>
    <col min="11" max="13" width="20.5" style="2477" hidden="1" customWidth="1"/>
    <col min="14" max="14" width="18.33203125" style="2477" hidden="1" customWidth="1"/>
    <col min="15" max="15" width="20.5" style="2477" hidden="1" customWidth="1"/>
    <col min="16" max="17" width="20.5" style="2477" customWidth="1"/>
    <col min="18" max="18" width="15.6640625" style="2462" customWidth="1"/>
    <col min="19" max="21" width="21.5" style="2462" hidden="1" customWidth="1"/>
    <col min="22" max="22" width="15.5" style="2462" hidden="1" customWidth="1"/>
    <col min="23" max="23" width="21.5" style="2462" hidden="1" customWidth="1"/>
    <col min="24" max="25" width="21.5" style="2462" customWidth="1"/>
    <col min="26" max="26" width="15.83203125" style="2462" customWidth="1"/>
    <col min="27" max="29" width="21.5" style="2462" hidden="1" customWidth="1"/>
    <col min="30" max="30" width="14.83203125" style="2462" hidden="1" customWidth="1"/>
    <col min="31" max="31" width="21.5" style="2462" hidden="1" customWidth="1"/>
    <col min="32" max="33" width="21.5" style="2462" customWidth="1"/>
    <col min="34" max="34" width="15" style="2462" customWidth="1"/>
    <col min="35" max="37" width="20.6640625" style="2462" hidden="1" customWidth="1"/>
    <col min="38" max="38" width="15.33203125" style="2462" hidden="1" customWidth="1"/>
    <col min="39" max="39" width="20.6640625" style="2462" hidden="1" customWidth="1"/>
    <col min="40" max="40" width="17.83203125" style="2462" customWidth="1"/>
    <col min="41" max="41" width="17.33203125" style="2462" customWidth="1"/>
    <col min="42" max="42" width="13.5" style="2462" customWidth="1"/>
    <col min="43" max="45" width="17.6640625" style="2462" hidden="1" customWidth="1"/>
    <col min="46" max="46" width="16.1640625" style="2462" hidden="1" customWidth="1"/>
    <col min="47" max="47" width="17.6640625" style="2462" hidden="1" customWidth="1"/>
    <col min="48" max="49" width="17.6640625" style="2462" customWidth="1"/>
    <col min="50" max="50" width="15.1640625" style="2462" customWidth="1"/>
    <col min="51" max="55" width="19.33203125" style="2462" hidden="1" customWidth="1"/>
    <col min="56" max="57" width="19.33203125" style="2462" customWidth="1"/>
    <col min="58" max="58" width="15.33203125" style="2462" customWidth="1"/>
    <col min="59" max="63" width="20.1640625" style="2462" hidden="1" customWidth="1"/>
    <col min="64" max="64" width="20.1640625" style="2462" customWidth="1"/>
    <col min="65" max="65" width="17.1640625" style="2462" customWidth="1"/>
    <col min="66" max="66" width="15.1640625" style="2462" customWidth="1"/>
    <col min="67" max="71" width="20.1640625" style="2462" hidden="1" customWidth="1"/>
    <col min="72" max="73" width="20.1640625" style="2462" customWidth="1"/>
    <col min="74" max="74" width="17.5" style="2462" customWidth="1"/>
    <col min="75" max="75" width="22.1640625" style="2462" hidden="1" customWidth="1"/>
    <col min="76" max="79" width="22.1640625" style="3032" hidden="1" customWidth="1"/>
    <col min="80" max="80" width="22.1640625" style="3032" customWidth="1"/>
    <col min="81" max="81" width="18.1640625" style="3032" customWidth="1"/>
    <col min="82" max="82" width="18.83203125" style="2462" customWidth="1"/>
    <col min="83" max="87" width="18.83203125" style="2462" hidden="1" customWidth="1"/>
    <col min="88" max="89" width="18.83203125" style="2462" customWidth="1"/>
    <col min="90" max="90" width="22.83203125" style="2462" customWidth="1"/>
    <col min="91" max="95" width="22.83203125" style="2462" hidden="1" customWidth="1"/>
    <col min="96" max="97" width="22.83203125" style="2462" customWidth="1"/>
    <col min="98" max="98" width="15.5" style="2462" customWidth="1"/>
    <col min="99" max="99" width="22.83203125" style="2462" hidden="1" customWidth="1"/>
    <col min="100" max="103" width="15.83203125" style="2462" hidden="1" customWidth="1"/>
    <col min="104" max="106" width="15.83203125" style="2477" customWidth="1"/>
    <col min="107" max="16384" width="9.33203125" style="2477"/>
  </cols>
  <sheetData>
    <row r="1" spans="1:110" ht="20.25" x14ac:dyDescent="0.25">
      <c r="A1" s="4338" t="s">
        <v>1366</v>
      </c>
      <c r="B1" s="4338"/>
      <c r="C1" s="4338"/>
      <c r="D1" s="4338"/>
      <c r="E1" s="4338"/>
      <c r="F1" s="4338"/>
      <c r="G1" s="4338"/>
      <c r="H1" s="4338"/>
      <c r="I1" s="4338"/>
      <c r="J1" s="4338"/>
      <c r="K1" s="4338"/>
      <c r="L1" s="4338"/>
      <c r="M1" s="4338"/>
      <c r="N1" s="4338"/>
      <c r="O1" s="4338"/>
      <c r="P1" s="4338"/>
      <c r="Q1" s="4338"/>
      <c r="R1" s="4338"/>
      <c r="S1" s="4338"/>
      <c r="T1" s="4338"/>
      <c r="U1" s="4338"/>
      <c r="V1" s="4338"/>
      <c r="W1" s="4338"/>
      <c r="X1" s="4338"/>
      <c r="Y1" s="4338"/>
      <c r="Z1" s="4338"/>
      <c r="AA1" s="4338"/>
      <c r="AB1" s="4338"/>
      <c r="AC1" s="4338"/>
      <c r="AD1" s="4338"/>
      <c r="AE1" s="4338"/>
      <c r="AF1" s="4338"/>
      <c r="AG1" s="4338"/>
      <c r="AH1" s="4338"/>
      <c r="AI1" s="4338"/>
      <c r="AJ1" s="4338"/>
      <c r="AK1" s="4338"/>
      <c r="AL1" s="4338"/>
      <c r="AM1" s="4338"/>
      <c r="AN1" s="4338"/>
      <c r="AO1" s="4338"/>
      <c r="AP1" s="4338"/>
      <c r="AQ1" s="4338"/>
      <c r="AR1" s="4338"/>
      <c r="AS1" s="4338"/>
      <c r="AT1" s="4338"/>
      <c r="AU1" s="4338"/>
      <c r="AV1" s="4338"/>
      <c r="AW1" s="4338"/>
      <c r="AX1" s="4338"/>
      <c r="AY1" s="4338"/>
      <c r="AZ1" s="4338"/>
      <c r="BA1" s="4338"/>
      <c r="BB1" s="4338"/>
      <c r="BC1" s="4338"/>
      <c r="BD1" s="4338"/>
      <c r="BE1" s="4338"/>
      <c r="BF1" s="4338"/>
      <c r="BG1" s="4338"/>
      <c r="BH1" s="4338"/>
      <c r="BI1" s="4338"/>
      <c r="BJ1" s="4338"/>
      <c r="BK1" s="4338"/>
      <c r="BL1" s="4338"/>
      <c r="BM1" s="4338"/>
      <c r="BN1" s="4338"/>
      <c r="BO1" s="4338"/>
      <c r="BP1" s="4338"/>
      <c r="BQ1" s="4338"/>
      <c r="BR1" s="4338"/>
      <c r="BS1" s="4338"/>
      <c r="BT1" s="4338"/>
      <c r="BU1" s="4338"/>
      <c r="BV1" s="4338"/>
      <c r="BW1" s="4338"/>
      <c r="BX1" s="4338"/>
      <c r="BY1" s="4338"/>
      <c r="BZ1" s="4338"/>
      <c r="CA1" s="4338"/>
      <c r="CB1" s="4338"/>
      <c r="CC1" s="4338"/>
      <c r="CD1" s="4338"/>
      <c r="CE1" s="4338"/>
      <c r="CF1" s="4338"/>
      <c r="CG1" s="4338"/>
      <c r="CH1" s="4338"/>
      <c r="CI1" s="4338"/>
      <c r="CJ1" s="4338"/>
      <c r="CK1" s="4338"/>
      <c r="CL1" s="4338"/>
      <c r="CM1" s="4338"/>
      <c r="CN1" s="4338"/>
      <c r="CO1" s="4338"/>
      <c r="CP1" s="4338"/>
      <c r="CQ1" s="4338"/>
      <c r="CR1" s="4338"/>
      <c r="CS1" s="4338"/>
      <c r="CT1" s="4338"/>
      <c r="CU1" s="2866"/>
      <c r="CV1" s="2866"/>
      <c r="CW1" s="2866"/>
      <c r="CX1" s="2866"/>
      <c r="CY1" s="2866"/>
      <c r="CZ1" s="2476"/>
      <c r="DA1" s="2476"/>
      <c r="DB1" s="2476"/>
      <c r="DC1" s="2476"/>
    </row>
    <row r="2" spans="1:110" ht="54" customHeight="1" thickBot="1" x14ac:dyDescent="0.35">
      <c r="A2" s="4345" t="s">
        <v>1164</v>
      </c>
      <c r="B2" s="4345"/>
      <c r="C2" s="4345"/>
      <c r="D2" s="4345"/>
      <c r="E2" s="4345"/>
      <c r="F2" s="4345"/>
      <c r="G2" s="4345"/>
      <c r="H2" s="4345"/>
      <c r="I2" s="4345"/>
      <c r="J2" s="4345"/>
      <c r="K2" s="4345"/>
      <c r="L2" s="4345"/>
      <c r="M2" s="4345"/>
      <c r="N2" s="4345"/>
      <c r="O2" s="4345"/>
      <c r="P2" s="4345"/>
      <c r="Q2" s="4345"/>
      <c r="R2" s="4345"/>
      <c r="S2" s="4345"/>
      <c r="T2" s="4345"/>
      <c r="U2" s="4345"/>
      <c r="V2" s="4345"/>
      <c r="W2" s="4345"/>
      <c r="X2" s="4345"/>
      <c r="Y2" s="4345"/>
      <c r="Z2" s="4345"/>
      <c r="AA2" s="4345"/>
      <c r="AB2" s="4345"/>
      <c r="AC2" s="4345"/>
      <c r="AD2" s="4345"/>
      <c r="AE2" s="4345"/>
      <c r="AF2" s="4345"/>
      <c r="AG2" s="4345"/>
      <c r="AH2" s="4345"/>
      <c r="AI2" s="4345"/>
      <c r="AJ2" s="4345"/>
      <c r="AK2" s="4345"/>
      <c r="AL2" s="4345"/>
      <c r="AM2" s="4345"/>
      <c r="AN2" s="4345"/>
      <c r="AO2" s="4345"/>
      <c r="AP2" s="4345"/>
      <c r="AQ2" s="4345"/>
      <c r="AR2" s="4345"/>
      <c r="AS2" s="4345"/>
      <c r="AT2" s="4345"/>
      <c r="AU2" s="4345"/>
      <c r="AV2" s="4345"/>
      <c r="AW2" s="4345"/>
      <c r="AX2" s="4345"/>
      <c r="AY2" s="4345"/>
      <c r="AZ2" s="4345"/>
      <c r="BA2" s="4345"/>
      <c r="BB2" s="4345"/>
      <c r="BC2" s="4345"/>
      <c r="BD2" s="4345"/>
      <c r="BE2" s="4345"/>
      <c r="BF2" s="4345"/>
      <c r="BG2" s="4345"/>
      <c r="BH2" s="4345"/>
      <c r="BI2" s="4345"/>
      <c r="BJ2" s="4345"/>
      <c r="BK2" s="4345"/>
      <c r="BL2" s="4345"/>
      <c r="BM2" s="4345"/>
      <c r="BN2" s="4345"/>
      <c r="BO2" s="4345"/>
      <c r="BP2" s="4345"/>
      <c r="BQ2" s="4345"/>
      <c r="BR2" s="4345"/>
      <c r="BS2" s="4345"/>
      <c r="BT2" s="4345"/>
      <c r="BU2" s="4345"/>
      <c r="BV2" s="4345"/>
      <c r="BW2" s="4345"/>
      <c r="BX2" s="4345"/>
      <c r="BY2" s="4345"/>
      <c r="BZ2" s="4345"/>
      <c r="CA2" s="4345"/>
      <c r="CB2" s="4345"/>
      <c r="CC2" s="4345"/>
      <c r="CD2" s="4345"/>
      <c r="CE2" s="4345"/>
      <c r="CF2" s="4345"/>
      <c r="CG2" s="4345"/>
      <c r="CH2" s="4345"/>
      <c r="CI2" s="4345"/>
      <c r="CJ2" s="4345"/>
      <c r="CK2" s="4345"/>
      <c r="CL2" s="4345"/>
      <c r="CM2" s="4345"/>
      <c r="CN2" s="4345"/>
      <c r="CO2" s="4345"/>
      <c r="CP2" s="4345"/>
      <c r="CQ2" s="4345"/>
      <c r="CR2" s="4345"/>
      <c r="CS2" s="4345"/>
      <c r="CT2" s="4345"/>
      <c r="CU2" s="2867"/>
      <c r="CV2" s="2867"/>
      <c r="CW2" s="2867"/>
      <c r="CX2" s="2867"/>
      <c r="CY2" s="2867"/>
    </row>
    <row r="3" spans="1:110" ht="39.75" customHeight="1" thickBot="1" x14ac:dyDescent="0.3">
      <c r="A3" s="4346" t="s">
        <v>1367</v>
      </c>
      <c r="B3" s="4368" t="s">
        <v>1314</v>
      </c>
      <c r="C3" s="4369"/>
      <c r="D3" s="4369"/>
      <c r="E3" s="4369"/>
      <c r="F3" s="4369"/>
      <c r="G3" s="4369"/>
      <c r="H3" s="4369"/>
      <c r="I3" s="4370"/>
      <c r="J3" s="4368" t="s">
        <v>1315</v>
      </c>
      <c r="K3" s="4369"/>
      <c r="L3" s="4369"/>
      <c r="M3" s="4369"/>
      <c r="N3" s="4369"/>
      <c r="O3" s="4369"/>
      <c r="P3" s="4369"/>
      <c r="Q3" s="4370"/>
      <c r="R3" s="4351" t="s">
        <v>1316</v>
      </c>
      <c r="S3" s="4352"/>
      <c r="T3" s="4352"/>
      <c r="U3" s="4352"/>
      <c r="V3" s="4352"/>
      <c r="W3" s="4352"/>
      <c r="X3" s="4352"/>
      <c r="Y3" s="4353"/>
      <c r="Z3" s="4342" t="s">
        <v>1318</v>
      </c>
      <c r="AA3" s="4343"/>
      <c r="AB3" s="4343"/>
      <c r="AC3" s="4343"/>
      <c r="AD3" s="4343"/>
      <c r="AE3" s="4343"/>
      <c r="AF3" s="4343"/>
      <c r="AG3" s="4344"/>
      <c r="AH3" s="4348" t="s">
        <v>1319</v>
      </c>
      <c r="AI3" s="4349"/>
      <c r="AJ3" s="4349"/>
      <c r="AK3" s="4349"/>
      <c r="AL3" s="4349"/>
      <c r="AM3" s="4349"/>
      <c r="AN3" s="4349"/>
      <c r="AO3" s="4349"/>
      <c r="AP3" s="4349"/>
      <c r="AQ3" s="4349"/>
      <c r="AR3" s="4349"/>
      <c r="AS3" s="4349"/>
      <c r="AT3" s="4349"/>
      <c r="AU3" s="4349"/>
      <c r="AV3" s="4349"/>
      <c r="AW3" s="4350"/>
      <c r="AX3" s="4348" t="s">
        <v>1320</v>
      </c>
      <c r="AY3" s="4349"/>
      <c r="AZ3" s="4349"/>
      <c r="BA3" s="4349"/>
      <c r="BB3" s="4349"/>
      <c r="BC3" s="4349"/>
      <c r="BD3" s="4349"/>
      <c r="BE3" s="4349"/>
      <c r="BF3" s="4349"/>
      <c r="BG3" s="4349"/>
      <c r="BH3" s="4349"/>
      <c r="BI3" s="4349"/>
      <c r="BJ3" s="4349"/>
      <c r="BK3" s="4349"/>
      <c r="BL3" s="4349"/>
      <c r="BM3" s="4350"/>
      <c r="BN3" s="4365" t="s">
        <v>503</v>
      </c>
      <c r="BO3" s="4366"/>
      <c r="BP3" s="4366"/>
      <c r="BQ3" s="4366"/>
      <c r="BR3" s="4366"/>
      <c r="BS3" s="4366"/>
      <c r="BT3" s="4366"/>
      <c r="BU3" s="4366"/>
      <c r="BV3" s="4366"/>
      <c r="BW3" s="4366"/>
      <c r="BX3" s="4366"/>
      <c r="BY3" s="4366"/>
      <c r="BZ3" s="4366"/>
      <c r="CA3" s="4366"/>
      <c r="CB3" s="4366"/>
      <c r="CC3" s="4367"/>
      <c r="CD3" s="4351" t="s">
        <v>1405</v>
      </c>
      <c r="CE3" s="4352"/>
      <c r="CF3" s="4352"/>
      <c r="CG3" s="4352"/>
      <c r="CH3" s="4352"/>
      <c r="CI3" s="4352"/>
      <c r="CJ3" s="4352"/>
      <c r="CK3" s="4353"/>
      <c r="CL3" s="4348" t="s">
        <v>1321</v>
      </c>
      <c r="CM3" s="4349"/>
      <c r="CN3" s="4349"/>
      <c r="CO3" s="4349"/>
      <c r="CP3" s="4349"/>
      <c r="CQ3" s="4349"/>
      <c r="CR3" s="4349"/>
      <c r="CS3" s="4349"/>
      <c r="CT3" s="4349"/>
      <c r="CU3" s="4349"/>
      <c r="CV3" s="4349"/>
      <c r="CW3" s="4349"/>
      <c r="CX3" s="4349"/>
      <c r="CY3" s="4349"/>
      <c r="CZ3" s="4349"/>
      <c r="DA3" s="4350"/>
      <c r="DB3"/>
      <c r="DC3"/>
      <c r="DD3"/>
      <c r="DE3"/>
      <c r="DF3"/>
    </row>
    <row r="4" spans="1:110" ht="48" customHeight="1" thickBot="1" x14ac:dyDescent="0.3">
      <c r="A4" s="4347"/>
      <c r="B4" s="4371"/>
      <c r="C4" s="4372"/>
      <c r="D4" s="4372"/>
      <c r="E4" s="4372"/>
      <c r="F4" s="4372"/>
      <c r="G4" s="4372"/>
      <c r="H4" s="4372"/>
      <c r="I4" s="4373"/>
      <c r="J4" s="4371"/>
      <c r="K4" s="4372"/>
      <c r="L4" s="4372"/>
      <c r="M4" s="4372"/>
      <c r="N4" s="4372"/>
      <c r="O4" s="4372"/>
      <c r="P4" s="4372"/>
      <c r="Q4" s="4373"/>
      <c r="R4" s="4354"/>
      <c r="S4" s="4355"/>
      <c r="T4" s="4355"/>
      <c r="U4" s="4355"/>
      <c r="V4" s="4355"/>
      <c r="W4" s="4355"/>
      <c r="X4" s="4355"/>
      <c r="Y4" s="4356"/>
      <c r="Z4" s="4342" t="s">
        <v>1322</v>
      </c>
      <c r="AA4" s="4343"/>
      <c r="AB4" s="4343"/>
      <c r="AC4" s="4343"/>
      <c r="AD4" s="4343"/>
      <c r="AE4" s="4343"/>
      <c r="AF4" s="4343"/>
      <c r="AG4" s="4344"/>
      <c r="AH4" s="4342" t="s">
        <v>1404</v>
      </c>
      <c r="AI4" s="4343"/>
      <c r="AJ4" s="4343"/>
      <c r="AK4" s="4343"/>
      <c r="AL4" s="4343"/>
      <c r="AM4" s="4343"/>
      <c r="AN4" s="4343"/>
      <c r="AO4" s="4344"/>
      <c r="AP4" s="4342" t="s">
        <v>1324</v>
      </c>
      <c r="AQ4" s="4343"/>
      <c r="AR4" s="4343"/>
      <c r="AS4" s="4343"/>
      <c r="AT4" s="4343"/>
      <c r="AU4" s="4343"/>
      <c r="AV4" s="4343"/>
      <c r="AW4" s="4344"/>
      <c r="AX4" s="4342" t="s">
        <v>1323</v>
      </c>
      <c r="AY4" s="4343"/>
      <c r="AZ4" s="4343"/>
      <c r="BA4" s="4343"/>
      <c r="BB4" s="4343"/>
      <c r="BC4" s="4343"/>
      <c r="BD4" s="4343"/>
      <c r="BE4" s="4344"/>
      <c r="BF4" s="4342" t="s">
        <v>1324</v>
      </c>
      <c r="BG4" s="4343"/>
      <c r="BH4" s="4343"/>
      <c r="BI4" s="4343"/>
      <c r="BJ4" s="4343"/>
      <c r="BK4" s="4343"/>
      <c r="BL4" s="4343"/>
      <c r="BM4" s="4344"/>
      <c r="BN4" s="4332" t="s">
        <v>102</v>
      </c>
      <c r="BO4" s="4333"/>
      <c r="BP4" s="4333"/>
      <c r="BQ4" s="4333"/>
      <c r="BR4" s="4333"/>
      <c r="BS4" s="4333"/>
      <c r="BT4" s="4334"/>
      <c r="BU4" s="3929"/>
      <c r="BV4" s="4362" t="s">
        <v>761</v>
      </c>
      <c r="BW4" s="4363"/>
      <c r="BX4" s="4363"/>
      <c r="BY4" s="4363"/>
      <c r="BZ4" s="4363"/>
      <c r="CA4" s="4363"/>
      <c r="CB4" s="4363"/>
      <c r="CC4" s="4364"/>
      <c r="CD4" s="4354"/>
      <c r="CE4" s="4355"/>
      <c r="CF4" s="4355"/>
      <c r="CG4" s="4355"/>
      <c r="CH4" s="4355"/>
      <c r="CI4" s="4355"/>
      <c r="CJ4" s="4355"/>
      <c r="CK4" s="4356"/>
      <c r="CL4" s="4342" t="s">
        <v>32</v>
      </c>
      <c r="CM4" s="4343"/>
      <c r="CN4" s="4343"/>
      <c r="CO4" s="4343"/>
      <c r="CP4" s="4343"/>
      <c r="CQ4" s="4343"/>
      <c r="CR4" s="4343"/>
      <c r="CS4" s="4344"/>
      <c r="CT4" s="4342" t="s">
        <v>68</v>
      </c>
      <c r="CU4" s="4343"/>
      <c r="CV4" s="4343"/>
      <c r="CW4" s="4343"/>
      <c r="CX4" s="4343"/>
      <c r="CY4" s="4343"/>
      <c r="CZ4" s="4343"/>
      <c r="DA4" s="4344"/>
    </row>
    <row r="5" spans="1:110" ht="48.75" customHeight="1" thickBot="1" x14ac:dyDescent="0.3">
      <c r="A5" s="2962"/>
      <c r="B5" s="2963" t="s">
        <v>1737</v>
      </c>
      <c r="C5" s="2964"/>
      <c r="D5" s="2965" t="s">
        <v>1938</v>
      </c>
      <c r="E5" s="3179"/>
      <c r="F5" s="2965" t="s">
        <v>1741</v>
      </c>
      <c r="G5" s="3179"/>
      <c r="H5" s="2965" t="s">
        <v>1742</v>
      </c>
      <c r="I5" s="2942" t="s">
        <v>289</v>
      </c>
      <c r="J5" s="3268" t="s">
        <v>1737</v>
      </c>
      <c r="K5" s="2964"/>
      <c r="L5" s="2965" t="s">
        <v>1938</v>
      </c>
      <c r="M5" s="3179"/>
      <c r="N5" s="2965" t="s">
        <v>1741</v>
      </c>
      <c r="O5" s="3179"/>
      <c r="P5" s="2965" t="s">
        <v>1742</v>
      </c>
      <c r="Q5" s="2942" t="s">
        <v>289</v>
      </c>
      <c r="R5" s="3983" t="s">
        <v>1737</v>
      </c>
      <c r="S5" s="3058"/>
      <c r="T5" s="3059" t="s">
        <v>1938</v>
      </c>
      <c r="U5" s="3181"/>
      <c r="V5" s="3059" t="s">
        <v>1741</v>
      </c>
      <c r="W5" s="3181"/>
      <c r="X5" s="3059" t="s">
        <v>1742</v>
      </c>
      <c r="Y5" s="3059" t="s">
        <v>289</v>
      </c>
      <c r="Z5" s="3057" t="s">
        <v>1737</v>
      </c>
      <c r="AA5" s="3058"/>
      <c r="AB5" s="3059" t="s">
        <v>1938</v>
      </c>
      <c r="AC5" s="3181"/>
      <c r="AD5" s="3059" t="s">
        <v>1741</v>
      </c>
      <c r="AE5" s="3181"/>
      <c r="AF5" s="3059" t="s">
        <v>1742</v>
      </c>
      <c r="AG5" s="3059" t="s">
        <v>289</v>
      </c>
      <c r="AH5" s="3983" t="s">
        <v>1737</v>
      </c>
      <c r="AI5" s="3058"/>
      <c r="AJ5" s="3059" t="s">
        <v>1938</v>
      </c>
      <c r="AK5" s="3181"/>
      <c r="AL5" s="3059" t="s">
        <v>1741</v>
      </c>
      <c r="AM5" s="3181"/>
      <c r="AN5" s="3059" t="s">
        <v>1742</v>
      </c>
      <c r="AO5" s="3059" t="s">
        <v>289</v>
      </c>
      <c r="AP5" s="3983" t="s">
        <v>1737</v>
      </c>
      <c r="AQ5" s="3058"/>
      <c r="AR5" s="3059" t="s">
        <v>1938</v>
      </c>
      <c r="AS5" s="3181"/>
      <c r="AT5" s="3059" t="s">
        <v>1741</v>
      </c>
      <c r="AU5" s="3181"/>
      <c r="AV5" s="3059" t="s">
        <v>1742</v>
      </c>
      <c r="AW5" s="3059" t="s">
        <v>289</v>
      </c>
      <c r="AX5" s="3983" t="s">
        <v>1737</v>
      </c>
      <c r="AY5" s="3058"/>
      <c r="AZ5" s="3059" t="s">
        <v>1938</v>
      </c>
      <c r="BA5" s="3181"/>
      <c r="BB5" s="3059" t="s">
        <v>1741</v>
      </c>
      <c r="BC5" s="3181"/>
      <c r="BD5" s="3059" t="s">
        <v>1742</v>
      </c>
      <c r="BE5" s="3059" t="s">
        <v>289</v>
      </c>
      <c r="BF5" s="3983" t="s">
        <v>1737</v>
      </c>
      <c r="BG5" s="3058"/>
      <c r="BH5" s="3059" t="s">
        <v>1938</v>
      </c>
      <c r="BI5" s="3181"/>
      <c r="BJ5" s="3059" t="s">
        <v>1741</v>
      </c>
      <c r="BK5" s="3181"/>
      <c r="BL5" s="3059" t="s">
        <v>1742</v>
      </c>
      <c r="BM5" s="3059" t="s">
        <v>289</v>
      </c>
      <c r="BN5" s="3057" t="s">
        <v>1737</v>
      </c>
      <c r="BO5" s="3058"/>
      <c r="BP5" s="3059" t="s">
        <v>1938</v>
      </c>
      <c r="BQ5" s="3181"/>
      <c r="BR5" s="3059" t="s">
        <v>1741</v>
      </c>
      <c r="BS5" s="3181"/>
      <c r="BT5" s="3059" t="s">
        <v>1742</v>
      </c>
      <c r="BU5" s="3059" t="s">
        <v>289</v>
      </c>
      <c r="BV5" s="3983" t="s">
        <v>1737</v>
      </c>
      <c r="BW5" s="3058"/>
      <c r="BX5" s="3059" t="s">
        <v>1938</v>
      </c>
      <c r="BY5" s="3181"/>
      <c r="BZ5" s="3059" t="s">
        <v>1741</v>
      </c>
      <c r="CA5" s="3181"/>
      <c r="CB5" s="3059" t="s">
        <v>1742</v>
      </c>
      <c r="CC5" s="3059" t="s">
        <v>289</v>
      </c>
      <c r="CD5" s="3983" t="s">
        <v>1737</v>
      </c>
      <c r="CE5" s="3058"/>
      <c r="CF5" s="3059" t="s">
        <v>1938</v>
      </c>
      <c r="CG5" s="3181"/>
      <c r="CH5" s="3059" t="s">
        <v>1741</v>
      </c>
      <c r="CI5" s="3181"/>
      <c r="CJ5" s="3059" t="s">
        <v>1742</v>
      </c>
      <c r="CK5" s="3059" t="s">
        <v>289</v>
      </c>
      <c r="CL5" s="3268" t="s">
        <v>1737</v>
      </c>
      <c r="CM5" s="2964"/>
      <c r="CN5" s="2965" t="s">
        <v>1938</v>
      </c>
      <c r="CO5" s="3179"/>
      <c r="CP5" s="2965" t="s">
        <v>1741</v>
      </c>
      <c r="CQ5" s="2965"/>
      <c r="CR5" s="2965" t="s">
        <v>1742</v>
      </c>
      <c r="CS5" s="4013" t="s">
        <v>289</v>
      </c>
      <c r="CT5" s="4011" t="s">
        <v>1737</v>
      </c>
      <c r="CU5" s="3185"/>
      <c r="CV5" s="3186" t="s">
        <v>1938</v>
      </c>
      <c r="CW5" s="3183"/>
      <c r="CX5" s="3273" t="s">
        <v>1741</v>
      </c>
      <c r="CY5" s="4011"/>
      <c r="CZ5" s="4019" t="s">
        <v>1742</v>
      </c>
      <c r="DA5" s="4009" t="s">
        <v>289</v>
      </c>
    </row>
    <row r="6" spans="1:110" ht="21.75" customHeight="1" x14ac:dyDescent="0.25">
      <c r="A6" s="2961" t="s">
        <v>1368</v>
      </c>
      <c r="B6" s="2503">
        <f>SUM(B7:B9)</f>
        <v>515926000</v>
      </c>
      <c r="C6" s="2503">
        <f t="shared" ref="C6:F6" si="0">SUM(C7:C9)</f>
        <v>44528790</v>
      </c>
      <c r="D6" s="2503">
        <f t="shared" si="0"/>
        <v>560454790</v>
      </c>
      <c r="E6" s="2503">
        <f t="shared" si="0"/>
        <v>102639292</v>
      </c>
      <c r="F6" s="2503">
        <f t="shared" si="0"/>
        <v>663094082</v>
      </c>
      <c r="G6" s="2503"/>
      <c r="H6" s="2503">
        <f t="shared" ref="H6:I6" si="1">SUM(H7:H9)</f>
        <v>663094082</v>
      </c>
      <c r="I6" s="3979">
        <f t="shared" si="1"/>
        <v>618117128</v>
      </c>
      <c r="J6" s="2503">
        <f t="shared" ref="J6:P6" si="2">SUM(J7:J9)</f>
        <v>515926000</v>
      </c>
      <c r="K6" s="2503">
        <f t="shared" si="2"/>
        <v>44528790</v>
      </c>
      <c r="L6" s="2503">
        <f t="shared" si="2"/>
        <v>560454790</v>
      </c>
      <c r="M6" s="2503">
        <f t="shared" si="2"/>
        <v>102639292</v>
      </c>
      <c r="N6" s="2503">
        <f t="shared" si="2"/>
        <v>663094082</v>
      </c>
      <c r="O6" s="2503"/>
      <c r="P6" s="2503">
        <f t="shared" si="2"/>
        <v>663094082</v>
      </c>
      <c r="Q6" s="3979">
        <f t="shared" ref="Q6" si="3">SUM(Q7:Q9)</f>
        <v>662734167</v>
      </c>
      <c r="R6" s="3984"/>
      <c r="S6" s="3054"/>
      <c r="T6" s="3054"/>
      <c r="U6" s="3054"/>
      <c r="V6" s="3054"/>
      <c r="W6" s="3054"/>
      <c r="X6" s="3054"/>
      <c r="Y6" s="3976"/>
      <c r="Z6" s="3972">
        <f t="shared" ref="Z6:AR6" si="4">SUM(Z7:Z9)</f>
        <v>17069000</v>
      </c>
      <c r="AA6" s="3055">
        <f t="shared" si="4"/>
        <v>0</v>
      </c>
      <c r="AB6" s="3055">
        <f t="shared" si="4"/>
        <v>17069000</v>
      </c>
      <c r="AC6" s="3055">
        <f t="shared" si="4"/>
        <v>-775928</v>
      </c>
      <c r="AD6" s="3055">
        <f t="shared" si="4"/>
        <v>16293072</v>
      </c>
      <c r="AE6" s="3055">
        <f t="shared" si="4"/>
        <v>0</v>
      </c>
      <c r="AF6" s="3055">
        <f t="shared" si="4"/>
        <v>16293072</v>
      </c>
      <c r="AG6" s="3988">
        <f t="shared" ref="AG6" si="5">SUM(AG7:AG9)</f>
        <v>15933157</v>
      </c>
      <c r="AH6" s="3972">
        <f t="shared" si="4"/>
        <v>455857000</v>
      </c>
      <c r="AI6" s="3055">
        <f t="shared" si="4"/>
        <v>0</v>
      </c>
      <c r="AJ6" s="3055">
        <f>SUM(AJ7:AJ9)</f>
        <v>455857000</v>
      </c>
      <c r="AK6" s="3055">
        <f t="shared" si="4"/>
        <v>6244900</v>
      </c>
      <c r="AL6" s="3055">
        <f t="shared" si="4"/>
        <v>462101900</v>
      </c>
      <c r="AM6" s="3055"/>
      <c r="AN6" s="3055">
        <f>SUM(AN7:AN9)</f>
        <v>462101900</v>
      </c>
      <c r="AO6" s="3988">
        <f>SUM(AO7:AO9)</f>
        <v>462101900</v>
      </c>
      <c r="AP6" s="3972">
        <f t="shared" si="4"/>
        <v>0</v>
      </c>
      <c r="AQ6" s="3055">
        <f t="shared" si="4"/>
        <v>0</v>
      </c>
      <c r="AR6" s="3055">
        <f t="shared" si="4"/>
        <v>0</v>
      </c>
      <c r="AS6" s="3055"/>
      <c r="AT6" s="3055"/>
      <c r="AU6" s="3055"/>
      <c r="AV6" s="3055"/>
      <c r="AW6" s="3988"/>
      <c r="AX6" s="3972">
        <f t="shared" ref="AX6:BL6" si="6">SUM(AX7:AX9)</f>
        <v>0</v>
      </c>
      <c r="AY6" s="3055">
        <f t="shared" si="6"/>
        <v>0</v>
      </c>
      <c r="AZ6" s="3055">
        <f t="shared" si="6"/>
        <v>100000</v>
      </c>
      <c r="BA6" s="3055">
        <f t="shared" si="6"/>
        <v>100000</v>
      </c>
      <c r="BB6" s="3055">
        <f t="shared" si="6"/>
        <v>100000</v>
      </c>
      <c r="BC6" s="3055">
        <f t="shared" si="6"/>
        <v>0</v>
      </c>
      <c r="BD6" s="3055">
        <f t="shared" si="6"/>
        <v>100000</v>
      </c>
      <c r="BE6" s="3988">
        <f t="shared" ref="BE6" si="7">SUM(BE7:BE9)</f>
        <v>100000</v>
      </c>
      <c r="BF6" s="3972">
        <f t="shared" si="6"/>
        <v>0</v>
      </c>
      <c r="BG6" s="3055">
        <f t="shared" si="6"/>
        <v>0</v>
      </c>
      <c r="BH6" s="3055">
        <f t="shared" si="6"/>
        <v>0</v>
      </c>
      <c r="BI6" s="3055">
        <f t="shared" si="6"/>
        <v>0</v>
      </c>
      <c r="BJ6" s="3055">
        <f t="shared" si="6"/>
        <v>0</v>
      </c>
      <c r="BK6" s="3055">
        <f t="shared" si="6"/>
        <v>0</v>
      </c>
      <c r="BL6" s="3055">
        <f t="shared" si="6"/>
        <v>0</v>
      </c>
      <c r="BM6" s="3055"/>
      <c r="BN6" s="3055"/>
      <c r="BO6" s="3055"/>
      <c r="BP6" s="3055"/>
      <c r="BQ6" s="3055"/>
      <c r="BR6" s="3055"/>
      <c r="BS6" s="3055"/>
      <c r="BT6" s="3055"/>
      <c r="BU6" s="3988"/>
      <c r="BV6" s="3972">
        <f>SUM(BV7:BV9)</f>
        <v>43000000</v>
      </c>
      <c r="BW6" s="3055">
        <f>SUM(BW7:BW9)</f>
        <v>43000000</v>
      </c>
      <c r="BX6" s="3056">
        <f>SUM(BX7:BX9)</f>
        <v>43000000</v>
      </c>
      <c r="BY6" s="3056"/>
      <c r="BZ6" s="3056">
        <f>SUM(BZ7:BZ9)</f>
        <v>43000000</v>
      </c>
      <c r="CA6" s="3056"/>
      <c r="CB6" s="4020">
        <f t="shared" ref="CB6:CC6" si="8">SUM(CB7:CB9)</f>
        <v>43000000</v>
      </c>
      <c r="CC6" s="4021">
        <f t="shared" si="8"/>
        <v>43000000</v>
      </c>
      <c r="CD6" s="4008">
        <f t="shared" ref="CD6:CJ6" si="9">SUM(CD7:CD9)</f>
        <v>0</v>
      </c>
      <c r="CE6" s="4001">
        <f t="shared" si="9"/>
        <v>0</v>
      </c>
      <c r="CF6" s="4001">
        <f t="shared" si="9"/>
        <v>5019041</v>
      </c>
      <c r="CG6" s="4001">
        <f t="shared" si="9"/>
        <v>0</v>
      </c>
      <c r="CH6" s="4001">
        <f t="shared" si="9"/>
        <v>5019041</v>
      </c>
      <c r="CI6" s="4001"/>
      <c r="CJ6" s="4001">
        <f t="shared" si="9"/>
        <v>5019041</v>
      </c>
      <c r="CK6" s="4003">
        <f t="shared" ref="CK6" si="10">SUM(CK7:CK9)</f>
        <v>5019041</v>
      </c>
      <c r="CL6" s="4002">
        <f>SUM(J6-Z6-AH6-AP6-AX6-BF6-CD6)-R6-BV6-CT6</f>
        <v>0</v>
      </c>
      <c r="CM6" s="2508">
        <f>SUM(K6-AA6-AI6-AQ6-AY6-BG6-CE6)-S6-BW6-CU6</f>
        <v>1528790</v>
      </c>
      <c r="CN6" s="2508">
        <f>SUM(L6-AB6-AJ6-AR6-AZ6-BH6-CF6)-T6-BX6-CV6</f>
        <v>39409749</v>
      </c>
      <c r="CO6" s="2508">
        <f>SUM(M6-AC6-AK6-AS6-BA6-BI6-CG6)-U6-BY6-CW6</f>
        <v>97070320</v>
      </c>
      <c r="CP6" s="2508">
        <f>SUM(N6-AD6-AL6-AT6-BB6-BJ6-CH6)-V6-BZ6-CX6</f>
        <v>136580069</v>
      </c>
      <c r="CQ6" s="2508"/>
      <c r="CR6" s="2508">
        <f t="shared" ref="CR6:CR22" si="11">SUM(P6-AF6-AN6-AV6-BD6-BL6-CJ6)-X6-CB6-CZ6</f>
        <v>136580069</v>
      </c>
      <c r="CS6" s="4014">
        <f t="shared" ref="CS6:CS22" si="12">SUM(Q6-AG6-AO6-AW6-BE6-BM6-CK6)-Y6-CC6-DB6</f>
        <v>136580069</v>
      </c>
      <c r="CT6" s="4012"/>
      <c r="CU6" s="3063"/>
      <c r="CV6" s="3065"/>
      <c r="CW6" s="3184"/>
      <c r="CX6" s="2552"/>
      <c r="CY6" s="3269"/>
      <c r="CZ6" s="3184"/>
      <c r="DA6" s="4015"/>
    </row>
    <row r="7" spans="1:110" ht="21.75" customHeight="1" x14ac:dyDescent="0.25">
      <c r="A7" s="2468" t="s">
        <v>848</v>
      </c>
      <c r="B7" s="2504">
        <f>SUM('5.10.1. sz. mell.'!L37)</f>
        <v>427402000</v>
      </c>
      <c r="C7" s="3008">
        <f t="shared" ref="C7:C30" si="13">SUM(D7-B7)</f>
        <v>44327622</v>
      </c>
      <c r="D7" s="2504">
        <f>SUM('5.10.1. sz. mell.'!N37)</f>
        <v>471729622</v>
      </c>
      <c r="E7" s="2504">
        <f>SUM('5.10.1. sz. mell.'!O37)</f>
        <v>79736554</v>
      </c>
      <c r="F7" s="2504">
        <f>SUM('5.10.1. sz. mell.'!P37)</f>
        <v>551466176</v>
      </c>
      <c r="G7" s="2504"/>
      <c r="H7" s="2504">
        <f>SUM('5.10.1. sz. mell.'!R37)</f>
        <v>551466176</v>
      </c>
      <c r="I7" s="3980">
        <f>SUM('5.10.1. sz. mell.'!S37)</f>
        <v>506489222</v>
      </c>
      <c r="J7" s="2504">
        <f>SUM('5.10.1. sz. mell.'!L27)</f>
        <v>427402000</v>
      </c>
      <c r="K7" s="2505">
        <f>SUM('5.10.1. sz. mell.'!M27)</f>
        <v>44327622</v>
      </c>
      <c r="L7" s="2504">
        <f>SUM('5.10.1. sz. mell.'!N27)</f>
        <v>471729622</v>
      </c>
      <c r="M7" s="2504">
        <f>SUM('5.10.1. sz. mell.'!O27)</f>
        <v>79736554</v>
      </c>
      <c r="N7" s="2504">
        <f>SUM('5.10.1. sz. mell.'!P27)</f>
        <v>551466176</v>
      </c>
      <c r="O7" s="2504"/>
      <c r="P7" s="2504">
        <f>SUM('5.10.1. sz. mell.'!R27)</f>
        <v>551466176</v>
      </c>
      <c r="Q7" s="3980">
        <f>SUM('5.10.1. sz. mell.'!S27)</f>
        <v>551106261</v>
      </c>
      <c r="R7" s="3974"/>
      <c r="S7" s="2966"/>
      <c r="T7" s="2938"/>
      <c r="U7" s="2938"/>
      <c r="V7" s="2938"/>
      <c r="W7" s="2938"/>
      <c r="X7" s="2938"/>
      <c r="Y7" s="3977"/>
      <c r="Z7" s="3973">
        <f>SUM('5.10.1. sz. mell.'!L5)</f>
        <v>12145000</v>
      </c>
      <c r="AA7" s="2966">
        <f>SUM('5.10.1. sz. mell.'!M5)</f>
        <v>0</v>
      </c>
      <c r="AB7" s="2966">
        <f>SUM('5.10.1. sz. mell.'!N5)</f>
        <v>12145000</v>
      </c>
      <c r="AC7" s="2966">
        <f>SUM('5.10.1. sz. mell.'!O5)</f>
        <v>-711128</v>
      </c>
      <c r="AD7" s="2966">
        <f>SUM('5.10.1. sz. mell.'!P5)</f>
        <v>11433872</v>
      </c>
      <c r="AE7" s="2966">
        <f>SUM('5.10.1. sz. mell.'!Q5)</f>
        <v>0</v>
      </c>
      <c r="AF7" s="2966">
        <f>SUM('5.10.1. sz. mell.'!R5)</f>
        <v>11433872</v>
      </c>
      <c r="AG7" s="3990">
        <f>SUM('5.10.1. sz. mell.'!S5)</f>
        <v>11073957</v>
      </c>
      <c r="AH7" s="3986">
        <f>SUM('5.10.1. sz. mell.'!L14)</f>
        <v>397257000</v>
      </c>
      <c r="AI7" s="2506">
        <f>SUM('5.10.1. sz. mell.'!M14)</f>
        <v>0</v>
      </c>
      <c r="AJ7" s="2506">
        <f>SUM('5.10.1. sz. mell.'!N14)</f>
        <v>397257000</v>
      </c>
      <c r="AK7" s="2506">
        <f>SUM('5.10.1. sz. mell.'!O14)</f>
        <v>1548200</v>
      </c>
      <c r="AL7" s="2506">
        <f>SUM('5.10.1. sz. mell.'!P14)</f>
        <v>398805200</v>
      </c>
      <c r="AM7" s="2506"/>
      <c r="AN7" s="2506">
        <f>SUM('5.10.1. sz. mell.'!R14)</f>
        <v>398805200</v>
      </c>
      <c r="AO7" s="3989">
        <f>SUM('5.10.1. sz. mell.'!S14)</f>
        <v>398805200</v>
      </c>
      <c r="AP7" s="3986"/>
      <c r="AQ7" s="2506"/>
      <c r="AR7" s="2506"/>
      <c r="AS7" s="2506"/>
      <c r="AT7" s="2506"/>
      <c r="AU7" s="2506"/>
      <c r="AV7" s="2506"/>
      <c r="AW7" s="3989"/>
      <c r="AX7" s="3986"/>
      <c r="AY7" s="2506"/>
      <c r="AZ7" s="2506">
        <v>100000</v>
      </c>
      <c r="BA7" s="2506">
        <v>100000</v>
      </c>
      <c r="BB7" s="2506">
        <v>100000</v>
      </c>
      <c r="BC7" s="2506"/>
      <c r="BD7" s="2506">
        <f>SUM('5.10 sz. mell '!L27)</f>
        <v>100000</v>
      </c>
      <c r="BE7" s="3989">
        <f>SUM('5.10 sz. mell '!M27)</f>
        <v>100000</v>
      </c>
      <c r="BF7" s="3986"/>
      <c r="BG7" s="2506"/>
      <c r="BH7" s="2506"/>
      <c r="BI7" s="2506"/>
      <c r="BJ7" s="2506"/>
      <c r="BK7" s="2506"/>
      <c r="BL7" s="2506"/>
      <c r="BM7" s="2506"/>
      <c r="BN7" s="2506"/>
      <c r="BO7" s="2506"/>
      <c r="BP7" s="2506"/>
      <c r="BQ7" s="2506"/>
      <c r="BR7" s="2506"/>
      <c r="BS7" s="2506"/>
      <c r="BT7" s="2506"/>
      <c r="BU7" s="3989"/>
      <c r="BV7" s="3986">
        <v>18000000</v>
      </c>
      <c r="BW7" s="2506">
        <v>18000000</v>
      </c>
      <c r="BX7" s="3026">
        <v>18000000</v>
      </c>
      <c r="BY7" s="3026"/>
      <c r="BZ7" s="3026">
        <v>18000000</v>
      </c>
      <c r="CA7" s="3026"/>
      <c r="CB7" s="3533">
        <v>18000000</v>
      </c>
      <c r="CC7" s="4022">
        <v>18000000</v>
      </c>
      <c r="CD7" s="3986"/>
      <c r="CE7" s="2938"/>
      <c r="CF7" s="2506">
        <f>SUM('5.10.1. sz. mell.'!N24)</f>
        <v>5019041</v>
      </c>
      <c r="CG7" s="2506">
        <f>SUM('5.10.1. sz. mell.'!O24)</f>
        <v>0</v>
      </c>
      <c r="CH7" s="2506">
        <f>SUM('5.10.1. sz. mell.'!P24)</f>
        <v>5019041</v>
      </c>
      <c r="CI7" s="2506"/>
      <c r="CJ7" s="2506">
        <f>SUM('5.10.1. sz. mell.'!R24)</f>
        <v>5019041</v>
      </c>
      <c r="CK7" s="3989">
        <f>SUM('5.10.1. sz. mell.'!S24)</f>
        <v>5019041</v>
      </c>
      <c r="CL7" s="3270">
        <f t="shared" ref="CL7:CL26" si="14">SUM(J7-Z7-AH7-AP7-AX7-BF7-CD7)-R7-BV7-CT7</f>
        <v>0</v>
      </c>
      <c r="CM7" s="2479">
        <f t="shared" ref="CM7:CM21" si="15">SUM(K7-AA7-AI7-AQ7-AY7-BG7-CE7)-S7-BW7-CU7</f>
        <v>26327622</v>
      </c>
      <c r="CN7" s="2479">
        <f t="shared" ref="CN7:CN21" si="16">SUM(L7-AB7-AJ7-AR7-AZ7-BH7-CF7)-T7-BX7-CV7</f>
        <v>39208581</v>
      </c>
      <c r="CO7" s="2479">
        <f t="shared" ref="CO7:CO22" si="17">SUM(M7-AC7-AK7-AS7-BA7-BI7-CG7)-U7-BY7-CW7</f>
        <v>78799482</v>
      </c>
      <c r="CP7" s="2479">
        <f t="shared" ref="CP7:CP22" si="18">SUM(N7-AD7-AL7-AT7-BB7-BJ7-CH7)-V7-BZ7-CX7</f>
        <v>118108063</v>
      </c>
      <c r="CQ7" s="2479"/>
      <c r="CR7" s="2479">
        <f t="shared" si="11"/>
        <v>118108063</v>
      </c>
      <c r="CS7" s="2480">
        <f t="shared" si="12"/>
        <v>118108063</v>
      </c>
      <c r="CT7" s="3270"/>
      <c r="CU7" s="3064"/>
      <c r="CV7" s="2479"/>
      <c r="CW7" s="2479"/>
      <c r="CX7" s="2480"/>
      <c r="CY7" s="3270"/>
      <c r="CZ7" s="2479"/>
      <c r="DA7" s="4016"/>
    </row>
    <row r="8" spans="1:110" ht="21.75" customHeight="1" x14ac:dyDescent="0.25">
      <c r="A8" s="2468" t="s">
        <v>854</v>
      </c>
      <c r="B8" s="2504">
        <f>SUM('5.10.1. sz. mell.'!L188)</f>
        <v>83600000</v>
      </c>
      <c r="C8" s="3008">
        <f t="shared" si="13"/>
        <v>201168</v>
      </c>
      <c r="D8" s="2504">
        <f>SUM('5.10.1. sz. mell.'!N188)</f>
        <v>83801168</v>
      </c>
      <c r="E8" s="2504">
        <f>SUM('5.10.1. sz. mell.'!O188)</f>
        <v>22967538</v>
      </c>
      <c r="F8" s="2504">
        <f>SUM('5.10.1. sz. mell.'!P188)</f>
        <v>106768706</v>
      </c>
      <c r="G8" s="2504"/>
      <c r="H8" s="2504">
        <f>SUM('5.10.1. sz. mell.'!R188)</f>
        <v>106768706</v>
      </c>
      <c r="I8" s="3980">
        <f>SUM('5.10.1. sz. mell.'!S188)</f>
        <v>106768706</v>
      </c>
      <c r="J8" s="2504">
        <f>SUM('5.10.1. sz. mell.'!L178)</f>
        <v>83600000</v>
      </c>
      <c r="K8" s="2504">
        <f>SUM('5.10.1. sz. mell.'!M178)</f>
        <v>201168</v>
      </c>
      <c r="L8" s="2504">
        <f>SUM('5.10.1. sz. mell.'!N178)</f>
        <v>83801168</v>
      </c>
      <c r="M8" s="2504">
        <f>SUM('5.10.1. sz. mell.'!O178)</f>
        <v>22967538</v>
      </c>
      <c r="N8" s="2504">
        <f>SUM('5.10.1. sz. mell.'!P178)</f>
        <v>106768706</v>
      </c>
      <c r="O8" s="2504"/>
      <c r="P8" s="2504">
        <f>SUM('5.10.1. sz. mell.'!R178)</f>
        <v>106768706</v>
      </c>
      <c r="Q8" s="3980">
        <f>SUM('5.10.1. sz. mell.'!S178)</f>
        <v>106768706</v>
      </c>
      <c r="R8" s="3974"/>
      <c r="S8" s="2966"/>
      <c r="T8" s="2938"/>
      <c r="U8" s="2938"/>
      <c r="V8" s="2938"/>
      <c r="W8" s="2938"/>
      <c r="X8" s="2938"/>
      <c r="Y8" s="3977"/>
      <c r="Z8" s="3973">
        <f>SUM('5.10.1. sz. mell.'!L167)</f>
        <v>0</v>
      </c>
      <c r="AA8" s="2966">
        <f>SUM('5.10.1. sz. mell.'!M167)</f>
        <v>0</v>
      </c>
      <c r="AB8" s="2966">
        <f>SUM('5.10.1. sz. mell.'!N167)</f>
        <v>0</v>
      </c>
      <c r="AC8" s="2966">
        <f>SUM('5.10.1. sz. mell.'!O167)</f>
        <v>0</v>
      </c>
      <c r="AD8" s="2966">
        <f>SUM('5.10.1. sz. mell.'!P167)</f>
        <v>0</v>
      </c>
      <c r="AE8" s="2966">
        <f>SUM('5.10.1. sz. mell.'!Q167)</f>
        <v>0</v>
      </c>
      <c r="AF8" s="2966">
        <f>SUM('5.10.1. sz. mell.'!R167)</f>
        <v>0</v>
      </c>
      <c r="AG8" s="3990">
        <f>SUM('5.10.1. sz. mell.'!S167)</f>
        <v>0</v>
      </c>
      <c r="AH8" s="3973">
        <f>SUM('5.10.1. sz. mell.'!L171)</f>
        <v>58600000</v>
      </c>
      <c r="AI8" s="2966">
        <f>SUM('5.10.1. sz. mell.'!M171)</f>
        <v>0</v>
      </c>
      <c r="AJ8" s="2966">
        <f>SUM('5.10.1. sz. mell.'!N171)</f>
        <v>58600000</v>
      </c>
      <c r="AK8" s="2966">
        <f>SUM('5.10.1. sz. mell.'!O171)</f>
        <v>4696700</v>
      </c>
      <c r="AL8" s="2966">
        <f>SUM('5.10.1. sz. mell.'!P171)</f>
        <v>63296700</v>
      </c>
      <c r="AM8" s="2966"/>
      <c r="AN8" s="2966">
        <f>SUM('5.10.1. sz. mell.'!R171)</f>
        <v>63296700</v>
      </c>
      <c r="AO8" s="3990">
        <f>SUM('5.10.1. sz. mell.'!S171)</f>
        <v>63296700</v>
      </c>
      <c r="AP8" s="3973"/>
      <c r="AQ8" s="2966"/>
      <c r="AR8" s="2966"/>
      <c r="AS8" s="2966"/>
      <c r="AT8" s="2966"/>
      <c r="AU8" s="2966"/>
      <c r="AV8" s="2966"/>
      <c r="AW8" s="3990"/>
      <c r="AX8" s="3973"/>
      <c r="AY8" s="2966"/>
      <c r="AZ8" s="2966"/>
      <c r="BA8" s="2966"/>
      <c r="BB8" s="2966"/>
      <c r="BC8" s="2966"/>
      <c r="BD8" s="2966"/>
      <c r="BE8" s="3990"/>
      <c r="BF8" s="3973"/>
      <c r="BG8" s="2966"/>
      <c r="BH8" s="2966"/>
      <c r="BI8" s="2966"/>
      <c r="BJ8" s="2966"/>
      <c r="BK8" s="2966"/>
      <c r="BL8" s="2966"/>
      <c r="BM8" s="2966"/>
      <c r="BN8" s="2966"/>
      <c r="BO8" s="2966"/>
      <c r="BP8" s="2966"/>
      <c r="BQ8" s="2966"/>
      <c r="BR8" s="2966"/>
      <c r="BS8" s="2966"/>
      <c r="BT8" s="2966"/>
      <c r="BU8" s="3990"/>
      <c r="BV8" s="3986">
        <v>25000000</v>
      </c>
      <c r="BW8" s="2506">
        <v>25000000</v>
      </c>
      <c r="BX8" s="3026">
        <v>25000000</v>
      </c>
      <c r="BY8" s="3026"/>
      <c r="BZ8" s="3026">
        <v>25000000</v>
      </c>
      <c r="CA8" s="3026"/>
      <c r="CB8" s="3533">
        <v>25000000</v>
      </c>
      <c r="CC8" s="4022">
        <v>25000000</v>
      </c>
      <c r="CD8" s="3974"/>
      <c r="CE8" s="2938"/>
      <c r="CF8" s="2506"/>
      <c r="CG8" s="3182"/>
      <c r="CH8" s="3182"/>
      <c r="CI8" s="3182"/>
      <c r="CJ8" s="3182"/>
      <c r="CK8" s="4004"/>
      <c r="CL8" s="3270">
        <f t="shared" si="14"/>
        <v>0</v>
      </c>
      <c r="CM8" s="2479">
        <f t="shared" si="15"/>
        <v>-24798832</v>
      </c>
      <c r="CN8" s="2479">
        <f t="shared" si="16"/>
        <v>201168</v>
      </c>
      <c r="CO8" s="2479">
        <f t="shared" si="17"/>
        <v>18270838</v>
      </c>
      <c r="CP8" s="2479">
        <f t="shared" si="18"/>
        <v>18472006</v>
      </c>
      <c r="CQ8" s="2479"/>
      <c r="CR8" s="2479">
        <f t="shared" si="11"/>
        <v>18472006</v>
      </c>
      <c r="CS8" s="2480">
        <f t="shared" si="12"/>
        <v>18472006</v>
      </c>
      <c r="CT8" s="3270"/>
      <c r="CU8" s="3064"/>
      <c r="CV8" s="2479"/>
      <c r="CW8" s="2479"/>
      <c r="CX8" s="2480"/>
      <c r="CY8" s="3270"/>
      <c r="CZ8" s="2479"/>
      <c r="DA8" s="4016"/>
    </row>
    <row r="9" spans="1:110" ht="21.75" customHeight="1" x14ac:dyDescent="0.25">
      <c r="A9" s="2468" t="s">
        <v>855</v>
      </c>
      <c r="B9" s="2504">
        <f>SUM('5.10.1. sz. mell.'!L214)</f>
        <v>4924000</v>
      </c>
      <c r="C9" s="3008">
        <f t="shared" si="13"/>
        <v>0</v>
      </c>
      <c r="D9" s="2504">
        <f>SUM('5.10.1. sz. mell.'!N214)</f>
        <v>4924000</v>
      </c>
      <c r="E9" s="2504">
        <f>SUM('5.10.1. sz. mell.'!O214)</f>
        <v>-64800</v>
      </c>
      <c r="F9" s="2504">
        <f>SUM('5.10.1. sz. mell.'!P214)</f>
        <v>4859200</v>
      </c>
      <c r="G9" s="2504"/>
      <c r="H9" s="2504">
        <f>SUM('5.10.1. sz. mell.'!R214)</f>
        <v>4859200</v>
      </c>
      <c r="I9" s="3980">
        <f>SUM('5.10.1. sz. mell.'!S214)</f>
        <v>4859200</v>
      </c>
      <c r="J9" s="2504">
        <f>SUM('5.10.1. sz. mell.'!L204)</f>
        <v>4924000</v>
      </c>
      <c r="K9" s="2504">
        <f>SUM('5.10.1. sz. mell.'!M204)</f>
        <v>0</v>
      </c>
      <c r="L9" s="2504">
        <f>SUM('5.10.1. sz. mell.'!N204)</f>
        <v>4924000</v>
      </c>
      <c r="M9" s="2504">
        <f>SUM('5.10.1. sz. mell.'!O204)</f>
        <v>-64800</v>
      </c>
      <c r="N9" s="2504">
        <f>SUM('5.10.1. sz. mell.'!P204)</f>
        <v>4859200</v>
      </c>
      <c r="O9" s="2504"/>
      <c r="P9" s="2504">
        <f>SUM('5.10.1. sz. mell.'!R204)</f>
        <v>4859200</v>
      </c>
      <c r="Q9" s="3980">
        <f>SUM('5.10.1. sz. mell.'!S204)</f>
        <v>4859200</v>
      </c>
      <c r="R9" s="3974"/>
      <c r="S9" s="2966"/>
      <c r="T9" s="2938"/>
      <c r="U9" s="2938"/>
      <c r="V9" s="2938"/>
      <c r="W9" s="2938"/>
      <c r="X9" s="2938"/>
      <c r="Y9" s="3977"/>
      <c r="Z9" s="3973">
        <f>SUM('5.10.1. sz. mell.'!L192)</f>
        <v>4924000</v>
      </c>
      <c r="AA9" s="2966">
        <f>SUM('5.10.1. sz. mell.'!M192)</f>
        <v>0</v>
      </c>
      <c r="AB9" s="2966">
        <f>SUM('5.10.1. sz. mell.'!N192)</f>
        <v>4924000</v>
      </c>
      <c r="AC9" s="2966">
        <f>SUM('5.10.1. sz. mell.'!O192)</f>
        <v>-64800</v>
      </c>
      <c r="AD9" s="2966">
        <f>SUM('5.10.1. sz. mell.'!P192)</f>
        <v>4859200</v>
      </c>
      <c r="AE9" s="2966">
        <f>SUM('5.10.1. sz. mell.'!Q192)</f>
        <v>0</v>
      </c>
      <c r="AF9" s="2966">
        <f>SUM('5.10.1. sz. mell.'!R192)</f>
        <v>4859200</v>
      </c>
      <c r="AG9" s="3990">
        <f>SUM('5.10.1. sz. mell.'!S192)</f>
        <v>4859200</v>
      </c>
      <c r="AH9" s="3973">
        <f>SUM('5.10.1. sz. mell.'!L200)</f>
        <v>0</v>
      </c>
      <c r="AI9" s="2966">
        <f>SUM('5.10.1. sz. mell.'!M200)</f>
        <v>0</v>
      </c>
      <c r="AJ9" s="2966">
        <f>SUM('5.10.1. sz. mell.'!N200)</f>
        <v>0</v>
      </c>
      <c r="AK9" s="2966">
        <f>SUM('5.10.1. sz. mell.'!O200)</f>
        <v>0</v>
      </c>
      <c r="AL9" s="2966">
        <f>SUM('5.10.1. sz. mell.'!P200)</f>
        <v>0</v>
      </c>
      <c r="AM9" s="2966"/>
      <c r="AN9" s="2966">
        <f>SUM('5.10.1. sz. mell.'!R200)</f>
        <v>0</v>
      </c>
      <c r="AO9" s="3990">
        <f>SUM('5.10.1. sz. mell.'!S200)</f>
        <v>0</v>
      </c>
      <c r="AP9" s="3973"/>
      <c r="AQ9" s="2966"/>
      <c r="AR9" s="2966"/>
      <c r="AS9" s="2966"/>
      <c r="AT9" s="2966"/>
      <c r="AU9" s="2966"/>
      <c r="AV9" s="2966"/>
      <c r="AW9" s="3990"/>
      <c r="AX9" s="3973"/>
      <c r="AY9" s="2966"/>
      <c r="AZ9" s="2966"/>
      <c r="BA9" s="2966"/>
      <c r="BB9" s="2966"/>
      <c r="BC9" s="2966"/>
      <c r="BD9" s="2966"/>
      <c r="BE9" s="3990"/>
      <c r="BF9" s="3973"/>
      <c r="BG9" s="2966"/>
      <c r="BH9" s="2966"/>
      <c r="BI9" s="2966"/>
      <c r="BJ9" s="2966"/>
      <c r="BK9" s="2966"/>
      <c r="BL9" s="2966"/>
      <c r="BM9" s="2966"/>
      <c r="BN9" s="2966"/>
      <c r="BO9" s="2966"/>
      <c r="BP9" s="2966"/>
      <c r="BQ9" s="2966"/>
      <c r="BR9" s="2966"/>
      <c r="BS9" s="2966"/>
      <c r="BT9" s="2966"/>
      <c r="BU9" s="3990"/>
      <c r="BV9" s="3986"/>
      <c r="BW9" s="3994"/>
      <c r="BX9" s="3995"/>
      <c r="BY9" s="3995"/>
      <c r="BZ9" s="3995"/>
      <c r="CA9" s="3995"/>
      <c r="CB9" s="4023"/>
      <c r="CC9" s="4024"/>
      <c r="CD9" s="3974"/>
      <c r="CE9" s="2938"/>
      <c r="CF9" s="2938"/>
      <c r="CG9" s="2938"/>
      <c r="CH9" s="2938"/>
      <c r="CI9" s="2938"/>
      <c r="CJ9" s="2938"/>
      <c r="CK9" s="3977"/>
      <c r="CL9" s="3270">
        <f t="shared" si="14"/>
        <v>0</v>
      </c>
      <c r="CM9" s="2479">
        <f t="shared" si="15"/>
        <v>0</v>
      </c>
      <c r="CN9" s="2479">
        <f t="shared" si="16"/>
        <v>0</v>
      </c>
      <c r="CO9" s="2479">
        <f t="shared" si="17"/>
        <v>0</v>
      </c>
      <c r="CP9" s="2479">
        <f t="shared" si="18"/>
        <v>0</v>
      </c>
      <c r="CQ9" s="2479"/>
      <c r="CR9" s="2479">
        <f t="shared" si="11"/>
        <v>0</v>
      </c>
      <c r="CS9" s="2480">
        <f t="shared" si="12"/>
        <v>0</v>
      </c>
      <c r="CT9" s="3270"/>
      <c r="CU9" s="3064"/>
      <c r="CV9" s="2479"/>
      <c r="CW9" s="2479"/>
      <c r="CX9" s="2480"/>
      <c r="CY9" s="3270"/>
      <c r="CZ9" s="2479"/>
      <c r="DA9" s="4016"/>
    </row>
    <row r="10" spans="1:110" ht="21.75" customHeight="1" x14ac:dyDescent="0.25">
      <c r="A10" s="3231" t="s">
        <v>1369</v>
      </c>
      <c r="B10" s="2509">
        <f>SUM('5.9.d.sz.mell.'!AI20)</f>
        <v>3881050</v>
      </c>
      <c r="C10" s="3008">
        <f t="shared" si="13"/>
        <v>111760</v>
      </c>
      <c r="D10" s="2504">
        <f>SUM('5.9.d.sz.mell.'!AK20)</f>
        <v>3992810</v>
      </c>
      <c r="E10" s="2504">
        <f>SUM('5.9.d.sz.mell.'!AL20)</f>
        <v>0</v>
      </c>
      <c r="F10" s="2504">
        <f>SUM('5.9.d.sz.mell.'!AM20)</f>
        <v>3992810</v>
      </c>
      <c r="G10" s="2504"/>
      <c r="H10" s="2504">
        <f>SUM('5.9.d.sz.mell.'!AO20)</f>
        <v>3606617</v>
      </c>
      <c r="I10" s="3980">
        <f>SUM('5.9.d.sz.mell.'!AP20)</f>
        <v>3606617</v>
      </c>
      <c r="J10" s="2509">
        <f t="shared" ref="J10:J20" si="19">SUM(B10)</f>
        <v>3881050</v>
      </c>
      <c r="K10" s="2510">
        <f t="shared" ref="K10:K30" si="20">SUM(C10)</f>
        <v>111760</v>
      </c>
      <c r="L10" s="2504">
        <f t="shared" ref="L10:L31" si="21">SUM(D10)</f>
        <v>3992810</v>
      </c>
      <c r="M10" s="2504">
        <f t="shared" ref="M10:M22" si="22">SUM(E10)</f>
        <v>0</v>
      </c>
      <c r="N10" s="2504">
        <f t="shared" ref="N10:N22" si="23">SUM(F10)</f>
        <v>3992810</v>
      </c>
      <c r="O10" s="2504"/>
      <c r="P10" s="2504">
        <f t="shared" ref="P10:Q22" si="24">SUM(H10)</f>
        <v>3606617</v>
      </c>
      <c r="Q10" s="3980">
        <f t="shared" si="24"/>
        <v>3606617</v>
      </c>
      <c r="R10" s="3974"/>
      <c r="S10" s="2481"/>
      <c r="T10" s="2938"/>
      <c r="U10" s="2938"/>
      <c r="V10" s="2938"/>
      <c r="W10" s="2938"/>
      <c r="X10" s="2938"/>
      <c r="Y10" s="3977"/>
      <c r="Z10" s="3974"/>
      <c r="AA10" s="2481"/>
      <c r="AB10" s="2481"/>
      <c r="AC10" s="2481"/>
      <c r="AD10" s="2481">
        <v>1400000</v>
      </c>
      <c r="AE10" s="2481"/>
      <c r="AF10" s="3565">
        <f>SUM('5.9.d.sz.mell.'!AO7)</f>
        <v>1432800</v>
      </c>
      <c r="AG10" s="3992">
        <f>SUM('5.9.d.sz.mell.'!AP7)</f>
        <v>1432800</v>
      </c>
      <c r="AH10" s="3987"/>
      <c r="AI10" s="2481"/>
      <c r="AJ10" s="2481">
        <v>1730000</v>
      </c>
      <c r="AK10" s="2481"/>
      <c r="AL10" s="2481">
        <v>1730000</v>
      </c>
      <c r="AM10" s="2481"/>
      <c r="AN10" s="3565">
        <f>SUM('5.9.d.sz.mell.'!AO9)</f>
        <v>1497776</v>
      </c>
      <c r="AO10" s="3992">
        <f>SUM('5.9.d.sz.mell.'!AP9)</f>
        <v>1497776</v>
      </c>
      <c r="AP10" s="3987"/>
      <c r="AQ10" s="2481"/>
      <c r="AR10" s="2481"/>
      <c r="AS10" s="2481"/>
      <c r="AT10" s="2481"/>
      <c r="AU10" s="2481"/>
      <c r="AV10" s="2481"/>
      <c r="AW10" s="3991"/>
      <c r="AX10" s="3987"/>
      <c r="AY10" s="2481"/>
      <c r="AZ10" s="2481"/>
      <c r="BA10" s="2481"/>
      <c r="BB10" s="2481"/>
      <c r="BC10" s="2481"/>
      <c r="BD10" s="2481"/>
      <c r="BE10" s="3991"/>
      <c r="BF10" s="3987"/>
      <c r="BG10" s="2481"/>
      <c r="BH10" s="2481"/>
      <c r="BI10" s="2481"/>
      <c r="BJ10" s="2481"/>
      <c r="BK10" s="2481"/>
      <c r="BL10" s="2481"/>
      <c r="BM10" s="2481"/>
      <c r="BN10" s="2481"/>
      <c r="BO10" s="2481"/>
      <c r="BP10" s="2481"/>
      <c r="BQ10" s="2481"/>
      <c r="BR10" s="2481"/>
      <c r="BS10" s="2481"/>
      <c r="BT10" s="2481"/>
      <c r="BU10" s="3991"/>
      <c r="BV10" s="3996"/>
      <c r="BW10" s="3997"/>
      <c r="BX10" s="3998"/>
      <c r="BY10" s="3998"/>
      <c r="BZ10" s="3998"/>
      <c r="CA10" s="3998"/>
      <c r="CB10" s="4025"/>
      <c r="CC10" s="4026"/>
      <c r="CD10" s="3987"/>
      <c r="CE10" s="2938"/>
      <c r="CF10" s="2938"/>
      <c r="CG10" s="2938"/>
      <c r="CH10" s="2938"/>
      <c r="CI10" s="2938"/>
      <c r="CJ10" s="2938"/>
      <c r="CK10" s="3977"/>
      <c r="CL10" s="3270">
        <f t="shared" si="14"/>
        <v>3881050</v>
      </c>
      <c r="CM10" s="2479">
        <f t="shared" si="15"/>
        <v>111760</v>
      </c>
      <c r="CN10" s="2479">
        <f t="shared" si="16"/>
        <v>2262810</v>
      </c>
      <c r="CO10" s="2479">
        <f t="shared" si="17"/>
        <v>0</v>
      </c>
      <c r="CP10" s="2479">
        <f t="shared" si="18"/>
        <v>862810</v>
      </c>
      <c r="CQ10" s="2479"/>
      <c r="CR10" s="2479">
        <f t="shared" si="11"/>
        <v>676041</v>
      </c>
      <c r="CS10" s="2480">
        <f t="shared" si="12"/>
        <v>676041</v>
      </c>
      <c r="CT10" s="3270"/>
      <c r="CU10" s="3064"/>
      <c r="CV10" s="2479"/>
      <c r="CW10" s="2479"/>
      <c r="CX10" s="2480"/>
      <c r="CY10" s="3270"/>
      <c r="CZ10" s="2479"/>
      <c r="DA10" s="4016"/>
    </row>
    <row r="11" spans="1:110" ht="21.75" customHeight="1" x14ac:dyDescent="0.25">
      <c r="A11" s="2478" t="s">
        <v>1370</v>
      </c>
      <c r="B11" s="2509">
        <f>SUM('3.2 Cofogos'!E208)</f>
        <v>6096000</v>
      </c>
      <c r="C11" s="3008">
        <f t="shared" si="13"/>
        <v>457200</v>
      </c>
      <c r="D11" s="2503">
        <f>SUM('3.2 Cofogos'!G208)</f>
        <v>6553200</v>
      </c>
      <c r="E11" s="2503">
        <f>SUM('3.2 Cofogos'!H208)</f>
        <v>0</v>
      </c>
      <c r="F11" s="2503">
        <f>SUM('3.2 Cofogos'!I208)</f>
        <v>6553200</v>
      </c>
      <c r="G11" s="2503"/>
      <c r="H11" s="2503">
        <f>SUM('3.2 Cofogos'!K208)</f>
        <v>6553200</v>
      </c>
      <c r="I11" s="3979">
        <f>SUM('3.2 Cofogos'!L208)</f>
        <v>5547360</v>
      </c>
      <c r="J11" s="2509">
        <f t="shared" si="19"/>
        <v>6096000</v>
      </c>
      <c r="K11" s="2510">
        <f t="shared" si="20"/>
        <v>457200</v>
      </c>
      <c r="L11" s="2510">
        <f t="shared" si="21"/>
        <v>6553200</v>
      </c>
      <c r="M11" s="2510">
        <f t="shared" si="22"/>
        <v>0</v>
      </c>
      <c r="N11" s="2510">
        <f t="shared" si="23"/>
        <v>6553200</v>
      </c>
      <c r="O11" s="2510"/>
      <c r="P11" s="2510">
        <f t="shared" si="24"/>
        <v>6553200</v>
      </c>
      <c r="Q11" s="3985">
        <f t="shared" si="24"/>
        <v>5547360</v>
      </c>
      <c r="R11" s="3974"/>
      <c r="S11" s="2481"/>
      <c r="T11" s="2938"/>
      <c r="U11" s="2938"/>
      <c r="V11" s="2938"/>
      <c r="W11" s="2938"/>
      <c r="X11" s="2938"/>
      <c r="Y11" s="3977"/>
      <c r="Z11" s="3974"/>
      <c r="AA11" s="2481"/>
      <c r="AB11" s="2481"/>
      <c r="AC11" s="2481"/>
      <c r="AD11" s="2481"/>
      <c r="AE11" s="2481"/>
      <c r="AF11" s="2481"/>
      <c r="AG11" s="3991"/>
      <c r="AH11" s="3987"/>
      <c r="AI11" s="2481"/>
      <c r="AJ11" s="2481"/>
      <c r="AK11" s="2481"/>
      <c r="AL11" s="2481"/>
      <c r="AM11" s="2481"/>
      <c r="AN11" s="2481"/>
      <c r="AO11" s="3991"/>
      <c r="AP11" s="3987"/>
      <c r="AQ11" s="2481"/>
      <c r="AR11" s="2481"/>
      <c r="AS11" s="2481"/>
      <c r="AT11" s="2481"/>
      <c r="AU11" s="2481"/>
      <c r="AV11" s="2481"/>
      <c r="AW11" s="3991"/>
      <c r="AX11" s="3987"/>
      <c r="AY11" s="2481"/>
      <c r="AZ11" s="2481"/>
      <c r="BA11" s="2481"/>
      <c r="BB11" s="2481"/>
      <c r="BC11" s="2481"/>
      <c r="BD11" s="2481"/>
      <c r="BE11" s="3991"/>
      <c r="BF11" s="3987"/>
      <c r="BG11" s="2481"/>
      <c r="BH11" s="2481"/>
      <c r="BI11" s="2481"/>
      <c r="BJ11" s="2481"/>
      <c r="BK11" s="2481"/>
      <c r="BL11" s="2481"/>
      <c r="BM11" s="2481"/>
      <c r="BN11" s="2481"/>
      <c r="BO11" s="2481"/>
      <c r="BP11" s="2481"/>
      <c r="BQ11" s="2481"/>
      <c r="BR11" s="2481"/>
      <c r="BS11" s="2481"/>
      <c r="BT11" s="2481"/>
      <c r="BU11" s="3991"/>
      <c r="BV11" s="3996"/>
      <c r="BW11" s="3997"/>
      <c r="BX11" s="3998"/>
      <c r="BY11" s="3998"/>
      <c r="BZ11" s="3998"/>
      <c r="CA11" s="3998"/>
      <c r="CB11" s="4025"/>
      <c r="CC11" s="4026"/>
      <c r="CD11" s="3987"/>
      <c r="CE11" s="2938"/>
      <c r="CF11" s="2938"/>
      <c r="CG11" s="2938"/>
      <c r="CH11" s="2938"/>
      <c r="CI11" s="2938"/>
      <c r="CJ11" s="2938"/>
      <c r="CK11" s="3977"/>
      <c r="CL11" s="3270">
        <f t="shared" si="14"/>
        <v>6096000</v>
      </c>
      <c r="CM11" s="2479">
        <f t="shared" si="15"/>
        <v>457200</v>
      </c>
      <c r="CN11" s="2479">
        <f t="shared" si="16"/>
        <v>6553200</v>
      </c>
      <c r="CO11" s="2479">
        <f t="shared" si="17"/>
        <v>0</v>
      </c>
      <c r="CP11" s="2479">
        <f t="shared" si="18"/>
        <v>6553200</v>
      </c>
      <c r="CQ11" s="2479"/>
      <c r="CR11" s="2479">
        <f t="shared" si="11"/>
        <v>6553200</v>
      </c>
      <c r="CS11" s="2480">
        <f t="shared" si="12"/>
        <v>5547360</v>
      </c>
      <c r="CT11" s="3270"/>
      <c r="CU11" s="3064"/>
      <c r="CV11" s="2479"/>
      <c r="CW11" s="2479"/>
      <c r="CX11" s="2480"/>
      <c r="CY11" s="3270"/>
      <c r="CZ11" s="2479"/>
      <c r="DA11" s="4016"/>
    </row>
    <row r="12" spans="1:110" ht="21.75" customHeight="1" x14ac:dyDescent="0.25">
      <c r="A12" s="2478" t="s">
        <v>1397</v>
      </c>
      <c r="B12" s="2509">
        <f>SUM('3.2 Cofogos'!E234)</f>
        <v>9487044</v>
      </c>
      <c r="C12" s="3008">
        <f t="shared" si="13"/>
        <v>0</v>
      </c>
      <c r="D12" s="2503">
        <f>SUM('3.2 Cofogos'!G234)</f>
        <v>9487044</v>
      </c>
      <c r="E12" s="2503">
        <f>SUM('3.2 Cofogos'!H234)</f>
        <v>2264197</v>
      </c>
      <c r="F12" s="2503">
        <f>SUM('3.2 Cofogos'!I234)</f>
        <v>11751241</v>
      </c>
      <c r="G12" s="2503"/>
      <c r="H12" s="2503">
        <f>SUM('3.2 Cofogos'!K234)</f>
        <v>11751241</v>
      </c>
      <c r="I12" s="3979">
        <f>SUM('3.2 Cofogos'!L234)</f>
        <v>11751241</v>
      </c>
      <c r="J12" s="2509">
        <f t="shared" si="19"/>
        <v>9487044</v>
      </c>
      <c r="K12" s="2510">
        <f t="shared" si="20"/>
        <v>0</v>
      </c>
      <c r="L12" s="2503">
        <f t="shared" si="21"/>
        <v>9487044</v>
      </c>
      <c r="M12" s="2503">
        <f t="shared" si="22"/>
        <v>2264197</v>
      </c>
      <c r="N12" s="2503">
        <f t="shared" si="23"/>
        <v>11751241</v>
      </c>
      <c r="O12" s="2503">
        <f t="shared" ref="O12:O22" si="25">SUM(G12)</f>
        <v>0</v>
      </c>
      <c r="P12" s="2503">
        <f t="shared" si="24"/>
        <v>11751241</v>
      </c>
      <c r="Q12" s="3979">
        <f t="shared" si="24"/>
        <v>11751241</v>
      </c>
      <c r="R12" s="3171">
        <v>9400000</v>
      </c>
      <c r="S12" s="2517">
        <v>9400000</v>
      </c>
      <c r="T12" s="2517">
        <v>9400000</v>
      </c>
      <c r="U12" s="2517">
        <v>9400000</v>
      </c>
      <c r="V12" s="2517">
        <v>44</v>
      </c>
      <c r="W12" s="2938"/>
      <c r="X12" s="4195">
        <v>11751241</v>
      </c>
      <c r="Y12" s="2520">
        <v>11751241</v>
      </c>
      <c r="Z12" s="3974"/>
      <c r="AA12" s="2481"/>
      <c r="AB12" s="2481"/>
      <c r="AC12" s="2481"/>
      <c r="AD12" s="2481"/>
      <c r="AE12" s="2481"/>
      <c r="AF12" s="2481"/>
      <c r="AG12" s="3991"/>
      <c r="AH12" s="3987"/>
      <c r="AI12" s="2481"/>
      <c r="AJ12" s="2481"/>
      <c r="AK12" s="2481"/>
      <c r="AL12" s="2481"/>
      <c r="AM12" s="2481"/>
      <c r="AN12" s="2481"/>
      <c r="AO12" s="3991"/>
      <c r="AP12" s="3987"/>
      <c r="AQ12" s="2481"/>
      <c r="AR12" s="2481"/>
      <c r="AS12" s="2481"/>
      <c r="AT12" s="2481"/>
      <c r="AU12" s="2481"/>
      <c r="AV12" s="2481"/>
      <c r="AW12" s="3991"/>
      <c r="AX12" s="3987"/>
      <c r="AY12" s="2481"/>
      <c r="AZ12" s="2481"/>
      <c r="BA12" s="2481"/>
      <c r="BB12" s="2481"/>
      <c r="BC12" s="2481"/>
      <c r="BD12" s="2481"/>
      <c r="BE12" s="3991"/>
      <c r="BF12" s="3987"/>
      <c r="BG12" s="2481"/>
      <c r="BH12" s="2481"/>
      <c r="BI12" s="2481"/>
      <c r="BJ12" s="2481"/>
      <c r="BK12" s="2481"/>
      <c r="BL12" s="2481"/>
      <c r="BM12" s="2481"/>
      <c r="BN12" s="2481"/>
      <c r="BO12" s="2481"/>
      <c r="BP12" s="2481"/>
      <c r="BQ12" s="2481"/>
      <c r="BR12" s="2481"/>
      <c r="BS12" s="2481"/>
      <c r="BT12" s="2481"/>
      <c r="BU12" s="3991"/>
      <c r="BV12" s="3996"/>
      <c r="BW12" s="3997"/>
      <c r="BX12" s="3998"/>
      <c r="BY12" s="3998"/>
      <c r="BZ12" s="3998"/>
      <c r="CA12" s="3998"/>
      <c r="CB12" s="4025"/>
      <c r="CC12" s="4026"/>
      <c r="CD12" s="3987"/>
      <c r="CE12" s="2938"/>
      <c r="CF12" s="2938"/>
      <c r="CG12" s="2938"/>
      <c r="CH12" s="2938"/>
      <c r="CI12" s="2938"/>
      <c r="CJ12" s="2938"/>
      <c r="CK12" s="3977"/>
      <c r="CL12" s="3270">
        <f t="shared" si="14"/>
        <v>87044</v>
      </c>
      <c r="CM12" s="2479">
        <f t="shared" si="15"/>
        <v>-9400000</v>
      </c>
      <c r="CN12" s="2479">
        <f t="shared" si="16"/>
        <v>87044</v>
      </c>
      <c r="CO12" s="2479">
        <f t="shared" si="17"/>
        <v>-7135803</v>
      </c>
      <c r="CP12" s="2479">
        <f t="shared" si="18"/>
        <v>11751197</v>
      </c>
      <c r="CQ12" s="2479"/>
      <c r="CR12" s="2479">
        <f t="shared" si="11"/>
        <v>0</v>
      </c>
      <c r="CS12" s="2480">
        <f t="shared" si="12"/>
        <v>0</v>
      </c>
      <c r="CT12" s="3270"/>
      <c r="CU12" s="3064"/>
      <c r="CV12" s="2479"/>
      <c r="CW12" s="2479"/>
      <c r="CX12" s="2480"/>
      <c r="CY12" s="3270"/>
      <c r="CZ12" s="2479"/>
      <c r="DA12" s="4016"/>
    </row>
    <row r="13" spans="1:110" ht="21.75" customHeight="1" x14ac:dyDescent="0.25">
      <c r="A13" s="2478" t="s">
        <v>1371</v>
      </c>
      <c r="B13" s="2509">
        <f>SUM('3.2 Cofogos'!E120)</f>
        <v>9310000</v>
      </c>
      <c r="C13" s="3008">
        <f t="shared" si="13"/>
        <v>5410000</v>
      </c>
      <c r="D13" s="2503">
        <f>SUM('3.2 Cofogos'!G120)</f>
        <v>14720000</v>
      </c>
      <c r="E13" s="2503">
        <f>SUM('3.2 Cofogos'!H120)</f>
        <v>2200000</v>
      </c>
      <c r="F13" s="2503">
        <f>SUM('3.2 Cofogos'!I120)</f>
        <v>16920000</v>
      </c>
      <c r="G13" s="2503"/>
      <c r="H13" s="2503">
        <f>SUM('3.2 Cofogos'!K120)</f>
        <v>16920000</v>
      </c>
      <c r="I13" s="3979">
        <f>SUM('3.2 Cofogos'!L120)</f>
        <v>13250000</v>
      </c>
      <c r="J13" s="2509">
        <f t="shared" si="19"/>
        <v>9310000</v>
      </c>
      <c r="K13" s="2510">
        <f t="shared" si="20"/>
        <v>5410000</v>
      </c>
      <c r="L13" s="2503">
        <f t="shared" si="21"/>
        <v>14720000</v>
      </c>
      <c r="M13" s="2503">
        <f t="shared" si="22"/>
        <v>2200000</v>
      </c>
      <c r="N13" s="2503">
        <f t="shared" si="23"/>
        <v>16920000</v>
      </c>
      <c r="O13" s="2503">
        <f t="shared" si="25"/>
        <v>0</v>
      </c>
      <c r="P13" s="2503">
        <f t="shared" si="24"/>
        <v>16920000</v>
      </c>
      <c r="Q13" s="3979">
        <f t="shared" si="24"/>
        <v>13250000</v>
      </c>
      <c r="R13" s="3974"/>
      <c r="S13" s="2481"/>
      <c r="T13" s="2938"/>
      <c r="U13" s="2938"/>
      <c r="V13" s="2938"/>
      <c r="W13" s="2938"/>
      <c r="X13" s="2938"/>
      <c r="Y13" s="3977"/>
      <c r="Z13" s="3974"/>
      <c r="AA13" s="2481"/>
      <c r="AB13" s="2481"/>
      <c r="AC13" s="2481"/>
      <c r="AD13" s="2481"/>
      <c r="AE13" s="2481"/>
      <c r="AF13" s="2481"/>
      <c r="AG13" s="3991"/>
      <c r="AH13" s="3987"/>
      <c r="AI13" s="2481"/>
      <c r="AJ13" s="2481"/>
      <c r="AK13" s="2481"/>
      <c r="AL13" s="2481"/>
      <c r="AM13" s="2481"/>
      <c r="AN13" s="2481"/>
      <c r="AO13" s="3991"/>
      <c r="AP13" s="3987"/>
      <c r="AQ13" s="2481"/>
      <c r="AR13" s="2481"/>
      <c r="AS13" s="2481"/>
      <c r="AT13" s="2481"/>
      <c r="AU13" s="2481"/>
      <c r="AV13" s="2481"/>
      <c r="AW13" s="3991"/>
      <c r="AX13" s="3987"/>
      <c r="AY13" s="2481"/>
      <c r="AZ13" s="2481"/>
      <c r="BA13" s="2481"/>
      <c r="BB13" s="2481"/>
      <c r="BC13" s="2481"/>
      <c r="BD13" s="2481"/>
      <c r="BE13" s="3991"/>
      <c r="BF13" s="3987"/>
      <c r="BG13" s="2481"/>
      <c r="BH13" s="2481"/>
      <c r="BI13" s="2481"/>
      <c r="BJ13" s="2481"/>
      <c r="BK13" s="2481"/>
      <c r="BL13" s="2481"/>
      <c r="BM13" s="2481"/>
      <c r="BN13" s="2481"/>
      <c r="BO13" s="2481"/>
      <c r="BP13" s="2481"/>
      <c r="BQ13" s="2481"/>
      <c r="BR13" s="2481"/>
      <c r="BS13" s="2481"/>
      <c r="BT13" s="2481"/>
      <c r="BU13" s="3991"/>
      <c r="BV13" s="3999">
        <v>9310000</v>
      </c>
      <c r="BW13" s="3994">
        <v>9310000</v>
      </c>
      <c r="BX13" s="3995">
        <v>9310000</v>
      </c>
      <c r="BY13" s="3995"/>
      <c r="BZ13" s="3995">
        <v>9310000</v>
      </c>
      <c r="CA13" s="3995"/>
      <c r="CB13" s="4023">
        <v>9310000</v>
      </c>
      <c r="CC13" s="4024"/>
      <c r="CD13" s="3987"/>
      <c r="CE13" s="2938"/>
      <c r="CF13" s="2938">
        <f>SUM(C13)</f>
        <v>5410000</v>
      </c>
      <c r="CG13" s="2938">
        <f>SUM(D13)</f>
        <v>14720000</v>
      </c>
      <c r="CH13" s="2938">
        <v>5410000</v>
      </c>
      <c r="CI13" s="2938"/>
      <c r="CJ13" s="3994">
        <v>5410000</v>
      </c>
      <c r="CK13" s="4005">
        <v>5410000</v>
      </c>
      <c r="CL13" s="3270">
        <f t="shared" si="14"/>
        <v>0</v>
      </c>
      <c r="CM13" s="2479">
        <f t="shared" si="15"/>
        <v>-3900000</v>
      </c>
      <c r="CN13" s="2479">
        <f t="shared" si="16"/>
        <v>0</v>
      </c>
      <c r="CO13" s="2479">
        <f t="shared" si="17"/>
        <v>-12520000</v>
      </c>
      <c r="CP13" s="2479">
        <f t="shared" si="18"/>
        <v>2200000</v>
      </c>
      <c r="CQ13" s="2479"/>
      <c r="CR13" s="2479">
        <f t="shared" si="11"/>
        <v>2200000</v>
      </c>
      <c r="CS13" s="2480">
        <f t="shared" si="12"/>
        <v>7840000</v>
      </c>
      <c r="CT13" s="3270"/>
      <c r="CU13" s="3064"/>
      <c r="CV13" s="2479"/>
      <c r="CW13" s="2479"/>
      <c r="CX13" s="2480"/>
      <c r="CY13" s="3270"/>
      <c r="CZ13" s="2479"/>
      <c r="DA13" s="4016"/>
    </row>
    <row r="14" spans="1:110" ht="21.75" customHeight="1" x14ac:dyDescent="0.25">
      <c r="A14" s="2478" t="s">
        <v>1372</v>
      </c>
      <c r="B14" s="2509">
        <f>SUM('3.2 Cofogos'!E132)</f>
        <v>31485000</v>
      </c>
      <c r="C14" s="3008">
        <f t="shared" si="13"/>
        <v>58154213</v>
      </c>
      <c r="D14" s="2503">
        <f>SUM('3.2 Cofogos'!G132)</f>
        <v>89639213</v>
      </c>
      <c r="E14" s="2503">
        <f>SUM('3.2 Cofogos'!H132)</f>
        <v>20329250</v>
      </c>
      <c r="F14" s="2503">
        <f>SUM('3.2 Cofogos'!I132)</f>
        <v>110088463</v>
      </c>
      <c r="G14" s="2503"/>
      <c r="H14" s="2503">
        <f>SUM('3.2 Cofogos'!K132)</f>
        <v>110088463</v>
      </c>
      <c r="I14" s="3979">
        <f>SUM('3.2 Cofogos'!L132)</f>
        <v>103157369</v>
      </c>
      <c r="J14" s="2509">
        <f t="shared" si="19"/>
        <v>31485000</v>
      </c>
      <c r="K14" s="2510">
        <f t="shared" si="20"/>
        <v>58154213</v>
      </c>
      <c r="L14" s="2503">
        <f t="shared" si="21"/>
        <v>89639213</v>
      </c>
      <c r="M14" s="2503">
        <f t="shared" si="22"/>
        <v>20329250</v>
      </c>
      <c r="N14" s="2503">
        <f t="shared" si="23"/>
        <v>110088463</v>
      </c>
      <c r="O14" s="2503">
        <f t="shared" si="25"/>
        <v>0</v>
      </c>
      <c r="P14" s="2503">
        <f t="shared" si="24"/>
        <v>110088463</v>
      </c>
      <c r="Q14" s="3979">
        <f t="shared" si="24"/>
        <v>103157369</v>
      </c>
      <c r="R14" s="3974"/>
      <c r="S14" s="2481"/>
      <c r="T14" s="2938"/>
      <c r="U14" s="2938"/>
      <c r="V14" s="2938"/>
      <c r="W14" s="2938"/>
      <c r="X14" s="2938"/>
      <c r="Y14" s="3977"/>
      <c r="Z14" s="3974"/>
      <c r="AA14" s="2481"/>
      <c r="AB14" s="2481"/>
      <c r="AC14" s="2481"/>
      <c r="AD14" s="2481"/>
      <c r="AE14" s="2481"/>
      <c r="AF14" s="2481"/>
      <c r="AG14" s="3991"/>
      <c r="AH14" s="3987"/>
      <c r="AI14" s="2481"/>
      <c r="AJ14" s="2481"/>
      <c r="AK14" s="2481"/>
      <c r="AL14" s="2481"/>
      <c r="AM14" s="2481"/>
      <c r="AN14" s="2481"/>
      <c r="AO14" s="3991"/>
      <c r="AP14" s="3987"/>
      <c r="AQ14" s="2481"/>
      <c r="AR14" s="2481"/>
      <c r="AS14" s="2481"/>
      <c r="AT14" s="2481"/>
      <c r="AU14" s="2481"/>
      <c r="AV14" s="2481"/>
      <c r="AW14" s="3991"/>
      <c r="AX14" s="3987"/>
      <c r="AY14" s="2481"/>
      <c r="AZ14" s="2481"/>
      <c r="BA14" s="2481"/>
      <c r="BB14" s="2481"/>
      <c r="BC14" s="2481"/>
      <c r="BD14" s="2481"/>
      <c r="BE14" s="3991"/>
      <c r="BF14" s="3987"/>
      <c r="BG14" s="2481"/>
      <c r="BH14" s="2481"/>
      <c r="BI14" s="2481"/>
      <c r="BJ14" s="2481"/>
      <c r="BK14" s="2481"/>
      <c r="BL14" s="2481"/>
      <c r="BM14" s="2481"/>
      <c r="BN14" s="2481"/>
      <c r="BO14" s="2481"/>
      <c r="BP14" s="2481"/>
      <c r="BQ14" s="2481"/>
      <c r="BR14" s="2481"/>
      <c r="BS14" s="2481"/>
      <c r="BT14" s="2481"/>
      <c r="BU14" s="3991"/>
      <c r="BV14" s="3999">
        <v>31485000</v>
      </c>
      <c r="BW14" s="3994">
        <v>31485000</v>
      </c>
      <c r="BX14" s="3995">
        <v>31485000</v>
      </c>
      <c r="BY14" s="3995"/>
      <c r="BZ14" s="3995">
        <v>31485000</v>
      </c>
      <c r="CA14" s="3995"/>
      <c r="CB14" s="4023">
        <v>31485000</v>
      </c>
      <c r="CC14" s="4024">
        <v>31485000</v>
      </c>
      <c r="CD14" s="3987"/>
      <c r="CE14" s="2938"/>
      <c r="CF14" s="2938">
        <f>SUM(C14)</f>
        <v>58154213</v>
      </c>
      <c r="CG14" s="2938">
        <f>SUM(D14)</f>
        <v>89639213</v>
      </c>
      <c r="CH14" s="2938">
        <v>58154213</v>
      </c>
      <c r="CI14" s="2938"/>
      <c r="CJ14" s="3994">
        <v>58154213</v>
      </c>
      <c r="CK14" s="4005">
        <v>58154213</v>
      </c>
      <c r="CL14" s="3270">
        <f t="shared" si="14"/>
        <v>0</v>
      </c>
      <c r="CM14" s="2479">
        <f t="shared" si="15"/>
        <v>26669213</v>
      </c>
      <c r="CN14" s="2479">
        <f t="shared" si="16"/>
        <v>0</v>
      </c>
      <c r="CO14" s="2479">
        <f t="shared" si="17"/>
        <v>-69309963</v>
      </c>
      <c r="CP14" s="2479">
        <f t="shared" si="18"/>
        <v>20449250</v>
      </c>
      <c r="CQ14" s="2479"/>
      <c r="CR14" s="2479">
        <f t="shared" si="11"/>
        <v>20449250</v>
      </c>
      <c r="CS14" s="2480">
        <f t="shared" si="12"/>
        <v>13518156</v>
      </c>
      <c r="CT14" s="3270"/>
      <c r="CU14" s="3064"/>
      <c r="CV14" s="2479"/>
      <c r="CW14" s="2479"/>
      <c r="CX14" s="2480"/>
      <c r="CY14" s="3270"/>
      <c r="CZ14" s="2479"/>
      <c r="DA14" s="4016"/>
    </row>
    <row r="15" spans="1:110" ht="21.75" customHeight="1" x14ac:dyDescent="0.25">
      <c r="A15" s="2478" t="s">
        <v>1373</v>
      </c>
      <c r="B15" s="2509">
        <f>SUM('3.2 Cofogos'!E157)</f>
        <v>35092000</v>
      </c>
      <c r="C15" s="3008">
        <f t="shared" si="13"/>
        <v>26756560</v>
      </c>
      <c r="D15" s="2503">
        <f>SUM('3.2 Cofogos'!G157)</f>
        <v>61848560</v>
      </c>
      <c r="E15" s="2503">
        <f>SUM('3.2 Cofogos'!H157)</f>
        <v>26338000</v>
      </c>
      <c r="F15" s="2503">
        <f>SUM('3.2 Cofogos'!I157)</f>
        <v>98055360</v>
      </c>
      <c r="G15" s="2503"/>
      <c r="H15" s="2503">
        <f>SUM('3.2 Cofogos'!K157)</f>
        <v>98055360</v>
      </c>
      <c r="I15" s="3979">
        <f>SUM('3.2 Cofogos'!L157)</f>
        <v>49694650</v>
      </c>
      <c r="J15" s="2509">
        <f t="shared" si="19"/>
        <v>35092000</v>
      </c>
      <c r="K15" s="2510">
        <f t="shared" si="20"/>
        <v>26756560</v>
      </c>
      <c r="L15" s="2503">
        <f t="shared" si="21"/>
        <v>61848560</v>
      </c>
      <c r="M15" s="2503">
        <f t="shared" si="22"/>
        <v>26338000</v>
      </c>
      <c r="N15" s="2503">
        <f t="shared" si="23"/>
        <v>98055360</v>
      </c>
      <c r="O15" s="2503">
        <f t="shared" si="25"/>
        <v>0</v>
      </c>
      <c r="P15" s="2503">
        <f t="shared" si="24"/>
        <v>98055360</v>
      </c>
      <c r="Q15" s="3979">
        <f t="shared" si="24"/>
        <v>49694650</v>
      </c>
      <c r="R15" s="3974"/>
      <c r="S15" s="2481"/>
      <c r="T15" s="2938"/>
      <c r="U15" s="2938"/>
      <c r="V15" s="2938"/>
      <c r="W15" s="2938"/>
      <c r="X15" s="2938"/>
      <c r="Y15" s="3977"/>
      <c r="Z15" s="3974"/>
      <c r="AA15" s="2481"/>
      <c r="AB15" s="2481"/>
      <c r="AC15" s="2481"/>
      <c r="AD15" s="2481"/>
      <c r="AE15" s="2481"/>
      <c r="AF15" s="2481"/>
      <c r="AG15" s="3991"/>
      <c r="AH15" s="3987"/>
      <c r="AI15" s="2481"/>
      <c r="AJ15" s="2481">
        <v>9231055</v>
      </c>
      <c r="AK15" s="2481"/>
      <c r="AL15" s="2481">
        <v>9231055</v>
      </c>
      <c r="AM15" s="2481"/>
      <c r="AN15" s="2481">
        <v>9231055</v>
      </c>
      <c r="AO15" s="3993">
        <v>9231055</v>
      </c>
      <c r="AP15" s="3987"/>
      <c r="AQ15" s="2481"/>
      <c r="AR15" s="2481"/>
      <c r="AS15" s="2481"/>
      <c r="AT15" s="2481"/>
      <c r="AU15" s="2481"/>
      <c r="AV15" s="2481"/>
      <c r="AW15" s="3991"/>
      <c r="AX15" s="3987"/>
      <c r="AY15" s="2481"/>
      <c r="AZ15" s="2481"/>
      <c r="BA15" s="2481"/>
      <c r="BB15" s="2481"/>
      <c r="BC15" s="2481"/>
      <c r="BD15" s="2481"/>
      <c r="BE15" s="3991"/>
      <c r="BF15" s="3987"/>
      <c r="BG15" s="2481"/>
      <c r="BH15" s="2481"/>
      <c r="BI15" s="2481"/>
      <c r="BJ15" s="2481"/>
      <c r="BK15" s="2481"/>
      <c r="BL15" s="2481"/>
      <c r="BM15" s="2481"/>
      <c r="BN15" s="2481"/>
      <c r="BO15" s="2481"/>
      <c r="BP15" s="2481"/>
      <c r="BQ15" s="2481"/>
      <c r="BR15" s="2481"/>
      <c r="BS15" s="2481"/>
      <c r="BT15" s="2481"/>
      <c r="BU15" s="3991"/>
      <c r="BV15" s="3999">
        <v>35092000</v>
      </c>
      <c r="BW15" s="3994">
        <v>35092000</v>
      </c>
      <c r="BX15" s="3995">
        <v>35092000</v>
      </c>
      <c r="BY15" s="3995"/>
      <c r="BZ15" s="3995">
        <v>35092000</v>
      </c>
      <c r="CA15" s="3995"/>
      <c r="CB15" s="4023">
        <v>35092000</v>
      </c>
      <c r="CC15" s="4024"/>
      <c r="CD15" s="3987"/>
      <c r="CE15" s="2938"/>
      <c r="CF15" s="2938">
        <v>11654714</v>
      </c>
      <c r="CG15" s="2938">
        <v>11654714</v>
      </c>
      <c r="CH15" s="2938">
        <v>11654714</v>
      </c>
      <c r="CI15" s="2938"/>
      <c r="CJ15" s="3994">
        <v>11654714</v>
      </c>
      <c r="CK15" s="4005">
        <v>11654714</v>
      </c>
      <c r="CL15" s="3270">
        <f t="shared" si="14"/>
        <v>0</v>
      </c>
      <c r="CM15" s="2479">
        <f t="shared" si="15"/>
        <v>-8335440</v>
      </c>
      <c r="CN15" s="2479">
        <f t="shared" si="16"/>
        <v>5870791</v>
      </c>
      <c r="CO15" s="2479">
        <f t="shared" si="17"/>
        <v>14683286</v>
      </c>
      <c r="CP15" s="2479">
        <f t="shared" si="18"/>
        <v>42077591</v>
      </c>
      <c r="CQ15" s="2479"/>
      <c r="CR15" s="2479">
        <f t="shared" si="11"/>
        <v>42077591</v>
      </c>
      <c r="CS15" s="2480">
        <f t="shared" si="12"/>
        <v>28808881</v>
      </c>
      <c r="CT15" s="3270"/>
      <c r="CU15" s="3064"/>
      <c r="CV15" s="2479"/>
      <c r="CW15" s="2479"/>
      <c r="CX15" s="2480"/>
      <c r="CY15" s="3270"/>
      <c r="CZ15" s="2479"/>
      <c r="DA15" s="4016"/>
    </row>
    <row r="16" spans="1:110" ht="21.75" customHeight="1" x14ac:dyDescent="0.25">
      <c r="A16" s="2550" t="s">
        <v>1417</v>
      </c>
      <c r="B16" s="2509">
        <f>SUM('3.2 Cofogos'!E46)</f>
        <v>5000000</v>
      </c>
      <c r="C16" s="3008">
        <f t="shared" si="13"/>
        <v>378000</v>
      </c>
      <c r="D16" s="2503">
        <f>SUM('3.2 Cofogos'!G46)</f>
        <v>5378000</v>
      </c>
      <c r="E16" s="2503">
        <f>SUM('3.2 Cofogos'!H46)</f>
        <v>6550000</v>
      </c>
      <c r="F16" s="2503">
        <f>SUM('3.2 Cofogos'!I46)</f>
        <v>11928000</v>
      </c>
      <c r="G16" s="2503"/>
      <c r="H16" s="2503">
        <f>SUM('3.2 Cofogos'!K46)</f>
        <v>11928000</v>
      </c>
      <c r="I16" s="3979">
        <f>SUM('3.2 Cofogos'!L46)</f>
        <v>5908000</v>
      </c>
      <c r="J16" s="2509">
        <f t="shared" si="19"/>
        <v>5000000</v>
      </c>
      <c r="K16" s="2510">
        <f t="shared" si="20"/>
        <v>378000</v>
      </c>
      <c r="L16" s="2503">
        <f t="shared" si="21"/>
        <v>5378000</v>
      </c>
      <c r="M16" s="2503">
        <f t="shared" si="22"/>
        <v>6550000</v>
      </c>
      <c r="N16" s="2503">
        <f t="shared" si="23"/>
        <v>11928000</v>
      </c>
      <c r="O16" s="2503">
        <f t="shared" si="25"/>
        <v>0</v>
      </c>
      <c r="P16" s="2503">
        <f t="shared" si="24"/>
        <v>11928000</v>
      </c>
      <c r="Q16" s="3979">
        <f t="shared" si="24"/>
        <v>5908000</v>
      </c>
      <c r="R16" s="3974"/>
      <c r="S16" s="2481"/>
      <c r="T16" s="2938"/>
      <c r="U16" s="2938"/>
      <c r="V16" s="2938"/>
      <c r="W16" s="2938"/>
      <c r="X16" s="2938"/>
      <c r="Y16" s="3977"/>
      <c r="Z16" s="3974"/>
      <c r="AA16" s="2481"/>
      <c r="AB16" s="2481"/>
      <c r="AC16" s="2481"/>
      <c r="AD16" s="2481"/>
      <c r="AE16" s="2481"/>
      <c r="AF16" s="2481"/>
      <c r="AG16" s="3991"/>
      <c r="AH16" s="3987"/>
      <c r="AI16" s="2481"/>
      <c r="AJ16" s="2481"/>
      <c r="AK16" s="2481"/>
      <c r="AL16" s="2481"/>
      <c r="AM16" s="2481"/>
      <c r="AN16" s="2481"/>
      <c r="AO16" s="3991"/>
      <c r="AP16" s="3987"/>
      <c r="AQ16" s="2481"/>
      <c r="AR16" s="2481"/>
      <c r="AS16" s="2481"/>
      <c r="AT16" s="2481"/>
      <c r="AU16" s="2481"/>
      <c r="AV16" s="2481"/>
      <c r="AW16" s="3991"/>
      <c r="AX16" s="3987"/>
      <c r="AY16" s="2481"/>
      <c r="AZ16" s="2481"/>
      <c r="BA16" s="2481"/>
      <c r="BB16" s="2481"/>
      <c r="BC16" s="2481"/>
      <c r="BD16" s="2481"/>
      <c r="BE16" s="3991"/>
      <c r="BF16" s="3987"/>
      <c r="BG16" s="2481"/>
      <c r="BH16" s="2481"/>
      <c r="BI16" s="2481"/>
      <c r="BJ16" s="2481"/>
      <c r="BK16" s="2481"/>
      <c r="BL16" s="2481"/>
      <c r="BM16" s="2481"/>
      <c r="BN16" s="2481"/>
      <c r="BO16" s="2481"/>
      <c r="BP16" s="2481"/>
      <c r="BQ16" s="2481"/>
      <c r="BR16" s="2481"/>
      <c r="BS16" s="2481"/>
      <c r="BT16" s="2481"/>
      <c r="BU16" s="3991"/>
      <c r="BV16" s="3999">
        <v>5000000</v>
      </c>
      <c r="BW16" s="3994">
        <v>5000000</v>
      </c>
      <c r="BX16" s="3995">
        <v>5000000</v>
      </c>
      <c r="BY16" s="3995"/>
      <c r="BZ16" s="3995">
        <v>5000000</v>
      </c>
      <c r="CA16" s="3995"/>
      <c r="CB16" s="4023">
        <v>5000000</v>
      </c>
      <c r="CC16" s="4024">
        <v>5000000</v>
      </c>
      <c r="CD16" s="3987"/>
      <c r="CE16" s="2938"/>
      <c r="CF16" s="2938"/>
      <c r="CG16" s="2938"/>
      <c r="CH16" s="2938"/>
      <c r="CI16" s="2938"/>
      <c r="CJ16" s="3994"/>
      <c r="CK16" s="4005"/>
      <c r="CL16" s="3270">
        <f t="shared" si="14"/>
        <v>0</v>
      </c>
      <c r="CM16" s="2479">
        <f t="shared" si="15"/>
        <v>-4622000</v>
      </c>
      <c r="CN16" s="2479">
        <f t="shared" si="16"/>
        <v>378000</v>
      </c>
      <c r="CO16" s="2479">
        <f t="shared" si="17"/>
        <v>6550000</v>
      </c>
      <c r="CP16" s="2479">
        <f t="shared" si="18"/>
        <v>6928000</v>
      </c>
      <c r="CQ16" s="2479"/>
      <c r="CR16" s="2479">
        <f t="shared" si="11"/>
        <v>6928000</v>
      </c>
      <c r="CS16" s="2480">
        <f t="shared" si="12"/>
        <v>908000</v>
      </c>
      <c r="CT16" s="3270"/>
      <c r="CU16" s="3064"/>
      <c r="CV16" s="2479"/>
      <c r="CW16" s="2479"/>
      <c r="CX16" s="2480"/>
      <c r="CY16" s="3270"/>
      <c r="CZ16" s="2479"/>
      <c r="DA16" s="4016"/>
    </row>
    <row r="17" spans="1:106" ht="21.75" customHeight="1" x14ac:dyDescent="0.25">
      <c r="A17" s="3545" t="s">
        <v>1374</v>
      </c>
      <c r="B17" s="2509">
        <v>0</v>
      </c>
      <c r="C17" s="2509">
        <v>1</v>
      </c>
      <c r="D17" s="2509">
        <v>2</v>
      </c>
      <c r="E17" s="2509">
        <v>3</v>
      </c>
      <c r="F17" s="2509">
        <v>4</v>
      </c>
      <c r="G17" s="2509">
        <v>5</v>
      </c>
      <c r="H17" s="2509"/>
      <c r="I17" s="3981"/>
      <c r="J17" s="2509">
        <f t="shared" si="19"/>
        <v>0</v>
      </c>
      <c r="K17" s="2510">
        <f t="shared" si="20"/>
        <v>1</v>
      </c>
      <c r="L17" s="2503">
        <f t="shared" si="21"/>
        <v>2</v>
      </c>
      <c r="M17" s="2503">
        <f t="shared" si="22"/>
        <v>3</v>
      </c>
      <c r="N17" s="2503">
        <f t="shared" si="23"/>
        <v>4</v>
      </c>
      <c r="O17" s="2503">
        <f t="shared" si="25"/>
        <v>5</v>
      </c>
      <c r="P17" s="2503">
        <f t="shared" si="24"/>
        <v>0</v>
      </c>
      <c r="Q17" s="3979">
        <f t="shared" si="24"/>
        <v>0</v>
      </c>
      <c r="R17" s="3974"/>
      <c r="S17" s="2481"/>
      <c r="T17" s="2938"/>
      <c r="U17" s="2938"/>
      <c r="V17" s="2938"/>
      <c r="W17" s="2938"/>
      <c r="X17" s="2938"/>
      <c r="Y17" s="3977"/>
      <c r="Z17" s="3974"/>
      <c r="AA17" s="2481"/>
      <c r="AB17" s="2481"/>
      <c r="AC17" s="2481"/>
      <c r="AD17" s="2481"/>
      <c r="AE17" s="2481"/>
      <c r="AF17" s="2481"/>
      <c r="AG17" s="3991"/>
      <c r="AH17" s="3987"/>
      <c r="AI17" s="2481"/>
      <c r="AJ17" s="2481"/>
      <c r="AK17" s="2481"/>
      <c r="AL17" s="2481"/>
      <c r="AM17" s="2481"/>
      <c r="AN17" s="2481"/>
      <c r="AO17" s="3991"/>
      <c r="AP17" s="3987"/>
      <c r="AQ17" s="2481"/>
      <c r="AR17" s="2481"/>
      <c r="AS17" s="2481"/>
      <c r="AT17" s="2481"/>
      <c r="AU17" s="2481"/>
      <c r="AV17" s="2481"/>
      <c r="AW17" s="3991"/>
      <c r="AX17" s="3987"/>
      <c r="AY17" s="2481"/>
      <c r="AZ17" s="2481"/>
      <c r="BA17" s="2481"/>
      <c r="BB17" s="2481"/>
      <c r="BC17" s="2481"/>
      <c r="BD17" s="2481"/>
      <c r="BE17" s="3991"/>
      <c r="BF17" s="3987"/>
      <c r="BG17" s="2481"/>
      <c r="BH17" s="2481"/>
      <c r="BI17" s="2481"/>
      <c r="BJ17" s="2481"/>
      <c r="BK17" s="2481"/>
      <c r="BL17" s="2481"/>
      <c r="BM17" s="2481"/>
      <c r="BN17" s="2481"/>
      <c r="BO17" s="2481"/>
      <c r="BP17" s="2481"/>
      <c r="BQ17" s="2481"/>
      <c r="BR17" s="2481"/>
      <c r="BS17" s="2481"/>
      <c r="BT17" s="2481"/>
      <c r="BU17" s="3991"/>
      <c r="BV17" s="3996"/>
      <c r="BW17" s="3997"/>
      <c r="BX17" s="3998"/>
      <c r="BY17" s="3998"/>
      <c r="BZ17" s="3998"/>
      <c r="CA17" s="3998"/>
      <c r="CB17" s="4025"/>
      <c r="CC17" s="4026"/>
      <c r="CD17" s="3987"/>
      <c r="CE17" s="2938"/>
      <c r="CF17" s="2938"/>
      <c r="CG17" s="2938"/>
      <c r="CH17" s="2938"/>
      <c r="CI17" s="2938"/>
      <c r="CJ17" s="3994"/>
      <c r="CK17" s="4005"/>
      <c r="CL17" s="3270">
        <f t="shared" si="14"/>
        <v>0</v>
      </c>
      <c r="CM17" s="2479">
        <f t="shared" si="15"/>
        <v>1</v>
      </c>
      <c r="CN17" s="2479">
        <f t="shared" si="16"/>
        <v>2</v>
      </c>
      <c r="CO17" s="2479">
        <f t="shared" si="17"/>
        <v>3</v>
      </c>
      <c r="CP17" s="2479">
        <f t="shared" si="18"/>
        <v>4</v>
      </c>
      <c r="CQ17" s="2479"/>
      <c r="CR17" s="2479">
        <f t="shared" si="11"/>
        <v>0</v>
      </c>
      <c r="CS17" s="2480">
        <f t="shared" si="12"/>
        <v>0</v>
      </c>
      <c r="CT17" s="3270"/>
      <c r="CU17" s="3064"/>
      <c r="CV17" s="2479"/>
      <c r="CW17" s="2479"/>
      <c r="CX17" s="2480"/>
      <c r="CY17" s="3270"/>
      <c r="CZ17" s="2479"/>
      <c r="DA17" s="4016"/>
    </row>
    <row r="18" spans="1:106" ht="21.75" customHeight="1" x14ac:dyDescent="0.25">
      <c r="A18" s="2550" t="s">
        <v>1375</v>
      </c>
      <c r="B18" s="2509">
        <f>SUM('3.2 Cofogos'!E278)</f>
        <v>20000000</v>
      </c>
      <c r="C18" s="2509">
        <f>SUM('3.2 Cofogos'!F278)</f>
        <v>-20000000</v>
      </c>
      <c r="D18" s="2509">
        <f>SUM('3.2 Cofogos'!G278)</f>
        <v>0</v>
      </c>
      <c r="E18" s="2509">
        <f>SUM('3.2 Cofogos'!H278)</f>
        <v>0</v>
      </c>
      <c r="F18" s="2509">
        <f>SUM('3.2 Cofogos'!I278)</f>
        <v>0</v>
      </c>
      <c r="G18" s="2509">
        <f>SUM('3.2 Cofogos'!J278)</f>
        <v>0</v>
      </c>
      <c r="H18" s="2509">
        <f>SUM('3.2 Cofogos'!K278)</f>
        <v>0</v>
      </c>
      <c r="I18" s="3981">
        <f>SUM('3.2 Cofogos'!L278)</f>
        <v>0</v>
      </c>
      <c r="J18" s="2509">
        <f t="shared" si="19"/>
        <v>20000000</v>
      </c>
      <c r="K18" s="2510">
        <f t="shared" si="20"/>
        <v>-20000000</v>
      </c>
      <c r="L18" s="2503">
        <f t="shared" si="21"/>
        <v>0</v>
      </c>
      <c r="M18" s="2503">
        <f t="shared" si="22"/>
        <v>0</v>
      </c>
      <c r="N18" s="2503">
        <f t="shared" si="23"/>
        <v>0</v>
      </c>
      <c r="O18" s="2503">
        <f t="shared" si="25"/>
        <v>0</v>
      </c>
      <c r="P18" s="2503">
        <f t="shared" si="24"/>
        <v>0</v>
      </c>
      <c r="Q18" s="3979">
        <f t="shared" si="24"/>
        <v>0</v>
      </c>
      <c r="R18" s="3974"/>
      <c r="S18" s="2481"/>
      <c r="T18" s="2938"/>
      <c r="U18" s="2938"/>
      <c r="V18" s="2938"/>
      <c r="W18" s="2938"/>
      <c r="X18" s="2938"/>
      <c r="Y18" s="3977"/>
      <c r="Z18" s="3974"/>
      <c r="AA18" s="2481"/>
      <c r="AB18" s="2481"/>
      <c r="AC18" s="2481"/>
      <c r="AD18" s="2481"/>
      <c r="AE18" s="2481"/>
      <c r="AF18" s="2481"/>
      <c r="AG18" s="3991"/>
      <c r="AH18" s="3987"/>
      <c r="AI18" s="2481"/>
      <c r="AJ18" s="2481"/>
      <c r="AK18" s="2481"/>
      <c r="AL18" s="2481"/>
      <c r="AM18" s="2481"/>
      <c r="AN18" s="2481"/>
      <c r="AO18" s="3991"/>
      <c r="AP18" s="3987"/>
      <c r="AQ18" s="2481"/>
      <c r="AR18" s="2481"/>
      <c r="AS18" s="2481"/>
      <c r="AT18" s="2481"/>
      <c r="AU18" s="2481"/>
      <c r="AV18" s="2481"/>
      <c r="AW18" s="3991"/>
      <c r="AX18" s="3987"/>
      <c r="AY18" s="2481"/>
      <c r="AZ18" s="2481"/>
      <c r="BA18" s="2481"/>
      <c r="BB18" s="2481"/>
      <c r="BC18" s="2481"/>
      <c r="BD18" s="2481"/>
      <c r="BE18" s="3991"/>
      <c r="BF18" s="3987"/>
      <c r="BG18" s="2481"/>
      <c r="BH18" s="2481"/>
      <c r="BI18" s="2481"/>
      <c r="BJ18" s="2481"/>
      <c r="BK18" s="2481"/>
      <c r="BL18" s="2481"/>
      <c r="BM18" s="2481"/>
      <c r="BN18" s="2481"/>
      <c r="BO18" s="2481"/>
      <c r="BP18" s="2481"/>
      <c r="BQ18" s="2481"/>
      <c r="BR18" s="2481"/>
      <c r="BS18" s="2481"/>
      <c r="BT18" s="2481"/>
      <c r="BU18" s="3991"/>
      <c r="BV18" s="3996"/>
      <c r="BW18" s="3997"/>
      <c r="BX18" s="3998"/>
      <c r="BY18" s="3998"/>
      <c r="BZ18" s="3998"/>
      <c r="CA18" s="3998"/>
      <c r="CB18" s="4025"/>
      <c r="CC18" s="4026"/>
      <c r="CD18" s="3987"/>
      <c r="CE18" s="2938"/>
      <c r="CF18" s="2938"/>
      <c r="CG18" s="2938"/>
      <c r="CH18" s="2938"/>
      <c r="CI18" s="2938"/>
      <c r="CJ18" s="3994"/>
      <c r="CK18" s="4005"/>
      <c r="CL18" s="3270">
        <f t="shared" si="14"/>
        <v>20000000</v>
      </c>
      <c r="CM18" s="2479">
        <f t="shared" si="15"/>
        <v>-20000000</v>
      </c>
      <c r="CN18" s="2479">
        <f t="shared" si="16"/>
        <v>0</v>
      </c>
      <c r="CO18" s="2479">
        <f t="shared" si="17"/>
        <v>0</v>
      </c>
      <c r="CP18" s="2479">
        <f t="shared" si="18"/>
        <v>0</v>
      </c>
      <c r="CQ18" s="2479"/>
      <c r="CR18" s="2479">
        <f t="shared" si="11"/>
        <v>0</v>
      </c>
      <c r="CS18" s="2480">
        <f t="shared" si="12"/>
        <v>0</v>
      </c>
      <c r="CT18" s="3270"/>
      <c r="CU18" s="3064"/>
      <c r="CV18" s="2479"/>
      <c r="CW18" s="2479"/>
      <c r="CX18" s="2480"/>
      <c r="CY18" s="3270"/>
      <c r="CZ18" s="2479"/>
      <c r="DA18" s="4016"/>
    </row>
    <row r="19" spans="1:106" ht="21.75" customHeight="1" x14ac:dyDescent="0.25">
      <c r="A19" s="3545" t="s">
        <v>1418</v>
      </c>
      <c r="B19" s="2509">
        <v>35560000</v>
      </c>
      <c r="C19" s="3008">
        <f t="shared" si="13"/>
        <v>9759992</v>
      </c>
      <c r="D19" s="2503">
        <v>45319992</v>
      </c>
      <c r="E19" s="2503">
        <v>45319992</v>
      </c>
      <c r="F19" s="2503">
        <v>45319992</v>
      </c>
      <c r="G19" s="2503"/>
      <c r="H19" s="2503">
        <v>35560000</v>
      </c>
      <c r="I19" s="3979">
        <v>35560000</v>
      </c>
      <c r="J19" s="2509">
        <f t="shared" si="19"/>
        <v>35560000</v>
      </c>
      <c r="K19" s="2510">
        <f t="shared" si="20"/>
        <v>9759992</v>
      </c>
      <c r="L19" s="2503">
        <f t="shared" si="21"/>
        <v>45319992</v>
      </c>
      <c r="M19" s="2503">
        <f t="shared" si="22"/>
        <v>45319992</v>
      </c>
      <c r="N19" s="2503">
        <f t="shared" si="23"/>
        <v>45319992</v>
      </c>
      <c r="O19" s="2503">
        <f t="shared" si="25"/>
        <v>0</v>
      </c>
      <c r="P19" s="2503">
        <f t="shared" si="24"/>
        <v>35560000</v>
      </c>
      <c r="Q19" s="3979">
        <f t="shared" si="24"/>
        <v>35560000</v>
      </c>
      <c r="R19" s="3974"/>
      <c r="S19" s="2481"/>
      <c r="T19" s="2938"/>
      <c r="U19" s="2938"/>
      <c r="V19" s="2938"/>
      <c r="W19" s="2938"/>
      <c r="X19" s="2938"/>
      <c r="Y19" s="3977"/>
      <c r="Z19" s="3974"/>
      <c r="AA19" s="2481"/>
      <c r="AB19" s="2481"/>
      <c r="AC19" s="2481"/>
      <c r="AD19" s="2481"/>
      <c r="AE19" s="2481"/>
      <c r="AF19" s="2481"/>
      <c r="AG19" s="3991"/>
      <c r="AH19" s="3987"/>
      <c r="AI19" s="2481"/>
      <c r="AJ19" s="2481"/>
      <c r="AK19" s="2481"/>
      <c r="AL19" s="2481"/>
      <c r="AM19" s="2481"/>
      <c r="AN19" s="2481"/>
      <c r="AO19" s="3991"/>
      <c r="AP19" s="3987"/>
      <c r="AQ19" s="2481"/>
      <c r="AR19" s="2481"/>
      <c r="AS19" s="2481"/>
      <c r="AT19" s="2481"/>
      <c r="AU19" s="2481"/>
      <c r="AV19" s="2481"/>
      <c r="AW19" s="3991"/>
      <c r="AX19" s="3987"/>
      <c r="AY19" s="2481"/>
      <c r="AZ19" s="2481"/>
      <c r="BA19" s="2481"/>
      <c r="BB19" s="2481"/>
      <c r="BC19" s="2481"/>
      <c r="BD19" s="2481"/>
      <c r="BE19" s="3991"/>
      <c r="BF19" s="3987"/>
      <c r="BG19" s="2481"/>
      <c r="BH19" s="2481"/>
      <c r="BI19" s="2481"/>
      <c r="BJ19" s="2481"/>
      <c r="BK19" s="2481"/>
      <c r="BL19" s="2481"/>
      <c r="BM19" s="2481"/>
      <c r="BN19" s="2481"/>
      <c r="BO19" s="2481"/>
      <c r="BP19" s="2481"/>
      <c r="BQ19" s="2481"/>
      <c r="BR19" s="2481"/>
      <c r="BS19" s="2481"/>
      <c r="BT19" s="2481"/>
      <c r="BU19" s="3991"/>
      <c r="BV19" s="3996"/>
      <c r="BW19" s="3997"/>
      <c r="BX19" s="3998">
        <v>35560000</v>
      </c>
      <c r="BY19" s="3998"/>
      <c r="BZ19" s="3998">
        <v>35560000</v>
      </c>
      <c r="CA19" s="3998"/>
      <c r="CB19" s="4069">
        <v>25800008</v>
      </c>
      <c r="CC19" s="4070">
        <v>25800008</v>
      </c>
      <c r="CD19" s="3987"/>
      <c r="CE19" s="2938"/>
      <c r="CF19" s="2938">
        <v>9759992</v>
      </c>
      <c r="CG19" s="2938">
        <v>9759992</v>
      </c>
      <c r="CH19" s="2938">
        <v>9759992</v>
      </c>
      <c r="CI19" s="2938"/>
      <c r="CJ19" s="3994">
        <v>9759992</v>
      </c>
      <c r="CK19" s="4005">
        <v>9759992</v>
      </c>
      <c r="CL19" s="3270">
        <f t="shared" si="14"/>
        <v>35560000</v>
      </c>
      <c r="CM19" s="2479">
        <f t="shared" si="15"/>
        <v>9759992</v>
      </c>
      <c r="CN19" s="2479">
        <f t="shared" si="16"/>
        <v>0</v>
      </c>
      <c r="CO19" s="2479">
        <f t="shared" si="17"/>
        <v>35560000</v>
      </c>
      <c r="CP19" s="2479">
        <f t="shared" si="18"/>
        <v>0</v>
      </c>
      <c r="CQ19" s="2479"/>
      <c r="CR19" s="2479">
        <f t="shared" si="11"/>
        <v>0</v>
      </c>
      <c r="CS19" s="2480">
        <f t="shared" si="12"/>
        <v>0</v>
      </c>
      <c r="CT19" s="3270"/>
      <c r="CU19" s="3064"/>
      <c r="CV19" s="2479"/>
      <c r="CW19" s="2479"/>
      <c r="CX19" s="2480"/>
      <c r="CY19" s="3270"/>
      <c r="CZ19" s="2479"/>
      <c r="DA19" s="4016"/>
    </row>
    <row r="20" spans="1:106" ht="21.75" customHeight="1" x14ac:dyDescent="0.25">
      <c r="A20" s="2550" t="s">
        <v>1419</v>
      </c>
      <c r="B20" s="2509">
        <v>5080000</v>
      </c>
      <c r="C20" s="3008">
        <f t="shared" si="13"/>
        <v>0</v>
      </c>
      <c r="D20" s="2509">
        <v>5080000</v>
      </c>
      <c r="E20" s="2509">
        <v>5080000</v>
      </c>
      <c r="F20" s="2509">
        <v>5080000</v>
      </c>
      <c r="G20" s="2509"/>
      <c r="H20" s="2509">
        <v>5080000</v>
      </c>
      <c r="I20" s="3981">
        <v>5080000</v>
      </c>
      <c r="J20" s="2509">
        <f t="shared" si="19"/>
        <v>5080000</v>
      </c>
      <c r="K20" s="2510">
        <f t="shared" si="20"/>
        <v>0</v>
      </c>
      <c r="L20" s="2503">
        <f t="shared" si="21"/>
        <v>5080000</v>
      </c>
      <c r="M20" s="2503">
        <f t="shared" si="22"/>
        <v>5080000</v>
      </c>
      <c r="N20" s="2503">
        <f t="shared" si="23"/>
        <v>5080000</v>
      </c>
      <c r="O20" s="2503">
        <f t="shared" si="25"/>
        <v>0</v>
      </c>
      <c r="P20" s="2503">
        <f t="shared" si="24"/>
        <v>5080000</v>
      </c>
      <c r="Q20" s="3979">
        <f t="shared" si="24"/>
        <v>5080000</v>
      </c>
      <c r="R20" s="3974"/>
      <c r="S20" s="2481"/>
      <c r="T20" s="2938"/>
      <c r="U20" s="2938"/>
      <c r="V20" s="2938"/>
      <c r="W20" s="2938"/>
      <c r="X20" s="2938"/>
      <c r="Y20" s="3977"/>
      <c r="Z20" s="3974"/>
      <c r="AA20" s="2481"/>
      <c r="AB20" s="2481"/>
      <c r="AC20" s="2481"/>
      <c r="AD20" s="2481"/>
      <c r="AE20" s="2481"/>
      <c r="AF20" s="2481"/>
      <c r="AG20" s="3991"/>
      <c r="AH20" s="3987"/>
      <c r="AI20" s="2481"/>
      <c r="AJ20" s="2481"/>
      <c r="AK20" s="2481"/>
      <c r="AL20" s="2481"/>
      <c r="AM20" s="2481"/>
      <c r="AN20" s="2481"/>
      <c r="AO20" s="3991"/>
      <c r="AP20" s="3987"/>
      <c r="AQ20" s="2481"/>
      <c r="AR20" s="2481"/>
      <c r="AS20" s="2481"/>
      <c r="AT20" s="2481"/>
      <c r="AU20" s="2481"/>
      <c r="AV20" s="2481"/>
      <c r="AW20" s="3991"/>
      <c r="AX20" s="3987"/>
      <c r="AY20" s="2481"/>
      <c r="AZ20" s="2481"/>
      <c r="BA20" s="2481"/>
      <c r="BB20" s="2481"/>
      <c r="BC20" s="2481"/>
      <c r="BD20" s="2481"/>
      <c r="BE20" s="3991"/>
      <c r="BF20" s="3987"/>
      <c r="BG20" s="2481"/>
      <c r="BH20" s="2481"/>
      <c r="BI20" s="2481"/>
      <c r="BJ20" s="2481"/>
      <c r="BK20" s="2481"/>
      <c r="BL20" s="2481"/>
      <c r="BM20" s="2481"/>
      <c r="BN20" s="2481"/>
      <c r="BO20" s="2481"/>
      <c r="BP20" s="2481"/>
      <c r="BQ20" s="2481"/>
      <c r="BR20" s="2481"/>
      <c r="BS20" s="2481"/>
      <c r="BT20" s="2481"/>
      <c r="BU20" s="3991"/>
      <c r="BV20" s="3996"/>
      <c r="BW20" s="3997"/>
      <c r="BX20" s="3998"/>
      <c r="BY20" s="3998"/>
      <c r="BZ20" s="3998"/>
      <c r="CA20" s="3998"/>
      <c r="CB20" s="4025"/>
      <c r="CC20" s="4026"/>
      <c r="CD20" s="3987"/>
      <c r="CE20" s="2938"/>
      <c r="CF20" s="2938"/>
      <c r="CG20" s="2938"/>
      <c r="CH20" s="2938"/>
      <c r="CI20" s="2938"/>
      <c r="CJ20" s="3994"/>
      <c r="CK20" s="4005"/>
      <c r="CL20" s="3270">
        <f t="shared" si="14"/>
        <v>5080000</v>
      </c>
      <c r="CM20" s="2479">
        <f t="shared" si="15"/>
        <v>0</v>
      </c>
      <c r="CN20" s="2479">
        <f t="shared" si="16"/>
        <v>5080000</v>
      </c>
      <c r="CO20" s="2479">
        <f t="shared" si="17"/>
        <v>5080000</v>
      </c>
      <c r="CP20" s="2479">
        <f t="shared" si="18"/>
        <v>5080000</v>
      </c>
      <c r="CQ20" s="2479"/>
      <c r="CR20" s="2479">
        <f t="shared" si="11"/>
        <v>5080000</v>
      </c>
      <c r="CS20" s="2480">
        <f t="shared" si="12"/>
        <v>5080000</v>
      </c>
      <c r="CT20" s="3270"/>
      <c r="CU20" s="3064"/>
      <c r="CV20" s="2479"/>
      <c r="CW20" s="2479"/>
      <c r="CX20" s="2480"/>
      <c r="CY20" s="3270"/>
      <c r="CZ20" s="2479"/>
      <c r="DA20" s="4016"/>
    </row>
    <row r="21" spans="1:106" ht="21.75" customHeight="1" x14ac:dyDescent="0.25">
      <c r="A21" s="2550" t="s">
        <v>1376</v>
      </c>
      <c r="B21" s="2509">
        <f>SUM('3.2 Cofogos'!E10)</f>
        <v>10000000</v>
      </c>
      <c r="C21" s="3008">
        <f t="shared" si="13"/>
        <v>3839016</v>
      </c>
      <c r="D21" s="2503">
        <f>SUM('3.2 Cofogos'!G10)</f>
        <v>13839016</v>
      </c>
      <c r="E21" s="2503">
        <f>SUM('3.2 Cofogos'!H10)</f>
        <v>-13312350</v>
      </c>
      <c r="F21" s="2503">
        <f>SUM('3.2 Cofogos'!I10)</f>
        <v>526666</v>
      </c>
      <c r="G21" s="2503"/>
      <c r="H21" s="2503">
        <f>SUM('3.2 Cofogos'!K10)</f>
        <v>526666</v>
      </c>
      <c r="I21" s="3979">
        <f>SUM('3.2 Cofogos'!L10)</f>
        <v>0</v>
      </c>
      <c r="J21" s="2509">
        <f t="shared" ref="J21:J28" si="26">SUM(B21)</f>
        <v>10000000</v>
      </c>
      <c r="K21" s="2510">
        <f t="shared" si="20"/>
        <v>3839016</v>
      </c>
      <c r="L21" s="2503">
        <f t="shared" si="21"/>
        <v>13839016</v>
      </c>
      <c r="M21" s="2503">
        <f t="shared" si="22"/>
        <v>-13312350</v>
      </c>
      <c r="N21" s="2503">
        <f t="shared" si="23"/>
        <v>526666</v>
      </c>
      <c r="O21" s="2503">
        <f t="shared" si="25"/>
        <v>0</v>
      </c>
      <c r="P21" s="2503">
        <f t="shared" si="24"/>
        <v>526666</v>
      </c>
      <c r="Q21" s="3979">
        <f t="shared" si="24"/>
        <v>0</v>
      </c>
      <c r="R21" s="3974"/>
      <c r="S21" s="2481"/>
      <c r="T21" s="2938"/>
      <c r="U21" s="2938"/>
      <c r="V21" s="2938"/>
      <c r="W21" s="2938"/>
      <c r="X21" s="2938"/>
      <c r="Y21" s="3977"/>
      <c r="Z21" s="3974"/>
      <c r="AA21" s="2481"/>
      <c r="AB21" s="2481"/>
      <c r="AC21" s="2481"/>
      <c r="AD21" s="2481"/>
      <c r="AE21" s="2481"/>
      <c r="AF21" s="2481"/>
      <c r="AG21" s="3991"/>
      <c r="AH21" s="3987"/>
      <c r="AI21" s="2481"/>
      <c r="AJ21" s="2481"/>
      <c r="AK21" s="2481"/>
      <c r="AL21" s="2481"/>
      <c r="AM21" s="2481"/>
      <c r="AN21" s="2481"/>
      <c r="AO21" s="3991"/>
      <c r="AP21" s="3987"/>
      <c r="AQ21" s="2481"/>
      <c r="AR21" s="2481"/>
      <c r="AS21" s="2481"/>
      <c r="AT21" s="2481"/>
      <c r="AU21" s="2481"/>
      <c r="AV21" s="2481"/>
      <c r="AW21" s="3991"/>
      <c r="AX21" s="3987"/>
      <c r="AY21" s="2481"/>
      <c r="AZ21" s="2481"/>
      <c r="BA21" s="2481"/>
      <c r="BB21" s="2481"/>
      <c r="BC21" s="2481"/>
      <c r="BD21" s="2481"/>
      <c r="BE21" s="3991"/>
      <c r="BF21" s="3987"/>
      <c r="BG21" s="2481"/>
      <c r="BH21" s="2481"/>
      <c r="BI21" s="2481"/>
      <c r="BJ21" s="2481"/>
      <c r="BK21" s="2481"/>
      <c r="BL21" s="2481"/>
      <c r="BM21" s="2481"/>
      <c r="BN21" s="2481"/>
      <c r="BO21" s="2481"/>
      <c r="BP21" s="2481"/>
      <c r="BQ21" s="2481"/>
      <c r="BR21" s="2481"/>
      <c r="BS21" s="2481"/>
      <c r="BT21" s="2481"/>
      <c r="BU21" s="3991"/>
      <c r="BV21" s="3996"/>
      <c r="BW21" s="3997"/>
      <c r="BX21" s="3998"/>
      <c r="BY21" s="3998"/>
      <c r="BZ21" s="3998"/>
      <c r="CA21" s="3998"/>
      <c r="CB21" s="4025"/>
      <c r="CC21" s="4026"/>
      <c r="CD21" s="3987"/>
      <c r="CE21" s="2938"/>
      <c r="CF21" s="2938">
        <v>13839016</v>
      </c>
      <c r="CG21" s="2938">
        <v>13839016</v>
      </c>
      <c r="CH21" s="2938"/>
      <c r="CI21" s="2938"/>
      <c r="CJ21" s="3994">
        <v>526666</v>
      </c>
      <c r="CK21" s="4005"/>
      <c r="CL21" s="3270">
        <f t="shared" si="14"/>
        <v>10000000</v>
      </c>
      <c r="CM21" s="2479">
        <f t="shared" si="15"/>
        <v>3839016</v>
      </c>
      <c r="CN21" s="2479">
        <f t="shared" si="16"/>
        <v>0</v>
      </c>
      <c r="CO21" s="2479">
        <f t="shared" si="17"/>
        <v>-27151366</v>
      </c>
      <c r="CP21" s="2479">
        <f t="shared" si="18"/>
        <v>526666</v>
      </c>
      <c r="CQ21" s="2479"/>
      <c r="CR21" s="2479">
        <f t="shared" si="11"/>
        <v>0</v>
      </c>
      <c r="CS21" s="2480">
        <f t="shared" si="12"/>
        <v>0</v>
      </c>
      <c r="CT21" s="3270"/>
      <c r="CU21" s="3064"/>
      <c r="CV21" s="2479"/>
      <c r="CW21" s="2479"/>
      <c r="CX21" s="2480"/>
      <c r="CY21" s="3270"/>
      <c r="CZ21" s="2479"/>
      <c r="DA21" s="4016"/>
    </row>
    <row r="22" spans="1:106" ht="21.75" customHeight="1" x14ac:dyDescent="0.25">
      <c r="A22" s="2550" t="s">
        <v>1377</v>
      </c>
      <c r="B22" s="2509">
        <f>SUM('3.2 Cofogos'!E11)-'7.1. sz mell.'!J56</f>
        <v>114973000</v>
      </c>
      <c r="C22" s="3008">
        <f t="shared" si="13"/>
        <v>13932875</v>
      </c>
      <c r="D22" s="2503">
        <f>SUM('3.2 Cofogos'!G11)-'7.1. sz mell.'!L56</f>
        <v>128905875</v>
      </c>
      <c r="E22" s="2503">
        <f>SUM('3.2 Cofogos'!H11)-'7.1. sz mell.'!M56</f>
        <v>-63012433</v>
      </c>
      <c r="F22" s="2503">
        <f>SUM('3.2 Cofogos'!I11)-'7.1. sz mell.'!N56</f>
        <v>65893442</v>
      </c>
      <c r="G22" s="2503"/>
      <c r="H22" s="2503">
        <f>SUM('3.2 Cofogos'!K11)-'7.1. sz mell.'!P56</f>
        <v>65893442</v>
      </c>
      <c r="I22" s="3979">
        <f>SUM('3.2 Cofogos'!L11)-'7.1. sz mell.'!Q56</f>
        <v>0</v>
      </c>
      <c r="J22" s="2509">
        <f t="shared" si="26"/>
        <v>114973000</v>
      </c>
      <c r="K22" s="2510">
        <f t="shared" si="20"/>
        <v>13932875</v>
      </c>
      <c r="L22" s="2503">
        <f t="shared" si="21"/>
        <v>128905875</v>
      </c>
      <c r="M22" s="2503">
        <f t="shared" si="22"/>
        <v>-63012433</v>
      </c>
      <c r="N22" s="2503">
        <f t="shared" si="23"/>
        <v>65893442</v>
      </c>
      <c r="O22" s="2503">
        <f t="shared" si="25"/>
        <v>0</v>
      </c>
      <c r="P22" s="2503">
        <f t="shared" si="24"/>
        <v>65893442</v>
      </c>
      <c r="Q22" s="3979">
        <f t="shared" si="24"/>
        <v>0</v>
      </c>
      <c r="R22" s="3974"/>
      <c r="S22" s="2481"/>
      <c r="T22" s="2938"/>
      <c r="U22" s="2938"/>
      <c r="V22" s="2938"/>
      <c r="W22" s="2938"/>
      <c r="X22" s="2938"/>
      <c r="Y22" s="3977"/>
      <c r="Z22" s="3974"/>
      <c r="AA22" s="2481"/>
      <c r="AB22" s="2481"/>
      <c r="AC22" s="2481"/>
      <c r="AD22" s="2481"/>
      <c r="AE22" s="2481"/>
      <c r="AF22" s="2481"/>
      <c r="AG22" s="3991"/>
      <c r="AH22" s="3987"/>
      <c r="AI22" s="2481"/>
      <c r="AJ22" s="2481"/>
      <c r="AK22" s="2481"/>
      <c r="AL22" s="2481"/>
      <c r="AM22" s="2481"/>
      <c r="AN22" s="2481"/>
      <c r="AO22" s="3991"/>
      <c r="AP22" s="3987"/>
      <c r="AQ22" s="2481"/>
      <c r="AR22" s="2481"/>
      <c r="AS22" s="2481"/>
      <c r="AT22" s="2481"/>
      <c r="AU22" s="2481"/>
      <c r="AV22" s="2481"/>
      <c r="AW22" s="3991"/>
      <c r="AX22" s="3987"/>
      <c r="AY22" s="2481"/>
      <c r="AZ22" s="2481"/>
      <c r="BA22" s="2481"/>
      <c r="BB22" s="2481"/>
      <c r="BC22" s="2481"/>
      <c r="BD22" s="2481"/>
      <c r="BE22" s="3991"/>
      <c r="BF22" s="3987"/>
      <c r="BG22" s="2481"/>
      <c r="BH22" s="2481"/>
      <c r="BI22" s="2481"/>
      <c r="BJ22" s="2481"/>
      <c r="BK22" s="2481"/>
      <c r="BL22" s="2481"/>
      <c r="BM22" s="2481"/>
      <c r="BN22" s="2481"/>
      <c r="BO22" s="2481"/>
      <c r="BP22" s="2481"/>
      <c r="BQ22" s="2481"/>
      <c r="BR22" s="2481"/>
      <c r="BS22" s="2481"/>
      <c r="BT22" s="2481"/>
      <c r="BU22" s="3991"/>
      <c r="BV22" s="3999">
        <v>30237700</v>
      </c>
      <c r="BW22" s="3994">
        <v>30237700</v>
      </c>
      <c r="BX22" s="3995">
        <v>30237700</v>
      </c>
      <c r="BY22" s="3995">
        <v>30237700</v>
      </c>
      <c r="BZ22" s="3995">
        <v>30237700</v>
      </c>
      <c r="CA22" s="3995"/>
      <c r="CB22" s="4023">
        <v>30237700</v>
      </c>
      <c r="CC22" s="4024"/>
      <c r="CD22" s="3987"/>
      <c r="CE22" s="2938"/>
      <c r="CF22" s="2938">
        <f>SUM(C22)</f>
        <v>13932875</v>
      </c>
      <c r="CG22" s="2938">
        <f>SUM(D22)</f>
        <v>128905875</v>
      </c>
      <c r="CH22" s="2938">
        <v>13932875</v>
      </c>
      <c r="CI22" s="2938"/>
      <c r="CJ22" s="3994">
        <v>13932875</v>
      </c>
      <c r="CK22" s="4005"/>
      <c r="CL22" s="3270">
        <f t="shared" si="14"/>
        <v>84735300</v>
      </c>
      <c r="CM22" s="2479">
        <f t="shared" ref="CM22:CM30" si="27">SUM(K22-AA22-AI22-AQ22-AY22-BG22-CE22)-S22-BW22-CU22</f>
        <v>-16304825</v>
      </c>
      <c r="CN22" s="2479">
        <f t="shared" ref="CN22:CN31" si="28">SUM(L22-AB22-AJ22-AR22-AZ22-BH22-CF22)-T22-BX22-CV22</f>
        <v>84735300</v>
      </c>
      <c r="CO22" s="2479">
        <f t="shared" si="17"/>
        <v>-222156008</v>
      </c>
      <c r="CP22" s="2479">
        <f t="shared" si="18"/>
        <v>21722867</v>
      </c>
      <c r="CQ22" s="2479"/>
      <c r="CR22" s="2479">
        <f t="shared" si="11"/>
        <v>21722867</v>
      </c>
      <c r="CS22" s="2480">
        <f t="shared" si="12"/>
        <v>0</v>
      </c>
      <c r="CT22" s="3270"/>
      <c r="CU22" s="3064"/>
      <c r="CV22" s="2479"/>
      <c r="CW22" s="2479"/>
      <c r="CX22" s="2480"/>
      <c r="CY22" s="3270"/>
      <c r="CZ22" s="2479"/>
      <c r="DA22" s="4016"/>
    </row>
    <row r="23" spans="1:106" ht="21.75" customHeight="1" x14ac:dyDescent="0.25">
      <c r="A23" s="2550" t="s">
        <v>1378</v>
      </c>
      <c r="B23" s="2509">
        <f>SUM('3.2 Cofogos'!E15)</f>
        <v>218575000</v>
      </c>
      <c r="C23" s="3008">
        <f t="shared" si="13"/>
        <v>336393473</v>
      </c>
      <c r="D23" s="2503">
        <f>SUM('3.2 Cofogos'!G15)</f>
        <v>554968473</v>
      </c>
      <c r="E23" s="2503">
        <f>SUM('3.2 Cofogos'!H15)</f>
        <v>-493264901</v>
      </c>
      <c r="F23" s="2503">
        <f>SUM('3.2 Cofogos'!I15)</f>
        <v>61703572</v>
      </c>
      <c r="G23" s="2503"/>
      <c r="H23" s="2503">
        <f>SUM('3.2 Cofogos'!K15)</f>
        <v>61703572</v>
      </c>
      <c r="I23" s="3979">
        <f>SUM('3.2 Cofogos'!L15)</f>
        <v>0</v>
      </c>
      <c r="J23" s="2509">
        <f t="shared" si="26"/>
        <v>218575000</v>
      </c>
      <c r="K23" s="2510">
        <f t="shared" si="20"/>
        <v>336393473</v>
      </c>
      <c r="L23" s="2503">
        <f t="shared" si="21"/>
        <v>554968473</v>
      </c>
      <c r="M23" s="2503">
        <f t="shared" ref="M23:M31" si="29">SUM(E23)</f>
        <v>-493264901</v>
      </c>
      <c r="N23" s="2503">
        <f t="shared" ref="N23:N31" si="30">SUM(F23)</f>
        <v>61703572</v>
      </c>
      <c r="O23" s="2503">
        <f t="shared" ref="O23:O31" si="31">SUM(G23)</f>
        <v>0</v>
      </c>
      <c r="P23" s="2503">
        <f t="shared" ref="P23:Q31" si="32">SUM(H23)</f>
        <v>61703572</v>
      </c>
      <c r="Q23" s="3979">
        <f t="shared" si="32"/>
        <v>0</v>
      </c>
      <c r="R23" s="3974"/>
      <c r="S23" s="2481"/>
      <c r="T23" s="2938"/>
      <c r="U23" s="2938"/>
      <c r="V23" s="2938"/>
      <c r="W23" s="2938"/>
      <c r="X23" s="2938"/>
      <c r="Y23" s="3977"/>
      <c r="Z23" s="3974"/>
      <c r="AA23" s="2481"/>
      <c r="AB23" s="2481"/>
      <c r="AC23" s="2481"/>
      <c r="AD23" s="2481"/>
      <c r="AE23" s="2481"/>
      <c r="AF23" s="2481"/>
      <c r="AG23" s="3991"/>
      <c r="AH23" s="3987"/>
      <c r="AI23" s="2481"/>
      <c r="AJ23" s="2481"/>
      <c r="AK23" s="2481"/>
      <c r="AL23" s="2481"/>
      <c r="AM23" s="2481"/>
      <c r="AN23" s="2481"/>
      <c r="AO23" s="3991"/>
      <c r="AP23" s="3987"/>
      <c r="AQ23" s="2481"/>
      <c r="AR23" s="2481"/>
      <c r="AS23" s="2481"/>
      <c r="AT23" s="2481"/>
      <c r="AU23" s="2481"/>
      <c r="AV23" s="2481"/>
      <c r="AW23" s="3991"/>
      <c r="AX23" s="3987"/>
      <c r="AY23" s="2481"/>
      <c r="AZ23" s="2481"/>
      <c r="BA23" s="2481"/>
      <c r="BB23" s="2481"/>
      <c r="BC23" s="2481"/>
      <c r="BD23" s="2481"/>
      <c r="BE23" s="3991"/>
      <c r="BF23" s="3987"/>
      <c r="BG23" s="2481"/>
      <c r="BH23" s="2481"/>
      <c r="BI23" s="2481"/>
      <c r="BJ23" s="2481"/>
      <c r="BK23" s="2481"/>
      <c r="BL23" s="2481"/>
      <c r="BM23" s="2481"/>
      <c r="BN23" s="2481"/>
      <c r="BO23" s="2481"/>
      <c r="BP23" s="2481">
        <v>200000000</v>
      </c>
      <c r="BQ23" s="2481">
        <v>200000000</v>
      </c>
      <c r="BR23" s="2481">
        <v>200000000</v>
      </c>
      <c r="BS23" s="2481"/>
      <c r="BT23" s="2481"/>
      <c r="BU23" s="3991"/>
      <c r="BV23" s="3999">
        <v>218575000</v>
      </c>
      <c r="BW23" s="3994">
        <v>218575000</v>
      </c>
      <c r="BX23" s="3995">
        <v>218575000</v>
      </c>
      <c r="BY23" s="3995">
        <v>218575000</v>
      </c>
      <c r="BZ23" s="3995">
        <v>218575000</v>
      </c>
      <c r="CA23" s="3995"/>
      <c r="CB23" s="4023"/>
      <c r="CC23" s="4024"/>
      <c r="CD23" s="3987"/>
      <c r="CE23" s="2938"/>
      <c r="CF23" s="2938">
        <v>136393473</v>
      </c>
      <c r="CG23" s="2938">
        <v>136393473</v>
      </c>
      <c r="CH23" s="2938">
        <v>43142913</v>
      </c>
      <c r="CI23" s="2938"/>
      <c r="CJ23" s="3994">
        <v>61703572</v>
      </c>
      <c r="CK23" s="4005"/>
      <c r="CL23" s="3270">
        <f t="shared" si="14"/>
        <v>0</v>
      </c>
      <c r="CM23" s="2479">
        <f t="shared" si="27"/>
        <v>117818473</v>
      </c>
      <c r="CN23" s="2479">
        <f>SUM(L23-AB23-AJ23-AR23-AZ23-BH23-CF23)-T23-BX23-CV23-BP23</f>
        <v>0</v>
      </c>
      <c r="CO23" s="2479">
        <f>SUM(M23-AC23-AK23-AS23-BA23-BI23-CG23)-U23-BY23-CW23-BQ23</f>
        <v>-1048233374</v>
      </c>
      <c r="CP23" s="2479">
        <f>SUM(N23-AD23-AL23-AT23-BB23-BJ23-CH23)-V23-BZ23-CX23-BR23</f>
        <v>-400014341</v>
      </c>
      <c r="CQ23" s="2479"/>
      <c r="CR23" s="2479">
        <f>SUM(P23-AF23-AN23-AV23-BD23-BL23-CJ23)-X23-CB23-CZ23-BT23</f>
        <v>0</v>
      </c>
      <c r="CS23" s="2480">
        <f>SUM(Q23-AG23-AO23-AW23-BE23-BM23-CK23)-Y23-CC23-DB23-BU23</f>
        <v>0</v>
      </c>
      <c r="CT23" s="3270"/>
      <c r="CU23" s="3064"/>
      <c r="CV23" s="2479"/>
      <c r="CW23" s="2479"/>
      <c r="CX23" s="2480"/>
      <c r="CY23" s="3270"/>
      <c r="CZ23" s="2479"/>
      <c r="DA23" s="4016"/>
    </row>
    <row r="24" spans="1:106" ht="21.75" customHeight="1" x14ac:dyDescent="0.25">
      <c r="A24" s="2550" t="s">
        <v>1379</v>
      </c>
      <c r="B24" s="2509">
        <f>SUM('6.1.sz.mell. '!H4)</f>
        <v>29310000</v>
      </c>
      <c r="C24" s="3008">
        <f t="shared" si="13"/>
        <v>183049717</v>
      </c>
      <c r="D24" s="2503">
        <f>SUM('6.1.sz.mell. '!J4)</f>
        <v>212359717</v>
      </c>
      <c r="E24" s="2503">
        <f>SUM('6.1.sz.mell. '!K4)</f>
        <v>166872746</v>
      </c>
      <c r="F24" s="2503">
        <f>SUM('6.1.sz.mell. '!L4)</f>
        <v>379232463</v>
      </c>
      <c r="G24" s="2503"/>
      <c r="H24" s="2503">
        <f>SUM('6.1.sz.mell. '!N4)</f>
        <v>379232463</v>
      </c>
      <c r="I24" s="3979">
        <f>SUM('6.1.sz.mell. '!O4)</f>
        <v>283061837</v>
      </c>
      <c r="J24" s="2509">
        <f t="shared" si="26"/>
        <v>29310000</v>
      </c>
      <c r="K24" s="2510">
        <f t="shared" si="20"/>
        <v>183049717</v>
      </c>
      <c r="L24" s="2503">
        <f t="shared" si="21"/>
        <v>212359717</v>
      </c>
      <c r="M24" s="2503">
        <f t="shared" si="29"/>
        <v>166872746</v>
      </c>
      <c r="N24" s="2503">
        <f t="shared" si="30"/>
        <v>379232463</v>
      </c>
      <c r="O24" s="2503">
        <f t="shared" si="31"/>
        <v>0</v>
      </c>
      <c r="P24" s="2503">
        <f t="shared" si="32"/>
        <v>379232463</v>
      </c>
      <c r="Q24" s="3979">
        <f t="shared" si="32"/>
        <v>283061837</v>
      </c>
      <c r="R24" s="3974"/>
      <c r="S24" s="2481"/>
      <c r="T24" s="2938"/>
      <c r="U24" s="2938"/>
      <c r="V24" s="2938"/>
      <c r="W24" s="2938"/>
      <c r="X24" s="2938"/>
      <c r="Y24" s="3977"/>
      <c r="Z24" s="3974"/>
      <c r="AA24" s="2481"/>
      <c r="AB24" s="2481"/>
      <c r="AC24" s="2481"/>
      <c r="AD24" s="2481"/>
      <c r="AE24" s="2481"/>
      <c r="AF24" s="2481"/>
      <c r="AG24" s="3991"/>
      <c r="AH24" s="3987"/>
      <c r="AI24" s="2481"/>
      <c r="AJ24" s="2481"/>
      <c r="AK24" s="2481"/>
      <c r="AL24" s="2481"/>
      <c r="AM24" s="2481"/>
      <c r="AN24" s="2481"/>
      <c r="AO24" s="3991"/>
      <c r="AP24" s="3987"/>
      <c r="AQ24" s="2481"/>
      <c r="AR24" s="2481"/>
      <c r="AS24" s="2481"/>
      <c r="AT24" s="2481"/>
      <c r="AU24" s="2481"/>
      <c r="AV24" s="2481"/>
      <c r="AW24" s="3991"/>
      <c r="AX24" s="3987"/>
      <c r="AY24" s="2481"/>
      <c r="AZ24" s="2481"/>
      <c r="BA24" s="2481"/>
      <c r="BB24" s="2481"/>
      <c r="BC24" s="2481"/>
      <c r="BD24" s="2481"/>
      <c r="BE24" s="3991"/>
      <c r="BF24" s="3987"/>
      <c r="BG24" s="2481"/>
      <c r="BH24" s="2481"/>
      <c r="BI24" s="2481"/>
      <c r="BJ24" s="2481"/>
      <c r="BK24" s="2481"/>
      <c r="BL24" s="2481"/>
      <c r="BM24" s="2481"/>
      <c r="BN24" s="2481"/>
      <c r="BO24" s="2481"/>
      <c r="BP24" s="2481"/>
      <c r="BQ24" s="2481"/>
      <c r="BR24" s="2481"/>
      <c r="BS24" s="2481"/>
      <c r="BT24" s="2481"/>
      <c r="BU24" s="3991"/>
      <c r="BV24" s="3999">
        <v>29310000</v>
      </c>
      <c r="BW24" s="3994">
        <v>29310000</v>
      </c>
      <c r="BX24" s="3995">
        <v>29310000</v>
      </c>
      <c r="BY24" s="3995">
        <v>29310000</v>
      </c>
      <c r="BZ24" s="3995">
        <v>29310000</v>
      </c>
      <c r="CA24" s="3995"/>
      <c r="CB24" s="4023">
        <v>29310000</v>
      </c>
      <c r="CC24" s="4024">
        <v>100012120</v>
      </c>
      <c r="CD24" s="3987"/>
      <c r="CE24" s="2938"/>
      <c r="CF24" s="2938">
        <v>183049717</v>
      </c>
      <c r="CG24" s="2938">
        <v>183049717</v>
      </c>
      <c r="CH24" s="2938">
        <v>290139293</v>
      </c>
      <c r="CI24" s="2938"/>
      <c r="CJ24" s="3994">
        <v>183049717</v>
      </c>
      <c r="CK24" s="4005">
        <v>183049717</v>
      </c>
      <c r="CL24" s="3270">
        <f t="shared" si="14"/>
        <v>0</v>
      </c>
      <c r="CM24" s="2479">
        <f t="shared" si="27"/>
        <v>153739717</v>
      </c>
      <c r="CN24" s="2479">
        <f t="shared" si="28"/>
        <v>0</v>
      </c>
      <c r="CO24" s="2479">
        <f t="shared" ref="CO24:CO31" si="33">SUM(M24-AC24-AK24-AS24-BA24-BI24-CG24)-U24-BY24-CW24</f>
        <v>-45486971</v>
      </c>
      <c r="CP24" s="2479">
        <f t="shared" ref="CP24:CP31" si="34">SUM(N24-AD24-AL24-AT24-BB24-BJ24-CH24)-V24-BZ24-CX24</f>
        <v>59783170</v>
      </c>
      <c r="CQ24" s="2479"/>
      <c r="CR24" s="2479">
        <f t="shared" ref="CR24:CR31" si="35">SUM(P24-AF24-AN24-AV24-BD24-BL24-CJ24)-X24-CB24-CZ24</f>
        <v>166872746</v>
      </c>
      <c r="CS24" s="2480">
        <f>SUM(Q24-AG24-AO24-AW24-BE24-BM24-CK24)-Y24-CC24-DB24</f>
        <v>0</v>
      </c>
      <c r="CT24" s="3270"/>
      <c r="CU24" s="3064"/>
      <c r="CV24" s="2479"/>
      <c r="CW24" s="2479"/>
      <c r="CX24" s="2480"/>
      <c r="CY24" s="3270"/>
      <c r="CZ24" s="2479"/>
      <c r="DA24" s="4016"/>
    </row>
    <row r="25" spans="1:106" ht="21.75" customHeight="1" x14ac:dyDescent="0.25">
      <c r="A25" s="2550" t="s">
        <v>1395</v>
      </c>
      <c r="B25" s="2509">
        <f>SUM('6.1.sz.mell. '!H78)</f>
        <v>0</v>
      </c>
      <c r="C25" s="3008">
        <f t="shared" si="13"/>
        <v>0</v>
      </c>
      <c r="D25" s="2503">
        <f>SUM('6.1.sz.mell. '!J78)</f>
        <v>0</v>
      </c>
      <c r="E25" s="2503">
        <f>SUM('6.1.sz.mell. '!K78)</f>
        <v>0</v>
      </c>
      <c r="F25" s="2503">
        <f>SUM('6.1.sz.mell. '!L78)</f>
        <v>0</v>
      </c>
      <c r="G25" s="2503"/>
      <c r="H25" s="2503">
        <f>SUM('6.1.sz.mell. '!N78)</f>
        <v>0</v>
      </c>
      <c r="I25" s="3979">
        <f>SUM('6.1.sz.mell. '!O78)</f>
        <v>0</v>
      </c>
      <c r="J25" s="2509">
        <f t="shared" si="26"/>
        <v>0</v>
      </c>
      <c r="K25" s="2510">
        <f t="shared" si="20"/>
        <v>0</v>
      </c>
      <c r="L25" s="2503">
        <f t="shared" si="21"/>
        <v>0</v>
      </c>
      <c r="M25" s="2503">
        <f t="shared" si="29"/>
        <v>0</v>
      </c>
      <c r="N25" s="2503">
        <f t="shared" si="30"/>
        <v>0</v>
      </c>
      <c r="O25" s="2503">
        <f t="shared" si="31"/>
        <v>0</v>
      </c>
      <c r="P25" s="2503">
        <f t="shared" si="32"/>
        <v>0</v>
      </c>
      <c r="Q25" s="3979">
        <f t="shared" si="32"/>
        <v>0</v>
      </c>
      <c r="R25" s="3974"/>
      <c r="S25" s="2481"/>
      <c r="T25" s="2938"/>
      <c r="U25" s="2938"/>
      <c r="V25" s="2938"/>
      <c r="W25" s="2938"/>
      <c r="X25" s="2938"/>
      <c r="Y25" s="3977"/>
      <c r="Z25" s="3974"/>
      <c r="AA25" s="2481"/>
      <c r="AB25" s="2481"/>
      <c r="AC25" s="2481"/>
      <c r="AD25" s="2481"/>
      <c r="AE25" s="2481"/>
      <c r="AF25" s="2481"/>
      <c r="AG25" s="3991"/>
      <c r="AH25" s="3987"/>
      <c r="AI25" s="2481"/>
      <c r="AJ25" s="2481"/>
      <c r="AK25" s="2481"/>
      <c r="AL25" s="2481"/>
      <c r="AM25" s="2481"/>
      <c r="AN25" s="2481"/>
      <c r="AO25" s="3991"/>
      <c r="AP25" s="3987"/>
      <c r="AQ25" s="2481"/>
      <c r="AR25" s="2481"/>
      <c r="AS25" s="2481"/>
      <c r="AT25" s="2481"/>
      <c r="AU25" s="2481"/>
      <c r="AV25" s="2481"/>
      <c r="AW25" s="3991"/>
      <c r="AX25" s="3987"/>
      <c r="AY25" s="2481"/>
      <c r="AZ25" s="2481"/>
      <c r="BA25" s="2481"/>
      <c r="BB25" s="2481"/>
      <c r="BC25" s="2481"/>
      <c r="BD25" s="2481"/>
      <c r="BE25" s="3991"/>
      <c r="BF25" s="3987"/>
      <c r="BG25" s="2481"/>
      <c r="BH25" s="2481"/>
      <c r="BI25" s="2481"/>
      <c r="BJ25" s="2481"/>
      <c r="BK25" s="2481"/>
      <c r="BL25" s="2481"/>
      <c r="BM25" s="2481"/>
      <c r="BN25" s="2481"/>
      <c r="BO25" s="2481"/>
      <c r="BP25" s="2481"/>
      <c r="BQ25" s="2481"/>
      <c r="BR25" s="2481"/>
      <c r="BS25" s="2481"/>
      <c r="BT25" s="2481"/>
      <c r="BU25" s="3991"/>
      <c r="BV25" s="3996"/>
      <c r="BW25" s="3997"/>
      <c r="BX25" s="3998"/>
      <c r="BY25" s="3998"/>
      <c r="BZ25" s="3998"/>
      <c r="CA25" s="3998"/>
      <c r="CB25" s="4025"/>
      <c r="CC25" s="4026"/>
      <c r="CD25" s="3987"/>
      <c r="CE25" s="2938"/>
      <c r="CF25" s="2938"/>
      <c r="CG25" s="2938"/>
      <c r="CH25" s="2938"/>
      <c r="CI25" s="2938"/>
      <c r="CJ25" s="3994"/>
      <c r="CK25" s="4005"/>
      <c r="CL25" s="3270">
        <f t="shared" si="14"/>
        <v>0</v>
      </c>
      <c r="CM25" s="2479">
        <f t="shared" si="27"/>
        <v>0</v>
      </c>
      <c r="CN25" s="2479">
        <f t="shared" si="28"/>
        <v>0</v>
      </c>
      <c r="CO25" s="2479">
        <f t="shared" si="33"/>
        <v>0</v>
      </c>
      <c r="CP25" s="2479">
        <f t="shared" si="34"/>
        <v>0</v>
      </c>
      <c r="CQ25" s="2479"/>
      <c r="CR25" s="2479">
        <f t="shared" si="35"/>
        <v>0</v>
      </c>
      <c r="CS25" s="2480">
        <f>SUM(Q25-AG25-AO25-AW25-BE25-BM25-CK25)-Y25-CC25-DB25</f>
        <v>0</v>
      </c>
      <c r="CT25" s="3270"/>
      <c r="CU25" s="3064"/>
      <c r="CV25" s="2479"/>
      <c r="CW25" s="2479"/>
      <c r="CX25" s="2480"/>
      <c r="CY25" s="3270"/>
      <c r="CZ25" s="2479"/>
      <c r="DA25" s="4016"/>
    </row>
    <row r="26" spans="1:106" ht="21.75" customHeight="1" x14ac:dyDescent="0.25">
      <c r="A26" s="2550" t="s">
        <v>1394</v>
      </c>
      <c r="B26" s="2509">
        <f>SUM('6.1.sz.mell. '!H72+'6.1.sz.mell. '!H78+'6.1.sz.mell. '!H85+'6.1.sz.mell. '!H87)</f>
        <v>0</v>
      </c>
      <c r="C26" s="3008">
        <f t="shared" si="13"/>
        <v>10797500</v>
      </c>
      <c r="D26" s="2503">
        <f>SUM('6.1.sz.mell. '!J72+'6.1.sz.mell. '!J78+'6.1.sz.mell. '!J85+'6.1.sz.mell. '!J87)</f>
        <v>10797500</v>
      </c>
      <c r="E26" s="2503">
        <f>SUM('6.1.sz.mell. '!K72+'6.1.sz.mell. '!K78+'6.1.sz.mell. '!K85+'6.1.sz.mell. '!K87)</f>
        <v>-4688800</v>
      </c>
      <c r="F26" s="2503">
        <f>SUM('6.1.sz.mell. '!L72+'6.1.sz.mell. '!L78+'6.1.sz.mell. '!L85+'6.1.sz.mell. '!L87)</f>
        <v>6108700</v>
      </c>
      <c r="G26" s="2503"/>
      <c r="H26" s="2503">
        <f>SUM('6.1.sz.mell. '!N72+'6.1.sz.mell. '!N78+'6.1.sz.mell. '!N85+'6.1.sz.mell. '!N87)</f>
        <v>6108700</v>
      </c>
      <c r="I26" s="3979">
        <f>SUM('6.1.sz.mell. '!O72+'6.1.sz.mell. '!O78+'6.1.sz.mell. '!O85+'6.1.sz.mell. '!O87)</f>
        <v>6108700</v>
      </c>
      <c r="J26" s="2509">
        <f t="shared" si="26"/>
        <v>0</v>
      </c>
      <c r="K26" s="2510">
        <f t="shared" si="20"/>
        <v>10797500</v>
      </c>
      <c r="L26" s="2503">
        <f t="shared" si="21"/>
        <v>10797500</v>
      </c>
      <c r="M26" s="2503">
        <f t="shared" si="29"/>
        <v>-4688800</v>
      </c>
      <c r="N26" s="2503">
        <f t="shared" si="30"/>
        <v>6108700</v>
      </c>
      <c r="O26" s="2503">
        <f t="shared" si="31"/>
        <v>0</v>
      </c>
      <c r="P26" s="2503">
        <f t="shared" si="32"/>
        <v>6108700</v>
      </c>
      <c r="Q26" s="3979">
        <f t="shared" si="32"/>
        <v>6108700</v>
      </c>
      <c r="R26" s="3974"/>
      <c r="S26" s="2481"/>
      <c r="T26" s="2938"/>
      <c r="U26" s="2938"/>
      <c r="V26" s="2938"/>
      <c r="W26" s="2938"/>
      <c r="X26" s="2938"/>
      <c r="Y26" s="3977"/>
      <c r="Z26" s="3974"/>
      <c r="AA26" s="2481"/>
      <c r="AB26" s="2481"/>
      <c r="AC26" s="2481"/>
      <c r="AD26" s="2481"/>
      <c r="AE26" s="2481"/>
      <c r="AF26" s="2481"/>
      <c r="AG26" s="3991"/>
      <c r="AH26" s="3987"/>
      <c r="AI26" s="2481"/>
      <c r="AJ26" s="2481"/>
      <c r="AK26" s="2481"/>
      <c r="AL26" s="2481"/>
      <c r="AM26" s="2481"/>
      <c r="AN26" s="2481"/>
      <c r="AO26" s="3991"/>
      <c r="AP26" s="3987"/>
      <c r="AQ26" s="2481"/>
      <c r="AR26" s="2481"/>
      <c r="AS26" s="2481"/>
      <c r="AT26" s="2481"/>
      <c r="AU26" s="2481"/>
      <c r="AV26" s="2481"/>
      <c r="AW26" s="3991"/>
      <c r="AX26" s="3987"/>
      <c r="AY26" s="2481"/>
      <c r="AZ26" s="2481"/>
      <c r="BA26" s="2481"/>
      <c r="BB26" s="2481"/>
      <c r="BC26" s="2481"/>
      <c r="BD26" s="2481"/>
      <c r="BE26" s="3991"/>
      <c r="BF26" s="3987"/>
      <c r="BG26" s="2481"/>
      <c r="BH26" s="2481"/>
      <c r="BI26" s="2481"/>
      <c r="BJ26" s="2481"/>
      <c r="BK26" s="2481"/>
      <c r="BL26" s="2481"/>
      <c r="BM26" s="2481"/>
      <c r="BN26" s="2481"/>
      <c r="BO26" s="2481"/>
      <c r="BP26" s="2481"/>
      <c r="BQ26" s="2481"/>
      <c r="BR26" s="2481"/>
      <c r="BS26" s="2481"/>
      <c r="BT26" s="2481"/>
      <c r="BU26" s="3991"/>
      <c r="BV26" s="3996"/>
      <c r="BW26" s="3997"/>
      <c r="BX26" s="3998"/>
      <c r="BY26" s="3998"/>
      <c r="BZ26" s="3998"/>
      <c r="CA26" s="3998"/>
      <c r="CB26" s="4025"/>
      <c r="CC26" s="4026">
        <v>6108700</v>
      </c>
      <c r="CD26" s="3987"/>
      <c r="CE26" s="2938"/>
      <c r="CF26" s="2938"/>
      <c r="CG26" s="2938"/>
      <c r="CH26" s="2938"/>
      <c r="CI26" s="2938"/>
      <c r="CJ26" s="3994"/>
      <c r="CK26" s="4005"/>
      <c r="CL26" s="3270">
        <f t="shared" si="14"/>
        <v>0</v>
      </c>
      <c r="CM26" s="2479">
        <f t="shared" si="27"/>
        <v>10797500</v>
      </c>
      <c r="CN26" s="2479">
        <f t="shared" si="28"/>
        <v>10797500</v>
      </c>
      <c r="CO26" s="2479">
        <f t="shared" si="33"/>
        <v>-4688800</v>
      </c>
      <c r="CP26" s="2479">
        <f t="shared" si="34"/>
        <v>6108700</v>
      </c>
      <c r="CQ26" s="2479"/>
      <c r="CR26" s="2479">
        <f t="shared" si="35"/>
        <v>6108700</v>
      </c>
      <c r="CS26" s="4027">
        <f>SUM(Q26-AG26-AO26-AW26-BE26-BM26-CK26)-Y26-CC26-DB26</f>
        <v>0</v>
      </c>
      <c r="CT26" s="3270"/>
      <c r="CU26" s="3064"/>
      <c r="CV26" s="2479"/>
      <c r="CW26" s="2479"/>
      <c r="CX26" s="2480"/>
      <c r="CY26" s="3270"/>
      <c r="CZ26" s="2479"/>
      <c r="DA26" s="4016"/>
    </row>
    <row r="27" spans="1:106" ht="21.75" customHeight="1" x14ac:dyDescent="0.25">
      <c r="A27" s="2550" t="s">
        <v>1380</v>
      </c>
      <c r="B27" s="2509">
        <f>SUM('6.2.sz.mell.'!H3)</f>
        <v>1159840300</v>
      </c>
      <c r="C27" s="3008">
        <f t="shared" si="13"/>
        <v>309246634</v>
      </c>
      <c r="D27" s="2503">
        <f>SUM('6.2.sz.mell.'!J3)</f>
        <v>1469086934</v>
      </c>
      <c r="E27" s="2503">
        <f>SUM('6.2.sz.mell.'!K3)</f>
        <v>253446172</v>
      </c>
      <c r="F27" s="2503">
        <f>SUM('6.2.sz.mell.'!L3)</f>
        <v>1722533106</v>
      </c>
      <c r="G27" s="2503"/>
      <c r="H27" s="2503">
        <f>SUM('6.2.sz.mell.'!N3)</f>
        <v>1722533106</v>
      </c>
      <c r="I27" s="3979">
        <f>SUM('6.2.sz.mell.'!O3)</f>
        <v>928013419</v>
      </c>
      <c r="J27" s="2509">
        <f t="shared" si="26"/>
        <v>1159840300</v>
      </c>
      <c r="K27" s="2510">
        <f t="shared" si="20"/>
        <v>309246634</v>
      </c>
      <c r="L27" s="2503">
        <f t="shared" si="21"/>
        <v>1469086934</v>
      </c>
      <c r="M27" s="2503">
        <f t="shared" si="29"/>
        <v>253446172</v>
      </c>
      <c r="N27" s="2503">
        <f t="shared" si="30"/>
        <v>1722533106</v>
      </c>
      <c r="O27" s="2503">
        <f t="shared" si="31"/>
        <v>0</v>
      </c>
      <c r="P27" s="2503">
        <f t="shared" si="32"/>
        <v>1722533106</v>
      </c>
      <c r="Q27" s="3979">
        <f t="shared" si="32"/>
        <v>928013419</v>
      </c>
      <c r="R27" s="3974"/>
      <c r="S27" s="2481"/>
      <c r="T27" s="2938"/>
      <c r="U27" s="2938"/>
      <c r="V27" s="2938"/>
      <c r="W27" s="2938"/>
      <c r="X27" s="2938"/>
      <c r="Y27" s="3977"/>
      <c r="Z27" s="3974"/>
      <c r="AA27" s="2481"/>
      <c r="AB27" s="3027">
        <v>234523125</v>
      </c>
      <c r="AC27" s="3027">
        <v>234523125</v>
      </c>
      <c r="AD27" s="3027">
        <v>234523125</v>
      </c>
      <c r="AE27" s="2481"/>
      <c r="AF27" s="2481"/>
      <c r="AG27" s="3991"/>
      <c r="AH27" s="3987"/>
      <c r="AI27" s="2481"/>
      <c r="AJ27" s="2481"/>
      <c r="AK27" s="2481"/>
      <c r="AL27" s="2481"/>
      <c r="AM27" s="2481"/>
      <c r="AN27" s="2481"/>
      <c r="AO27" s="3991"/>
      <c r="AP27" s="3987"/>
      <c r="AQ27" s="2481"/>
      <c r="AR27" s="2481"/>
      <c r="AS27" s="2481"/>
      <c r="AT27" s="3246">
        <v>41741375</v>
      </c>
      <c r="AU27" s="2481"/>
      <c r="AV27" s="2481">
        <f>SUM('3.1. Cofog'!R22+'3.1. Cofog'!R35)</f>
        <v>71704828</v>
      </c>
      <c r="AW27" s="3991">
        <f>SUM('3.1. Cofog'!S22+'3.1. Cofog'!S35)</f>
        <v>71704828</v>
      </c>
      <c r="AX27" s="3987"/>
      <c r="AY27" s="2481"/>
      <c r="AZ27" s="2481"/>
      <c r="BA27" s="2481"/>
      <c r="BB27" s="2481"/>
      <c r="BC27" s="2481"/>
      <c r="BD27" s="2481"/>
      <c r="BE27" s="3991"/>
      <c r="BF27" s="3987"/>
      <c r="BG27" s="2481"/>
      <c r="BH27" s="2481"/>
      <c r="BI27" s="2481"/>
      <c r="BJ27" s="2481"/>
      <c r="BK27" s="2481"/>
      <c r="BL27" s="2481"/>
      <c r="BM27" s="2481">
        <f>SUM('3. sz. mell'!M31)</f>
        <v>240126</v>
      </c>
      <c r="BN27" s="2481"/>
      <c r="BO27" s="2481"/>
      <c r="BP27" s="2481"/>
      <c r="BQ27" s="2481"/>
      <c r="BR27" s="2481"/>
      <c r="BS27" s="2481"/>
      <c r="BT27" s="2481"/>
      <c r="BU27" s="3991"/>
      <c r="BV27" s="3999">
        <v>959840300</v>
      </c>
      <c r="BW27" s="3994">
        <v>959840300</v>
      </c>
      <c r="BX27" s="3995">
        <v>837155258</v>
      </c>
      <c r="BY27" s="3995">
        <v>837155258</v>
      </c>
      <c r="BZ27" s="3995">
        <v>837155258</v>
      </c>
      <c r="CA27" s="3995"/>
      <c r="CB27" s="4023">
        <v>837155258</v>
      </c>
      <c r="CC27" s="4024">
        <v>461451689</v>
      </c>
      <c r="CD27" s="3987"/>
      <c r="CE27" s="2938"/>
      <c r="CF27" s="2938">
        <v>392389510</v>
      </c>
      <c r="CG27" s="2938">
        <v>392389510</v>
      </c>
      <c r="CH27" s="2938">
        <v>392389510</v>
      </c>
      <c r="CI27" s="2938"/>
      <c r="CJ27" s="3994">
        <v>641198701</v>
      </c>
      <c r="CK27" s="4005">
        <v>394616776</v>
      </c>
      <c r="CL27" s="3270">
        <f>SUM(J27-Z27-AH27-AP27-AX27-BF27-CD27)-R27-BV27-CT27</f>
        <v>0</v>
      </c>
      <c r="CM27" s="2479">
        <f t="shared" si="27"/>
        <v>-650593666</v>
      </c>
      <c r="CN27" s="2479">
        <f t="shared" si="28"/>
        <v>5019041</v>
      </c>
      <c r="CO27" s="2479">
        <f t="shared" si="33"/>
        <v>-1210621721</v>
      </c>
      <c r="CP27" s="2479">
        <f t="shared" si="34"/>
        <v>216723838</v>
      </c>
      <c r="CQ27" s="2479"/>
      <c r="CR27" s="2479">
        <f>SUM(P27-AF27-AN27-AV27-BD27-BL27-CJ27)-X27-CB27-CZ27</f>
        <v>172474319</v>
      </c>
      <c r="CS27" s="2480">
        <f>SUM(Q27-AG27-AO27-AW27-BE27-BM27-CK27)-Y27-CC27-DA27</f>
        <v>0</v>
      </c>
      <c r="CT27" s="3270">
        <v>200000000</v>
      </c>
      <c r="CU27" s="3064"/>
      <c r="CV27" s="2479">
        <v>0</v>
      </c>
      <c r="CW27" s="2479"/>
      <c r="CX27" s="2480"/>
      <c r="CY27" s="3270"/>
      <c r="CZ27" s="2479"/>
      <c r="DA27" s="4016"/>
    </row>
    <row r="28" spans="1:106" ht="21.75" customHeight="1" x14ac:dyDescent="0.25">
      <c r="A28" s="2478" t="s">
        <v>1381</v>
      </c>
      <c r="B28" s="2509">
        <f>SUM('6.2.sz.mell.'!H122)</f>
        <v>6985000</v>
      </c>
      <c r="C28" s="3008">
        <f t="shared" si="13"/>
        <v>7891380</v>
      </c>
      <c r="D28" s="2503">
        <f>SUM('6.2.sz.mell.'!J122)</f>
        <v>14876380</v>
      </c>
      <c r="E28" s="2503">
        <f>SUM('6.2.sz.mell.'!K122)</f>
        <v>-3349124</v>
      </c>
      <c r="F28" s="2503">
        <f>SUM('6.2.sz.mell.'!L122)</f>
        <v>13114339</v>
      </c>
      <c r="G28" s="2503"/>
      <c r="H28" s="2503">
        <f>SUM('6.2.sz.mell.'!N122)</f>
        <v>13114339</v>
      </c>
      <c r="I28" s="3979">
        <f>SUM('6.2.sz.mell.'!O122)</f>
        <v>12346760</v>
      </c>
      <c r="J28" s="2509">
        <f t="shared" si="26"/>
        <v>6985000</v>
      </c>
      <c r="K28" s="2510">
        <f t="shared" si="20"/>
        <v>7891380</v>
      </c>
      <c r="L28" s="2503">
        <f t="shared" si="21"/>
        <v>14876380</v>
      </c>
      <c r="M28" s="2503">
        <f t="shared" si="29"/>
        <v>-3349124</v>
      </c>
      <c r="N28" s="2503">
        <f t="shared" si="30"/>
        <v>13114339</v>
      </c>
      <c r="O28" s="2503">
        <f t="shared" si="31"/>
        <v>0</v>
      </c>
      <c r="P28" s="2503">
        <f t="shared" si="32"/>
        <v>13114339</v>
      </c>
      <c r="Q28" s="3979">
        <f t="shared" si="32"/>
        <v>12346760</v>
      </c>
      <c r="R28" s="3974"/>
      <c r="S28" s="2481"/>
      <c r="T28" s="2938"/>
      <c r="U28" s="2938"/>
      <c r="V28" s="2938"/>
      <c r="W28" s="2938"/>
      <c r="X28" s="2938"/>
      <c r="Y28" s="3977"/>
      <c r="Z28" s="3974"/>
      <c r="AA28" s="2481"/>
      <c r="AB28" s="2481"/>
      <c r="AC28" s="2481"/>
      <c r="AD28" s="2481"/>
      <c r="AE28" s="2481"/>
      <c r="AF28" s="2481"/>
      <c r="AG28" s="3991"/>
      <c r="AH28" s="3987"/>
      <c r="AI28" s="2481"/>
      <c r="AJ28" s="2481"/>
      <c r="AK28" s="2481"/>
      <c r="AL28" s="2481"/>
      <c r="AM28" s="2481"/>
      <c r="AN28" s="2481"/>
      <c r="AO28" s="3991"/>
      <c r="AP28" s="3987"/>
      <c r="AQ28" s="2481"/>
      <c r="AR28" s="2481"/>
      <c r="AS28" s="2481"/>
      <c r="AT28" s="2481"/>
      <c r="AU28" s="2481"/>
      <c r="AV28" s="2481"/>
      <c r="AW28" s="3991"/>
      <c r="AX28" s="3987"/>
      <c r="AY28" s="2481"/>
      <c r="AZ28" s="2481"/>
      <c r="BA28" s="2481"/>
      <c r="BB28" s="2481"/>
      <c r="BC28" s="2481"/>
      <c r="BD28" s="2481"/>
      <c r="BE28" s="3991"/>
      <c r="BF28" s="3987"/>
      <c r="BG28" s="2481"/>
      <c r="BH28" s="2481"/>
      <c r="BI28" s="2481"/>
      <c r="BJ28" s="2481"/>
      <c r="BK28" s="2481"/>
      <c r="BL28" s="2481">
        <f>SUM('4. sz. mell.'!L34)</f>
        <v>556836</v>
      </c>
      <c r="BM28" s="2481">
        <f>SUM('4. sz. mell.'!M34)</f>
        <v>556836</v>
      </c>
      <c r="BN28" s="2481"/>
      <c r="BO28" s="2481"/>
      <c r="BP28" s="2481"/>
      <c r="BQ28" s="2481"/>
      <c r="BR28" s="2481"/>
      <c r="BS28" s="2481"/>
      <c r="BT28" s="2481"/>
      <c r="BU28" s="3991"/>
      <c r="BV28" s="3996"/>
      <c r="BW28" s="3997"/>
      <c r="BX28" s="3998"/>
      <c r="BY28" s="3998"/>
      <c r="BZ28" s="3998"/>
      <c r="CA28" s="3998"/>
      <c r="CB28" s="4025"/>
      <c r="CC28" s="4026"/>
      <c r="CD28" s="3987"/>
      <c r="CE28" s="2938"/>
      <c r="CF28" s="2938">
        <v>3200000</v>
      </c>
      <c r="CG28" s="2938">
        <v>3200000</v>
      </c>
      <c r="CH28" s="2938">
        <v>3200000</v>
      </c>
      <c r="CI28" s="2938"/>
      <c r="CJ28" s="3994">
        <v>3200000</v>
      </c>
      <c r="CK28" s="4005">
        <v>3200000</v>
      </c>
      <c r="CL28" s="3270">
        <f>SUM(J28-Z28-AH28-AP28-AX28-BF28-CD28)-R28-BV28-CT28</f>
        <v>6985000</v>
      </c>
      <c r="CM28" s="2479">
        <f t="shared" si="27"/>
        <v>7891380</v>
      </c>
      <c r="CN28" s="2479">
        <f t="shared" si="28"/>
        <v>11676380</v>
      </c>
      <c r="CO28" s="2479">
        <f t="shared" si="33"/>
        <v>-6549124</v>
      </c>
      <c r="CP28" s="2479">
        <f t="shared" si="34"/>
        <v>9914339</v>
      </c>
      <c r="CQ28" s="2479"/>
      <c r="CR28" s="2479">
        <f t="shared" si="35"/>
        <v>9357503</v>
      </c>
      <c r="CS28" s="2480">
        <f>SUM(Q28-AG28-AO28-AW28-BE28-BM28-CK28)-Y28-CC28-DB28</f>
        <v>8589924</v>
      </c>
      <c r="CT28" s="3270"/>
      <c r="CU28" s="3064"/>
      <c r="CV28" s="2479"/>
      <c r="CW28" s="2479"/>
      <c r="CX28" s="2480"/>
      <c r="CY28" s="3270"/>
      <c r="CZ28" s="2479"/>
      <c r="DA28" s="4016"/>
    </row>
    <row r="29" spans="1:106" ht="21.75" customHeight="1" x14ac:dyDescent="0.25">
      <c r="A29" s="2478" t="s">
        <v>1393</v>
      </c>
      <c r="B29" s="2509"/>
      <c r="C29" s="3008">
        <f t="shared" si="13"/>
        <v>32024056</v>
      </c>
      <c r="D29" s="2503">
        <f>SUM('6.2.sz.mell.'!J137+'6.2.sz.mell.'!J142+'6.2.sz.mell.'!J145+'6.2.sz.mell.'!J148+'6.2.sz.mell.'!J154+'6.2.sz.mell.'!J158+'6.2.sz.mell.'!J167+'6.2.sz.mell.'!J173+'6.2.sz.mell.'!J176+'6.2.sz.mell.'!J184)</f>
        <v>32024056</v>
      </c>
      <c r="E29" s="2503">
        <f>SUM('6.2.sz.mell.'!K137+'6.2.sz.mell.'!K142+'6.2.sz.mell.'!K145+'6.2.sz.mell.'!K148+'6.2.sz.mell.'!K154+'6.2.sz.mell.'!K158+'6.2.sz.mell.'!K167+'6.2.sz.mell.'!K173+'6.2.sz.mell.'!K176+'6.2.sz.mell.'!K184)</f>
        <v>32023587</v>
      </c>
      <c r="F29" s="2503">
        <f>SUM('6.2.sz.mell.'!L137+'6.2.sz.mell.'!L142+'6.2.sz.mell.'!L145+'6.2.sz.mell.'!L148+'6.2.sz.mell.'!L154+'6.2.sz.mell.'!L158+'6.2.sz.mell.'!L167+'6.2.sz.mell.'!L173+'6.2.sz.mell.'!L176+'6.2.sz.mell.'!L184)</f>
        <v>64047643</v>
      </c>
      <c r="G29" s="2503"/>
      <c r="H29" s="2503">
        <f>SUM('6.2.sz.mell.'!N137+'6.2.sz.mell.'!N142+'6.2.sz.mell.'!N145+'6.2.sz.mell.'!N148+'6.2.sz.mell.'!N154+'6.2.sz.mell.'!N158+'6.2.sz.mell.'!N167+'6.2.sz.mell.'!N173+'6.2.sz.mell.'!N176+'6.2.sz.mell.'!N184)</f>
        <v>64047643</v>
      </c>
      <c r="I29" s="3979">
        <f>SUM('6.2.sz.mell.'!O137+'6.2.sz.mell.'!O142+'6.2.sz.mell.'!O145+'6.2.sz.mell.'!O148+'6.2.sz.mell.'!O154+'6.2.sz.mell.'!O158+'6.2.sz.mell.'!O167+'6.2.sz.mell.'!O173+'6.2.sz.mell.'!O176+'6.2.sz.mell.'!O184)</f>
        <v>29796790</v>
      </c>
      <c r="J29" s="2509">
        <f>SUM(B29)</f>
        <v>0</v>
      </c>
      <c r="K29" s="2510">
        <f t="shared" si="20"/>
        <v>32024056</v>
      </c>
      <c r="L29" s="2503">
        <f t="shared" si="21"/>
        <v>32024056</v>
      </c>
      <c r="M29" s="2503">
        <f t="shared" si="29"/>
        <v>32023587</v>
      </c>
      <c r="N29" s="2503">
        <f t="shared" si="30"/>
        <v>64047643</v>
      </c>
      <c r="O29" s="2503">
        <f t="shared" si="31"/>
        <v>0</v>
      </c>
      <c r="P29" s="2503">
        <f t="shared" si="32"/>
        <v>64047643</v>
      </c>
      <c r="Q29" s="3979">
        <f t="shared" si="32"/>
        <v>29796790</v>
      </c>
      <c r="R29" s="3974"/>
      <c r="S29" s="2481"/>
      <c r="T29" s="2938"/>
      <c r="U29" s="2938"/>
      <c r="V29" s="2938"/>
      <c r="W29" s="2938"/>
      <c r="X29" s="2938"/>
      <c r="Y29" s="3977"/>
      <c r="Z29" s="3974"/>
      <c r="AA29" s="2481"/>
      <c r="AB29" s="2481"/>
      <c r="AC29" s="2481"/>
      <c r="AD29" s="2481"/>
      <c r="AE29" s="2481"/>
      <c r="AF29" s="2481"/>
      <c r="AG29" s="3991"/>
      <c r="AH29" s="3987"/>
      <c r="AI29" s="2481"/>
      <c r="AJ29" s="2481"/>
      <c r="AK29" s="2481"/>
      <c r="AL29" s="2481"/>
      <c r="AM29" s="2481"/>
      <c r="AN29" s="2481"/>
      <c r="AO29" s="3991"/>
      <c r="AP29" s="3987"/>
      <c r="AQ29" s="2481"/>
      <c r="AR29" s="2481"/>
      <c r="AS29" s="2481"/>
      <c r="AT29" s="2481"/>
      <c r="AU29" s="2481"/>
      <c r="AV29" s="2481"/>
      <c r="AW29" s="3991"/>
      <c r="AX29" s="3987"/>
      <c r="AY29" s="2481"/>
      <c r="AZ29" s="2481"/>
      <c r="BA29" s="2481"/>
      <c r="BB29" s="2481"/>
      <c r="BC29" s="2481"/>
      <c r="BD29" s="2481"/>
      <c r="BE29" s="3991"/>
      <c r="BF29" s="3987"/>
      <c r="BG29" s="2481"/>
      <c r="BH29" s="2481"/>
      <c r="BI29" s="2481"/>
      <c r="BJ29" s="2481"/>
      <c r="BK29" s="2481"/>
      <c r="BL29" s="2481"/>
      <c r="BM29" s="2481"/>
      <c r="BN29" s="2481"/>
      <c r="BO29" s="2481"/>
      <c r="BP29" s="2481"/>
      <c r="BQ29" s="2481"/>
      <c r="BR29" s="2481"/>
      <c r="BS29" s="2481"/>
      <c r="BT29" s="2481"/>
      <c r="BU29" s="3991"/>
      <c r="BV29" s="3996"/>
      <c r="BW29" s="3997"/>
      <c r="BX29" s="3998"/>
      <c r="BY29" s="3998"/>
      <c r="BZ29" s="3998"/>
      <c r="CA29" s="3998"/>
      <c r="CB29" s="4025"/>
      <c r="CC29" s="4026"/>
      <c r="CD29" s="3987"/>
      <c r="CE29" s="2938"/>
      <c r="CF29" s="2938">
        <v>32024056</v>
      </c>
      <c r="CG29" s="2938">
        <v>32024056</v>
      </c>
      <c r="CH29" s="2938">
        <v>32024056</v>
      </c>
      <c r="CI29" s="2938"/>
      <c r="CJ29" s="3994">
        <v>32024056</v>
      </c>
      <c r="CK29" s="4005">
        <v>29796790</v>
      </c>
      <c r="CL29" s="3270">
        <f>SUM(J29-Z29-AH29-AP29-AX29-BF29-CD29)-R29-BV29-CT29</f>
        <v>0</v>
      </c>
      <c r="CM29" s="2479">
        <f t="shared" si="27"/>
        <v>32024056</v>
      </c>
      <c r="CN29" s="2479">
        <f t="shared" si="28"/>
        <v>0</v>
      </c>
      <c r="CO29" s="2479">
        <f t="shared" si="33"/>
        <v>-469</v>
      </c>
      <c r="CP29" s="2479">
        <f t="shared" si="34"/>
        <v>32023587</v>
      </c>
      <c r="CQ29" s="2479"/>
      <c r="CR29" s="2479">
        <f t="shared" si="35"/>
        <v>32023587</v>
      </c>
      <c r="CS29" s="2480">
        <f>SUM(Q29-AG29-AO29-AW29-BE29-BM29-CK29)-Y29-CC29-DB29</f>
        <v>0</v>
      </c>
      <c r="CT29" s="3270"/>
      <c r="CU29" s="3064"/>
      <c r="CV29" s="2479"/>
      <c r="CW29" s="2479"/>
      <c r="CX29" s="2480"/>
      <c r="CY29" s="3270"/>
      <c r="CZ29" s="2479"/>
      <c r="DA29" s="4016"/>
    </row>
    <row r="30" spans="1:106" ht="21.75" customHeight="1" x14ac:dyDescent="0.25">
      <c r="A30" s="2551" t="s">
        <v>1421</v>
      </c>
      <c r="B30" s="2511">
        <f>SUM('3.2 Cofogos'!E285)</f>
        <v>581321000</v>
      </c>
      <c r="C30" s="3008">
        <f t="shared" si="13"/>
        <v>1096200000</v>
      </c>
      <c r="D30" s="2503">
        <f>SUM('3.2 Cofogos'!G285)</f>
        <v>1677521000</v>
      </c>
      <c r="E30" s="2503">
        <f>SUM('3.2 Cofogos'!H285)</f>
        <v>-180851145</v>
      </c>
      <c r="F30" s="2503">
        <f>SUM('3.2 Cofogos'!I285)</f>
        <v>1496669855</v>
      </c>
      <c r="G30" s="2503"/>
      <c r="H30" s="2503">
        <f>SUM('3.2 Cofogos'!K285)</f>
        <v>1496669855</v>
      </c>
      <c r="I30" s="3979">
        <f>SUM('3.2 Cofogos'!L285)</f>
        <v>1357269500</v>
      </c>
      <c r="J30" s="2509">
        <f>SUM(B30)</f>
        <v>581321000</v>
      </c>
      <c r="K30" s="2510">
        <f t="shared" si="20"/>
        <v>1096200000</v>
      </c>
      <c r="L30" s="2503">
        <f t="shared" si="21"/>
        <v>1677521000</v>
      </c>
      <c r="M30" s="2503">
        <f t="shared" si="29"/>
        <v>-180851145</v>
      </c>
      <c r="N30" s="2503">
        <f t="shared" si="30"/>
        <v>1496669855</v>
      </c>
      <c r="O30" s="2503">
        <f t="shared" si="31"/>
        <v>0</v>
      </c>
      <c r="P30" s="2503">
        <f t="shared" si="32"/>
        <v>1496669855</v>
      </c>
      <c r="Q30" s="3979">
        <f t="shared" si="32"/>
        <v>1357269500</v>
      </c>
      <c r="R30" s="3974"/>
      <c r="S30" s="2481"/>
      <c r="T30" s="2938"/>
      <c r="U30" s="2938"/>
      <c r="V30" s="2938"/>
      <c r="W30" s="2938"/>
      <c r="X30" s="2938"/>
      <c r="Y30" s="3977"/>
      <c r="Z30" s="3974"/>
      <c r="AA30" s="2481"/>
      <c r="AB30" s="2481"/>
      <c r="AC30" s="2481"/>
      <c r="AD30" s="2481"/>
      <c r="AE30" s="2481"/>
      <c r="AF30" s="2481"/>
      <c r="AG30" s="3991"/>
      <c r="AH30" s="3987"/>
      <c r="AI30" s="2481"/>
      <c r="AJ30" s="2481"/>
      <c r="AK30" s="2481"/>
      <c r="AL30" s="2481"/>
      <c r="AM30" s="2481"/>
      <c r="AN30" s="2481"/>
      <c r="AO30" s="3991"/>
      <c r="AP30" s="3987"/>
      <c r="AQ30" s="2481"/>
      <c r="AR30" s="2481"/>
      <c r="AS30" s="2481"/>
      <c r="AT30" s="2481"/>
      <c r="AU30" s="2481"/>
      <c r="AV30" s="2481"/>
      <c r="AW30" s="3991"/>
      <c r="AX30" s="3987"/>
      <c r="AY30" s="2481"/>
      <c r="AZ30" s="2481"/>
      <c r="BA30" s="2481"/>
      <c r="BB30" s="2481"/>
      <c r="BC30" s="2481"/>
      <c r="BD30" s="2481"/>
      <c r="BE30" s="3991"/>
      <c r="BF30" s="3987"/>
      <c r="BG30" s="2481"/>
      <c r="BH30" s="2481"/>
      <c r="BI30" s="2481"/>
      <c r="BJ30" s="2481"/>
      <c r="BK30" s="2481"/>
      <c r="BL30" s="2481"/>
      <c r="BM30" s="2481"/>
      <c r="BN30" s="2481"/>
      <c r="BO30" s="2481"/>
      <c r="BP30" s="2481"/>
      <c r="BQ30" s="2481"/>
      <c r="BR30" s="2481"/>
      <c r="BS30" s="2481"/>
      <c r="BT30" s="2481"/>
      <c r="BU30" s="3991"/>
      <c r="BV30" s="3996"/>
      <c r="BW30" s="3997"/>
      <c r="BX30" s="3998">
        <v>1183325042</v>
      </c>
      <c r="BY30" s="3998">
        <v>1183325042</v>
      </c>
      <c r="BZ30" s="3998">
        <v>1183325042</v>
      </c>
      <c r="CA30" s="3998"/>
      <c r="CB30" s="4025">
        <v>383325042</v>
      </c>
      <c r="CC30" s="4026">
        <v>383325042</v>
      </c>
      <c r="CD30" s="3987"/>
      <c r="CE30" s="2938"/>
      <c r="CF30" s="2938"/>
      <c r="CG30" s="3054"/>
      <c r="CH30" s="3054"/>
      <c r="CI30" s="3054"/>
      <c r="CJ30" s="4000"/>
      <c r="CK30" s="4006"/>
      <c r="CL30" s="3270">
        <f>SUM(J30-Z30-AH30-AP30-AX30-BF30-CD30)-R30-BV30-CT30</f>
        <v>581321000</v>
      </c>
      <c r="CM30" s="2479">
        <f t="shared" si="27"/>
        <v>1096200000</v>
      </c>
      <c r="CN30" s="2479">
        <f t="shared" si="28"/>
        <v>494195958</v>
      </c>
      <c r="CO30" s="2479">
        <f t="shared" si="33"/>
        <v>-1364176187</v>
      </c>
      <c r="CP30" s="2479">
        <f t="shared" si="34"/>
        <v>313344813</v>
      </c>
      <c r="CQ30" s="2479"/>
      <c r="CR30" s="2479">
        <f t="shared" si="35"/>
        <v>1113344813</v>
      </c>
      <c r="CS30" s="2480">
        <f>SUM(Q30-AG30-AO30-AW30-BE30-BM30-CK30)-Y30-CC30-DB30</f>
        <v>973944458</v>
      </c>
      <c r="CT30" s="3270"/>
      <c r="CU30" s="3064"/>
      <c r="CV30" s="2479"/>
      <c r="CW30" s="2479"/>
      <c r="CX30" s="2480"/>
      <c r="CY30" s="3270"/>
      <c r="CZ30" s="2479"/>
      <c r="DA30" s="4016"/>
    </row>
    <row r="31" spans="1:106" ht="21.75" customHeight="1" x14ac:dyDescent="0.25">
      <c r="A31" s="3544" t="s">
        <v>1832</v>
      </c>
      <c r="B31" s="2511"/>
      <c r="C31" s="3035"/>
      <c r="D31" s="3036">
        <v>178678595</v>
      </c>
      <c r="E31" s="3036"/>
      <c r="F31" s="3036">
        <v>241992003</v>
      </c>
      <c r="G31" s="3036"/>
      <c r="H31" s="3036">
        <v>399207028</v>
      </c>
      <c r="I31" s="3982">
        <v>411730901</v>
      </c>
      <c r="J31" s="2511"/>
      <c r="K31" s="3037"/>
      <c r="L31" s="2503">
        <f t="shared" si="21"/>
        <v>178678595</v>
      </c>
      <c r="M31" s="2503">
        <f t="shared" si="29"/>
        <v>0</v>
      </c>
      <c r="N31" s="2503">
        <f t="shared" si="30"/>
        <v>241992003</v>
      </c>
      <c r="O31" s="2503">
        <f t="shared" si="31"/>
        <v>0</v>
      </c>
      <c r="P31" s="2503">
        <f t="shared" si="32"/>
        <v>399207028</v>
      </c>
      <c r="Q31" s="3979">
        <f t="shared" si="32"/>
        <v>411730901</v>
      </c>
      <c r="R31" s="3974"/>
      <c r="S31" s="2481"/>
      <c r="T31" s="2938"/>
      <c r="U31" s="2938"/>
      <c r="V31" s="2938"/>
      <c r="W31" s="2938"/>
      <c r="X31" s="2938"/>
      <c r="Y31" s="3977"/>
      <c r="Z31" s="3974"/>
      <c r="AA31" s="2481"/>
      <c r="AB31" s="2481"/>
      <c r="AC31" s="2481"/>
      <c r="AD31" s="2481"/>
      <c r="AE31" s="2481"/>
      <c r="AF31" s="2481">
        <v>92536471</v>
      </c>
      <c r="AG31" s="3991">
        <v>103886818</v>
      </c>
      <c r="AH31" s="3987"/>
      <c r="AI31" s="2481"/>
      <c r="AJ31" s="2481"/>
      <c r="AK31" s="2481"/>
      <c r="AL31" s="2481"/>
      <c r="AM31" s="2481"/>
      <c r="AN31" s="2481"/>
      <c r="AO31" s="3991">
        <v>47743524</v>
      </c>
      <c r="AP31" s="3987"/>
      <c r="AQ31" s="2481"/>
      <c r="AR31" s="2481"/>
      <c r="AS31" s="2481"/>
      <c r="AT31" s="2481"/>
      <c r="AU31" s="2481"/>
      <c r="AV31" s="2481"/>
      <c r="AW31" s="3991"/>
      <c r="AX31" s="3987"/>
      <c r="AY31" s="2481"/>
      <c r="AZ31" s="2481">
        <v>2000000</v>
      </c>
      <c r="BA31" s="2481">
        <v>2000000</v>
      </c>
      <c r="BB31" s="2481">
        <v>2000000</v>
      </c>
      <c r="BC31" s="2481">
        <v>2000000</v>
      </c>
      <c r="BD31" s="2481">
        <f>SUM('3.1. Cofog'!R34)</f>
        <v>6450000</v>
      </c>
      <c r="BE31" s="3991">
        <f>SUM('3.1. Cofog'!S34)+'3.1. Cofog'!S72</f>
        <v>6500000</v>
      </c>
      <c r="BF31" s="3987"/>
      <c r="BG31" s="2481"/>
      <c r="BH31" s="2481"/>
      <c r="BI31" s="2481"/>
      <c r="BJ31" s="2481"/>
      <c r="BK31" s="2481"/>
      <c r="BL31" s="2481"/>
      <c r="BM31" s="2481"/>
      <c r="BN31" s="2481"/>
      <c r="BO31" s="2481"/>
      <c r="BP31" s="2481"/>
      <c r="BQ31" s="2481"/>
      <c r="BR31" s="2481"/>
      <c r="BS31" s="2481"/>
      <c r="BT31" s="2481"/>
      <c r="BU31" s="3991"/>
      <c r="BV31" s="3996"/>
      <c r="BW31" s="3997"/>
      <c r="BX31" s="3998"/>
      <c r="BY31" s="3998"/>
      <c r="BZ31" s="3998"/>
      <c r="CA31" s="3998"/>
      <c r="CB31" s="4025">
        <v>135798521</v>
      </c>
      <c r="CC31" s="4026"/>
      <c r="CD31" s="3987"/>
      <c r="CE31" s="2938"/>
      <c r="CF31" s="2938"/>
      <c r="CG31" s="3054"/>
      <c r="CH31" s="3054"/>
      <c r="CI31" s="3054"/>
      <c r="CJ31" s="3994">
        <v>74689901</v>
      </c>
      <c r="CK31" s="4007"/>
      <c r="CL31" s="3270">
        <f>SUM(J31-Z31-AH31-AP31-AX31-BF31-CD31)-R31-BV31-CT31</f>
        <v>0</v>
      </c>
      <c r="CM31" s="3038"/>
      <c r="CN31" s="2479">
        <f t="shared" si="28"/>
        <v>176678595</v>
      </c>
      <c r="CO31" s="2479">
        <f t="shared" si="33"/>
        <v>-2000000</v>
      </c>
      <c r="CP31" s="2479">
        <f t="shared" si="34"/>
        <v>239992003</v>
      </c>
      <c r="CQ31" s="2479"/>
      <c r="CR31" s="2479">
        <f t="shared" si="35"/>
        <v>89732135</v>
      </c>
      <c r="CS31" s="2480">
        <f>SUM(Q31-AG31-AO31-AW31-BE31-BM31-CK31)-Y31-CC31-DB31</f>
        <v>253600559</v>
      </c>
      <c r="CT31" s="3271"/>
      <c r="CU31" s="3060"/>
      <c r="CV31" s="3038"/>
      <c r="CW31" s="3038"/>
      <c r="CX31" s="3061"/>
      <c r="CY31" s="3271"/>
      <c r="CZ31" s="3038"/>
      <c r="DA31" s="4017"/>
    </row>
    <row r="32" spans="1:106" ht="21.75" customHeight="1" thickBot="1" x14ac:dyDescent="0.35">
      <c r="A32" s="3066" t="s">
        <v>712</v>
      </c>
      <c r="B32" s="2483">
        <f t="shared" ref="B32:P32" si="36">SUM(B6:B31)-B6</f>
        <v>2797921394</v>
      </c>
      <c r="C32" s="2483">
        <f t="shared" si="36"/>
        <v>2118931167</v>
      </c>
      <c r="D32" s="2483">
        <f t="shared" si="36"/>
        <v>5095531157</v>
      </c>
      <c r="E32" s="2483">
        <f t="shared" si="36"/>
        <v>-95415514</v>
      </c>
      <c r="F32" s="2483">
        <f t="shared" si="36"/>
        <v>5024604941</v>
      </c>
      <c r="G32" s="2483"/>
      <c r="H32" s="2483">
        <f t="shared" ref="H32:I32" si="37">SUM(H6:H31)-H6</f>
        <v>5171673777</v>
      </c>
      <c r="I32" s="3062">
        <f t="shared" si="37"/>
        <v>3880000272</v>
      </c>
      <c r="J32" s="3272">
        <f t="shared" si="36"/>
        <v>2797921394</v>
      </c>
      <c r="K32" s="2483">
        <f t="shared" si="36"/>
        <v>2118931167</v>
      </c>
      <c r="L32" s="2483">
        <f t="shared" si="36"/>
        <v>5095531157</v>
      </c>
      <c r="M32" s="2483">
        <f t="shared" si="36"/>
        <v>-95415514</v>
      </c>
      <c r="N32" s="2483">
        <f t="shared" si="36"/>
        <v>5024604941</v>
      </c>
      <c r="O32" s="2483">
        <f t="shared" si="36"/>
        <v>5</v>
      </c>
      <c r="P32" s="2483">
        <f t="shared" si="36"/>
        <v>5171673777</v>
      </c>
      <c r="Q32" s="3062">
        <f t="shared" ref="Q32" si="38">SUM(Q6:Q31)-Q6</f>
        <v>3924617311</v>
      </c>
      <c r="R32" s="3975">
        <f>SUM(R6:R31)-R7-R8-R9</f>
        <v>9400000</v>
      </c>
      <c r="S32" s="2484">
        <f t="shared" ref="S32:Y32" si="39">SUM(S6:S31)-S7-S8-S9</f>
        <v>9400000</v>
      </c>
      <c r="T32" s="2484">
        <f t="shared" si="39"/>
        <v>9400000</v>
      </c>
      <c r="U32" s="2484">
        <f t="shared" si="39"/>
        <v>9400000</v>
      </c>
      <c r="V32" s="2484">
        <f t="shared" si="39"/>
        <v>44</v>
      </c>
      <c r="W32" s="2484">
        <f t="shared" si="39"/>
        <v>0</v>
      </c>
      <c r="X32" s="2484">
        <f t="shared" si="39"/>
        <v>11751241</v>
      </c>
      <c r="Y32" s="3978">
        <f t="shared" si="39"/>
        <v>11751241</v>
      </c>
      <c r="Z32" s="3975">
        <f t="shared" ref="Z32:BV32" si="40">SUM(Z6:Z31)-Z7-Z8-Z9</f>
        <v>17069000</v>
      </c>
      <c r="AA32" s="2484">
        <f t="shared" si="40"/>
        <v>0</v>
      </c>
      <c r="AB32" s="2484">
        <f t="shared" si="40"/>
        <v>251592125</v>
      </c>
      <c r="AC32" s="2484">
        <f t="shared" si="40"/>
        <v>233747197</v>
      </c>
      <c r="AD32" s="2484">
        <f t="shared" si="40"/>
        <v>252216197</v>
      </c>
      <c r="AE32" s="2484">
        <f t="shared" si="40"/>
        <v>0</v>
      </c>
      <c r="AF32" s="2484">
        <f t="shared" si="40"/>
        <v>110262343</v>
      </c>
      <c r="AG32" s="3978">
        <f t="shared" si="40"/>
        <v>121252775</v>
      </c>
      <c r="AH32" s="3975">
        <f t="shared" si="40"/>
        <v>455857000</v>
      </c>
      <c r="AI32" s="2484">
        <f t="shared" si="40"/>
        <v>0</v>
      </c>
      <c r="AJ32" s="2484">
        <f t="shared" si="40"/>
        <v>466818055</v>
      </c>
      <c r="AK32" s="2484">
        <f t="shared" si="40"/>
        <v>6244900</v>
      </c>
      <c r="AL32" s="2484">
        <f>SUM(AL6:AL31)-AL7-AL8-AL9</f>
        <v>473062955</v>
      </c>
      <c r="AM32" s="2484">
        <f t="shared" si="40"/>
        <v>0</v>
      </c>
      <c r="AN32" s="2484">
        <f>SUM(AN6:AN31)-AN7-AN8-AN9</f>
        <v>472830731</v>
      </c>
      <c r="AO32" s="3978">
        <f>SUM(AO6:AO31)-AO7-AO8-AO9</f>
        <v>520574255</v>
      </c>
      <c r="AP32" s="3975">
        <f t="shared" si="40"/>
        <v>0</v>
      </c>
      <c r="AQ32" s="2484">
        <f t="shared" si="40"/>
        <v>0</v>
      </c>
      <c r="AR32" s="2484">
        <f t="shared" si="40"/>
        <v>0</v>
      </c>
      <c r="AS32" s="2484">
        <f t="shared" si="40"/>
        <v>0</v>
      </c>
      <c r="AT32" s="2484">
        <f t="shared" si="40"/>
        <v>41741375</v>
      </c>
      <c r="AU32" s="2484">
        <f t="shared" si="40"/>
        <v>0</v>
      </c>
      <c r="AV32" s="2484">
        <f t="shared" si="40"/>
        <v>71704828</v>
      </c>
      <c r="AW32" s="3978">
        <f t="shared" si="40"/>
        <v>71704828</v>
      </c>
      <c r="AX32" s="3975">
        <f t="shared" si="40"/>
        <v>0</v>
      </c>
      <c r="AY32" s="2484">
        <f t="shared" si="40"/>
        <v>0</v>
      </c>
      <c r="AZ32" s="2484">
        <f t="shared" si="40"/>
        <v>2100000</v>
      </c>
      <c r="BA32" s="2484">
        <f t="shared" si="40"/>
        <v>2100000</v>
      </c>
      <c r="BB32" s="2484">
        <f t="shared" si="40"/>
        <v>2100000</v>
      </c>
      <c r="BC32" s="2484">
        <f t="shared" si="40"/>
        <v>2000000</v>
      </c>
      <c r="BD32" s="2484">
        <f t="shared" si="40"/>
        <v>6550000</v>
      </c>
      <c r="BE32" s="3978">
        <f t="shared" ref="BE32" si="41">SUM(BE6:BE31)-BE7-BE8-BE9</f>
        <v>6600000</v>
      </c>
      <c r="BF32" s="3975">
        <f t="shared" si="40"/>
        <v>0</v>
      </c>
      <c r="BG32" s="2484">
        <f t="shared" si="40"/>
        <v>0</v>
      </c>
      <c r="BH32" s="2484">
        <f t="shared" si="40"/>
        <v>0</v>
      </c>
      <c r="BI32" s="2484">
        <f t="shared" si="40"/>
        <v>0</v>
      </c>
      <c r="BJ32" s="2484">
        <f t="shared" si="40"/>
        <v>0</v>
      </c>
      <c r="BK32" s="2484">
        <f t="shared" si="40"/>
        <v>0</v>
      </c>
      <c r="BL32" s="2484">
        <f t="shared" si="40"/>
        <v>556836</v>
      </c>
      <c r="BM32" s="2484">
        <f t="shared" si="40"/>
        <v>796962</v>
      </c>
      <c r="BN32" s="2484">
        <f t="shared" si="40"/>
        <v>0</v>
      </c>
      <c r="BO32" s="2484">
        <f t="shared" si="40"/>
        <v>0</v>
      </c>
      <c r="BP32" s="2484">
        <f t="shared" si="40"/>
        <v>200000000</v>
      </c>
      <c r="BQ32" s="2484">
        <f t="shared" si="40"/>
        <v>200000000</v>
      </c>
      <c r="BR32" s="2484">
        <f t="shared" si="40"/>
        <v>200000000</v>
      </c>
      <c r="BS32" s="2484">
        <f t="shared" si="40"/>
        <v>0</v>
      </c>
      <c r="BT32" s="2484">
        <f t="shared" si="40"/>
        <v>0</v>
      </c>
      <c r="BU32" s="3978">
        <f t="shared" si="40"/>
        <v>0</v>
      </c>
      <c r="BV32" s="3975">
        <f t="shared" si="40"/>
        <v>1361850000</v>
      </c>
      <c r="BW32" s="2484">
        <f t="shared" ref="BW32:CX32" si="42">SUM(BW6:BW31)-BW7-BW8-BW9</f>
        <v>1361850000</v>
      </c>
      <c r="BX32" s="2484">
        <f t="shared" si="42"/>
        <v>2458050000</v>
      </c>
      <c r="BY32" s="2484">
        <f t="shared" si="42"/>
        <v>2298603000</v>
      </c>
      <c r="BZ32" s="2484">
        <f t="shared" si="42"/>
        <v>2458050000</v>
      </c>
      <c r="CA32" s="2484">
        <f t="shared" si="42"/>
        <v>0</v>
      </c>
      <c r="CB32" s="2484">
        <f t="shared" si="42"/>
        <v>1565513529</v>
      </c>
      <c r="CC32" s="3978">
        <f t="shared" ref="CC32" si="43">SUM(CC6:CC31)-CC7-CC8-CC9</f>
        <v>1056182559</v>
      </c>
      <c r="CD32" s="3975">
        <f t="shared" si="42"/>
        <v>0</v>
      </c>
      <c r="CE32" s="2484">
        <f t="shared" si="42"/>
        <v>0</v>
      </c>
      <c r="CF32" s="2484">
        <f>SUM(CF6:CF31)-CF7-CF8-CF9</f>
        <v>864826607</v>
      </c>
      <c r="CG32" s="2484">
        <f t="shared" si="42"/>
        <v>1015575566</v>
      </c>
      <c r="CH32" s="2484">
        <f t="shared" si="42"/>
        <v>864826607</v>
      </c>
      <c r="CI32" s="2484"/>
      <c r="CJ32" s="2484">
        <f t="shared" si="42"/>
        <v>1100323448</v>
      </c>
      <c r="CK32" s="3978">
        <f t="shared" ref="CK32" si="44">SUM(CK6:CK31)-CK7-CK8-CK9</f>
        <v>700661243</v>
      </c>
      <c r="CL32" s="3272">
        <f t="shared" si="42"/>
        <v>753745394</v>
      </c>
      <c r="CM32" s="2483">
        <f t="shared" si="42"/>
        <v>747681167</v>
      </c>
      <c r="CN32" s="2483">
        <f t="shared" si="42"/>
        <v>842744370</v>
      </c>
      <c r="CO32" s="2483">
        <f>SUM(CO6:CO31)-CO7-CO8-CO9</f>
        <v>-3861086177</v>
      </c>
      <c r="CP32" s="2483">
        <f>SUM(CP6:CP31)-CP7-CP8-CP9</f>
        <v>732607763</v>
      </c>
      <c r="CQ32" s="2483"/>
      <c r="CR32" s="2483">
        <f>SUM(CR6:CR31)-CR7-CR8-CR9</f>
        <v>1832180821</v>
      </c>
      <c r="CS32" s="3062">
        <f>SUM(CS6:CS31)-CS7-CS8-CS9</f>
        <v>1435093448</v>
      </c>
      <c r="CT32" s="3272">
        <f t="shared" si="42"/>
        <v>200000000</v>
      </c>
      <c r="CU32" s="2483">
        <f t="shared" si="42"/>
        <v>0</v>
      </c>
      <c r="CV32" s="2483">
        <f t="shared" si="42"/>
        <v>0</v>
      </c>
      <c r="CW32" s="2483">
        <f t="shared" si="42"/>
        <v>0</v>
      </c>
      <c r="CX32" s="3062">
        <f t="shared" si="42"/>
        <v>0</v>
      </c>
      <c r="CY32" s="3272"/>
      <c r="CZ32" s="2483">
        <f>SUM(CZ6:CZ30)-CZ7-CZ8-CZ9</f>
        <v>0</v>
      </c>
      <c r="DA32" s="4018">
        <f>SUM(DA6:DA30)-DA7-DA8-DA9</f>
        <v>0</v>
      </c>
      <c r="DB32" s="4010">
        <f>SUM(CZ32+CR32+CJ32+CB32+BT32+BL32+BD32+AV32+AN32+AF32+X32)</f>
        <v>5171673777</v>
      </c>
    </row>
    <row r="33" spans="1:106" ht="21" customHeight="1" x14ac:dyDescent="0.25">
      <c r="B33" s="2485"/>
      <c r="C33" s="2485"/>
      <c r="D33" s="2485"/>
      <c r="E33" s="2485"/>
      <c r="F33" s="2485"/>
      <c r="G33" s="2485"/>
      <c r="H33" s="2485"/>
      <c r="I33" s="2485"/>
      <c r="J33" s="2485"/>
      <c r="K33" s="2485"/>
      <c r="L33" s="2485"/>
      <c r="M33" s="2485"/>
      <c r="N33" s="2485"/>
      <c r="O33" s="2485"/>
      <c r="P33" s="2485"/>
      <c r="Q33" s="2485"/>
      <c r="R33" s="2486"/>
      <c r="S33" s="2486"/>
      <c r="T33" s="2486"/>
      <c r="U33" s="2486"/>
      <c r="V33" s="2486"/>
      <c r="W33" s="2486"/>
      <c r="X33" s="2486"/>
      <c r="Y33" s="2486"/>
      <c r="Z33" s="2486"/>
      <c r="AA33" s="2486"/>
      <c r="AB33" s="2486"/>
      <c r="AC33" s="2486"/>
      <c r="AD33" s="2486"/>
      <c r="AE33" s="2486"/>
      <c r="AF33" s="2486"/>
      <c r="AG33" s="2486"/>
      <c r="AH33" s="2486"/>
      <c r="AI33" s="2486"/>
      <c r="AJ33" s="2486"/>
      <c r="AK33" s="2486"/>
      <c r="AL33" s="2486"/>
      <c r="AM33" s="2486"/>
      <c r="AN33" s="2486"/>
      <c r="AO33" s="2486"/>
      <c r="AP33" s="2486"/>
      <c r="AQ33" s="2486"/>
      <c r="AR33" s="2486"/>
      <c r="AS33" s="2486"/>
      <c r="AT33" s="2486"/>
      <c r="AU33" s="2486"/>
      <c r="AV33" s="2486"/>
      <c r="AW33" s="2486"/>
      <c r="AX33" s="2486"/>
      <c r="AY33" s="2486"/>
      <c r="AZ33" s="2486"/>
      <c r="BA33" s="2486"/>
      <c r="BB33" s="2486"/>
      <c r="BC33" s="2486"/>
      <c r="BD33" s="2486"/>
      <c r="BE33" s="2486"/>
      <c r="BF33" s="2486"/>
      <c r="BG33" s="2486"/>
      <c r="BH33" s="2486"/>
      <c r="BI33" s="2486"/>
      <c r="BJ33" s="2486"/>
      <c r="BK33" s="2486"/>
      <c r="BL33" s="2486"/>
      <c r="BM33" s="2486"/>
      <c r="BN33" s="2486"/>
      <c r="BO33" s="2486"/>
      <c r="BP33" s="2486"/>
      <c r="BQ33" s="2486"/>
      <c r="BR33" s="2486"/>
      <c r="BS33" s="2486"/>
      <c r="BT33" s="2486"/>
      <c r="BU33" s="2486"/>
      <c r="BV33" s="2486"/>
      <c r="BW33" s="2486"/>
      <c r="BX33" s="3028"/>
      <c r="BY33" s="3028"/>
      <c r="BZ33" s="3028"/>
      <c r="CA33" s="3028"/>
      <c r="CB33" s="3028"/>
      <c r="CC33" s="3028"/>
      <c r="CD33" s="2486"/>
      <c r="CE33" s="2486"/>
      <c r="CF33" s="2486"/>
      <c r="CG33" s="2486"/>
      <c r="CH33" s="2486"/>
      <c r="CI33" s="2486"/>
      <c r="CJ33" s="2486"/>
      <c r="CK33" s="2486"/>
      <c r="CL33" s="2486"/>
      <c r="CM33" s="2486"/>
      <c r="CN33" s="2486"/>
      <c r="CO33" s="2486"/>
      <c r="CP33" s="2486"/>
      <c r="CQ33" s="2486"/>
      <c r="CR33" s="2486"/>
      <c r="CS33" s="2486"/>
      <c r="CT33" s="2486"/>
      <c r="CU33" s="2486"/>
      <c r="CV33" s="2486"/>
      <c r="CW33" s="2486"/>
      <c r="CX33" s="2486"/>
      <c r="CY33" s="2486"/>
      <c r="DB33" s="3230">
        <f>SUM(H32-DB32)</f>
        <v>0</v>
      </c>
    </row>
    <row r="34" spans="1:106" customFormat="1" ht="21" customHeight="1" x14ac:dyDescent="0.25">
      <c r="A34" s="3236" t="s">
        <v>1943</v>
      </c>
      <c r="B34" s="2521">
        <f>SUM('2.b sz. mell'!D43)</f>
        <v>2797921394</v>
      </c>
      <c r="C34" s="2521">
        <f>SUM('2.b sz. mell'!E43)</f>
        <v>2299009761</v>
      </c>
      <c r="D34" s="2521">
        <f>SUM('2.b sz. mell'!F43)</f>
        <v>5096931155</v>
      </c>
      <c r="E34" s="2521">
        <f>SUM('2.b sz. mell'!G43)</f>
        <v>74742622</v>
      </c>
      <c r="F34" s="2521">
        <f>SUM('2.b sz. mell'!H43)</f>
        <v>5171673777</v>
      </c>
      <c r="G34" s="2521">
        <f>SUM('2.b sz. mell'!I43)</f>
        <v>0</v>
      </c>
      <c r="H34" s="2521">
        <f>SUM('2.b sz. mell'!J43)</f>
        <v>5171673777</v>
      </c>
      <c r="I34" s="2521">
        <f>SUM('2.b sz. mell'!K89)</f>
        <v>3880000272</v>
      </c>
      <c r="Q34" s="2521">
        <f>SUM('2.b sz. mell'!K43)</f>
        <v>3924617311</v>
      </c>
      <c r="X34" s="2361"/>
      <c r="Y34" s="3934"/>
      <c r="AG34" s="3934"/>
      <c r="AO34" s="3934"/>
      <c r="AW34" s="3934"/>
      <c r="BE34" s="3934"/>
      <c r="BM34" s="3934"/>
      <c r="BU34" s="3934"/>
      <c r="CC34" s="3934"/>
      <c r="CK34" s="3934"/>
      <c r="CS34" s="3934"/>
      <c r="DA34" s="3934"/>
    </row>
    <row r="35" spans="1:106" customFormat="1" ht="21" customHeight="1" x14ac:dyDescent="0.25">
      <c r="A35" s="3236" t="s">
        <v>802</v>
      </c>
      <c r="B35" s="2521">
        <f>SUM(B34-B32)</f>
        <v>0</v>
      </c>
      <c r="C35" s="2521">
        <f t="shared" ref="C35:H35" si="45">SUM(C34-C32)</f>
        <v>180078594</v>
      </c>
      <c r="D35" s="2521">
        <f t="shared" si="45"/>
        <v>1399998</v>
      </c>
      <c r="E35" s="2521">
        <f t="shared" si="45"/>
        <v>170158136</v>
      </c>
      <c r="F35" s="2521">
        <f t="shared" si="45"/>
        <v>147068836</v>
      </c>
      <c r="G35" s="2521">
        <f t="shared" si="45"/>
        <v>0</v>
      </c>
      <c r="H35" s="2521">
        <f t="shared" si="45"/>
        <v>0</v>
      </c>
      <c r="I35" s="2521">
        <f>SUM(I34-I32)</f>
        <v>0</v>
      </c>
      <c r="J35" s="2521"/>
      <c r="K35" s="2521"/>
      <c r="L35" s="2521"/>
      <c r="M35" s="2521"/>
      <c r="N35" s="2521"/>
      <c r="O35" s="2521"/>
      <c r="P35" s="2521"/>
      <c r="Q35" s="2521">
        <f>SUM(Q34-Q32)</f>
        <v>0</v>
      </c>
      <c r="Y35" s="3934"/>
      <c r="AG35" s="3934"/>
      <c r="AO35" s="3934"/>
      <c r="AW35" s="3934"/>
      <c r="BE35" s="3934"/>
      <c r="BM35" s="3934"/>
      <c r="BU35" s="3934"/>
      <c r="CC35" s="3934"/>
      <c r="CK35" s="3934"/>
      <c r="CS35" s="3934"/>
      <c r="DA35" s="3934"/>
    </row>
    <row r="36" spans="1:106" ht="21" customHeight="1" x14ac:dyDescent="0.25">
      <c r="A36" s="3234"/>
      <c r="B36" s="3235"/>
      <c r="C36" s="3235"/>
      <c r="D36" s="3235"/>
      <c r="E36" s="3235"/>
      <c r="F36" s="3235"/>
      <c r="G36" s="2485"/>
      <c r="H36" s="2485"/>
      <c r="I36" s="2485"/>
      <c r="J36" s="2485"/>
      <c r="K36" s="2485"/>
      <c r="L36" s="2485"/>
      <c r="M36" s="2485"/>
      <c r="N36" s="2485"/>
      <c r="O36" s="2485"/>
      <c r="P36" s="2485"/>
      <c r="Q36" s="2485"/>
      <c r="R36" s="2486"/>
      <c r="S36" s="2486"/>
      <c r="T36" s="2486"/>
      <c r="U36" s="2486"/>
      <c r="V36" s="2486"/>
      <c r="W36" s="2486"/>
      <c r="X36" s="2486"/>
      <c r="Y36" s="2486"/>
      <c r="Z36" s="2486"/>
      <c r="AA36" s="2486"/>
      <c r="AB36" s="2486"/>
      <c r="AC36" s="2486"/>
      <c r="AD36" s="2486"/>
      <c r="AE36" s="2486"/>
      <c r="AF36" s="2486"/>
      <c r="AG36" s="2486"/>
      <c r="AH36" s="2486"/>
      <c r="AI36" s="2486"/>
      <c r="AJ36" s="2486"/>
      <c r="AK36" s="2486"/>
      <c r="AL36" s="2486"/>
      <c r="AM36" s="2486"/>
      <c r="AN36" s="2486"/>
      <c r="AO36" s="2486"/>
      <c r="AP36" s="2486"/>
      <c r="AQ36" s="2486"/>
      <c r="AR36" s="2486"/>
      <c r="AS36" s="2486"/>
      <c r="AT36" s="2486"/>
      <c r="AU36" s="2486"/>
      <c r="AV36" s="2486"/>
      <c r="AW36" s="2486"/>
      <c r="AX36" s="2486"/>
      <c r="AY36" s="2486"/>
      <c r="AZ36" s="2486"/>
      <c r="BA36" s="2486"/>
      <c r="BB36" s="2486"/>
      <c r="BC36" s="2486"/>
      <c r="BD36" s="2486"/>
      <c r="BE36" s="2486"/>
      <c r="BF36" s="2486"/>
      <c r="BG36" s="2486"/>
      <c r="BH36" s="2486"/>
      <c r="BI36" s="2486"/>
      <c r="BJ36" s="2486"/>
      <c r="BK36" s="2486"/>
      <c r="BL36" s="2486"/>
      <c r="BM36" s="2486"/>
      <c r="BN36" s="2486"/>
      <c r="BO36" s="2486"/>
      <c r="BP36" s="2486"/>
      <c r="BQ36" s="2486"/>
      <c r="BR36" s="2486"/>
      <c r="BS36" s="2486"/>
      <c r="BT36" s="2486"/>
      <c r="BU36" s="2486"/>
      <c r="BV36" s="2486"/>
      <c r="BW36" s="2486"/>
      <c r="BX36" s="3028"/>
      <c r="BY36" s="3028"/>
      <c r="BZ36" s="3028"/>
      <c r="CA36" s="3028"/>
      <c r="CB36" s="3028"/>
      <c r="CC36" s="3028"/>
      <c r="CD36" s="2486"/>
      <c r="CE36" s="2486"/>
      <c r="CF36" s="2486"/>
      <c r="CG36" s="2486"/>
      <c r="CH36" s="2486"/>
      <c r="CI36" s="2486"/>
      <c r="CJ36" s="2486"/>
      <c r="CK36" s="2486"/>
      <c r="CL36" s="2486"/>
      <c r="CM36" s="2486"/>
      <c r="CN36" s="2486"/>
      <c r="CO36" s="2486"/>
      <c r="CP36" s="2486"/>
      <c r="CQ36" s="2486"/>
      <c r="CR36" s="2486"/>
      <c r="CS36" s="2486"/>
      <c r="CT36" s="2486"/>
      <c r="CU36" s="2486"/>
      <c r="CV36" s="2486"/>
      <c r="CW36" s="2486"/>
      <c r="CX36" s="2486"/>
      <c r="CY36" s="2486"/>
    </row>
    <row r="37" spans="1:106" ht="21" customHeight="1" x14ac:dyDescent="0.3">
      <c r="A37" s="2487"/>
      <c r="B37" s="4361" t="s">
        <v>1382</v>
      </c>
      <c r="C37" s="4361"/>
      <c r="D37" s="4361"/>
      <c r="E37" s="4361"/>
      <c r="F37" s="4361"/>
      <c r="G37" s="4361"/>
      <c r="H37" s="4361"/>
      <c r="I37" s="4361"/>
      <c r="J37" s="4359" t="s">
        <v>1383</v>
      </c>
      <c r="K37" s="4359"/>
      <c r="L37" s="4359"/>
      <c r="M37" s="4359"/>
      <c r="N37" s="4359"/>
      <c r="O37" s="4359"/>
      <c r="P37" s="4359"/>
      <c r="Q37" s="4360"/>
      <c r="R37" s="4357" t="s">
        <v>767</v>
      </c>
      <c r="S37" s="4358"/>
      <c r="T37" s="4358"/>
      <c r="U37" s="4358"/>
      <c r="V37" s="4358"/>
      <c r="W37" s="4358"/>
      <c r="X37" s="4358"/>
      <c r="Y37" s="4358"/>
      <c r="AH37" s="2486"/>
      <c r="AI37" s="2486"/>
      <c r="AJ37" s="2486"/>
      <c r="AK37" s="2486"/>
      <c r="AL37" s="2486"/>
      <c r="AM37" s="2486"/>
      <c r="AN37" s="2486"/>
      <c r="AO37" s="2486"/>
      <c r="AP37" s="2486"/>
      <c r="AQ37" s="2486"/>
      <c r="AR37" s="2486"/>
      <c r="AS37" s="2486"/>
      <c r="AT37" s="2486"/>
      <c r="AU37" s="2486"/>
      <c r="AV37" s="2486"/>
      <c r="AW37" s="2486"/>
      <c r="AX37" s="2486"/>
      <c r="AY37" s="2486"/>
      <c r="AZ37" s="2486"/>
      <c r="BA37" s="2486"/>
      <c r="BB37" s="2486"/>
      <c r="BC37" s="2486"/>
      <c r="BD37" s="2486"/>
      <c r="BE37" s="2486"/>
      <c r="BF37" s="2486"/>
      <c r="BG37" s="2486"/>
      <c r="BH37" s="2486"/>
      <c r="BI37" s="2486"/>
      <c r="BJ37" s="2486"/>
      <c r="BK37" s="2486"/>
      <c r="BL37" s="2486"/>
      <c r="BM37" s="2486"/>
      <c r="BN37" s="2486"/>
      <c r="BO37" s="2486"/>
      <c r="BP37" s="2486"/>
      <c r="BQ37" s="2486"/>
      <c r="BR37" s="2486"/>
      <c r="BS37" s="2486"/>
      <c r="BT37" s="2486"/>
      <c r="BU37" s="2486"/>
      <c r="BV37" s="2486">
        <f>SUM('1.1.sz.mell  '!E18)</f>
        <v>1361850000</v>
      </c>
      <c r="BW37" s="2486">
        <f>SUM('1.1.sz.mell  '!F18)</f>
        <v>1096200000</v>
      </c>
      <c r="BX37" s="3028">
        <f>SUM('1.1.sz.mell  '!G18)</f>
        <v>2458050000</v>
      </c>
      <c r="BY37" s="3028">
        <f>SUM('1.1.sz.mell  '!H18)</f>
        <v>-800000000</v>
      </c>
      <c r="BZ37" s="3028">
        <f>SUM('1.1.sz.mell  '!I18)</f>
        <v>1658050000</v>
      </c>
      <c r="CA37" s="3028"/>
      <c r="CB37" s="3028"/>
      <c r="CC37" s="3028"/>
      <c r="CD37" s="2486"/>
      <c r="CE37" s="2486"/>
      <c r="CF37" s="2486">
        <f>SUM('1.1.sz.mell  '!G15)</f>
        <v>1311873610</v>
      </c>
      <c r="CG37" s="2486">
        <f>SUM('1.1.sz.mell  '!H15)</f>
        <v>0</v>
      </c>
      <c r="CH37" s="2486">
        <f>SUM('1.1.sz.mell  '!I15)</f>
        <v>1311873610</v>
      </c>
      <c r="CI37" s="2486">
        <f>SUM('1.1.sz.mell  '!J15)</f>
        <v>0</v>
      </c>
      <c r="CJ37" s="2486">
        <f>SUM('1.1.sz.mell  '!K15)</f>
        <v>1311873610</v>
      </c>
      <c r="CK37" s="2486"/>
      <c r="CL37" s="2486">
        <f>SUM('1.1.sz.mell  '!E8)</f>
        <v>2600000000</v>
      </c>
      <c r="CM37" s="2486">
        <f>SUM('1.1.sz.mell  '!F8)</f>
        <v>47687737</v>
      </c>
      <c r="CN37" s="2486">
        <f>SUM('1.1.sz.mell  '!G8)</f>
        <v>2647687737</v>
      </c>
      <c r="CO37" s="2486">
        <f>SUM('1.1.sz.mell  '!H8)</f>
        <v>947445094</v>
      </c>
      <c r="CP37" s="2486">
        <f>SUM('1.1.sz.mell  '!I8)</f>
        <v>3595132831</v>
      </c>
      <c r="CQ37" s="2486"/>
      <c r="CR37" s="2486"/>
      <c r="CS37" s="2486"/>
      <c r="CT37" s="2486"/>
      <c r="CU37" s="2486"/>
      <c r="CV37" s="2486"/>
      <c r="CW37" s="2486"/>
      <c r="CX37" s="2486"/>
      <c r="CY37" s="2486"/>
    </row>
    <row r="38" spans="1:106" s="3021" customFormat="1" ht="66.75" customHeight="1" x14ac:dyDescent="0.35">
      <c r="A38" s="3017"/>
      <c r="B38" s="3018" t="s">
        <v>771</v>
      </c>
      <c r="D38" s="3019" t="s">
        <v>1829</v>
      </c>
      <c r="E38" s="3019"/>
      <c r="F38" s="3247" t="s">
        <v>1940</v>
      </c>
      <c r="G38" s="3019"/>
      <c r="H38" s="3559" t="s">
        <v>2033</v>
      </c>
      <c r="I38" s="4034" t="s">
        <v>289</v>
      </c>
      <c r="J38" s="3046" t="s">
        <v>1828</v>
      </c>
      <c r="L38" s="3019" t="s">
        <v>1830</v>
      </c>
      <c r="M38" s="3019"/>
      <c r="N38" s="3247" t="s">
        <v>1940</v>
      </c>
      <c r="O38" s="3019"/>
      <c r="P38" s="3559" t="s">
        <v>2397</v>
      </c>
      <c r="Q38" s="4034" t="s">
        <v>2398</v>
      </c>
      <c r="R38" s="3046" t="s">
        <v>771</v>
      </c>
      <c r="S38" s="3251"/>
      <c r="T38" s="3252" t="s">
        <v>1939</v>
      </c>
      <c r="U38" s="3252" t="s">
        <v>1829</v>
      </c>
      <c r="V38" s="3253" t="s">
        <v>1940</v>
      </c>
      <c r="W38" s="3019" t="s">
        <v>1829</v>
      </c>
      <c r="X38" s="3559" t="s">
        <v>2033</v>
      </c>
      <c r="Y38" s="4034" t="s">
        <v>289</v>
      </c>
      <c r="Z38" s="2463"/>
      <c r="AA38" s="2463"/>
      <c r="AB38" s="2463"/>
      <c r="AC38" s="2463"/>
      <c r="AD38" s="2463"/>
      <c r="AE38" s="2463"/>
      <c r="AF38" s="2463"/>
      <c r="AG38" s="2463"/>
      <c r="AH38" s="3020"/>
      <c r="AI38" s="3020"/>
      <c r="AJ38" s="3020"/>
      <c r="AK38" s="3020"/>
      <c r="AL38" s="3020"/>
      <c r="AM38" s="3020"/>
      <c r="AN38" s="3020"/>
      <c r="AO38" s="3020"/>
      <c r="AP38" s="3020"/>
      <c r="AQ38" s="3020"/>
      <c r="AR38" s="3020"/>
      <c r="AS38" s="3020"/>
      <c r="AT38" s="3020"/>
      <c r="AU38" s="3020"/>
      <c r="AV38" s="3020"/>
      <c r="AW38" s="3020"/>
      <c r="AX38" s="3020"/>
      <c r="AY38" s="3020"/>
      <c r="AZ38" s="3020"/>
      <c r="BA38" s="3020"/>
      <c r="BB38" s="3020"/>
      <c r="BC38" s="3020"/>
      <c r="BD38" s="3020"/>
      <c r="BE38" s="3020"/>
      <c r="BF38" s="3020"/>
      <c r="BG38" s="3020"/>
      <c r="BH38" s="3020"/>
      <c r="BI38" s="3020"/>
      <c r="BJ38" s="3020"/>
      <c r="BK38" s="3020"/>
      <c r="BL38" s="3020"/>
      <c r="BM38" s="3020"/>
      <c r="BN38" s="3020"/>
      <c r="BO38" s="3020"/>
      <c r="BP38" s="3020"/>
      <c r="BQ38" s="3020"/>
      <c r="BR38" s="3020"/>
      <c r="BS38" s="3020"/>
      <c r="BT38" s="3020"/>
      <c r="BU38" s="3020"/>
      <c r="BV38" s="3020">
        <f>SUM(BV37-BV32)</f>
        <v>0</v>
      </c>
      <c r="BW38" s="3020">
        <f>SUM(BW37-BW32)</f>
        <v>-265650000</v>
      </c>
      <c r="BX38" s="3029">
        <f>SUM(BX37-BX32)-'1.3. sz. mell'!BW57</f>
        <v>0</v>
      </c>
      <c r="BY38" s="3029">
        <f>SUM(BY37-BY32)-'1.3. sz. mell'!BX57</f>
        <v>-3098603000</v>
      </c>
      <c r="BZ38" s="3029">
        <f>SUM(BZ37-BZ32)-'1.3. sz. mell'!BY57</f>
        <v>-800000000</v>
      </c>
      <c r="CA38" s="3029"/>
      <c r="CB38" s="3029"/>
      <c r="CC38" s="3029"/>
      <c r="CD38" s="3023"/>
      <c r="CE38" s="3023"/>
      <c r="CF38" s="3023">
        <f>SUM(CF37-CF32-'1.3. sz. mell'!CG57)</f>
        <v>0</v>
      </c>
      <c r="CG38" s="3023">
        <f>SUM(CG37-CG32-'1.3. sz. mell'!CH57)</f>
        <v>-1866990280</v>
      </c>
      <c r="CH38" s="3023">
        <f>SUM(CH37-CH32-'1.3. sz. mell'!CI57)</f>
        <v>0</v>
      </c>
      <c r="CI38" s="3023">
        <f>SUM(CI37-CI32-'1.3. sz. mell'!CJ57)</f>
        <v>0</v>
      </c>
      <c r="CJ38" s="3023">
        <f>SUM(CJ37-CJ32-'1.3. sz. mell'!CK57)</f>
        <v>0</v>
      </c>
      <c r="CK38" s="3023"/>
      <c r="CL38" s="3023">
        <f>SUM(CL37-CL32-'1.3. sz. mell'!CU57)-'1.5. sz. mell'!AD13</f>
        <v>0</v>
      </c>
      <c r="CM38" s="3023">
        <f>SUM(CM37-CM32-'1.3. sz. mell'!CV57)-'1.5. sz. mell'!AE13</f>
        <v>-978403692.25</v>
      </c>
      <c r="CN38" s="3023">
        <f>SUM(CN37-CN32-'1.3. sz. mell'!CW57)-'1.5. sz. mell'!AF13</f>
        <v>319593814.75</v>
      </c>
      <c r="CO38" s="3023">
        <f>SUM(CO37-CO32-'1.3. sz. mell'!CX57)-'1.5. sz. mell'!AG13</f>
        <v>5229237026.2600002</v>
      </c>
      <c r="CP38" s="3023">
        <f>SUM(CP37-CP32-'1.3. sz. mell'!CY57)-'1.5. sz. mell'!AH13</f>
        <v>1154902417.01</v>
      </c>
      <c r="CQ38" s="3023">
        <f>SUM(CQ37-CQ32-'1.3. sz. mell'!CZ57)-'1.5. sz. mell'!AL13</f>
        <v>12950000</v>
      </c>
      <c r="CR38" s="3023">
        <f>SUM(CR37-CR32-'1.3. sz. mell'!DA57)-'1.5. sz. mell'!AM13</f>
        <v>-3327725407</v>
      </c>
      <c r="CS38" s="3023"/>
      <c r="CT38" s="3020"/>
      <c r="CU38" s="3020"/>
      <c r="CV38" s="3020"/>
      <c r="CW38" s="3020"/>
      <c r="CX38" s="3020"/>
      <c r="CY38" s="3020"/>
    </row>
    <row r="39" spans="1:106" ht="21" customHeight="1" x14ac:dyDescent="0.3">
      <c r="A39" s="2516" t="s">
        <v>1384</v>
      </c>
      <c r="B39" s="3013">
        <f>SUM('1.3. sz. mell'!C57+'1.4. sz. mell'!B32+'1.5. sz. mell'!B13)</f>
        <v>5651838150</v>
      </c>
      <c r="C39" s="3013">
        <f>SUM('1.3. sz. mell'!D57+'1.4. sz. mell'!C32+'1.5. sz. mell'!C13)</f>
        <v>2791508994</v>
      </c>
      <c r="D39" s="3013">
        <f>SUM('1.3. sz. mell'!E57+'1.4. sz. mell'!D32+'1.5. sz. mell'!D13)</f>
        <v>8622108923</v>
      </c>
      <c r="E39" s="3013">
        <f>SUM('1.3. sz. mell'!F57+'1.4. sz. mell'!E32+'1.5. sz. mell'!E13)</f>
        <v>70045141</v>
      </c>
      <c r="F39" s="3013">
        <f>SUM('1.3. sz. mell'!G57+'1.4. sz. mell'!F32+'1.5. sz. mell'!F13)</f>
        <v>8669743938</v>
      </c>
      <c r="G39" s="3013">
        <f>SUM('1.3. sz. mell'!H57+'1.4. sz. mell'!G32+'1.5. sz. mell'!G13)</f>
        <v>0</v>
      </c>
      <c r="H39" s="3560">
        <f>SUM('1.3. sz. mell'!I57+'1.4. sz. mell'!H32+'1.5. sz. mell'!H13)</f>
        <v>8812009390</v>
      </c>
      <c r="I39" s="4035">
        <f>SUM('1.3. sz. mell'!J57+'1.4. sz. mell'!I32+'1.5. sz. mell'!I13)</f>
        <v>7207116374</v>
      </c>
      <c r="J39" s="3047">
        <f>SUM('2. sz. mell'!F100)</f>
        <v>5651838150</v>
      </c>
      <c r="K39" s="4038">
        <f>SUM('2. sz. mell'!G100)</f>
        <v>2970270771</v>
      </c>
      <c r="L39" s="4038">
        <f>SUM('2. sz. mell'!H100)</f>
        <v>8622108921</v>
      </c>
      <c r="M39" s="4038">
        <f>SUM('2. sz. mell'!I100)</f>
        <v>188152510</v>
      </c>
      <c r="N39" s="4038">
        <f>SUM('2. sz. mell'!J100)</f>
        <v>8810261431</v>
      </c>
      <c r="O39" s="4038">
        <f>SUM('2. sz. mell'!K100)</f>
        <v>1747959</v>
      </c>
      <c r="P39" s="4039">
        <f>SUM('2. sz. mell'!L100)</f>
        <v>8812009390</v>
      </c>
      <c r="Q39" s="4040">
        <f>SUM('2. sz. mell'!M100)</f>
        <v>7207116374</v>
      </c>
      <c r="R39" s="3254">
        <f t="shared" ref="R39:R47" si="46">SUM(J39-B39)</f>
        <v>0</v>
      </c>
      <c r="S39" s="4037">
        <f t="shared" ref="S39:S47" si="47">SUM(K39-C39)</f>
        <v>178761777</v>
      </c>
      <c r="T39" s="4037">
        <f t="shared" ref="T39:T47" si="48">SUM(L39-D39)</f>
        <v>-2</v>
      </c>
      <c r="U39" s="4037">
        <f t="shared" ref="U39:U47" si="49">SUM(M39-E39)</f>
        <v>118107369</v>
      </c>
      <c r="V39" s="4037">
        <f t="shared" ref="V39:V47" si="50">SUM(N39-F39)</f>
        <v>140517493</v>
      </c>
      <c r="W39" s="4037">
        <f t="shared" ref="W39:W47" si="51">SUM(O39-G39)</f>
        <v>1747959</v>
      </c>
      <c r="X39" s="3970">
        <f t="shared" ref="X39:Y47" si="52">SUM(P39-H39)</f>
        <v>0</v>
      </c>
      <c r="Y39" s="4042">
        <f>SUM(Q39-I39)</f>
        <v>0</v>
      </c>
      <c r="AH39" s="2486"/>
      <c r="AI39" s="2486"/>
      <c r="AJ39" s="2486"/>
      <c r="AK39" s="2486"/>
      <c r="AL39" s="2486"/>
      <c r="AM39" s="2486"/>
      <c r="AN39" s="2486"/>
      <c r="AO39" s="2486"/>
      <c r="AP39" s="2486"/>
      <c r="AQ39" s="2486"/>
      <c r="AR39" s="2486"/>
      <c r="AS39" s="2486"/>
      <c r="AT39" s="2486"/>
      <c r="AU39" s="2486"/>
      <c r="AV39" s="2486"/>
      <c r="AW39" s="2486"/>
      <c r="AX39" s="2486"/>
      <c r="AY39" s="2486"/>
      <c r="AZ39" s="2486"/>
      <c r="BA39" s="2486"/>
      <c r="BB39" s="2486"/>
      <c r="BC39" s="2486"/>
      <c r="BD39" s="2486"/>
      <c r="BE39" s="2486"/>
      <c r="BF39" s="2486"/>
      <c r="BG39" s="2486"/>
      <c r="BH39" s="2486"/>
      <c r="BI39" s="2486"/>
      <c r="BJ39" s="2486"/>
      <c r="BK39" s="2486"/>
      <c r="BL39" s="2486"/>
      <c r="BM39" s="2486"/>
      <c r="BN39" s="2486"/>
      <c r="BO39" s="2486"/>
      <c r="BP39" s="2486"/>
      <c r="BQ39" s="2486"/>
      <c r="BR39" s="2486"/>
      <c r="BS39" s="2486"/>
      <c r="BT39" s="2486"/>
      <c r="BU39" s="2486"/>
      <c r="BV39" s="2486"/>
      <c r="BW39" s="2486"/>
      <c r="BX39" s="3028"/>
      <c r="BY39" s="3028"/>
      <c r="BZ39" s="3028"/>
      <c r="CA39" s="3028"/>
      <c r="CB39" s="3028"/>
      <c r="CC39" s="3028"/>
      <c r="CD39" s="2486"/>
      <c r="CE39" s="2486"/>
      <c r="CF39" s="2486"/>
      <c r="CG39" s="2486"/>
      <c r="CH39" s="2486"/>
      <c r="CI39" s="2486"/>
      <c r="CJ39" s="2486"/>
      <c r="CK39" s="2486"/>
      <c r="CL39" s="2486"/>
      <c r="CM39" s="2486"/>
      <c r="CN39" s="2486"/>
      <c r="CO39" s="2486"/>
      <c r="CP39" s="2486"/>
      <c r="CQ39" s="2486"/>
      <c r="CR39" s="2486"/>
      <c r="CS39" s="2486"/>
      <c r="CT39" s="2486"/>
      <c r="CU39" s="2486"/>
      <c r="CV39" s="2486"/>
      <c r="CW39" s="2486"/>
      <c r="CX39" s="2486"/>
      <c r="CY39" s="2486"/>
    </row>
    <row r="40" spans="1:106" ht="21" customHeight="1" x14ac:dyDescent="0.3">
      <c r="A40" s="2516" t="s">
        <v>1322</v>
      </c>
      <c r="B40" s="3014">
        <f>SUM('1.3. sz. mell'!AI57+'1.4. sz. mell'!Z32)</f>
        <v>358172020</v>
      </c>
      <c r="C40" s="3014">
        <f>SUM('1.3. sz. mell'!AJ57+'1.4. sz. mell'!AA32)</f>
        <v>337319368.75</v>
      </c>
      <c r="D40" s="3014">
        <f>SUM('1.3. sz. mell'!AK57+'1.4. sz. mell'!AB32)</f>
        <v>932302968.75</v>
      </c>
      <c r="E40" s="3014">
        <f>SUM('1.3. sz. mell'!AL57+'1.4. sz. mell'!AC32)</f>
        <v>-42973023.74000001</v>
      </c>
      <c r="F40" s="3014">
        <f>SUM('1.3. sz. mell'!AM57+'1.4. sz. mell'!AD32)</f>
        <v>660666658.00999999</v>
      </c>
      <c r="G40" s="3014">
        <f>SUM('1.3. sz. mell'!AN57+'1.4. sz. mell'!AE32)</f>
        <v>12950000</v>
      </c>
      <c r="H40" s="3561">
        <f>SUM('1.3. sz. mell'!AO57+'1.4. sz. mell'!AF32)</f>
        <v>430130253.00999999</v>
      </c>
      <c r="I40" s="4036">
        <f>SUM('1.3. sz. mell'!AP57+'1.4. sz. mell'!AG32)</f>
        <v>441148462.00999999</v>
      </c>
      <c r="J40" s="3047">
        <f>SUM('2. sz. mell'!F16)</f>
        <v>358172020</v>
      </c>
      <c r="K40" s="4038">
        <f>SUM('2. sz. mell'!G16)</f>
        <v>254537132</v>
      </c>
      <c r="L40" s="4038">
        <f>SUM('2. sz. mell'!H16)</f>
        <v>612709152</v>
      </c>
      <c r="M40" s="4038">
        <f>SUM('2. sz. mell'!I16)</f>
        <v>-182578899</v>
      </c>
      <c r="N40" s="4038">
        <f>SUM('2. sz. mell'!J16)</f>
        <v>430130253</v>
      </c>
      <c r="O40" s="4038">
        <f>SUM('2. sz. mell'!K16)</f>
        <v>0</v>
      </c>
      <c r="P40" s="4039">
        <f>SUM('2. sz. mell'!L16)</f>
        <v>430130253</v>
      </c>
      <c r="Q40" s="4040">
        <f>SUM('2. sz. mell'!M16)</f>
        <v>441148462</v>
      </c>
      <c r="R40" s="3254">
        <f t="shared" si="46"/>
        <v>0</v>
      </c>
      <c r="S40" s="4037">
        <f t="shared" si="47"/>
        <v>-82782236.75</v>
      </c>
      <c r="T40" s="4037">
        <f t="shared" si="48"/>
        <v>-319593816.75</v>
      </c>
      <c r="U40" s="4037">
        <f t="shared" si="49"/>
        <v>-139605875.25999999</v>
      </c>
      <c r="V40" s="4037">
        <f t="shared" si="50"/>
        <v>-230536405.00999999</v>
      </c>
      <c r="W40" s="4037">
        <f t="shared" si="51"/>
        <v>-12950000</v>
      </c>
      <c r="X40" s="3970">
        <f t="shared" si="52"/>
        <v>-9.9999904632568359E-3</v>
      </c>
      <c r="Y40" s="4042">
        <f t="shared" si="52"/>
        <v>-9.9999904632568359E-3</v>
      </c>
      <c r="AH40" s="2486"/>
      <c r="AI40" s="2486"/>
      <c r="AJ40" s="2486"/>
      <c r="AK40" s="2486"/>
      <c r="AL40" s="2486"/>
      <c r="AM40" s="2486"/>
      <c r="AN40" s="2486"/>
      <c r="AO40" s="2486"/>
      <c r="AP40" s="2486"/>
      <c r="AQ40" s="2486"/>
      <c r="AR40" s="2486"/>
      <c r="AS40" s="2486"/>
      <c r="AT40" s="2486"/>
      <c r="AU40" s="2486"/>
      <c r="AV40" s="2486"/>
      <c r="AW40" s="2486"/>
      <c r="AX40" s="2486"/>
      <c r="AY40" s="2486"/>
      <c r="AZ40" s="2486"/>
      <c r="BA40" s="2486"/>
      <c r="BB40" s="2486"/>
      <c r="BC40" s="2486"/>
      <c r="BD40" s="2486"/>
      <c r="BE40" s="2486"/>
      <c r="BF40" s="2486"/>
      <c r="BG40" s="2486"/>
      <c r="BH40" s="2486"/>
      <c r="BI40" s="2486"/>
      <c r="BJ40" s="2486"/>
      <c r="BK40" s="2486"/>
      <c r="BL40" s="2486"/>
      <c r="BM40" s="2486"/>
      <c r="BN40" s="2486"/>
      <c r="BO40" s="2486"/>
      <c r="BP40" s="2486"/>
      <c r="BQ40" s="2486"/>
      <c r="BR40" s="2486"/>
      <c r="BS40" s="2486"/>
      <c r="BT40" s="2486"/>
      <c r="BU40" s="2486"/>
      <c r="BV40" s="2486"/>
      <c r="BW40" s="2486"/>
      <c r="BX40" s="3028"/>
      <c r="BY40" s="3028"/>
      <c r="BZ40" s="3028"/>
      <c r="CA40" s="3028"/>
      <c r="CB40" s="3028"/>
      <c r="CC40" s="3028"/>
      <c r="CD40" s="2486"/>
      <c r="CE40" s="2486"/>
      <c r="CF40" s="2486"/>
      <c r="CG40" s="2486"/>
      <c r="CH40" s="2486"/>
      <c r="CI40" s="2486"/>
      <c r="CJ40" s="2486"/>
      <c r="CK40" s="2486"/>
      <c r="CL40" s="2486"/>
      <c r="CM40" s="2486"/>
      <c r="CN40" s="2486"/>
      <c r="CO40" s="2486"/>
      <c r="CP40" s="2486"/>
      <c r="CQ40" s="2486"/>
      <c r="CR40" s="2486"/>
      <c r="CS40" s="2486"/>
      <c r="CT40" s="2486"/>
      <c r="CU40" s="2486"/>
      <c r="CV40" s="2486"/>
      <c r="CW40" s="2486"/>
      <c r="CX40" s="2486"/>
      <c r="CY40" s="2486"/>
    </row>
    <row r="41" spans="1:106" ht="40.5" customHeight="1" x14ac:dyDescent="0.25">
      <c r="A41" s="3232" t="s">
        <v>1385</v>
      </c>
      <c r="B41" s="3014">
        <f>SUM('1.3. sz. mell'!S57+'1.4. sz. mell'!R32+'1.5. sz. mell'!X13)</f>
        <v>605278130</v>
      </c>
      <c r="C41" s="3014">
        <f>SUM('1.3. sz. mell'!T57+'1.4. sz. mell'!S32+'1.5. sz. mell'!Y13)</f>
        <v>9400000</v>
      </c>
      <c r="D41" s="3014">
        <f>SUM('1.3. sz. mell'!U57+'1.4. sz. mell'!T32+'1.5. sz. mell'!Z13)</f>
        <v>627750543</v>
      </c>
      <c r="E41" s="3014">
        <f>SUM('1.3. sz. mell'!V57+'1.4. sz. mell'!U32+'1.5. sz. mell'!AA13)</f>
        <v>63164114</v>
      </c>
      <c r="F41" s="3014">
        <f>SUM('1.3. sz. mell'!W57+'1.4. sz. mell'!V32+'1.5. sz. mell'!AB13)</f>
        <v>653095889</v>
      </c>
      <c r="G41" s="3014">
        <f>SUM('1.3. sz. mell'!X57+'1.4. sz. mell'!W32+'1.5. sz. mell'!AD13)</f>
        <v>253084025</v>
      </c>
      <c r="H41" s="3561">
        <f>SUM('1.3. sz. mell'!Y57+'1.4. sz. mell'!X32)</f>
        <v>663422916</v>
      </c>
      <c r="I41" s="4036">
        <f>SUM('1.3. sz. mell'!Z57+'1.4. sz. mell'!Y32)</f>
        <v>663422916</v>
      </c>
      <c r="J41" s="3048">
        <f>SUM('3.1. Cofog'!L17)</f>
        <v>605278130</v>
      </c>
      <c r="K41" s="4041">
        <f>SUM('3.1. Cofog'!M17)</f>
        <v>22472413</v>
      </c>
      <c r="L41" s="4041">
        <f>SUM('3.1. Cofog'!N17)</f>
        <v>627750543</v>
      </c>
      <c r="M41" s="4041">
        <f>SUM('3.1. Cofog'!O17)</f>
        <v>35672373</v>
      </c>
      <c r="N41" s="4041">
        <f>SUM('3.1. Cofog'!P17)</f>
        <v>663422916</v>
      </c>
      <c r="O41" s="4041">
        <f>SUM('3.1. Cofog'!Q17)</f>
        <v>0</v>
      </c>
      <c r="P41" s="3970">
        <f>SUM('3.1. Cofog'!R17)</f>
        <v>663422916</v>
      </c>
      <c r="Q41" s="4042">
        <f>SUM('3.1. Cofog'!S17)</f>
        <v>663422916</v>
      </c>
      <c r="R41" s="3254">
        <f t="shared" si="46"/>
        <v>0</v>
      </c>
      <c r="S41" s="4037">
        <f t="shared" si="47"/>
        <v>13072413</v>
      </c>
      <c r="T41" s="4037">
        <f t="shared" si="48"/>
        <v>0</v>
      </c>
      <c r="U41" s="4037">
        <f t="shared" si="49"/>
        <v>-27491741</v>
      </c>
      <c r="V41" s="4037">
        <f t="shared" si="50"/>
        <v>10327027</v>
      </c>
      <c r="W41" s="4037">
        <f t="shared" si="51"/>
        <v>-253084025</v>
      </c>
      <c r="X41" s="3970">
        <f t="shared" si="52"/>
        <v>0</v>
      </c>
      <c r="Y41" s="4042">
        <f t="shared" si="52"/>
        <v>0</v>
      </c>
      <c r="AF41" s="2513"/>
      <c r="AG41" s="2513"/>
      <c r="AH41" s="2486"/>
      <c r="AI41" s="2486"/>
      <c r="AJ41" s="2486"/>
      <c r="AK41" s="2486"/>
      <c r="AL41" s="2486"/>
      <c r="AM41" s="2486"/>
      <c r="AN41" s="2486"/>
      <c r="AO41" s="2486"/>
      <c r="AP41" s="2486"/>
      <c r="AQ41" s="2486"/>
      <c r="AR41" s="2486"/>
      <c r="AS41" s="2486"/>
      <c r="AT41" s="2486"/>
      <c r="AU41" s="2486"/>
      <c r="AV41" s="2486"/>
      <c r="AW41" s="2486"/>
      <c r="AX41" s="2486"/>
      <c r="AY41" s="2486"/>
      <c r="AZ41" s="2486"/>
      <c r="BA41" s="2486"/>
      <c r="BB41" s="2486"/>
      <c r="BC41" s="2486"/>
      <c r="BD41" s="2486"/>
      <c r="BE41" s="2486"/>
      <c r="BF41" s="2486"/>
      <c r="BG41" s="2486"/>
      <c r="BH41" s="2486"/>
      <c r="BI41" s="2486"/>
      <c r="BJ41" s="2486"/>
      <c r="BK41" s="2486"/>
      <c r="BL41" s="2486"/>
      <c r="BM41" s="2486"/>
      <c r="BN41" s="2486"/>
      <c r="BO41" s="2486"/>
      <c r="BP41" s="2486"/>
      <c r="BQ41" s="2486"/>
      <c r="BR41" s="2486"/>
      <c r="BS41" s="2486"/>
      <c r="BT41" s="2486"/>
      <c r="BU41" s="2486"/>
      <c r="BV41" s="2486"/>
      <c r="BW41" s="2486"/>
      <c r="BX41" s="3028"/>
      <c r="BY41" s="3028"/>
      <c r="BZ41" s="3028"/>
      <c r="CA41" s="3028"/>
      <c r="CB41" s="3028"/>
      <c r="CC41" s="3028"/>
      <c r="CD41" s="2486"/>
      <c r="CE41" s="2486"/>
      <c r="CF41" s="2486"/>
      <c r="CG41" s="2486"/>
      <c r="CH41" s="2486"/>
      <c r="CI41" s="2486"/>
      <c r="CJ41" s="2486"/>
      <c r="CK41" s="2486"/>
      <c r="CL41" s="2486"/>
      <c r="CM41" s="2486"/>
      <c r="CN41" s="2486"/>
      <c r="CO41" s="2486"/>
      <c r="CP41" s="2486"/>
      <c r="CQ41" s="2486"/>
      <c r="CR41" s="2486"/>
      <c r="CS41" s="2486"/>
      <c r="CT41" s="2486"/>
      <c r="CU41" s="2486"/>
      <c r="CV41" s="2486"/>
      <c r="CW41" s="2486"/>
      <c r="CX41" s="2486"/>
      <c r="CY41" s="2486"/>
    </row>
    <row r="42" spans="1:106" ht="21" customHeight="1" x14ac:dyDescent="0.3">
      <c r="A42" s="2516" t="s">
        <v>1386</v>
      </c>
      <c r="B42" s="3013">
        <f>SUM('1.3. sz. mell'!AQ57+'1.4. sz. mell'!AH32)</f>
        <v>526538000</v>
      </c>
      <c r="C42" s="3013">
        <f>SUM('1.3. sz. mell'!AR57+'1.4. sz. mell'!AI32)</f>
        <v>0</v>
      </c>
      <c r="D42" s="3013">
        <f>SUM('1.3. sz. mell'!AS57+'1.4. sz. mell'!AJ32)</f>
        <v>554013312</v>
      </c>
      <c r="E42" s="3013">
        <f>SUM('1.3. sz. mell'!AT57+'1.4. sz. mell'!AK32)</f>
        <v>6075000</v>
      </c>
      <c r="F42" s="3013">
        <f>SUM('1.3. sz. mell'!AU57+'1.4. sz. mell'!AL32)</f>
        <v>573763155</v>
      </c>
      <c r="G42" s="3013">
        <f>SUM('1.3. sz. mell'!AV57+'1.4. sz. mell'!AM32)</f>
        <v>0</v>
      </c>
      <c r="H42" s="3560">
        <f>SUM('1.3. sz. mell'!AW57+'1.4. sz. mell'!AN32)</f>
        <v>591085363</v>
      </c>
      <c r="I42" s="4035">
        <f>SUM('1.3. sz. mell'!AX57+'1.4. sz. mell'!AO32)</f>
        <v>591085363</v>
      </c>
      <c r="J42" s="3047">
        <f>SUM('2. sz. mell'!F26)-'3.1. Cofog'!L17</f>
        <v>526538000</v>
      </c>
      <c r="K42" s="4038">
        <f>SUM('2. sz. mell'!G26)-'3.1. Cofog'!M17</f>
        <v>27475312</v>
      </c>
      <c r="L42" s="4038">
        <f>SUM('2. sz. mell'!H26)-'3.1. Cofog'!N17</f>
        <v>554013312</v>
      </c>
      <c r="M42" s="4038">
        <f>SUM('2. sz. mell'!I26)-'3.1. Cofog'!O17</f>
        <v>37072051</v>
      </c>
      <c r="N42" s="4038">
        <f>SUM('2. sz. mell'!J26)-'3.1. Cofog'!P17</f>
        <v>591085363</v>
      </c>
      <c r="O42" s="4038">
        <f>SUM('2. sz. mell'!K26)-'3.1. Cofog'!Q17</f>
        <v>0</v>
      </c>
      <c r="P42" s="4039">
        <f>SUM('2. sz. mell'!L26)-'3.1. Cofog'!R20-'3.1. Cofog'!R18</f>
        <v>591085363</v>
      </c>
      <c r="Q42" s="4040">
        <f>SUM('2. sz. mell'!M26)-'3.1. Cofog'!S20-'3.1. Cofog'!S18</f>
        <v>591085363</v>
      </c>
      <c r="R42" s="3254">
        <f t="shared" si="46"/>
        <v>0</v>
      </c>
      <c r="S42" s="4037">
        <f t="shared" si="47"/>
        <v>27475312</v>
      </c>
      <c r="T42" s="4037">
        <f t="shared" si="48"/>
        <v>0</v>
      </c>
      <c r="U42" s="4037">
        <f t="shared" si="49"/>
        <v>30997051</v>
      </c>
      <c r="V42" s="4037">
        <f t="shared" si="50"/>
        <v>17322208</v>
      </c>
      <c r="W42" s="4037">
        <f t="shared" si="51"/>
        <v>0</v>
      </c>
      <c r="X42" s="3970">
        <f t="shared" si="52"/>
        <v>0</v>
      </c>
      <c r="Y42" s="4042">
        <f t="shared" si="52"/>
        <v>0</v>
      </c>
      <c r="AH42" s="2486"/>
      <c r="AI42" s="2486"/>
      <c r="AJ42" s="2486"/>
      <c r="AK42" s="2486"/>
      <c r="AL42" s="2486"/>
      <c r="AM42" s="2486"/>
      <c r="AN42" s="2486"/>
      <c r="AO42" s="2486"/>
      <c r="AP42" s="2486"/>
      <c r="AQ42" s="2486"/>
      <c r="AR42" s="2486"/>
      <c r="AS42" s="2486"/>
      <c r="AT42" s="2486"/>
      <c r="AU42" s="2486"/>
      <c r="AV42" s="2486"/>
      <c r="AW42" s="2486"/>
      <c r="AX42" s="2486"/>
      <c r="AY42" s="2486"/>
      <c r="AZ42" s="2486"/>
      <c r="BA42" s="2486"/>
      <c r="BB42" s="2486"/>
      <c r="BC42" s="2486"/>
      <c r="BD42" s="2486"/>
      <c r="BE42" s="2486"/>
      <c r="BF42" s="2486"/>
      <c r="BG42" s="2486"/>
      <c r="BH42" s="2486"/>
      <c r="BI42" s="2486"/>
      <c r="BJ42" s="2486"/>
      <c r="BK42" s="2486"/>
      <c r="BL42" s="2486"/>
      <c r="BM42" s="2486"/>
      <c r="BN42" s="2486"/>
      <c r="BO42" s="2486"/>
      <c r="BP42" s="2486"/>
      <c r="BQ42" s="2486"/>
      <c r="BR42" s="2486"/>
      <c r="BS42" s="2486"/>
      <c r="BT42" s="2486"/>
      <c r="BU42" s="2486"/>
      <c r="BV42" s="2486"/>
      <c r="BW42" s="2486"/>
      <c r="BX42" s="3028"/>
      <c r="BY42" s="3028"/>
      <c r="BZ42" s="3028"/>
      <c r="CA42" s="3028"/>
      <c r="CB42" s="3028"/>
      <c r="CC42" s="3028"/>
      <c r="CD42" s="2486"/>
      <c r="CE42" s="2486"/>
      <c r="CF42" s="2486"/>
      <c r="CG42" s="2486"/>
      <c r="CH42" s="2486"/>
      <c r="CI42" s="2486"/>
      <c r="CJ42" s="2486"/>
      <c r="CK42" s="2486"/>
      <c r="CL42" s="2486"/>
      <c r="CM42" s="2486"/>
      <c r="CN42" s="2486"/>
      <c r="CO42" s="2486"/>
      <c r="CP42" s="2486"/>
      <c r="CQ42" s="2486"/>
      <c r="CR42" s="2486"/>
      <c r="CS42" s="2486"/>
      <c r="CT42" s="2486"/>
      <c r="CU42" s="2486"/>
      <c r="CV42" s="2486"/>
      <c r="CW42" s="2486"/>
      <c r="CX42" s="2486"/>
      <c r="CY42" s="2486"/>
    </row>
    <row r="43" spans="1:106" ht="21" customHeight="1" x14ac:dyDescent="0.3">
      <c r="A43" s="2516" t="s">
        <v>1387</v>
      </c>
      <c r="B43" s="3013">
        <f>SUM(AP32+'1.3. sz. mell'!AY57)</f>
        <v>0</v>
      </c>
      <c r="C43" s="3013">
        <f>SUM(AQ32+'1.3. sz. mell'!AZ57)</f>
        <v>0</v>
      </c>
      <c r="D43" s="3013">
        <f>SUM(AR32+'1.3. sz. mell'!BA57)</f>
        <v>0</v>
      </c>
      <c r="E43" s="3013">
        <f>SUM(AS32+'1.3. sz. mell'!BB57)</f>
        <v>0</v>
      </c>
      <c r="F43" s="3013">
        <f>SUM(AT32+'1.3. sz. mell'!BC57)</f>
        <v>41741375</v>
      </c>
      <c r="G43" s="3013">
        <f>SUM(AU32+'1.3. sz. mell'!BD57)</f>
        <v>0</v>
      </c>
      <c r="H43" s="3560">
        <f>SUM(AV32+'1.3. sz. mell'!BE57)</f>
        <v>71704828</v>
      </c>
      <c r="I43" s="4035">
        <f>SUM(AW32+'1.3. sz. mell'!BF57)</f>
        <v>71704828</v>
      </c>
      <c r="J43" s="3047">
        <f>SUM('2. sz. mell'!F30)</f>
        <v>0</v>
      </c>
      <c r="K43" s="4038">
        <f>SUM('2. sz. mell'!G30)</f>
        <v>0</v>
      </c>
      <c r="L43" s="4038">
        <f>SUM('2. sz. mell'!H30)</f>
        <v>0</v>
      </c>
      <c r="M43" s="4038">
        <f>SUM('2. sz. mell'!I30)</f>
        <v>71704828</v>
      </c>
      <c r="N43" s="4038">
        <f>SUM('2. sz. mell'!J30)</f>
        <v>71704828</v>
      </c>
      <c r="O43" s="4038">
        <f>SUM('2. sz. mell'!K30)</f>
        <v>0</v>
      </c>
      <c r="P43" s="4039">
        <f>SUM('2. sz. mell'!L30)</f>
        <v>71704828</v>
      </c>
      <c r="Q43" s="4040">
        <f>SUM('2. sz. mell'!M30)</f>
        <v>71704828</v>
      </c>
      <c r="R43" s="3254">
        <f t="shared" si="46"/>
        <v>0</v>
      </c>
      <c r="S43" s="4037">
        <f t="shared" si="47"/>
        <v>0</v>
      </c>
      <c r="T43" s="4037">
        <f t="shared" si="48"/>
        <v>0</v>
      </c>
      <c r="U43" s="4037">
        <f t="shared" si="49"/>
        <v>71704828</v>
      </c>
      <c r="V43" s="4037">
        <f t="shared" si="50"/>
        <v>29963453</v>
      </c>
      <c r="W43" s="4037">
        <f t="shared" si="51"/>
        <v>0</v>
      </c>
      <c r="X43" s="3970">
        <f t="shared" si="52"/>
        <v>0</v>
      </c>
      <c r="Y43" s="4042">
        <f t="shared" si="52"/>
        <v>0</v>
      </c>
      <c r="AH43" s="2486"/>
      <c r="AI43" s="2486"/>
      <c r="AJ43" s="2486"/>
      <c r="AK43" s="2486"/>
      <c r="AL43" s="2486"/>
      <c r="AM43" s="2486"/>
      <c r="AN43" s="2486"/>
      <c r="AO43" s="2486"/>
      <c r="AP43" s="2486"/>
      <c r="AQ43" s="2486"/>
      <c r="AR43" s="2486"/>
      <c r="AS43" s="2486"/>
      <c r="AT43" s="2486"/>
      <c r="AU43" s="2486"/>
      <c r="AV43" s="2486"/>
      <c r="AW43" s="2486"/>
      <c r="AX43" s="2486"/>
      <c r="AY43" s="2486"/>
      <c r="AZ43" s="2486"/>
      <c r="BA43" s="2486"/>
      <c r="BB43" s="2486"/>
      <c r="BC43" s="2486"/>
      <c r="BD43" s="2486"/>
      <c r="BE43" s="2486"/>
      <c r="BF43" s="2486"/>
      <c r="BG43" s="2486"/>
      <c r="BH43" s="2486"/>
      <c r="BI43" s="2486"/>
      <c r="BJ43" s="2486"/>
      <c r="BK43" s="2486"/>
      <c r="BL43" s="2486"/>
      <c r="BM43" s="2486"/>
      <c r="BN43" s="2486"/>
      <c r="BO43" s="2486"/>
      <c r="BP43" s="2486"/>
      <c r="BQ43" s="2486"/>
      <c r="BR43" s="2486"/>
      <c r="BS43" s="2486"/>
      <c r="BT43" s="2486"/>
      <c r="BU43" s="2486"/>
      <c r="BV43" s="2486"/>
      <c r="BW43" s="2486"/>
      <c r="BX43" s="3028"/>
      <c r="BY43" s="3028"/>
      <c r="BZ43" s="3028"/>
      <c r="CA43" s="3028"/>
      <c r="CB43" s="3028"/>
      <c r="CC43" s="3028"/>
      <c r="CD43" s="2486"/>
      <c r="CE43" s="2486"/>
      <c r="CF43" s="2486"/>
      <c r="CG43" s="2486"/>
      <c r="CH43" s="2486"/>
      <c r="CI43" s="2486"/>
      <c r="CJ43" s="2486"/>
      <c r="CK43" s="2486"/>
      <c r="CL43" s="2486"/>
      <c r="CM43" s="2486"/>
      <c r="CN43" s="2486"/>
      <c r="CO43" s="2486"/>
      <c r="CP43" s="2486"/>
      <c r="CQ43" s="2486"/>
      <c r="CR43" s="2486"/>
      <c r="CS43" s="2486"/>
      <c r="CT43" s="2486"/>
      <c r="CU43" s="2486"/>
      <c r="CV43" s="2486"/>
      <c r="CW43" s="2486"/>
      <c r="CX43" s="2486"/>
      <c r="CY43" s="2486"/>
    </row>
    <row r="44" spans="1:106" ht="21" customHeight="1" x14ac:dyDescent="0.3">
      <c r="A44" s="2516" t="s">
        <v>293</v>
      </c>
      <c r="B44" s="3013"/>
      <c r="C44" s="3013"/>
      <c r="D44" s="3013"/>
      <c r="E44" s="3013"/>
      <c r="F44" s="3013"/>
      <c r="G44" s="3013"/>
      <c r="H44" s="3560">
        <f>SUM('1.3. sz. mell'!BM57+'1.4. sz. mell'!BD32)</f>
        <v>6952500</v>
      </c>
      <c r="I44" s="4035">
        <f>SUM('1.3. sz. mell'!BN57+'1.4. sz. mell'!BE32)</f>
        <v>7002500</v>
      </c>
      <c r="J44" s="3047"/>
      <c r="K44" s="4038"/>
      <c r="L44" s="4038"/>
      <c r="M44" s="4038"/>
      <c r="N44" s="4038"/>
      <c r="O44" s="4038"/>
      <c r="P44" s="4039">
        <f>SUM('2. sz. mell'!L27)</f>
        <v>6952500</v>
      </c>
      <c r="Q44" s="4040">
        <f>SUM('2. sz. mell'!M27)</f>
        <v>7002500</v>
      </c>
      <c r="R44" s="3254">
        <f t="shared" si="46"/>
        <v>0</v>
      </c>
      <c r="S44" s="4037">
        <f t="shared" si="47"/>
        <v>0</v>
      </c>
      <c r="T44" s="4037">
        <f t="shared" si="48"/>
        <v>0</v>
      </c>
      <c r="U44" s="4037">
        <f t="shared" si="49"/>
        <v>0</v>
      </c>
      <c r="V44" s="4037">
        <f t="shared" si="50"/>
        <v>0</v>
      </c>
      <c r="W44" s="4037">
        <f t="shared" si="51"/>
        <v>0</v>
      </c>
      <c r="X44" s="3970">
        <f t="shared" si="52"/>
        <v>0</v>
      </c>
      <c r="Y44" s="4042">
        <f t="shared" si="52"/>
        <v>0</v>
      </c>
      <c r="AH44" s="2486"/>
      <c r="AI44" s="2486"/>
      <c r="AJ44" s="2486"/>
      <c r="AK44" s="2486"/>
      <c r="AL44" s="2486"/>
      <c r="AM44" s="2486"/>
      <c r="AN44" s="2486"/>
      <c r="AO44" s="2486"/>
      <c r="AP44" s="2486"/>
      <c r="AQ44" s="2486"/>
      <c r="AR44" s="2486"/>
      <c r="AS44" s="2486"/>
      <c r="AT44" s="2486"/>
      <c r="AU44" s="2486"/>
      <c r="AV44" s="2486"/>
      <c r="AW44" s="2486"/>
      <c r="AX44" s="2486"/>
      <c r="AY44" s="2486"/>
      <c r="AZ44" s="2486"/>
      <c r="BA44" s="2486"/>
      <c r="BB44" s="2486"/>
      <c r="BC44" s="2486"/>
      <c r="BD44" s="2486"/>
      <c r="BE44" s="2486"/>
      <c r="BF44" s="2486"/>
      <c r="BG44" s="2486"/>
      <c r="BH44" s="2486"/>
      <c r="BI44" s="2486"/>
      <c r="BJ44" s="2486"/>
      <c r="BK44" s="2486"/>
      <c r="BL44" s="2486"/>
      <c r="BM44" s="2486"/>
      <c r="BN44" s="2486"/>
      <c r="BO44" s="2486"/>
      <c r="BP44" s="2486"/>
      <c r="BQ44" s="2486"/>
      <c r="BR44" s="2486"/>
      <c r="BS44" s="2486"/>
      <c r="BT44" s="2486"/>
      <c r="BU44" s="2486"/>
      <c r="BV44" s="2486"/>
      <c r="BW44" s="2486"/>
      <c r="BX44" s="3028"/>
      <c r="BY44" s="3028"/>
      <c r="BZ44" s="3028"/>
      <c r="CA44" s="3028"/>
      <c r="CB44" s="3028"/>
      <c r="CC44" s="3028"/>
      <c r="CD44" s="2486"/>
      <c r="CE44" s="2486"/>
      <c r="CF44" s="2486"/>
      <c r="CG44" s="2486"/>
      <c r="CH44" s="2486"/>
      <c r="CI44" s="2486"/>
      <c r="CJ44" s="2486"/>
      <c r="CK44" s="2486"/>
      <c r="CL44" s="2486"/>
      <c r="CM44" s="2486"/>
      <c r="CN44" s="2486"/>
      <c r="CO44" s="2486"/>
      <c r="CP44" s="2486"/>
      <c r="CQ44" s="2486"/>
      <c r="CR44" s="2486"/>
      <c r="CS44" s="2486"/>
      <c r="CT44" s="2486"/>
      <c r="CU44" s="2486"/>
      <c r="CV44" s="2486"/>
      <c r="CW44" s="2486"/>
      <c r="CX44" s="2486"/>
      <c r="CY44" s="2486"/>
    </row>
    <row r="45" spans="1:106" ht="21" customHeight="1" x14ac:dyDescent="0.3">
      <c r="A45" s="2516" t="s">
        <v>296</v>
      </c>
      <c r="B45" s="3013"/>
      <c r="C45" s="3013"/>
      <c r="D45" s="3013"/>
      <c r="E45" s="3013"/>
      <c r="F45" s="3013"/>
      <c r="G45" s="3013"/>
      <c r="H45" s="3560">
        <f>SUM(BL32)</f>
        <v>556836</v>
      </c>
      <c r="I45" s="4035">
        <f>SUM(BM32)</f>
        <v>796962</v>
      </c>
      <c r="J45" s="3047"/>
      <c r="K45" s="4038"/>
      <c r="L45" s="4038"/>
      <c r="M45" s="4038"/>
      <c r="N45" s="4038"/>
      <c r="O45" s="4038"/>
      <c r="P45" s="4039">
        <f>SUM('2. sz. mell'!L31)</f>
        <v>556836</v>
      </c>
      <c r="Q45" s="4040">
        <f>SUM('2. sz. mell'!M31)</f>
        <v>796962</v>
      </c>
      <c r="R45" s="3254">
        <f t="shared" si="46"/>
        <v>0</v>
      </c>
      <c r="S45" s="4037"/>
      <c r="T45" s="4037"/>
      <c r="U45" s="4037"/>
      <c r="V45" s="4037"/>
      <c r="W45" s="4037"/>
      <c r="X45" s="3970">
        <f t="shared" si="52"/>
        <v>0</v>
      </c>
      <c r="Y45" s="4042">
        <f t="shared" si="52"/>
        <v>0</v>
      </c>
      <c r="AH45" s="2486"/>
      <c r="AI45" s="2486"/>
      <c r="AJ45" s="2486"/>
      <c r="AK45" s="2486"/>
      <c r="AL45" s="2486"/>
      <c r="AM45" s="2486"/>
      <c r="AN45" s="2486"/>
      <c r="AO45" s="2486"/>
      <c r="AP45" s="2486"/>
      <c r="AQ45" s="2486"/>
      <c r="AR45" s="2486"/>
      <c r="AS45" s="2486"/>
      <c r="AT45" s="2486"/>
      <c r="AU45" s="2486"/>
      <c r="AV45" s="2486"/>
      <c r="AW45" s="2486"/>
      <c r="AX45" s="2486"/>
      <c r="AY45" s="2486"/>
      <c r="AZ45" s="2486"/>
      <c r="BA45" s="2486"/>
      <c r="BB45" s="2486"/>
      <c r="BC45" s="2486"/>
      <c r="BD45" s="2486"/>
      <c r="BE45" s="2486"/>
      <c r="BF45" s="2486"/>
      <c r="BG45" s="2486"/>
      <c r="BH45" s="2486"/>
      <c r="BI45" s="2486"/>
      <c r="BJ45" s="2486"/>
      <c r="BK45" s="2486"/>
      <c r="BL45" s="2486"/>
      <c r="BM45" s="2486"/>
      <c r="BN45" s="2486"/>
      <c r="BO45" s="2486"/>
      <c r="BP45" s="2486"/>
      <c r="BQ45" s="2486"/>
      <c r="BR45" s="2486"/>
      <c r="BS45" s="2486"/>
      <c r="BT45" s="2486"/>
      <c r="BU45" s="2486"/>
      <c r="BV45" s="2486"/>
      <c r="BW45" s="2486"/>
      <c r="BX45" s="3028"/>
      <c r="BY45" s="3028"/>
      <c r="BZ45" s="3028"/>
      <c r="CA45" s="3028"/>
      <c r="CB45" s="3028"/>
      <c r="CC45" s="3028"/>
      <c r="CD45" s="2486"/>
      <c r="CE45" s="2486"/>
      <c r="CF45" s="2486"/>
      <c r="CG45" s="2486"/>
      <c r="CH45" s="2486"/>
      <c r="CI45" s="2486"/>
      <c r="CJ45" s="2486"/>
      <c r="CK45" s="2486"/>
      <c r="CL45" s="2486"/>
      <c r="CM45" s="2486"/>
      <c r="CN45" s="2486"/>
      <c r="CO45" s="2486"/>
      <c r="CP45" s="2486"/>
      <c r="CQ45" s="2486"/>
      <c r="CR45" s="2486"/>
      <c r="CS45" s="2486"/>
      <c r="CT45" s="2486"/>
      <c r="CU45" s="2486"/>
      <c r="CV45" s="2486"/>
      <c r="CW45" s="2486"/>
      <c r="CX45" s="2486"/>
      <c r="CY45" s="2486"/>
    </row>
    <row r="46" spans="1:106" ht="21" customHeight="1" x14ac:dyDescent="0.3">
      <c r="A46" s="2516" t="s">
        <v>32</v>
      </c>
      <c r="B46" s="3013">
        <f>SUM('1.3. sz. mell'!CU57+'1.4. sz. mell'!CL32+'1.5. sz. mell'!AD13)</f>
        <v>2600000000</v>
      </c>
      <c r="C46" s="3013">
        <f>SUM('1.3. sz. mell'!CV57+'1.4. sz. mell'!CM32+'1.5. sz. mell'!AE13)</f>
        <v>1026091429.25</v>
      </c>
      <c r="D46" s="3013">
        <f>SUM('1.3. sz. mell'!CW57+'1.4. sz. mell'!CN32+'1.5. sz. mell'!AF13)</f>
        <v>2328093922.25</v>
      </c>
      <c r="E46" s="3013">
        <f>SUM('1.3. sz. mell'!CX57+'1.4. sz. mell'!CO32+'1.5. sz. mell'!AG13)</f>
        <v>-4281791932.2600002</v>
      </c>
      <c r="F46" s="3013">
        <f>SUM('1.3. sz. mell'!CY57+'1.4. sz. mell'!CP32+'1.5. sz. mell'!AH13)</f>
        <v>2440230413.9899998</v>
      </c>
      <c r="G46" s="3013">
        <f>SUM('1.3. sz. mell'!CZ57+'1.4. sz. mell'!CQ32+'1.5. sz. mell'!AI13)</f>
        <v>-12950000</v>
      </c>
      <c r="H46" s="3560">
        <f>SUM('1.3. sz. mell'!DA57+'1.4. sz. mell'!CR32+'1.5. sz. mell'!AJ13)</f>
        <v>3595132831</v>
      </c>
      <c r="I46" s="4035">
        <f>SUM('1.3. sz. mell'!DB57+'1.4. sz. mell'!CS32+'1.5. sz. mell'!AK13)</f>
        <v>3595132831</v>
      </c>
      <c r="J46" s="3047">
        <f>SUM('2. sz. mell'!F8)</f>
        <v>2600000000</v>
      </c>
      <c r="K46" s="4038">
        <f>SUM('2. sz. mell'!G8)</f>
        <v>47687737</v>
      </c>
      <c r="L46" s="4038">
        <f>SUM('2. sz. mell'!H8)</f>
        <v>2647687737</v>
      </c>
      <c r="M46" s="4038">
        <f>SUM('2. sz. mell'!I8)</f>
        <v>947445094</v>
      </c>
      <c r="N46" s="4038">
        <f>SUM('2. sz. mell'!J8)</f>
        <v>3595132831</v>
      </c>
      <c r="O46" s="4038">
        <f>SUM('2. sz. mell'!K8)</f>
        <v>0</v>
      </c>
      <c r="P46" s="4039">
        <f>SUM('2. sz. mell'!L8)</f>
        <v>3595132831</v>
      </c>
      <c r="Q46" s="4040">
        <f>SUM('2. sz. mell'!M8)</f>
        <v>3595132831</v>
      </c>
      <c r="R46" s="3254">
        <f>SUM(J46-B46)</f>
        <v>0</v>
      </c>
      <c r="S46" s="4037">
        <f t="shared" si="47"/>
        <v>-978403692.25</v>
      </c>
      <c r="T46" s="4037">
        <f t="shared" si="48"/>
        <v>319593814.75</v>
      </c>
      <c r="U46" s="4037">
        <f t="shared" si="49"/>
        <v>5229237026.2600002</v>
      </c>
      <c r="V46" s="4037">
        <f t="shared" si="50"/>
        <v>1154902417.0100002</v>
      </c>
      <c r="W46" s="4037">
        <f t="shared" si="51"/>
        <v>12950000</v>
      </c>
      <c r="X46" s="3970">
        <f t="shared" si="52"/>
        <v>0</v>
      </c>
      <c r="Y46" s="4042">
        <f t="shared" si="52"/>
        <v>0</v>
      </c>
      <c r="AH46" s="2486"/>
      <c r="AI46" s="2486"/>
      <c r="AJ46" s="2486"/>
      <c r="AK46" s="2486"/>
      <c r="AL46" s="2486"/>
      <c r="AM46" s="2486"/>
      <c r="AN46" s="2486"/>
      <c r="AO46" s="2486"/>
      <c r="AP46" s="2486"/>
      <c r="AQ46" s="2486"/>
      <c r="AR46" s="2486"/>
      <c r="AS46" s="2486"/>
      <c r="AT46" s="2486"/>
      <c r="AU46" s="2486"/>
      <c r="AV46" s="2486"/>
      <c r="AW46" s="2486"/>
      <c r="AX46" s="2486"/>
      <c r="AY46" s="2486"/>
      <c r="AZ46" s="2486"/>
      <c r="BA46" s="2486"/>
      <c r="BB46" s="2486"/>
      <c r="BC46" s="2486"/>
      <c r="BD46" s="2486"/>
      <c r="BE46" s="2486"/>
      <c r="BF46" s="2486"/>
      <c r="BG46" s="2486"/>
      <c r="BH46" s="2486"/>
      <c r="BI46" s="2486"/>
      <c r="BJ46" s="2486"/>
      <c r="BK46" s="2486"/>
      <c r="BL46" s="2486"/>
      <c r="BM46" s="2486"/>
      <c r="BN46" s="2486"/>
      <c r="BO46" s="2486"/>
      <c r="BP46" s="2486"/>
      <c r="BQ46" s="2486"/>
      <c r="BR46" s="2486"/>
      <c r="BS46" s="2486"/>
      <c r="BT46" s="2486"/>
      <c r="BU46" s="2486"/>
      <c r="BV46" s="2486"/>
      <c r="BW46" s="2486"/>
      <c r="BX46" s="3028"/>
      <c r="BY46" s="3028"/>
      <c r="BZ46" s="3028"/>
      <c r="CA46" s="3028"/>
      <c r="CB46" s="3028"/>
      <c r="CC46" s="3028"/>
      <c r="CD46" s="2486"/>
      <c r="CE46" s="2486"/>
      <c r="CF46" s="2486"/>
      <c r="CG46" s="2486"/>
      <c r="CH46" s="2486"/>
      <c r="CI46" s="2486"/>
      <c r="CJ46" s="2486"/>
      <c r="CK46" s="2486"/>
      <c r="CL46" s="2486"/>
      <c r="CM46" s="2486"/>
      <c r="CN46" s="2486"/>
      <c r="CO46" s="2486"/>
      <c r="CP46" s="2486"/>
      <c r="CQ46" s="2486"/>
      <c r="CR46" s="2486"/>
      <c r="CS46" s="2486"/>
      <c r="CT46" s="2486"/>
      <c r="CU46" s="2486"/>
      <c r="CV46" s="2486"/>
      <c r="CW46" s="2486"/>
      <c r="CX46" s="2486"/>
      <c r="CY46" s="2486"/>
    </row>
    <row r="47" spans="1:106" ht="21" customHeight="1" x14ac:dyDescent="0.3">
      <c r="A47" s="2516" t="s">
        <v>2034</v>
      </c>
      <c r="B47" s="3013">
        <f>SUM('1.3. sz. mell'!DC57+'1.4. sz. mell'!CT32+'1.5. sz. mell'!AL13)</f>
        <v>200000000</v>
      </c>
      <c r="C47" s="3013">
        <f>SUM('1.3. sz. mell'!DD57+'1.4. sz. mell'!CU32+'1.5. sz. mell'!AM13)</f>
        <v>0</v>
      </c>
      <c r="D47" s="3013">
        <f>SUM('1.3. sz. mell'!DE57+'1.4. sz. mell'!CV32+'1.5. sz. mell'!AN13)</f>
        <v>41784348</v>
      </c>
      <c r="E47" s="3013">
        <f>SUM('1.3. sz. mell'!DF57+'1.4. sz. mell'!CW32+'1.5. sz. mell'!AO13)</f>
        <v>53764114</v>
      </c>
      <c r="F47" s="3013">
        <f>SUM('1.3. sz. mell'!DG57+'1.4. sz. mell'!CX32+'1.5. sz. mell'!AP13)</f>
        <v>73339678</v>
      </c>
      <c r="G47" s="3013">
        <f>SUM('1.3. sz. mell'!DH57+'1.4. sz. mell'!CY32+'1.5. sz. mell'!AQ13)</f>
        <v>0</v>
      </c>
      <c r="H47" s="3560">
        <f>SUM('1.3. sz. mell'!DI57+'1.4. sz. mell'!CZ32+'1.5. sz. mell'!AR13)</f>
        <v>20000</v>
      </c>
      <c r="I47" s="4035">
        <f>SUM('1.3. sz. mell'!DJ57+'1.4. sz. mell'!DA32+'1.5. sz. mell'!AS13)</f>
        <v>20000</v>
      </c>
      <c r="J47" s="3047">
        <f>SUM('2. sz. mell'!F28)</f>
        <v>200000000</v>
      </c>
      <c r="K47" s="4038">
        <f>SUM('2. sz. mell'!G28)</f>
        <v>-200000000</v>
      </c>
      <c r="L47" s="4038">
        <f>SUM('2. sz. mell'!H28)</f>
        <v>0</v>
      </c>
      <c r="M47" s="4038">
        <f>SUM('2. sz. mell'!I28)</f>
        <v>72281664</v>
      </c>
      <c r="N47" s="4038">
        <f>SUM('2. sz. mell'!J28)</f>
        <v>72281664</v>
      </c>
      <c r="O47" s="4038">
        <f>SUM('2. sz. mell'!K28)</f>
        <v>0</v>
      </c>
      <c r="P47" s="4039">
        <f>SUM('2. sz. mell'!L29)</f>
        <v>20000</v>
      </c>
      <c r="Q47" s="4040">
        <f>SUM('2. sz. mell'!M29)</f>
        <v>20000</v>
      </c>
      <c r="R47" s="3254">
        <f t="shared" si="46"/>
        <v>0</v>
      </c>
      <c r="S47" s="4037">
        <f t="shared" si="47"/>
        <v>-200000000</v>
      </c>
      <c r="T47" s="4037">
        <f t="shared" si="48"/>
        <v>-41784348</v>
      </c>
      <c r="U47" s="4037">
        <f t="shared" si="49"/>
        <v>18517550</v>
      </c>
      <c r="V47" s="4037">
        <f t="shared" si="50"/>
        <v>-1058014</v>
      </c>
      <c r="W47" s="4037">
        <f t="shared" si="51"/>
        <v>0</v>
      </c>
      <c r="X47" s="3970">
        <f t="shared" si="52"/>
        <v>0</v>
      </c>
      <c r="Y47" s="4042">
        <f t="shared" si="52"/>
        <v>0</v>
      </c>
      <c r="AH47" s="2486"/>
      <c r="AI47" s="2486"/>
      <c r="AJ47" s="2486"/>
      <c r="AK47" s="2486"/>
      <c r="AL47" s="2486"/>
      <c r="AM47" s="2486"/>
      <c r="AN47" s="2486"/>
      <c r="AO47" s="2486"/>
      <c r="AP47" s="2486"/>
      <c r="AQ47" s="2486"/>
      <c r="AR47" s="2486"/>
      <c r="AS47" s="2486"/>
      <c r="AT47" s="2486"/>
      <c r="AU47" s="2486"/>
      <c r="AV47" s="2486"/>
      <c r="AW47" s="2486"/>
      <c r="AX47" s="2486"/>
      <c r="AY47" s="2486"/>
      <c r="AZ47" s="2486"/>
      <c r="BA47" s="2486"/>
      <c r="BB47" s="2486"/>
      <c r="BC47" s="2486"/>
      <c r="BD47" s="2486"/>
      <c r="BE47" s="2486"/>
      <c r="BF47" s="2486"/>
      <c r="BG47" s="2486"/>
      <c r="BH47" s="2486"/>
      <c r="BI47" s="2486"/>
      <c r="BJ47" s="2486"/>
      <c r="BK47" s="2486"/>
      <c r="BL47" s="2486"/>
      <c r="BM47" s="2486"/>
      <c r="BN47" s="2486"/>
      <c r="BO47" s="2486"/>
      <c r="BP47" s="2486"/>
      <c r="BQ47" s="2486"/>
      <c r="BR47" s="2486"/>
      <c r="BS47" s="2486"/>
      <c r="BT47" s="2486"/>
      <c r="BU47" s="2486"/>
      <c r="BV47" s="2486"/>
      <c r="BW47" s="2486"/>
      <c r="BX47" s="3028"/>
      <c r="BY47" s="3028"/>
      <c r="BZ47" s="3028"/>
      <c r="CA47" s="3028"/>
      <c r="CB47" s="3028"/>
      <c r="CC47" s="3028"/>
      <c r="CD47" s="2486"/>
      <c r="CE47" s="2486"/>
      <c r="CF47" s="2486"/>
      <c r="CG47" s="2486"/>
      <c r="CH47" s="2486"/>
      <c r="CI47" s="2486"/>
      <c r="CJ47" s="2486"/>
      <c r="CK47" s="2486"/>
      <c r="CL47" s="2486"/>
      <c r="CM47" s="2486"/>
      <c r="CN47" s="2486"/>
      <c r="CO47" s="2486"/>
      <c r="CP47" s="2486"/>
      <c r="CQ47" s="2486"/>
      <c r="CR47" s="2486"/>
      <c r="CS47" s="2486"/>
      <c r="CT47" s="2486"/>
      <c r="CU47" s="2486"/>
      <c r="CV47" s="2486"/>
      <c r="CW47" s="2486"/>
      <c r="CX47" s="2486"/>
      <c r="CY47" s="2486"/>
    </row>
    <row r="48" spans="1:106" ht="21" customHeight="1" x14ac:dyDescent="0.3">
      <c r="A48" s="2516" t="s">
        <v>1823</v>
      </c>
      <c r="B48" s="3013"/>
      <c r="C48" s="3013">
        <f>SUM(BP32)</f>
        <v>200000000</v>
      </c>
      <c r="D48" s="3013">
        <f>SUM(BQ32)</f>
        <v>200000000</v>
      </c>
      <c r="E48" s="3013">
        <f>SUM(BR32)</f>
        <v>200000000</v>
      </c>
      <c r="F48" s="3013">
        <f>SUM(BS32)</f>
        <v>0</v>
      </c>
      <c r="G48" s="3013">
        <f>SUM(BT32)</f>
        <v>0</v>
      </c>
      <c r="H48" s="3560"/>
      <c r="I48" s="4035"/>
      <c r="J48" s="3047">
        <f>SUM('3.1. Cofog'!L109)</f>
        <v>0</v>
      </c>
      <c r="K48" s="4038">
        <f>SUM('3.1. Cofog'!M109)</f>
        <v>200000000</v>
      </c>
      <c r="L48" s="4038">
        <f>SUM('3.1. Cofog'!N109)</f>
        <v>200000000</v>
      </c>
      <c r="M48" s="4038">
        <f>SUM('3.1. Cofog'!O109)</f>
        <v>-200000000</v>
      </c>
      <c r="N48" s="4038">
        <f>SUM('3.1. Cofog'!P109)</f>
        <v>0</v>
      </c>
      <c r="O48" s="4038">
        <f>SUM('3.1. Cofog'!Q109)</f>
        <v>0</v>
      </c>
      <c r="P48" s="4039">
        <f>SUM('3.1. Cofog'!R109)</f>
        <v>0</v>
      </c>
      <c r="Q48" s="4040">
        <f>SUM('3.1. Cofog'!S109)</f>
        <v>0</v>
      </c>
      <c r="R48" s="3254"/>
      <c r="S48" s="4037"/>
      <c r="T48" s="4037"/>
      <c r="U48" s="4037"/>
      <c r="V48" s="4037"/>
      <c r="W48" s="4037"/>
      <c r="X48" s="3970"/>
      <c r="Y48" s="4042"/>
      <c r="AH48" s="2486"/>
      <c r="AI48" s="2486"/>
      <c r="AJ48" s="2486"/>
      <c r="AK48" s="2486"/>
      <c r="AL48" s="2486"/>
      <c r="AM48" s="2486"/>
      <c r="AN48" s="2486"/>
      <c r="AO48" s="2486"/>
      <c r="AP48" s="2486"/>
      <c r="AQ48" s="2486"/>
      <c r="AR48" s="2486"/>
      <c r="AS48" s="2486"/>
      <c r="AT48" s="2486"/>
      <c r="AU48" s="2486"/>
      <c r="AV48" s="2486"/>
      <c r="AW48" s="2486"/>
      <c r="AX48" s="2486"/>
      <c r="AY48" s="2486"/>
      <c r="AZ48" s="2486"/>
      <c r="BA48" s="2486"/>
      <c r="BB48" s="2486"/>
      <c r="BC48" s="2486"/>
      <c r="BD48" s="2486"/>
      <c r="BE48" s="2486"/>
      <c r="BF48" s="2486"/>
      <c r="BG48" s="2486"/>
      <c r="BH48" s="2486"/>
      <c r="BI48" s="2486"/>
      <c r="BJ48" s="2486"/>
      <c r="BK48" s="2486"/>
      <c r="BL48" s="2486"/>
      <c r="BM48" s="2486"/>
      <c r="BN48" s="2486"/>
      <c r="BO48" s="2486"/>
      <c r="BP48" s="2486"/>
      <c r="BQ48" s="2486"/>
      <c r="BR48" s="2486"/>
      <c r="BS48" s="2486"/>
      <c r="BT48" s="2486"/>
      <c r="BU48" s="2486"/>
      <c r="BV48" s="2486"/>
      <c r="BW48" s="2486"/>
      <c r="BX48" s="3028"/>
      <c r="BY48" s="3028"/>
      <c r="BZ48" s="3028"/>
      <c r="CA48" s="3028"/>
      <c r="CB48" s="3028"/>
      <c r="CC48" s="3028"/>
      <c r="CD48" s="2486"/>
      <c r="CE48" s="2486"/>
      <c r="CF48" s="2486"/>
      <c r="CG48" s="2486"/>
      <c r="CH48" s="2486"/>
      <c r="CI48" s="2486"/>
      <c r="CJ48" s="2486"/>
      <c r="CK48" s="2486"/>
      <c r="CL48" s="2486"/>
      <c r="CM48" s="2486"/>
      <c r="CN48" s="2486"/>
      <c r="CO48" s="2486"/>
      <c r="CP48" s="2486"/>
      <c r="CQ48" s="2486"/>
      <c r="CR48" s="2486"/>
      <c r="CS48" s="2486"/>
      <c r="CT48" s="2486"/>
      <c r="CU48" s="2486"/>
      <c r="CV48" s="2486"/>
      <c r="CW48" s="2486"/>
      <c r="CX48" s="2486"/>
      <c r="CY48" s="2486"/>
    </row>
    <row r="49" spans="1:103" ht="21" customHeight="1" x14ac:dyDescent="0.3">
      <c r="A49" s="2516" t="s">
        <v>1422</v>
      </c>
      <c r="B49" s="3013">
        <f>SUM(BV32)</f>
        <v>1361850000</v>
      </c>
      <c r="C49" s="3013">
        <f t="shared" ref="C49:G49" si="53">SUM(BW32)</f>
        <v>1361850000</v>
      </c>
      <c r="D49" s="3013">
        <f t="shared" si="53"/>
        <v>2458050000</v>
      </c>
      <c r="E49" s="3013">
        <f t="shared" si="53"/>
        <v>2298603000</v>
      </c>
      <c r="F49" s="3013">
        <f t="shared" si="53"/>
        <v>2458050000</v>
      </c>
      <c r="G49" s="3013">
        <f t="shared" si="53"/>
        <v>0</v>
      </c>
      <c r="H49" s="3560">
        <f>SUM(CB32)+'1.3. sz. mell'!CC57</f>
        <v>1658050000</v>
      </c>
      <c r="I49" s="4035">
        <f>SUM(CC32)+'1.3. sz. mell'!CD57</f>
        <v>1658050000</v>
      </c>
      <c r="J49" s="3047">
        <f>SUM('3.1. Cofog'!L108)</f>
        <v>1361850000</v>
      </c>
      <c r="K49" s="4038">
        <f>SUM('3.1. Cofog'!M108)</f>
        <v>1096200000</v>
      </c>
      <c r="L49" s="4038">
        <f>SUM('3.1. Cofog'!N108)</f>
        <v>2458050000</v>
      </c>
      <c r="M49" s="4038">
        <f>SUM('3.1. Cofog'!O108)</f>
        <v>-800000000</v>
      </c>
      <c r="N49" s="4038">
        <f>SUM('3.1. Cofog'!P108)</f>
        <v>1658050000</v>
      </c>
      <c r="O49" s="4038">
        <f>SUM('3.1. Cofog'!Q108)</f>
        <v>0</v>
      </c>
      <c r="P49" s="4039">
        <f>SUM('3.1. Cofog'!R108)</f>
        <v>1658050000</v>
      </c>
      <c r="Q49" s="4040">
        <f>SUM('3.1. Cofog'!S108)</f>
        <v>1658050000</v>
      </c>
      <c r="R49" s="3254">
        <f t="shared" ref="R49:Y53" si="54">SUM(J49-B49)</f>
        <v>0</v>
      </c>
      <c r="S49" s="4037">
        <f t="shared" si="54"/>
        <v>-265650000</v>
      </c>
      <c r="T49" s="4037">
        <f t="shared" si="54"/>
        <v>0</v>
      </c>
      <c r="U49" s="4037">
        <f t="shared" si="54"/>
        <v>-3098603000</v>
      </c>
      <c r="V49" s="4037">
        <f t="shared" si="54"/>
        <v>-800000000</v>
      </c>
      <c r="W49" s="4037">
        <f t="shared" si="54"/>
        <v>0</v>
      </c>
      <c r="X49" s="3970">
        <f t="shared" si="54"/>
        <v>0</v>
      </c>
      <c r="Y49" s="4042">
        <f t="shared" si="54"/>
        <v>0</v>
      </c>
      <c r="AH49" s="2486"/>
      <c r="AI49" s="2486"/>
      <c r="AJ49" s="2486"/>
      <c r="AK49" s="2486"/>
      <c r="AL49" s="2486"/>
      <c r="AM49" s="2486"/>
      <c r="AN49" s="2486"/>
      <c r="AO49" s="2486"/>
      <c r="AP49" s="2486"/>
      <c r="AQ49" s="2486"/>
      <c r="AR49" s="2486"/>
      <c r="AS49" s="2486"/>
      <c r="AT49" s="2486"/>
      <c r="AU49" s="2486"/>
      <c r="AV49" s="2486"/>
      <c r="AW49" s="2486"/>
      <c r="AX49" s="2486"/>
      <c r="AY49" s="2486"/>
      <c r="AZ49" s="2486"/>
      <c r="BA49" s="2486"/>
      <c r="BB49" s="2486"/>
      <c r="BC49" s="2486"/>
      <c r="BD49" s="2486"/>
      <c r="BE49" s="2486"/>
      <c r="BF49" s="2486"/>
      <c r="BG49" s="2486"/>
      <c r="BH49" s="2486"/>
      <c r="BI49" s="2486"/>
      <c r="BJ49" s="2486"/>
      <c r="BK49" s="2486"/>
      <c r="BL49" s="2486"/>
      <c r="BM49" s="2486"/>
      <c r="BN49" s="2486"/>
      <c r="BO49" s="2486"/>
      <c r="BP49" s="2486"/>
      <c r="BQ49" s="2486"/>
      <c r="BR49" s="2486"/>
      <c r="BS49" s="2486"/>
      <c r="BT49" s="2486"/>
      <c r="BU49" s="2486"/>
      <c r="BV49" s="2486"/>
      <c r="BW49" s="2486"/>
      <c r="BX49" s="3028"/>
      <c r="BY49" s="3028"/>
      <c r="BZ49" s="3028"/>
      <c r="CA49" s="3028"/>
      <c r="CB49" s="3028"/>
      <c r="CC49" s="3028"/>
      <c r="CD49" s="2486"/>
      <c r="CE49" s="2486"/>
      <c r="CF49" s="2486"/>
      <c r="CG49" s="2486"/>
      <c r="CH49" s="2486"/>
      <c r="CI49" s="2486"/>
      <c r="CJ49" s="2486"/>
      <c r="CK49" s="2486"/>
      <c r="CL49" s="2486"/>
      <c r="CM49" s="2486"/>
      <c r="CN49" s="2486"/>
      <c r="CO49" s="2486"/>
      <c r="CP49" s="2486"/>
      <c r="CQ49" s="2486"/>
      <c r="CR49" s="2486"/>
      <c r="CS49" s="2486"/>
      <c r="CT49" s="2486"/>
      <c r="CU49" s="2486"/>
      <c r="CV49" s="2486"/>
      <c r="CW49" s="2486"/>
      <c r="CX49" s="2486"/>
      <c r="CY49" s="2486"/>
    </row>
    <row r="50" spans="1:103" ht="21" customHeight="1" x14ac:dyDescent="0.3">
      <c r="A50" s="2516" t="s">
        <v>1405</v>
      </c>
      <c r="B50" s="3013">
        <f>SUM('1.3. sz. mell'!CE57+'1.4. sz. mell'!CD32)</f>
        <v>0</v>
      </c>
      <c r="C50" s="3013">
        <f>SUM('1.3. sz. mell'!CF57+'1.4. sz. mell'!CE32)</f>
        <v>0</v>
      </c>
      <c r="D50" s="3013">
        <f>SUM('1.3. sz. mell'!CG57+'1.4. sz. mell'!CF32)</f>
        <v>1311873610</v>
      </c>
      <c r="E50" s="3013">
        <f>SUM('1.3. sz. mell'!CH57+'1.4. sz. mell'!CG32)</f>
        <v>1866990280</v>
      </c>
      <c r="F50" s="3013">
        <f>SUM('1.3. sz. mell'!CI57+'1.4. sz. mell'!CH32)</f>
        <v>1311873610</v>
      </c>
      <c r="G50" s="3013">
        <f>SUM('1.3. sz. mell'!CJ57+'1.4. sz. mell'!CI32)</f>
        <v>0</v>
      </c>
      <c r="H50" s="3560">
        <f>SUM('1.3. sz. mell'!CK57+'1.4. sz. mell'!CJ32)</f>
        <v>1311873610</v>
      </c>
      <c r="I50" s="4035">
        <f>SUM('1.3. sz. mell'!CL57+'1.4. sz. mell'!CK32)</f>
        <v>1311873610</v>
      </c>
      <c r="J50" s="3047">
        <f>SUM('2. sz. mell'!F37)</f>
        <v>0</v>
      </c>
      <c r="K50" s="4038">
        <f>SUM('2. sz. mell'!G37)</f>
        <v>1311873610</v>
      </c>
      <c r="L50" s="4038">
        <f>SUM('2. sz. mell'!H37)</f>
        <v>1311873610</v>
      </c>
      <c r="M50" s="4038">
        <f>SUM('2. sz. mell'!I37)</f>
        <v>0</v>
      </c>
      <c r="N50" s="4038">
        <f>SUM('2. sz. mell'!J37)</f>
        <v>1311873610</v>
      </c>
      <c r="O50" s="4038">
        <f>SUM('2. sz. mell'!K37)</f>
        <v>0</v>
      </c>
      <c r="P50" s="4039">
        <f>SUM('2. sz. mell'!L37)</f>
        <v>1311873610</v>
      </c>
      <c r="Q50" s="4040">
        <f>SUM('2. sz. mell'!M37)</f>
        <v>1311873610</v>
      </c>
      <c r="R50" s="3254">
        <f t="shared" si="54"/>
        <v>0</v>
      </c>
      <c r="S50" s="4037">
        <f t="shared" si="54"/>
        <v>1311873610</v>
      </c>
      <c r="T50" s="4037">
        <f t="shared" si="54"/>
        <v>0</v>
      </c>
      <c r="U50" s="4037">
        <f t="shared" si="54"/>
        <v>-1866990280</v>
      </c>
      <c r="V50" s="4037">
        <f t="shared" si="54"/>
        <v>0</v>
      </c>
      <c r="W50" s="4037">
        <f t="shared" si="54"/>
        <v>0</v>
      </c>
      <c r="X50" s="3970">
        <f t="shared" si="54"/>
        <v>0</v>
      </c>
      <c r="Y50" s="4042">
        <f t="shared" si="54"/>
        <v>0</v>
      </c>
      <c r="AH50" s="2486"/>
      <c r="AI50" s="2486"/>
      <c r="AJ50" s="2486"/>
      <c r="AK50" s="2486"/>
      <c r="AL50" s="2486"/>
      <c r="AM50" s="2486"/>
      <c r="AN50" s="2486"/>
      <c r="AO50" s="2486"/>
      <c r="AP50" s="2486"/>
      <c r="AQ50" s="2486"/>
      <c r="AR50" s="2486"/>
      <c r="AS50" s="2486"/>
      <c r="AT50" s="2486"/>
      <c r="AU50" s="2486"/>
      <c r="AV50" s="2486"/>
      <c r="AW50" s="2486"/>
      <c r="AX50" s="2486"/>
      <c r="AY50" s="2486"/>
      <c r="AZ50" s="2486"/>
      <c r="BA50" s="2486"/>
      <c r="BB50" s="2486"/>
      <c r="BC50" s="2486"/>
      <c r="BD50" s="2486"/>
      <c r="BE50" s="2486"/>
      <c r="BF50" s="2486"/>
      <c r="BG50" s="2486"/>
      <c r="BH50" s="2486"/>
      <c r="BI50" s="2486"/>
      <c r="BJ50" s="2486"/>
      <c r="BK50" s="2486"/>
      <c r="BL50" s="2486"/>
      <c r="BM50" s="2486"/>
      <c r="BN50" s="2486"/>
      <c r="BO50" s="2486"/>
      <c r="BP50" s="2486"/>
      <c r="BQ50" s="2486"/>
      <c r="BR50" s="2486"/>
      <c r="BS50" s="2486"/>
      <c r="BT50" s="2486"/>
      <c r="BU50" s="2486"/>
      <c r="BV50" s="2486"/>
      <c r="BW50" s="2486"/>
      <c r="BX50" s="3028"/>
      <c r="BY50" s="3028"/>
      <c r="BZ50" s="3028"/>
      <c r="CA50" s="3028"/>
      <c r="CB50" s="3028"/>
      <c r="CC50" s="3028"/>
      <c r="CD50" s="2486"/>
      <c r="CE50" s="2486"/>
      <c r="CF50" s="2486"/>
      <c r="CG50" s="2486"/>
      <c r="CH50" s="2486"/>
      <c r="CI50" s="2486"/>
      <c r="CJ50" s="2486"/>
      <c r="CK50" s="2486"/>
      <c r="CL50" s="2486"/>
      <c r="CM50" s="2486"/>
      <c r="CN50" s="2486"/>
      <c r="CO50" s="2486"/>
      <c r="CP50" s="2486"/>
      <c r="CQ50" s="2486"/>
      <c r="CR50" s="2486"/>
      <c r="CS50" s="2486"/>
      <c r="CT50" s="2486"/>
      <c r="CU50" s="2486"/>
      <c r="CV50" s="2486"/>
      <c r="CW50" s="2486"/>
      <c r="CX50" s="2486"/>
      <c r="CY50" s="2486"/>
    </row>
    <row r="51" spans="1:103" ht="21" customHeight="1" x14ac:dyDescent="0.3">
      <c r="A51" s="2516" t="s">
        <v>1067</v>
      </c>
      <c r="B51" s="3013"/>
      <c r="C51" s="3013"/>
      <c r="D51" s="3013"/>
      <c r="E51" s="3013"/>
      <c r="F51" s="3013"/>
      <c r="G51" s="3013"/>
      <c r="H51" s="3560">
        <f>SUM('1.3. sz. mell'!CS57)</f>
        <v>483080253</v>
      </c>
      <c r="I51" s="4035">
        <f>SUM('1.3. sz. mell'!CT57)</f>
        <v>481332294</v>
      </c>
      <c r="J51" s="3047"/>
      <c r="K51" s="4038"/>
      <c r="L51" s="4038"/>
      <c r="M51" s="4038"/>
      <c r="N51" s="4038"/>
      <c r="O51" s="4038"/>
      <c r="P51" s="4039">
        <f>SUM('2. sz. mell'!L42)</f>
        <v>483080253</v>
      </c>
      <c r="Q51" s="4040">
        <f>SUM('2. sz. mell'!M42)</f>
        <v>481332294</v>
      </c>
      <c r="R51" s="3254">
        <f t="shared" si="54"/>
        <v>0</v>
      </c>
      <c r="S51" s="4037">
        <f t="shared" si="54"/>
        <v>0</v>
      </c>
      <c r="T51" s="4037">
        <f t="shared" si="54"/>
        <v>0</v>
      </c>
      <c r="U51" s="4037">
        <f t="shared" si="54"/>
        <v>0</v>
      </c>
      <c r="V51" s="4037">
        <f t="shared" si="54"/>
        <v>0</v>
      </c>
      <c r="W51" s="4037">
        <f t="shared" si="54"/>
        <v>0</v>
      </c>
      <c r="X51" s="3970">
        <f t="shared" si="54"/>
        <v>0</v>
      </c>
      <c r="Y51" s="4042">
        <f t="shared" si="54"/>
        <v>0</v>
      </c>
      <c r="AH51" s="2486"/>
      <c r="AI51" s="2486"/>
      <c r="AJ51" s="2486"/>
      <c r="AK51" s="2486"/>
      <c r="AL51" s="2486"/>
      <c r="AM51" s="2486"/>
      <c r="AN51" s="2486"/>
      <c r="AO51" s="2486"/>
      <c r="AP51" s="2486"/>
      <c r="AQ51" s="2486"/>
      <c r="AR51" s="2486"/>
      <c r="AS51" s="2486"/>
      <c r="AT51" s="2486"/>
      <c r="AU51" s="2486"/>
      <c r="AV51" s="2486"/>
      <c r="AW51" s="2486"/>
      <c r="AX51" s="2486"/>
      <c r="AY51" s="2486"/>
      <c r="AZ51" s="2486"/>
      <c r="BA51" s="2486"/>
      <c r="BB51" s="2486"/>
      <c r="BC51" s="2486"/>
      <c r="BD51" s="2486"/>
      <c r="BE51" s="2486"/>
      <c r="BF51" s="2486"/>
      <c r="BG51" s="2486"/>
      <c r="BH51" s="2486"/>
      <c r="BI51" s="2486"/>
      <c r="BJ51" s="2486"/>
      <c r="BK51" s="2486"/>
      <c r="BL51" s="2486"/>
      <c r="BM51" s="2486"/>
      <c r="BN51" s="2486"/>
      <c r="BO51" s="2486"/>
      <c r="BP51" s="2486"/>
      <c r="BQ51" s="2486"/>
      <c r="BR51" s="2486"/>
      <c r="BS51" s="2486"/>
      <c r="BT51" s="2486"/>
      <c r="BU51" s="2486"/>
      <c r="BV51" s="2486"/>
      <c r="BW51" s="2486"/>
      <c r="BX51" s="3028"/>
      <c r="BY51" s="3028"/>
      <c r="BZ51" s="3028"/>
      <c r="CA51" s="3028"/>
      <c r="CB51" s="3028"/>
      <c r="CC51" s="3028"/>
      <c r="CD51" s="2486"/>
      <c r="CE51" s="2486"/>
      <c r="CF51" s="2486"/>
      <c r="CG51" s="2486"/>
      <c r="CH51" s="2486"/>
      <c r="CI51" s="2486"/>
      <c r="CJ51" s="2486"/>
      <c r="CK51" s="2486"/>
      <c r="CL51" s="2486"/>
      <c r="CM51" s="2486"/>
      <c r="CN51" s="2486"/>
      <c r="CO51" s="2486"/>
      <c r="CP51" s="2486"/>
      <c r="CQ51" s="2486"/>
      <c r="CR51" s="2486"/>
      <c r="CS51" s="2486"/>
      <c r="CT51" s="2486"/>
      <c r="CU51" s="2486"/>
      <c r="CV51" s="2486"/>
      <c r="CW51" s="2486"/>
      <c r="CX51" s="2486"/>
      <c r="CY51" s="2486"/>
    </row>
    <row r="52" spans="1:103" ht="21" customHeight="1" x14ac:dyDescent="0.3">
      <c r="A52" s="2516"/>
      <c r="B52" s="3013"/>
      <c r="C52" s="3013"/>
      <c r="D52" s="3013"/>
      <c r="E52" s="3013"/>
      <c r="F52" s="3013"/>
      <c r="G52" s="3013"/>
      <c r="H52" s="3560"/>
      <c r="I52" s="4035"/>
      <c r="J52" s="3047"/>
      <c r="K52" s="4038"/>
      <c r="L52" s="4038"/>
      <c r="M52" s="4038"/>
      <c r="N52" s="4038"/>
      <c r="O52" s="4038"/>
      <c r="P52" s="4039"/>
      <c r="Q52" s="4040"/>
      <c r="R52" s="3254">
        <f t="shared" si="54"/>
        <v>0</v>
      </c>
      <c r="S52" s="4037">
        <f t="shared" si="54"/>
        <v>0</v>
      </c>
      <c r="T52" s="4037">
        <f t="shared" si="54"/>
        <v>0</v>
      </c>
      <c r="U52" s="4037">
        <f t="shared" si="54"/>
        <v>0</v>
      </c>
      <c r="V52" s="4037">
        <f t="shared" si="54"/>
        <v>0</v>
      </c>
      <c r="W52" s="4037">
        <f t="shared" si="54"/>
        <v>0</v>
      </c>
      <c r="X52" s="3970">
        <f t="shared" si="54"/>
        <v>0</v>
      </c>
      <c r="Y52" s="4042">
        <f t="shared" si="54"/>
        <v>0</v>
      </c>
      <c r="AH52" s="2486"/>
      <c r="AI52" s="2486"/>
      <c r="AJ52" s="2486"/>
      <c r="AK52" s="2486"/>
      <c r="AL52" s="2486"/>
      <c r="AM52" s="2486"/>
      <c r="AN52" s="2486"/>
      <c r="AO52" s="2486"/>
      <c r="AP52" s="2486"/>
      <c r="AQ52" s="2486"/>
      <c r="AR52" s="2486"/>
      <c r="AS52" s="2486"/>
      <c r="AT52" s="2486"/>
      <c r="AU52" s="2486"/>
      <c r="AV52" s="2486"/>
      <c r="AW52" s="2486"/>
      <c r="AX52" s="2486"/>
      <c r="AY52" s="2486"/>
      <c r="AZ52" s="2486"/>
      <c r="BA52" s="2486"/>
      <c r="BB52" s="2486"/>
      <c r="BC52" s="2486"/>
      <c r="BD52" s="2486"/>
      <c r="BE52" s="2486"/>
      <c r="BF52" s="2486"/>
      <c r="BG52" s="2486"/>
      <c r="BH52" s="2486"/>
      <c r="BI52" s="2486"/>
      <c r="BJ52" s="2486"/>
      <c r="BK52" s="2486"/>
      <c r="BL52" s="2486"/>
      <c r="BM52" s="2486"/>
      <c r="BN52" s="2486"/>
      <c r="BO52" s="2486"/>
      <c r="BP52" s="2486"/>
      <c r="BQ52" s="2486"/>
      <c r="BR52" s="2486"/>
      <c r="BS52" s="2486"/>
      <c r="BT52" s="2486"/>
      <c r="BU52" s="2486"/>
      <c r="BV52" s="2486"/>
      <c r="BW52" s="2486"/>
      <c r="BX52" s="3028"/>
      <c r="BY52" s="3028"/>
      <c r="BZ52" s="3028"/>
      <c r="CA52" s="3028"/>
      <c r="CB52" s="3028"/>
      <c r="CC52" s="3028"/>
      <c r="CD52" s="2486"/>
      <c r="CE52" s="2486"/>
      <c r="CF52" s="2486"/>
      <c r="CG52" s="2486"/>
      <c r="CH52" s="2486"/>
      <c r="CI52" s="2486"/>
      <c r="CJ52" s="2486"/>
      <c r="CK52" s="2486"/>
      <c r="CL52" s="2486"/>
      <c r="CM52" s="2486"/>
      <c r="CN52" s="2486"/>
      <c r="CO52" s="2486"/>
      <c r="CP52" s="2486"/>
      <c r="CQ52" s="2486"/>
      <c r="CR52" s="2486"/>
      <c r="CS52" s="2486"/>
      <c r="CT52" s="2486"/>
      <c r="CU52" s="2486"/>
      <c r="CV52" s="2486"/>
      <c r="CW52" s="2486"/>
      <c r="CX52" s="2486"/>
      <c r="CY52" s="2486"/>
    </row>
    <row r="53" spans="1:103" ht="21" customHeight="1" x14ac:dyDescent="0.3">
      <c r="A53" s="2516" t="s">
        <v>1388</v>
      </c>
      <c r="B53" s="3013">
        <f t="shared" ref="B53:P53" si="55">SUM(B40:B52)</f>
        <v>5651838150</v>
      </c>
      <c r="C53" s="3013">
        <f t="shared" si="55"/>
        <v>2934660798</v>
      </c>
      <c r="D53" s="3013">
        <f t="shared" si="55"/>
        <v>8453868704</v>
      </c>
      <c r="E53" s="3013">
        <f t="shared" si="55"/>
        <v>163831552</v>
      </c>
      <c r="F53" s="3013">
        <f t="shared" si="55"/>
        <v>8212760779</v>
      </c>
      <c r="G53" s="3013">
        <f t="shared" si="55"/>
        <v>253084025</v>
      </c>
      <c r="H53" s="3560">
        <f t="shared" si="55"/>
        <v>8812009390.0100002</v>
      </c>
      <c r="I53" s="4035">
        <f t="shared" ref="I53" si="56">SUM(I40:I52)</f>
        <v>8821569766.0100002</v>
      </c>
      <c r="J53" s="3047">
        <f t="shared" si="55"/>
        <v>5651838150</v>
      </c>
      <c r="K53" s="4038">
        <f t="shared" si="55"/>
        <v>2760246204</v>
      </c>
      <c r="L53" s="4038">
        <f t="shared" si="55"/>
        <v>8412084354</v>
      </c>
      <c r="M53" s="4038">
        <f t="shared" si="55"/>
        <v>-18402889</v>
      </c>
      <c r="N53" s="4038">
        <f t="shared" si="55"/>
        <v>8393681465</v>
      </c>
      <c r="O53" s="4038">
        <f t="shared" si="55"/>
        <v>0</v>
      </c>
      <c r="P53" s="4039">
        <f t="shared" si="55"/>
        <v>8812009390</v>
      </c>
      <c r="Q53" s="4040">
        <f t="shared" ref="Q53" si="57">SUM(Q40:Q52)</f>
        <v>8821569766</v>
      </c>
      <c r="R53" s="3254">
        <f t="shared" si="54"/>
        <v>0</v>
      </c>
      <c r="S53" s="4037">
        <f t="shared" si="54"/>
        <v>-174414594</v>
      </c>
      <c r="T53" s="4037">
        <f t="shared" si="54"/>
        <v>-41784350</v>
      </c>
      <c r="U53" s="4037">
        <f t="shared" si="54"/>
        <v>-182234441</v>
      </c>
      <c r="V53" s="4037">
        <f t="shared" si="54"/>
        <v>180920686</v>
      </c>
      <c r="W53" s="4037">
        <f t="shared" si="54"/>
        <v>-253084025</v>
      </c>
      <c r="X53" s="3970">
        <f t="shared" si="54"/>
        <v>-1.0000228881835938E-2</v>
      </c>
      <c r="Y53" s="4042">
        <f t="shared" si="54"/>
        <v>-1.0000228881835938E-2</v>
      </c>
      <c r="AH53" s="2486"/>
      <c r="AI53" s="2486"/>
      <c r="AJ53" s="2486"/>
      <c r="AK53" s="2486"/>
      <c r="AL53" s="2486"/>
      <c r="AM53" s="2486"/>
      <c r="AN53" s="2486"/>
      <c r="AO53" s="2486"/>
      <c r="AP53" s="2486"/>
      <c r="AQ53" s="2486"/>
      <c r="AR53" s="2486"/>
      <c r="AS53" s="2486"/>
      <c r="AT53" s="2486"/>
      <c r="AU53" s="2486"/>
      <c r="AV53" s="2486"/>
      <c r="AW53" s="2486"/>
      <c r="AX53" s="2486"/>
      <c r="AY53" s="2486"/>
      <c r="AZ53" s="2486"/>
      <c r="BA53" s="2486"/>
      <c r="BB53" s="2486"/>
      <c r="BC53" s="2486"/>
      <c r="BD53" s="2486"/>
      <c r="BE53" s="2486"/>
      <c r="BF53" s="2486"/>
      <c r="BG53" s="2486"/>
      <c r="BH53" s="2486"/>
      <c r="BI53" s="2486"/>
      <c r="BJ53" s="2486"/>
      <c r="BK53" s="2486"/>
      <c r="BL53" s="2486"/>
      <c r="BM53" s="2486"/>
      <c r="BN53" s="2486"/>
      <c r="BO53" s="2486"/>
      <c r="BP53" s="2486"/>
      <c r="BQ53" s="2486"/>
      <c r="BR53" s="2486"/>
      <c r="BS53" s="2486"/>
      <c r="BT53" s="2486"/>
      <c r="BU53" s="2486"/>
      <c r="BV53" s="2486"/>
      <c r="BW53" s="2486"/>
      <c r="BX53" s="3028"/>
      <c r="BY53" s="3028"/>
      <c r="BZ53" s="3028"/>
      <c r="CA53" s="3028"/>
      <c r="CB53" s="3028"/>
      <c r="CC53" s="3028"/>
      <c r="CD53" s="2486"/>
      <c r="CE53" s="2486"/>
      <c r="CF53" s="2486"/>
      <c r="CG53" s="2486"/>
      <c r="CH53" s="2486"/>
      <c r="CI53" s="2486"/>
      <c r="CJ53" s="2486"/>
      <c r="CK53" s="2486"/>
      <c r="CL53" s="2486"/>
      <c r="CM53" s="2486"/>
      <c r="CN53" s="2486"/>
      <c r="CO53" s="2486"/>
      <c r="CP53" s="2486"/>
      <c r="CQ53" s="2486"/>
      <c r="CR53" s="2486"/>
      <c r="CS53" s="2486"/>
      <c r="CT53" s="2486"/>
      <c r="CU53" s="2486"/>
      <c r="CV53" s="2486"/>
      <c r="CW53" s="2486"/>
      <c r="CX53" s="2486"/>
      <c r="CY53" s="2486"/>
    </row>
    <row r="54" spans="1:103" ht="15" customHeight="1" x14ac:dyDescent="0.25">
      <c r="A54" s="2514"/>
      <c r="B54" s="3015"/>
      <c r="D54" s="2514"/>
      <c r="E54" s="2514"/>
      <c r="F54" s="3248"/>
      <c r="G54" s="2514"/>
      <c r="H54" s="3562"/>
      <c r="I54" s="3562"/>
      <c r="J54" s="3049"/>
      <c r="K54" s="3255"/>
      <c r="L54" s="3255"/>
      <c r="M54" s="3255"/>
      <c r="N54" s="3255"/>
      <c r="O54" s="3255"/>
      <c r="P54" s="3971"/>
      <c r="Q54" s="4043"/>
      <c r="R54" s="3049"/>
      <c r="S54" s="3255"/>
      <c r="T54" s="3255"/>
      <c r="U54" s="3255"/>
      <c r="V54" s="3255"/>
      <c r="W54" s="3255"/>
      <c r="X54" s="3971"/>
      <c r="Y54" s="4043"/>
      <c r="AH54" s="2514"/>
      <c r="AI54" s="2514"/>
      <c r="AJ54" s="2514"/>
      <c r="AK54" s="2514"/>
      <c r="AL54" s="2514"/>
      <c r="AM54" s="2514"/>
      <c r="AN54" s="2514"/>
      <c r="AO54" s="2514"/>
      <c r="AP54" s="2514"/>
      <c r="AQ54" s="2514"/>
      <c r="AR54" s="2514"/>
      <c r="AS54" s="2514"/>
      <c r="AT54" s="2514"/>
      <c r="AU54" s="2514"/>
      <c r="AV54" s="2514"/>
      <c r="AW54" s="2514"/>
      <c r="AX54" s="2514"/>
      <c r="AY54" s="2514"/>
      <c r="AZ54" s="2514"/>
      <c r="BA54" s="2514"/>
      <c r="BB54" s="2514"/>
      <c r="BC54" s="2514"/>
      <c r="BD54" s="2514"/>
      <c r="BE54" s="2514"/>
      <c r="BF54" s="2514"/>
      <c r="BG54" s="2514"/>
      <c r="BH54" s="2514"/>
      <c r="BI54" s="2514"/>
      <c r="BJ54" s="2514"/>
      <c r="BK54" s="2514"/>
      <c r="BL54" s="2514"/>
      <c r="BM54" s="2514"/>
      <c r="BN54" s="2514"/>
      <c r="BO54" s="2514"/>
      <c r="BP54" s="2514"/>
      <c r="BQ54" s="2514"/>
      <c r="BR54" s="2514"/>
      <c r="BS54" s="2514"/>
      <c r="BT54" s="2514"/>
      <c r="BU54" s="2514"/>
      <c r="BV54" s="2514"/>
      <c r="BW54" s="2514"/>
      <c r="BX54" s="3030"/>
      <c r="BY54" s="3030"/>
      <c r="BZ54" s="3030"/>
      <c r="CA54" s="3030"/>
      <c r="CB54" s="3030"/>
      <c r="CC54" s="3030"/>
      <c r="CD54" s="2514"/>
      <c r="CE54" s="2514"/>
      <c r="CF54" s="2514"/>
      <c r="CG54" s="2514"/>
      <c r="CH54" s="2514"/>
      <c r="CI54" s="2514"/>
      <c r="CJ54" s="2514"/>
      <c r="CK54" s="2514"/>
      <c r="CL54" s="2514"/>
      <c r="CM54" s="2514"/>
      <c r="CN54" s="2514"/>
      <c r="CO54" s="2514"/>
      <c r="CP54" s="2514"/>
      <c r="CQ54" s="2514"/>
      <c r="CR54" s="2514"/>
      <c r="CS54" s="2514"/>
      <c r="CT54" s="2514"/>
      <c r="CU54" s="2514"/>
      <c r="CV54" s="2514"/>
      <c r="CW54" s="2514"/>
      <c r="CX54" s="2514"/>
      <c r="CY54" s="2514"/>
    </row>
    <row r="55" spans="1:103" s="3011" customFormat="1" ht="15" customHeight="1" x14ac:dyDescent="0.3">
      <c r="A55" s="3564" t="s">
        <v>1423</v>
      </c>
      <c r="B55" s="3016"/>
      <c r="C55" s="3009"/>
      <c r="D55" s="3009"/>
      <c r="E55" s="3009"/>
      <c r="F55" s="3249"/>
      <c r="G55" s="3009"/>
      <c r="H55" s="3563"/>
      <c r="I55" s="3563"/>
      <c r="J55" s="3250">
        <f>SUM('2. sz. mell'!F48)</f>
        <v>5651838150</v>
      </c>
      <c r="K55" s="4044">
        <f>SUM('2. sz. mell'!G48)</f>
        <v>2970270771</v>
      </c>
      <c r="L55" s="4044">
        <f>SUM('2. sz. mell'!H48)</f>
        <v>8622108921</v>
      </c>
      <c r="M55" s="4044">
        <f>SUM('2. sz. mell'!I48)</f>
        <v>188152510</v>
      </c>
      <c r="N55" s="4044">
        <f>SUM('2. sz. mell'!J48)</f>
        <v>8810261431</v>
      </c>
      <c r="O55" s="4044">
        <f>SUM('2. sz. mell'!K48)</f>
        <v>1747959</v>
      </c>
      <c r="P55" s="3970">
        <f>SUM('2. sz. mell'!L48)</f>
        <v>8812009390</v>
      </c>
      <c r="Q55" s="4042">
        <f>SUM('2. sz. mell'!M48)</f>
        <v>8821569766</v>
      </c>
      <c r="R55" s="4050">
        <f>SUM(J55-J53)</f>
        <v>0</v>
      </c>
      <c r="S55" s="2397">
        <f t="shared" ref="S55:W55" si="58">SUM(K55-K53)</f>
        <v>210024567</v>
      </c>
      <c r="T55" s="2397">
        <f t="shared" si="58"/>
        <v>210024567</v>
      </c>
      <c r="U55" s="2397">
        <f t="shared" si="58"/>
        <v>206555399</v>
      </c>
      <c r="V55" s="2397">
        <f t="shared" si="58"/>
        <v>416579966</v>
      </c>
      <c r="W55" s="2397">
        <f t="shared" si="58"/>
        <v>1747959</v>
      </c>
      <c r="X55" s="3970">
        <f>SUM(P55-P53)</f>
        <v>0</v>
      </c>
      <c r="Y55" s="4042">
        <f>SUM(Q55-Q53)</f>
        <v>0</v>
      </c>
      <c r="AH55" s="3010"/>
      <c r="AI55" s="3010"/>
      <c r="AJ55" s="3010"/>
      <c r="AK55" s="3010"/>
      <c r="AL55" s="3010"/>
      <c r="AM55" s="3010"/>
      <c r="AN55" s="3010"/>
      <c r="AO55" s="3010"/>
      <c r="AP55" s="3010"/>
      <c r="AQ55" s="3010"/>
      <c r="AR55" s="3010"/>
      <c r="AS55" s="3010"/>
      <c r="AT55" s="3010"/>
      <c r="AU55" s="3010"/>
      <c r="AV55" s="3010"/>
      <c r="AW55" s="3010"/>
      <c r="AX55" s="3010"/>
      <c r="AY55" s="3010"/>
      <c r="AZ55" s="3010"/>
      <c r="BA55" s="3010"/>
      <c r="BB55" s="3010"/>
      <c r="BC55" s="3010"/>
      <c r="BD55" s="3010"/>
      <c r="BE55" s="3010"/>
      <c r="BF55" s="3010"/>
      <c r="BG55" s="3010"/>
      <c r="BH55" s="3010"/>
      <c r="BI55" s="3010"/>
      <c r="BJ55" s="3010"/>
      <c r="BK55" s="3010"/>
      <c r="BL55" s="3010"/>
      <c r="BM55" s="3010"/>
      <c r="BN55" s="3010"/>
      <c r="BO55" s="3010"/>
      <c r="BP55" s="3010"/>
      <c r="BQ55" s="3010"/>
      <c r="BR55" s="3010"/>
      <c r="BS55" s="3010"/>
      <c r="BT55" s="3010"/>
      <c r="BU55" s="3010"/>
      <c r="BV55" s="3010"/>
      <c r="BW55" s="3010"/>
      <c r="BX55" s="3031"/>
      <c r="BY55" s="3031"/>
      <c r="BZ55" s="3031"/>
      <c r="CA55" s="3031"/>
      <c r="CB55" s="3031"/>
      <c r="CC55" s="3031"/>
      <c r="CD55" s="3010"/>
      <c r="CE55" s="3010"/>
      <c r="CF55" s="3010"/>
      <c r="CG55" s="3010"/>
      <c r="CH55" s="3010"/>
      <c r="CI55" s="3010"/>
      <c r="CJ55" s="3010"/>
      <c r="CK55" s="3010"/>
      <c r="CL55" s="3010"/>
      <c r="CM55" s="3010"/>
      <c r="CN55" s="3010"/>
      <c r="CO55" s="3010"/>
      <c r="CP55" s="3010"/>
      <c r="CQ55" s="3010"/>
      <c r="CR55" s="3010"/>
      <c r="CS55" s="3010"/>
      <c r="CT55" s="3010"/>
      <c r="CU55" s="3010"/>
      <c r="CV55" s="3010"/>
      <c r="CW55" s="3010"/>
      <c r="CX55" s="3010"/>
      <c r="CY55" s="3010"/>
    </row>
    <row r="56" spans="1:103" ht="15" customHeight="1" x14ac:dyDescent="0.25">
      <c r="A56" s="2515"/>
      <c r="B56" s="2515"/>
      <c r="C56" s="2515"/>
      <c r="D56" s="2515"/>
      <c r="E56" s="2515"/>
      <c r="F56" s="2515"/>
      <c r="G56" s="2515"/>
      <c r="H56" s="3563"/>
      <c r="I56" s="3563"/>
      <c r="J56" s="4045"/>
      <c r="K56" s="4046"/>
      <c r="L56" s="4045"/>
      <c r="M56" s="4045"/>
      <c r="N56" s="4047"/>
      <c r="O56" s="4045"/>
      <c r="P56" s="4048"/>
      <c r="Q56" s="4049"/>
      <c r="R56" s="3049"/>
      <c r="S56" s="2472"/>
      <c r="T56" s="2472"/>
      <c r="U56" s="2472"/>
      <c r="V56" s="2397"/>
      <c r="W56" s="2472"/>
      <c r="X56" s="2472"/>
      <c r="Y56" s="4051"/>
      <c r="AA56" s="2514"/>
      <c r="AB56" s="2514"/>
      <c r="AC56" s="2514"/>
      <c r="AD56" s="2514"/>
      <c r="AE56" s="2514"/>
      <c r="AF56" s="2514"/>
      <c r="AG56" s="2514"/>
      <c r="AH56" s="2514"/>
      <c r="AI56" s="2514"/>
      <c r="AJ56" s="2514"/>
      <c r="AK56" s="2514"/>
      <c r="AL56" s="2514"/>
      <c r="AM56" s="2514"/>
      <c r="AN56" s="2514"/>
      <c r="AO56" s="2514"/>
      <c r="AP56" s="2514"/>
      <c r="AQ56" s="2514"/>
      <c r="AR56" s="2514"/>
      <c r="AS56" s="2514"/>
      <c r="AT56" s="2514"/>
      <c r="AU56" s="2514"/>
      <c r="AV56" s="2514"/>
      <c r="AW56" s="2514"/>
      <c r="AX56" s="2514"/>
      <c r="AY56" s="2514"/>
      <c r="AZ56" s="2514"/>
      <c r="BA56" s="2514"/>
      <c r="BB56" s="2514"/>
      <c r="BC56" s="2514"/>
      <c r="BD56" s="2514"/>
      <c r="BE56" s="2514"/>
      <c r="BF56" s="2514"/>
      <c r="BG56" s="2514"/>
      <c r="BH56" s="2514"/>
      <c r="BI56" s="2514"/>
      <c r="BJ56" s="2514"/>
      <c r="BK56" s="2514"/>
      <c r="BL56" s="2514"/>
      <c r="BM56" s="2514"/>
      <c r="BN56" s="2514"/>
      <c r="BO56" s="2514"/>
      <c r="BP56" s="2514"/>
      <c r="BQ56" s="2514"/>
      <c r="BR56" s="2514"/>
      <c r="BS56" s="2514"/>
      <c r="BT56" s="2514"/>
      <c r="BU56" s="2514"/>
      <c r="BV56" s="2514"/>
      <c r="BW56" s="2514"/>
      <c r="BX56" s="3030"/>
      <c r="BY56" s="3030"/>
      <c r="BZ56" s="3030"/>
      <c r="CA56" s="3030"/>
      <c r="CB56" s="3030"/>
      <c r="CC56" s="3030"/>
      <c r="CD56" s="2514"/>
      <c r="CE56" s="2514"/>
      <c r="CF56" s="2514"/>
      <c r="CG56" s="2514"/>
      <c r="CH56" s="2514"/>
      <c r="CI56" s="2514"/>
      <c r="CJ56" s="2514"/>
      <c r="CK56" s="2514"/>
      <c r="CL56" s="2514"/>
      <c r="CM56" s="2514"/>
      <c r="CN56" s="2514"/>
      <c r="CO56" s="2514"/>
      <c r="CP56" s="2514"/>
      <c r="CQ56" s="2514"/>
      <c r="CR56" s="2514"/>
      <c r="CS56" s="2514"/>
      <c r="CT56" s="2514"/>
      <c r="CU56" s="2514"/>
      <c r="CV56" s="2514"/>
      <c r="CW56" s="2514"/>
      <c r="CX56" s="2514"/>
      <c r="CY56" s="2514"/>
    </row>
    <row r="57" spans="1:103" ht="15" customHeight="1" x14ac:dyDescent="0.25">
      <c r="A57" s="2514"/>
      <c r="B57" s="2514"/>
      <c r="C57" s="2514"/>
      <c r="D57" s="2514"/>
      <c r="E57" s="2514"/>
      <c r="F57" s="2514"/>
      <c r="G57" s="2514"/>
      <c r="H57" s="3562"/>
      <c r="I57" s="3562"/>
      <c r="J57" s="2514"/>
      <c r="K57" s="2514"/>
      <c r="L57" s="2514"/>
      <c r="M57" s="2514"/>
      <c r="N57" s="2514"/>
      <c r="O57" s="2514"/>
      <c r="P57" s="2514"/>
      <c r="Q57" s="2514"/>
      <c r="R57" s="3049"/>
      <c r="S57" s="3255"/>
      <c r="T57" s="3255"/>
      <c r="U57" s="3255"/>
      <c r="V57" s="3255"/>
      <c r="W57" s="3255"/>
      <c r="X57" s="3255"/>
      <c r="Y57" s="4052"/>
      <c r="Z57" s="2514"/>
      <c r="AA57" s="2514"/>
      <c r="AB57" s="2514"/>
      <c r="AC57" s="2514"/>
      <c r="AD57" s="2514"/>
      <c r="AE57" s="2514"/>
      <c r="AF57" s="2514"/>
      <c r="AG57" s="2514"/>
      <c r="AH57" s="2514"/>
      <c r="AI57" s="2514"/>
      <c r="AJ57" s="2514"/>
      <c r="AK57" s="2514"/>
      <c r="AL57" s="2514"/>
      <c r="AM57" s="2514"/>
      <c r="AN57" s="2514"/>
      <c r="AO57" s="2514"/>
      <c r="AP57" s="2514"/>
      <c r="AQ57" s="2514"/>
      <c r="AR57" s="2514"/>
      <c r="AS57" s="2514"/>
      <c r="AT57" s="2514"/>
      <c r="AU57" s="2514"/>
      <c r="AV57" s="2514"/>
      <c r="AW57" s="2514"/>
      <c r="AX57" s="2514"/>
      <c r="AY57" s="2514"/>
      <c r="AZ57" s="2514"/>
      <c r="BA57" s="2514"/>
      <c r="BB57" s="2514"/>
      <c r="BC57" s="2514"/>
      <c r="BD57" s="2514"/>
      <c r="BE57" s="2514"/>
      <c r="BF57" s="2514"/>
      <c r="BG57" s="2514"/>
      <c r="BH57" s="2514"/>
      <c r="BI57" s="2514"/>
      <c r="BJ57" s="2514"/>
      <c r="BK57" s="2514"/>
      <c r="BL57" s="2514"/>
      <c r="BM57" s="2514"/>
      <c r="BN57" s="2514"/>
      <c r="BO57" s="2514"/>
      <c r="BP57" s="2514"/>
      <c r="BQ57" s="2514"/>
      <c r="BR57" s="2514"/>
      <c r="BS57" s="2514"/>
      <c r="BT57" s="2514"/>
      <c r="BU57" s="2514"/>
      <c r="BV57" s="2514"/>
      <c r="BW57" s="2514"/>
      <c r="BX57" s="3030"/>
      <c r="BY57" s="3030"/>
      <c r="BZ57" s="3030"/>
      <c r="CA57" s="3030"/>
      <c r="CB57" s="3030"/>
      <c r="CC57" s="3030"/>
      <c r="CD57" s="2514"/>
      <c r="CE57" s="2514"/>
      <c r="CF57" s="2514"/>
      <c r="CG57" s="2514"/>
      <c r="CH57" s="2514"/>
      <c r="CI57" s="2514"/>
      <c r="CJ57" s="2514"/>
      <c r="CK57" s="2514"/>
      <c r="CL57" s="2514"/>
      <c r="CM57" s="2514"/>
      <c r="CN57" s="2514"/>
      <c r="CO57" s="2514"/>
      <c r="CP57" s="2514"/>
      <c r="CQ57" s="2514"/>
      <c r="CR57" s="2514"/>
      <c r="CS57" s="2514"/>
      <c r="CT57" s="2514"/>
      <c r="CU57" s="2514"/>
      <c r="CV57" s="2514"/>
      <c r="CW57" s="2514"/>
      <c r="CX57" s="2514"/>
      <c r="CY57" s="2514"/>
    </row>
    <row r="58" spans="1:103" ht="15" customHeight="1" x14ac:dyDescent="0.25">
      <c r="A58" s="2514"/>
      <c r="B58" s="2514"/>
      <c r="C58" s="2514"/>
      <c r="D58" s="2514"/>
      <c r="E58" s="2514"/>
      <c r="F58" s="2514"/>
      <c r="G58" s="2514"/>
      <c r="H58" s="3562"/>
      <c r="I58" s="3562"/>
      <c r="J58" s="2514"/>
      <c r="K58" s="2514"/>
      <c r="L58" s="2514"/>
      <c r="M58" s="2514"/>
      <c r="N58" s="2514"/>
      <c r="O58" s="2514"/>
      <c r="P58" s="2514"/>
      <c r="Q58" s="2514"/>
      <c r="R58" s="2514"/>
      <c r="S58" s="2514"/>
      <c r="T58" s="2514"/>
      <c r="U58" s="2514"/>
      <c r="V58" s="2514"/>
      <c r="W58" s="2514"/>
      <c r="X58" s="2514"/>
      <c r="Y58" s="2514"/>
      <c r="Z58" s="2514"/>
      <c r="AA58" s="2514"/>
      <c r="AB58" s="2514"/>
      <c r="AC58" s="2514"/>
      <c r="AD58" s="2514"/>
      <c r="AE58" s="2514"/>
      <c r="AF58" s="2514"/>
      <c r="AG58" s="2514"/>
      <c r="AH58" s="2514"/>
      <c r="AI58" s="2514"/>
      <c r="AJ58" s="2514"/>
      <c r="AK58" s="2514"/>
      <c r="AL58" s="2514"/>
      <c r="AM58" s="2514"/>
      <c r="AN58" s="2514"/>
      <c r="AO58" s="2514"/>
      <c r="AP58" s="2514"/>
      <c r="AQ58" s="2514"/>
      <c r="AR58" s="2514"/>
      <c r="AS58" s="2514"/>
      <c r="AT58" s="2514"/>
      <c r="AU58" s="2514"/>
      <c r="AV58" s="2514"/>
      <c r="AW58" s="2514"/>
      <c r="AX58" s="2514"/>
      <c r="AY58" s="2514"/>
      <c r="AZ58" s="2514"/>
      <c r="BA58" s="2514"/>
      <c r="BB58" s="2514"/>
      <c r="BC58" s="2514"/>
      <c r="BD58" s="2514"/>
      <c r="BE58" s="2514"/>
      <c r="BF58" s="2514"/>
      <c r="BG58" s="2514"/>
      <c r="BH58" s="2514"/>
      <c r="BI58" s="2514"/>
      <c r="BJ58" s="2514"/>
      <c r="BK58" s="2514"/>
      <c r="BL58" s="2514"/>
      <c r="BM58" s="2514"/>
      <c r="BN58" s="2514"/>
      <c r="BO58" s="2514"/>
      <c r="BP58" s="2514"/>
      <c r="BQ58" s="2514"/>
      <c r="BR58" s="2514"/>
      <c r="BS58" s="2514"/>
      <c r="BT58" s="2514"/>
      <c r="BU58" s="2514"/>
      <c r="BV58" s="2514"/>
      <c r="BW58" s="2514"/>
      <c r="BX58" s="3030"/>
      <c r="BY58" s="3030"/>
      <c r="BZ58" s="3030"/>
      <c r="CA58" s="3030"/>
      <c r="CB58" s="3030"/>
      <c r="CC58" s="3030"/>
      <c r="CD58" s="2514"/>
      <c r="CE58" s="2514"/>
      <c r="CF58" s="2514"/>
      <c r="CG58" s="2514"/>
      <c r="CH58" s="2514"/>
      <c r="CI58" s="2514"/>
      <c r="CJ58" s="2514"/>
      <c r="CK58" s="2514"/>
      <c r="CL58" s="2514"/>
      <c r="CM58" s="2514"/>
      <c r="CN58" s="2514"/>
      <c r="CO58" s="2514"/>
      <c r="CP58" s="2514"/>
      <c r="CQ58" s="2514"/>
      <c r="CR58" s="2514"/>
      <c r="CS58" s="2514"/>
      <c r="CT58" s="2514"/>
      <c r="CU58" s="2514"/>
      <c r="CV58" s="2514"/>
      <c r="CW58" s="2514"/>
      <c r="CX58" s="2514"/>
      <c r="CY58" s="2514"/>
    </row>
    <row r="59" spans="1:103" ht="15" customHeight="1" x14ac:dyDescent="0.25">
      <c r="A59" s="2514"/>
      <c r="B59" s="2514"/>
      <c r="C59" s="2514"/>
      <c r="D59" s="2514"/>
      <c r="E59" s="2514"/>
      <c r="F59" s="2514"/>
      <c r="G59" s="2514"/>
      <c r="H59" s="3562"/>
      <c r="I59" s="3562"/>
      <c r="J59" s="2514"/>
      <c r="K59" s="2514"/>
      <c r="L59" s="2514"/>
      <c r="M59" s="2514"/>
      <c r="N59" s="2514"/>
      <c r="O59" s="2514"/>
      <c r="P59" s="2514"/>
      <c r="Q59" s="2514"/>
      <c r="R59" s="2514"/>
      <c r="S59" s="2514"/>
      <c r="T59" s="2514"/>
      <c r="U59" s="2514"/>
      <c r="V59" s="2514"/>
      <c r="W59" s="2514"/>
      <c r="X59" s="2514"/>
      <c r="Y59" s="2514"/>
      <c r="Z59" s="2514"/>
      <c r="AA59" s="2514"/>
      <c r="AB59" s="2514"/>
      <c r="AC59" s="2514"/>
      <c r="AD59" s="2514"/>
      <c r="AE59" s="2514"/>
      <c r="AF59" s="2514"/>
      <c r="AG59" s="2514"/>
      <c r="AH59" s="2514"/>
      <c r="AI59" s="2514"/>
      <c r="AJ59" s="2514"/>
      <c r="AK59" s="2514"/>
      <c r="AL59" s="2514"/>
      <c r="AM59" s="2514"/>
      <c r="AN59" s="2514"/>
      <c r="AO59" s="2514"/>
      <c r="AP59" s="2514"/>
      <c r="AQ59" s="2514"/>
      <c r="AR59" s="2514"/>
      <c r="AS59" s="2514"/>
      <c r="AT59" s="2514"/>
      <c r="AU59" s="2514"/>
      <c r="AV59" s="2514"/>
      <c r="AW59" s="2514"/>
      <c r="AX59" s="2514"/>
      <c r="AY59" s="2514"/>
      <c r="AZ59" s="2514"/>
      <c r="BA59" s="2514"/>
      <c r="BB59" s="2514"/>
      <c r="BC59" s="2514"/>
      <c r="BD59" s="2514"/>
      <c r="BE59" s="2514"/>
      <c r="BF59" s="2514"/>
      <c r="BG59" s="2514"/>
      <c r="BH59" s="2514"/>
      <c r="BI59" s="2514"/>
      <c r="BJ59" s="2514"/>
      <c r="BK59" s="2514"/>
      <c r="BL59" s="2514"/>
      <c r="BM59" s="2514"/>
      <c r="BN59" s="2514"/>
      <c r="BO59" s="2514"/>
      <c r="BP59" s="2514"/>
      <c r="BQ59" s="2514"/>
      <c r="BR59" s="2514"/>
      <c r="BS59" s="2514"/>
      <c r="BT59" s="2514"/>
      <c r="BU59" s="2514"/>
      <c r="BV59" s="2514"/>
      <c r="BW59" s="2514"/>
      <c r="BX59" s="3030"/>
      <c r="BY59" s="3030"/>
      <c r="BZ59" s="3030"/>
      <c r="CA59" s="3030"/>
      <c r="CB59" s="3030"/>
      <c r="CC59" s="3030"/>
      <c r="CD59" s="2514"/>
      <c r="CE59" s="2514"/>
      <c r="CF59" s="2514"/>
      <c r="CG59" s="2514"/>
      <c r="CH59" s="2514"/>
      <c r="CI59" s="2514"/>
      <c r="CJ59" s="2514"/>
      <c r="CK59" s="2514"/>
      <c r="CL59" s="2514"/>
      <c r="CM59" s="2514"/>
      <c r="CN59" s="2514"/>
      <c r="CO59" s="2514"/>
      <c r="CP59" s="2514"/>
      <c r="CQ59" s="2514"/>
      <c r="CR59" s="2514"/>
      <c r="CS59" s="2514"/>
      <c r="CT59" s="2514"/>
      <c r="CU59" s="2514"/>
      <c r="CV59" s="2514"/>
      <c r="CW59" s="2514"/>
      <c r="CX59" s="2514"/>
      <c r="CY59" s="2514"/>
    </row>
    <row r="60" spans="1:103" ht="15" customHeight="1" x14ac:dyDescent="0.25">
      <c r="A60" s="2514"/>
      <c r="B60" s="2514"/>
      <c r="C60" s="2514"/>
      <c r="D60" s="2514"/>
      <c r="E60" s="2514"/>
      <c r="F60" s="2514"/>
      <c r="G60" s="2514"/>
      <c r="H60" s="2514"/>
      <c r="I60" s="2514"/>
      <c r="J60" s="2514"/>
      <c r="K60" s="2514"/>
      <c r="L60" s="2514"/>
      <c r="M60" s="2514"/>
      <c r="N60" s="2514"/>
      <c r="O60" s="2514"/>
      <c r="P60" s="2514"/>
      <c r="Q60" s="2514"/>
      <c r="R60" s="2514"/>
      <c r="S60" s="2514"/>
      <c r="T60" s="2514"/>
      <c r="U60" s="2514"/>
      <c r="V60" s="2514"/>
      <c r="W60" s="2514"/>
      <c r="X60" s="2514"/>
      <c r="Y60" s="2514"/>
      <c r="Z60" s="2514"/>
      <c r="AA60" s="2514"/>
      <c r="AB60" s="2514"/>
      <c r="AC60" s="2514"/>
      <c r="AD60" s="2514"/>
      <c r="AE60" s="2514"/>
      <c r="AF60" s="2514"/>
      <c r="AG60" s="2514"/>
      <c r="AH60" s="2514"/>
      <c r="AI60" s="2514"/>
      <c r="AJ60" s="2514"/>
      <c r="AK60" s="2514"/>
      <c r="AL60" s="2514"/>
      <c r="AM60" s="2514"/>
      <c r="AN60" s="2514"/>
      <c r="AO60" s="2514"/>
      <c r="AP60" s="2514"/>
      <c r="AQ60" s="2514"/>
      <c r="AR60" s="2514"/>
      <c r="AS60" s="2514"/>
      <c r="AT60" s="2514"/>
      <c r="AU60" s="2514"/>
      <c r="AV60" s="2514"/>
      <c r="AW60" s="2514"/>
      <c r="AX60" s="2514"/>
      <c r="AY60" s="2514"/>
      <c r="AZ60" s="2514"/>
      <c r="BA60" s="2514"/>
      <c r="BB60" s="2514"/>
      <c r="BC60" s="2514"/>
      <c r="BD60" s="2514"/>
      <c r="BE60" s="2514"/>
      <c r="BF60" s="2514"/>
      <c r="BG60" s="2514"/>
      <c r="BH60" s="2514"/>
      <c r="BI60" s="2514"/>
      <c r="BJ60" s="2514"/>
      <c r="BK60" s="2514"/>
      <c r="BL60" s="2514"/>
      <c r="BM60" s="2514"/>
      <c r="BN60" s="2514"/>
      <c r="BO60" s="2514"/>
      <c r="BP60" s="2514"/>
      <c r="BQ60" s="2514"/>
      <c r="BR60" s="2514"/>
      <c r="BS60" s="2514"/>
      <c r="BT60" s="2514"/>
      <c r="BU60" s="2514"/>
      <c r="BV60" s="2514"/>
      <c r="BW60" s="2514"/>
      <c r="BX60" s="3030"/>
      <c r="BY60" s="3030"/>
      <c r="BZ60" s="3030"/>
      <c r="CA60" s="3030"/>
      <c r="CB60" s="3030"/>
      <c r="CC60" s="3030"/>
      <c r="CD60" s="2514"/>
      <c r="CE60" s="2514"/>
      <c r="CF60" s="2514"/>
      <c r="CG60" s="2514"/>
      <c r="CH60" s="2514"/>
      <c r="CI60" s="2514"/>
      <c r="CJ60" s="2514"/>
      <c r="CK60" s="2514"/>
      <c r="CL60" s="2514"/>
      <c r="CM60" s="2514"/>
      <c r="CN60" s="2514"/>
      <c r="CO60" s="2514"/>
      <c r="CP60" s="2514"/>
      <c r="CQ60" s="2514"/>
      <c r="CR60" s="2514"/>
      <c r="CS60" s="2514"/>
      <c r="CT60" s="2514"/>
      <c r="CU60" s="2514"/>
      <c r="CV60" s="2514"/>
      <c r="CW60" s="2514"/>
      <c r="CX60" s="2514"/>
      <c r="CY60" s="2514"/>
    </row>
    <row r="61" spans="1:103" ht="15" customHeight="1" x14ac:dyDescent="0.25">
      <c r="A61" s="2514"/>
      <c r="B61" s="2514"/>
      <c r="C61" s="2514"/>
      <c r="D61" s="2514"/>
      <c r="E61" s="2514"/>
      <c r="F61" s="2514"/>
      <c r="G61" s="2514"/>
      <c r="H61" s="2514"/>
      <c r="I61" s="2514"/>
      <c r="J61" s="2514"/>
      <c r="K61" s="2514"/>
      <c r="L61" s="2514"/>
      <c r="M61" s="2514"/>
      <c r="N61" s="2514"/>
      <c r="O61" s="2514"/>
      <c r="P61" s="2514"/>
      <c r="Q61" s="2514"/>
      <c r="R61" s="2514"/>
      <c r="S61" s="2514"/>
      <c r="T61" s="2514"/>
      <c r="U61" s="2514"/>
      <c r="V61" s="2514"/>
      <c r="W61" s="2514"/>
      <c r="X61" s="2514"/>
      <c r="Y61" s="2514"/>
      <c r="Z61" s="2514"/>
      <c r="AA61" s="2514"/>
      <c r="AB61" s="2514"/>
      <c r="AC61" s="2514"/>
      <c r="AD61" s="2514"/>
      <c r="AE61" s="2514"/>
      <c r="AF61" s="2514"/>
      <c r="AG61" s="2514"/>
      <c r="AH61" s="2514"/>
      <c r="AI61" s="2514"/>
      <c r="AJ61" s="2514"/>
      <c r="AK61" s="2514"/>
      <c r="AL61" s="2514"/>
      <c r="AM61" s="2514"/>
      <c r="AN61" s="2514"/>
      <c r="AO61" s="2514"/>
      <c r="AP61" s="2514"/>
      <c r="AQ61" s="2514"/>
      <c r="AR61" s="2514"/>
      <c r="AS61" s="2514"/>
      <c r="AT61" s="2514"/>
      <c r="AU61" s="2514"/>
      <c r="AV61" s="2514"/>
      <c r="AW61" s="2514"/>
      <c r="AX61" s="2514"/>
      <c r="AY61" s="2514"/>
      <c r="AZ61" s="2514"/>
      <c r="BA61" s="2514"/>
      <c r="BB61" s="2514"/>
      <c r="BC61" s="2514"/>
      <c r="BD61" s="2514"/>
      <c r="BE61" s="2514"/>
      <c r="BF61" s="2514"/>
      <c r="BG61" s="2514"/>
      <c r="BH61" s="2514"/>
      <c r="BI61" s="2514"/>
      <c r="BJ61" s="2514"/>
      <c r="BK61" s="2514"/>
      <c r="BL61" s="2514"/>
      <c r="BM61" s="2514"/>
      <c r="BN61" s="2514"/>
      <c r="BO61" s="2514"/>
      <c r="BP61" s="2514"/>
      <c r="BQ61" s="2514"/>
      <c r="BR61" s="2514"/>
      <c r="BS61" s="2514"/>
      <c r="BT61" s="2514"/>
      <c r="BU61" s="2514"/>
      <c r="BV61" s="2514"/>
      <c r="BW61" s="2514"/>
      <c r="BX61" s="3030"/>
      <c r="BY61" s="3030"/>
      <c r="BZ61" s="3030"/>
      <c r="CA61" s="3030"/>
      <c r="CB61" s="3030"/>
      <c r="CC61" s="3030"/>
      <c r="CD61" s="2514"/>
      <c r="CE61" s="2514"/>
      <c r="CF61" s="2514"/>
      <c r="CG61" s="2514"/>
      <c r="CH61" s="2514"/>
      <c r="CI61" s="2514"/>
      <c r="CJ61" s="2514"/>
      <c r="CK61" s="2514"/>
      <c r="CL61" s="2514"/>
      <c r="CM61" s="2514"/>
      <c r="CN61" s="2514"/>
      <c r="CO61" s="2514"/>
      <c r="CP61" s="2514"/>
      <c r="CQ61" s="2514"/>
      <c r="CR61" s="2514"/>
      <c r="CS61" s="2514"/>
      <c r="CT61" s="2514"/>
      <c r="CU61" s="2514"/>
      <c r="CV61" s="2514"/>
      <c r="CW61" s="2514"/>
      <c r="CX61" s="2514"/>
      <c r="CY61" s="2514"/>
    </row>
    <row r="62" spans="1:103" ht="15" customHeight="1" x14ac:dyDescent="0.25">
      <c r="A62" s="2514"/>
      <c r="B62" s="2514"/>
      <c r="C62" s="2514"/>
      <c r="D62" s="2514"/>
      <c r="E62" s="2514"/>
      <c r="F62" s="2514"/>
      <c r="G62" s="2514"/>
      <c r="H62" s="2514"/>
      <c r="I62" s="2514"/>
      <c r="J62" s="2514"/>
      <c r="K62" s="2514"/>
      <c r="L62" s="2514"/>
      <c r="M62" s="2514"/>
      <c r="N62" s="2514"/>
      <c r="O62" s="2514"/>
      <c r="P62" s="2514"/>
      <c r="Q62" s="2514"/>
      <c r="R62" s="2514"/>
      <c r="S62" s="2514"/>
      <c r="T62" s="2514"/>
      <c r="U62" s="2514"/>
      <c r="V62" s="2514"/>
      <c r="W62" s="2514"/>
      <c r="X62" s="2514"/>
      <c r="Y62" s="2514"/>
      <c r="Z62" s="2514"/>
      <c r="AA62" s="2514"/>
      <c r="AB62" s="2514"/>
      <c r="AC62" s="2514"/>
      <c r="AD62" s="2514"/>
      <c r="AE62" s="2514"/>
      <c r="AF62" s="2514"/>
      <c r="AG62" s="2514"/>
      <c r="AH62" s="2514"/>
      <c r="AI62" s="2514"/>
      <c r="AJ62" s="2514"/>
      <c r="AK62" s="2514"/>
      <c r="AL62" s="2514"/>
      <c r="AM62" s="2514"/>
      <c r="AN62" s="2514"/>
      <c r="AO62" s="2514"/>
      <c r="AP62" s="2514"/>
      <c r="AQ62" s="2514"/>
      <c r="AR62" s="2514"/>
      <c r="AS62" s="2514"/>
      <c r="AT62" s="2514"/>
      <c r="AU62" s="2514"/>
      <c r="AV62" s="2514"/>
      <c r="AW62" s="2514"/>
      <c r="AX62" s="2514"/>
      <c r="AY62" s="2514"/>
      <c r="AZ62" s="2514"/>
      <c r="BA62" s="2514"/>
      <c r="BB62" s="2514"/>
      <c r="BC62" s="2514"/>
      <c r="BD62" s="2514"/>
      <c r="BE62" s="2514"/>
      <c r="BF62" s="2514"/>
      <c r="BG62" s="2514"/>
      <c r="BH62" s="2514"/>
      <c r="BI62" s="2514"/>
      <c r="BJ62" s="2514"/>
      <c r="BK62" s="2514"/>
      <c r="BL62" s="2514"/>
      <c r="BM62" s="2514"/>
      <c r="BN62" s="2514"/>
      <c r="BO62" s="2514"/>
      <c r="BP62" s="2514"/>
      <c r="BQ62" s="2514"/>
      <c r="BR62" s="2514"/>
      <c r="BS62" s="2514"/>
      <c r="BT62" s="2514"/>
      <c r="BU62" s="2514"/>
      <c r="BV62" s="2514"/>
      <c r="BW62" s="2514"/>
      <c r="BX62" s="3030"/>
      <c r="BY62" s="3030"/>
      <c r="BZ62" s="3030"/>
      <c r="CA62" s="3030"/>
      <c r="CB62" s="3030"/>
      <c r="CC62" s="3030"/>
      <c r="CD62" s="2514"/>
      <c r="CE62" s="2514"/>
      <c r="CF62" s="2514"/>
      <c r="CG62" s="2514"/>
      <c r="CH62" s="2514"/>
      <c r="CI62" s="2514"/>
      <c r="CJ62" s="2514"/>
      <c r="CK62" s="2514"/>
      <c r="CL62" s="2514"/>
      <c r="CM62" s="2514"/>
      <c r="CN62" s="2514"/>
      <c r="CO62" s="2514"/>
      <c r="CP62" s="2514"/>
      <c r="CQ62" s="2514"/>
      <c r="CR62" s="2514"/>
      <c r="CS62" s="2514"/>
      <c r="CT62" s="2514"/>
      <c r="CU62" s="2514"/>
      <c r="CV62" s="2514"/>
      <c r="CW62" s="2514"/>
      <c r="CX62" s="2514"/>
      <c r="CY62" s="2514"/>
    </row>
    <row r="63" spans="1:103" ht="15" customHeight="1" x14ac:dyDescent="0.25">
      <c r="A63" s="2514"/>
      <c r="B63" s="2514"/>
      <c r="C63" s="2514"/>
      <c r="D63" s="2514"/>
      <c r="E63" s="2514"/>
      <c r="F63" s="2514"/>
      <c r="G63" s="2514"/>
      <c r="H63" s="2514"/>
      <c r="I63" s="2514"/>
      <c r="J63" s="2514"/>
      <c r="K63" s="2514"/>
      <c r="L63" s="2514"/>
      <c r="M63" s="2514"/>
      <c r="N63" s="2514"/>
      <c r="O63" s="2514"/>
      <c r="P63" s="2514"/>
      <c r="Q63" s="2514"/>
      <c r="R63" s="2514"/>
      <c r="S63" s="2514"/>
      <c r="T63" s="2514"/>
      <c r="U63" s="2514"/>
      <c r="V63" s="2514"/>
      <c r="W63" s="2514"/>
      <c r="X63" s="2514"/>
      <c r="Y63" s="2514"/>
      <c r="Z63" s="2514"/>
      <c r="AA63" s="2514"/>
      <c r="AB63" s="2514"/>
      <c r="AC63" s="2514"/>
      <c r="AD63" s="2514"/>
      <c r="AE63" s="2514"/>
      <c r="AF63" s="2514"/>
      <c r="AG63" s="2514"/>
      <c r="AH63" s="2514"/>
      <c r="AI63" s="2514"/>
      <c r="AJ63" s="2514"/>
      <c r="AK63" s="2514"/>
      <c r="AL63" s="2514"/>
      <c r="AM63" s="2514"/>
      <c r="AN63" s="2514"/>
      <c r="AO63" s="2514"/>
      <c r="AP63" s="2514"/>
      <c r="AQ63" s="2514"/>
      <c r="AR63" s="2514"/>
      <c r="AS63" s="2514"/>
      <c r="AT63" s="2514"/>
      <c r="AU63" s="2514"/>
      <c r="AV63" s="2514"/>
      <c r="AW63" s="2514"/>
      <c r="AX63" s="2514"/>
      <c r="AY63" s="2514"/>
      <c r="AZ63" s="2514"/>
      <c r="BA63" s="2514"/>
      <c r="BB63" s="2514"/>
      <c r="BC63" s="2514"/>
      <c r="BD63" s="2514"/>
      <c r="BE63" s="2514"/>
      <c r="BF63" s="2514"/>
      <c r="BG63" s="2514"/>
      <c r="BH63" s="2514"/>
      <c r="BI63" s="2514"/>
      <c r="BJ63" s="2514"/>
      <c r="BK63" s="2514"/>
      <c r="BL63" s="2514"/>
      <c r="BM63" s="2514"/>
      <c r="BN63" s="2514"/>
      <c r="BO63" s="2514"/>
      <c r="BP63" s="2514"/>
      <c r="BQ63" s="2514"/>
      <c r="BR63" s="2514"/>
      <c r="BS63" s="2514"/>
      <c r="BT63" s="2514"/>
      <c r="BU63" s="2514"/>
      <c r="BV63" s="2514"/>
      <c r="BW63" s="2514"/>
      <c r="BX63" s="3030"/>
      <c r="BY63" s="3030"/>
      <c r="BZ63" s="3030"/>
      <c r="CA63" s="3030"/>
      <c r="CB63" s="3030"/>
      <c r="CC63" s="3030"/>
      <c r="CD63" s="2514"/>
      <c r="CE63" s="2514"/>
      <c r="CF63" s="2514"/>
      <c r="CG63" s="2514"/>
      <c r="CH63" s="2514"/>
      <c r="CI63" s="2514"/>
      <c r="CJ63" s="2514"/>
      <c r="CK63" s="2514"/>
      <c r="CL63" s="2514"/>
      <c r="CM63" s="2514"/>
      <c r="CN63" s="2514"/>
      <c r="CO63" s="2514"/>
      <c r="CP63" s="2514"/>
      <c r="CQ63" s="2514"/>
      <c r="CR63" s="2514"/>
      <c r="CS63" s="2514"/>
      <c r="CT63" s="2514"/>
      <c r="CU63" s="2514"/>
      <c r="CV63" s="2514"/>
      <c r="CW63" s="2514"/>
      <c r="CX63" s="2514"/>
      <c r="CY63" s="2514"/>
    </row>
    <row r="64" spans="1:103" ht="15" customHeight="1" x14ac:dyDescent="0.25">
      <c r="A64" s="2514"/>
      <c r="B64" s="2514"/>
      <c r="C64" s="2514"/>
      <c r="D64" s="2514"/>
      <c r="E64" s="2514"/>
      <c r="F64" s="2514"/>
      <c r="G64" s="2514"/>
      <c r="H64" s="2514"/>
      <c r="I64" s="2514"/>
      <c r="J64" s="2514"/>
      <c r="K64" s="2514"/>
      <c r="L64" s="2514"/>
      <c r="M64" s="2514"/>
      <c r="N64" s="2514"/>
      <c r="O64" s="2514"/>
      <c r="P64" s="2514"/>
      <c r="Q64" s="2514"/>
      <c r="R64" s="2514"/>
      <c r="S64" s="2514"/>
      <c r="T64" s="2514"/>
      <c r="U64" s="2514"/>
      <c r="V64" s="2514"/>
      <c r="W64" s="2514"/>
      <c r="X64" s="2514"/>
      <c r="Y64" s="2514"/>
      <c r="Z64" s="2514"/>
      <c r="AA64" s="2514"/>
      <c r="AB64" s="2514"/>
      <c r="AC64" s="2514"/>
      <c r="AD64" s="2514"/>
      <c r="AE64" s="2514"/>
      <c r="AF64" s="2514"/>
      <c r="AG64" s="2514"/>
      <c r="AH64" s="2514"/>
      <c r="AI64" s="2514"/>
      <c r="AJ64" s="2514"/>
      <c r="AK64" s="2514"/>
      <c r="AL64" s="2514"/>
      <c r="AM64" s="2514"/>
      <c r="AN64" s="2514"/>
      <c r="AO64" s="2514"/>
      <c r="AP64" s="2514"/>
      <c r="AQ64" s="2514"/>
      <c r="AR64" s="2514"/>
      <c r="AS64" s="2514"/>
      <c r="AT64" s="2514"/>
      <c r="AU64" s="2514"/>
      <c r="AV64" s="2514"/>
      <c r="AW64" s="2514"/>
      <c r="AX64" s="2514"/>
      <c r="AY64" s="2514"/>
      <c r="AZ64" s="2514"/>
      <c r="BA64" s="2514"/>
      <c r="BB64" s="2514"/>
      <c r="BC64" s="2514"/>
      <c r="BD64" s="2514"/>
      <c r="BE64" s="2514"/>
      <c r="BF64" s="2514"/>
      <c r="BG64" s="2514"/>
      <c r="BH64" s="2514"/>
      <c r="BI64" s="2514"/>
      <c r="BJ64" s="2514"/>
      <c r="BK64" s="2514"/>
      <c r="BL64" s="2514"/>
      <c r="BM64" s="2514"/>
      <c r="BN64" s="2514"/>
      <c r="BO64" s="2514"/>
      <c r="BP64" s="2514"/>
      <c r="BQ64" s="2514"/>
      <c r="BR64" s="2514"/>
      <c r="BS64" s="2514"/>
      <c r="BT64" s="2514"/>
      <c r="BU64" s="2514"/>
      <c r="BV64" s="2514"/>
      <c r="BW64" s="2514"/>
      <c r="BX64" s="3030"/>
      <c r="BY64" s="3030"/>
      <c r="BZ64" s="3030"/>
      <c r="CA64" s="3030"/>
      <c r="CB64" s="3030"/>
      <c r="CC64" s="3030"/>
      <c r="CD64" s="2514"/>
      <c r="CE64" s="2514"/>
      <c r="CF64" s="2514"/>
      <c r="CG64" s="2514"/>
      <c r="CH64" s="2514"/>
      <c r="CI64" s="2514"/>
      <c r="CJ64" s="2514"/>
      <c r="CK64" s="2514"/>
      <c r="CL64" s="2514"/>
      <c r="CM64" s="2514"/>
      <c r="CN64" s="2514"/>
      <c r="CO64" s="2514"/>
      <c r="CP64" s="2514"/>
      <c r="CQ64" s="2514"/>
      <c r="CR64" s="2514"/>
      <c r="CS64" s="2514"/>
      <c r="CT64" s="2514"/>
      <c r="CU64" s="2514"/>
      <c r="CV64" s="2514"/>
      <c r="CW64" s="2514"/>
      <c r="CX64" s="2514"/>
      <c r="CY64" s="2514"/>
    </row>
    <row r="65" spans="1:103" ht="15" customHeight="1" x14ac:dyDescent="0.25">
      <c r="A65" s="2514"/>
      <c r="B65" s="2514"/>
      <c r="C65" s="2514"/>
      <c r="D65" s="2514"/>
      <c r="E65" s="2514"/>
      <c r="F65" s="2514"/>
      <c r="G65" s="2514"/>
      <c r="H65" s="2514"/>
      <c r="I65" s="2514"/>
      <c r="J65" s="2514"/>
      <c r="K65" s="2514"/>
      <c r="L65" s="2514"/>
      <c r="M65" s="2514"/>
      <c r="N65" s="2514"/>
      <c r="O65" s="2514"/>
      <c r="P65" s="2514"/>
      <c r="Q65" s="2514"/>
      <c r="R65" s="2514"/>
      <c r="S65" s="2514"/>
      <c r="T65" s="2514"/>
      <c r="U65" s="2514"/>
      <c r="V65" s="2514"/>
      <c r="W65" s="2514"/>
      <c r="X65" s="2514"/>
      <c r="Y65" s="2514"/>
      <c r="Z65" s="2514"/>
      <c r="AA65" s="2514"/>
      <c r="AB65" s="2514"/>
      <c r="AC65" s="2514"/>
      <c r="AD65" s="2514"/>
      <c r="AE65" s="2514"/>
      <c r="AF65" s="2514"/>
      <c r="AG65" s="2514"/>
      <c r="AH65" s="2514"/>
      <c r="AI65" s="2514"/>
      <c r="AJ65" s="2514"/>
      <c r="AK65" s="2514"/>
      <c r="AL65" s="2514"/>
      <c r="AM65" s="2514"/>
      <c r="AN65" s="2514"/>
      <c r="AO65" s="2514"/>
      <c r="AP65" s="2514"/>
      <c r="AQ65" s="2514"/>
      <c r="AR65" s="2514"/>
      <c r="AS65" s="2514"/>
      <c r="AT65" s="2514"/>
      <c r="AU65" s="2514"/>
      <c r="AV65" s="2514"/>
      <c r="AW65" s="2514"/>
      <c r="AX65" s="2514"/>
      <c r="AY65" s="2514"/>
      <c r="AZ65" s="2514"/>
      <c r="BA65" s="2514"/>
      <c r="BB65" s="2514"/>
      <c r="BC65" s="2514"/>
      <c r="BD65" s="2514"/>
      <c r="BE65" s="2514"/>
      <c r="BF65" s="2514"/>
      <c r="BG65" s="2514"/>
      <c r="BH65" s="2514"/>
      <c r="BI65" s="2514"/>
      <c r="BJ65" s="2514"/>
      <c r="BK65" s="2514"/>
      <c r="BL65" s="2514"/>
      <c r="BM65" s="2514"/>
      <c r="BN65" s="2514"/>
      <c r="BO65" s="2514"/>
      <c r="BP65" s="2514"/>
      <c r="BQ65" s="2514"/>
      <c r="BR65" s="2514"/>
      <c r="BS65" s="2514"/>
      <c r="BT65" s="2514"/>
      <c r="BU65" s="2514"/>
      <c r="BV65" s="2514"/>
      <c r="BW65" s="2514"/>
      <c r="BX65" s="3030"/>
      <c r="BY65" s="3030"/>
      <c r="BZ65" s="3030"/>
      <c r="CA65" s="3030"/>
      <c r="CB65" s="3030"/>
      <c r="CC65" s="3030"/>
      <c r="CD65" s="2514"/>
      <c r="CE65" s="2514"/>
      <c r="CF65" s="2514"/>
      <c r="CG65" s="2514"/>
      <c r="CH65" s="2514"/>
      <c r="CI65" s="2514"/>
      <c r="CJ65" s="2514"/>
      <c r="CK65" s="2514"/>
      <c r="CL65" s="2514"/>
      <c r="CM65" s="2514"/>
      <c r="CN65" s="2514"/>
      <c r="CO65" s="2514"/>
      <c r="CP65" s="2514"/>
      <c r="CQ65" s="2514"/>
      <c r="CR65" s="2514"/>
      <c r="CS65" s="2514"/>
      <c r="CT65" s="2514"/>
      <c r="CU65" s="2514"/>
      <c r="CV65" s="2514"/>
      <c r="CW65" s="2514"/>
      <c r="CX65" s="2514"/>
      <c r="CY65" s="2514"/>
    </row>
    <row r="66" spans="1:103" ht="15" customHeight="1" x14ac:dyDescent="0.25">
      <c r="A66" s="2514"/>
      <c r="B66" s="2514"/>
      <c r="C66" s="2514"/>
      <c r="D66" s="2514"/>
      <c r="E66" s="2514"/>
      <c r="F66" s="2514"/>
      <c r="G66" s="2514"/>
      <c r="H66" s="2514"/>
      <c r="I66" s="2514"/>
      <c r="J66" s="2514"/>
      <c r="K66" s="2514"/>
      <c r="L66" s="2514"/>
      <c r="M66" s="2514"/>
      <c r="N66" s="2514"/>
      <c r="O66" s="2514"/>
      <c r="P66" s="2514"/>
      <c r="Q66" s="2514"/>
      <c r="R66" s="2514"/>
      <c r="S66" s="2514"/>
      <c r="T66" s="2514"/>
      <c r="U66" s="2514"/>
      <c r="V66" s="2514"/>
      <c r="W66" s="2514"/>
      <c r="X66" s="2514"/>
      <c r="Y66" s="2514"/>
      <c r="Z66" s="2514"/>
      <c r="AA66" s="2514"/>
      <c r="AB66" s="2514"/>
      <c r="AC66" s="2514"/>
      <c r="AD66" s="2514"/>
      <c r="AE66" s="2514"/>
      <c r="AF66" s="2514"/>
      <c r="AG66" s="2514"/>
      <c r="AH66" s="2514"/>
      <c r="AI66" s="2514"/>
      <c r="AJ66" s="2514"/>
      <c r="AK66" s="2514"/>
      <c r="AL66" s="2514"/>
      <c r="AM66" s="2514"/>
      <c r="AN66" s="2514"/>
      <c r="AO66" s="2514"/>
      <c r="AP66" s="2514"/>
      <c r="AQ66" s="2514"/>
      <c r="AR66" s="2514"/>
      <c r="AS66" s="2514"/>
      <c r="AT66" s="2514"/>
      <c r="AU66" s="2514"/>
      <c r="AV66" s="2514"/>
      <c r="AW66" s="2514"/>
      <c r="AX66" s="2514"/>
      <c r="AY66" s="2514"/>
      <c r="AZ66" s="2514"/>
      <c r="BA66" s="2514"/>
      <c r="BB66" s="2514"/>
      <c r="BC66" s="2514"/>
      <c r="BD66" s="2514"/>
      <c r="BE66" s="2514"/>
      <c r="BF66" s="2514"/>
      <c r="BG66" s="2514"/>
      <c r="BH66" s="2514"/>
      <c r="BI66" s="2514"/>
      <c r="BJ66" s="2514"/>
      <c r="BK66" s="2514"/>
      <c r="BL66" s="2514"/>
      <c r="BM66" s="2514"/>
      <c r="BN66" s="2514"/>
      <c r="BO66" s="2514"/>
      <c r="BP66" s="2514"/>
      <c r="BQ66" s="2514"/>
      <c r="BR66" s="2514"/>
      <c r="BS66" s="2514"/>
      <c r="BT66" s="2514"/>
      <c r="BU66" s="2514"/>
      <c r="BV66" s="2514"/>
      <c r="BW66" s="2514"/>
      <c r="BX66" s="3030"/>
      <c r="BY66" s="3030"/>
      <c r="BZ66" s="3030"/>
      <c r="CA66" s="3030"/>
      <c r="CB66" s="3030"/>
      <c r="CC66" s="3030"/>
      <c r="CD66" s="2514"/>
      <c r="CE66" s="2514"/>
      <c r="CF66" s="2514"/>
      <c r="CG66" s="2514"/>
      <c r="CH66" s="2514"/>
      <c r="CI66" s="2514"/>
      <c r="CJ66" s="2514"/>
      <c r="CK66" s="2514"/>
      <c r="CL66" s="2514"/>
      <c r="CM66" s="2514"/>
      <c r="CN66" s="2514"/>
      <c r="CO66" s="2514"/>
      <c r="CP66" s="2514"/>
      <c r="CQ66" s="2514"/>
      <c r="CR66" s="2514"/>
      <c r="CS66" s="2514"/>
      <c r="CT66" s="2514"/>
      <c r="CU66" s="2514"/>
      <c r="CV66" s="2514"/>
      <c r="CW66" s="2514"/>
      <c r="CX66" s="2514"/>
      <c r="CY66" s="2514"/>
    </row>
  </sheetData>
  <mergeCells count="24">
    <mergeCell ref="R37:Y37"/>
    <mergeCell ref="J37:Q37"/>
    <mergeCell ref="B37:I37"/>
    <mergeCell ref="AX3:BM3"/>
    <mergeCell ref="BV4:CC4"/>
    <mergeCell ref="BN3:CC3"/>
    <mergeCell ref="BN4:BT4"/>
    <mergeCell ref="B3:I4"/>
    <mergeCell ref="J3:Q4"/>
    <mergeCell ref="R3:Y4"/>
    <mergeCell ref="AP4:AW4"/>
    <mergeCell ref="Z3:AG3"/>
    <mergeCell ref="Z4:AG4"/>
    <mergeCell ref="A1:CT1"/>
    <mergeCell ref="A2:CT2"/>
    <mergeCell ref="A3:A4"/>
    <mergeCell ref="AH4:AO4"/>
    <mergeCell ref="AH3:AW3"/>
    <mergeCell ref="AX4:BE4"/>
    <mergeCell ref="BF4:BM4"/>
    <mergeCell ref="CT4:DA4"/>
    <mergeCell ref="CL3:DA3"/>
    <mergeCell ref="CD3:CK4"/>
    <mergeCell ref="CL4:CS4"/>
  </mergeCells>
  <printOptions horizontalCentered="1"/>
  <pageMargins left="0.15748031496062992" right="0.19685039370078741" top="0.74803149606299213" bottom="0.74803149606299213" header="0.31496062992125984" footer="0.31496062992125984"/>
  <pageSetup paperSize="9" scale="40" firstPageNumber="12" orientation="landscape" useFirstPageNumber="1" r:id="rId1"/>
  <headerFooter>
    <oddHeader>&amp;R&amp;12 1.4. számú melléklet</oddHeader>
    <oddFooter xml:space="preserve">&amp;C&amp;12- &amp;P -&amp;10
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I86"/>
  <sheetViews>
    <sheetView view="pageBreakPreview" topLeftCell="P51" zoomScaleNormal="100" zoomScaleSheetLayoutView="100" zoomScalePageLayoutView="60" workbookViewId="0">
      <selection activeCell="K43" sqref="K43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59.1640625" style="115" customWidth="1"/>
    <col min="4" max="5" width="9.33203125" style="115" hidden="1" customWidth="1"/>
    <col min="6" max="6" width="14.5" style="115" customWidth="1"/>
    <col min="7" max="7" width="14.33203125" style="1390" hidden="1" customWidth="1"/>
    <col min="8" max="8" width="15.83203125" style="115" hidden="1" customWidth="1"/>
    <col min="9" max="9" width="11.33203125" style="1390" hidden="1" customWidth="1"/>
    <col min="10" max="10" width="14.6640625" style="115" customWidth="1"/>
    <col min="11" max="11" width="14.1640625" style="1390" customWidth="1"/>
    <col min="12" max="12" width="15.6640625" style="115" customWidth="1"/>
    <col min="13" max="13" width="16.33203125" style="115" customWidth="1"/>
    <col min="14" max="14" width="9.33203125" style="115"/>
    <col min="15" max="15" width="12.6640625" style="115" customWidth="1"/>
    <col min="16" max="17" width="9.33203125" style="115"/>
    <col min="18" max="18" width="15.83203125" style="1877" customWidth="1"/>
    <col min="19" max="19" width="15.83203125" style="115" hidden="1" customWidth="1"/>
    <col min="20" max="20" width="15.83203125" style="1886" customWidth="1"/>
    <col min="21" max="21" width="15.83203125" style="115" hidden="1" customWidth="1"/>
    <col min="22" max="22" width="15.83203125" style="115" customWidth="1"/>
    <col min="23" max="23" width="15.83203125" style="115" hidden="1" customWidth="1"/>
    <col min="24" max="24" width="15.83203125" style="1161" customWidth="1"/>
    <col min="25" max="25" width="15.83203125" style="1892" customWidth="1"/>
    <col min="26" max="26" width="15.6640625" style="1877" customWidth="1"/>
    <col min="27" max="27" width="15.6640625" style="115" hidden="1" customWidth="1"/>
    <col min="28" max="28" width="15.6640625" style="1886" customWidth="1"/>
    <col min="29" max="29" width="15.6640625" style="115" hidden="1" customWidth="1"/>
    <col min="30" max="30" width="15.6640625" style="115" customWidth="1"/>
    <col min="31" max="31" width="0" style="115" hidden="1" customWidth="1"/>
    <col min="32" max="32" width="18.1640625" style="1161" customWidth="1"/>
    <col min="33" max="33" width="16.6640625" style="1892" customWidth="1"/>
    <col min="34" max="16384" width="9.33203125" style="115"/>
  </cols>
  <sheetData>
    <row r="1" spans="1:35" s="98" customFormat="1" ht="15" customHeight="1" thickBot="1" x14ac:dyDescent="0.25">
      <c r="A1" s="240"/>
      <c r="B1" s="241"/>
      <c r="C1" s="4526" t="s">
        <v>732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  <c r="R1" s="1872"/>
      <c r="T1" s="1882"/>
      <c r="X1" s="1868"/>
      <c r="Y1" s="1888"/>
      <c r="Z1" s="1872"/>
      <c r="AB1" s="1882"/>
      <c r="AF1" s="1868"/>
      <c r="AG1" s="1888"/>
    </row>
    <row r="2" spans="1:35" s="303" customFormat="1" ht="30" customHeight="1" thickBot="1" x14ac:dyDescent="0.25">
      <c r="A2" s="4582" t="s">
        <v>411</v>
      </c>
      <c r="B2" s="4582"/>
      <c r="C2" s="117" t="s">
        <v>472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  <c r="R2" s="1873"/>
      <c r="T2" s="1883"/>
      <c r="X2" s="1869"/>
      <c r="Y2" s="1889"/>
      <c r="Z2" s="1873"/>
      <c r="AB2" s="1883"/>
      <c r="AF2" s="1869"/>
      <c r="AG2" s="1889"/>
    </row>
    <row r="3" spans="1:35" s="303" customFormat="1" ht="30" customHeight="1" thickBot="1" x14ac:dyDescent="0.25">
      <c r="A3" s="4525" t="s">
        <v>283</v>
      </c>
      <c r="B3" s="4525"/>
      <c r="C3" s="304" t="s">
        <v>1447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  <c r="R3" s="1874"/>
      <c r="S3" s="1919"/>
      <c r="T3" s="4493" t="s">
        <v>1056</v>
      </c>
      <c r="U3" s="1927"/>
      <c r="V3" s="4442" t="s">
        <v>1076</v>
      </c>
      <c r="W3" s="305"/>
      <c r="X3" s="4439" t="s">
        <v>1058</v>
      </c>
      <c r="Y3" s="1891"/>
      <c r="Z3" s="1873"/>
      <c r="AB3" s="4493" t="s">
        <v>1056</v>
      </c>
      <c r="AC3" s="1919"/>
      <c r="AD3" s="4442" t="s">
        <v>1057</v>
      </c>
      <c r="AE3" s="1927"/>
      <c r="AF3" s="4439" t="s">
        <v>1058</v>
      </c>
      <c r="AG3" s="1889"/>
      <c r="AI3" s="1889"/>
    </row>
    <row r="4" spans="1:35" s="303" customFormat="1" ht="15" customHeight="1" thickBot="1" x14ac:dyDescent="0.25">
      <c r="A4" s="1300"/>
      <c r="B4" s="1301"/>
      <c r="C4" s="1301"/>
      <c r="D4" s="4446"/>
      <c r="E4" s="4446"/>
      <c r="F4" s="4446"/>
      <c r="G4" s="1440"/>
      <c r="H4" s="1454"/>
      <c r="I4" s="1454"/>
      <c r="J4" s="1454"/>
      <c r="K4" s="1454"/>
      <c r="L4" s="1454"/>
      <c r="M4" s="1508" t="s">
        <v>935</v>
      </c>
      <c r="R4" s="1875" t="s">
        <v>771</v>
      </c>
      <c r="S4" s="1920"/>
      <c r="T4" s="4493"/>
      <c r="U4" s="1927"/>
      <c r="V4" s="4442"/>
      <c r="W4" s="305"/>
      <c r="X4" s="4439"/>
      <c r="Y4" s="2301" t="s">
        <v>289</v>
      </c>
      <c r="Z4" s="1879" t="s">
        <v>771</v>
      </c>
      <c r="AA4" s="2296"/>
      <c r="AB4" s="4493"/>
      <c r="AC4" s="2296"/>
      <c r="AD4" s="4442"/>
      <c r="AE4" s="1927"/>
      <c r="AF4" s="4439"/>
      <c r="AG4" s="1887" t="s">
        <v>289</v>
      </c>
    </row>
    <row r="5" spans="1:35" s="145" customFormat="1" ht="34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  <c r="R5" s="1908" t="s">
        <v>767</v>
      </c>
      <c r="S5" s="1921"/>
      <c r="T5" s="1913" t="s">
        <v>767</v>
      </c>
      <c r="U5" s="1926"/>
      <c r="V5" s="2292" t="s">
        <v>767</v>
      </c>
      <c r="W5" s="2292"/>
      <c r="X5" s="2299" t="s">
        <v>767</v>
      </c>
      <c r="Y5" s="2302" t="s">
        <v>767</v>
      </c>
      <c r="Z5" s="2304" t="s">
        <v>770</v>
      </c>
      <c r="AA5" s="2297"/>
      <c r="AB5" s="1913" t="s">
        <v>770</v>
      </c>
      <c r="AC5" s="2297"/>
      <c r="AD5" s="453" t="s">
        <v>770</v>
      </c>
      <c r="AE5" s="1926"/>
      <c r="AF5" s="1910" t="s">
        <v>770</v>
      </c>
      <c r="AG5" s="1943" t="s">
        <v>770</v>
      </c>
    </row>
    <row r="6" spans="1:35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  <c r="R6" s="1875"/>
      <c r="S6" s="1920"/>
      <c r="T6" s="1884"/>
      <c r="U6" s="1927"/>
      <c r="V6" s="2292"/>
      <c r="W6" s="2292"/>
      <c r="X6" s="2299"/>
      <c r="Y6" s="2303"/>
      <c r="Z6" s="1879"/>
      <c r="AA6" s="2296"/>
      <c r="AB6" s="1884"/>
      <c r="AC6" s="2296"/>
      <c r="AD6" s="1927"/>
      <c r="AE6" s="1927"/>
      <c r="AF6" s="1870"/>
      <c r="AG6" s="1891"/>
      <c r="AH6" s="2288"/>
      <c r="AI6" s="1891"/>
    </row>
    <row r="7" spans="1:35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2719"/>
      <c r="H7" s="162"/>
      <c r="I7" s="1373"/>
      <c r="J7" s="162"/>
      <c r="K7" s="1373"/>
      <c r="L7" s="162"/>
      <c r="M7" s="162"/>
      <c r="R7" s="1875"/>
      <c r="T7" s="1884"/>
      <c r="X7" s="1870"/>
      <c r="Y7" s="1891"/>
      <c r="Z7" s="1879"/>
      <c r="AB7" s="1884"/>
      <c r="AF7" s="1870"/>
      <c r="AG7" s="1891"/>
    </row>
    <row r="8" spans="1:35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197239</v>
      </c>
      <c r="E8" s="137">
        <f>SUM(E9:E18)</f>
        <v>197239</v>
      </c>
      <c r="F8" s="137">
        <f>SUM(F9:F18)</f>
        <v>150145389</v>
      </c>
      <c r="G8" s="1382">
        <f>SUM(H8-F8)</f>
        <v>-320040</v>
      </c>
      <c r="H8" s="137">
        <f>SUM(H9:H18)</f>
        <v>149825349</v>
      </c>
      <c r="I8" s="1374">
        <f>SUM(J8-H8)</f>
        <v>1867152</v>
      </c>
      <c r="J8" s="137">
        <f>SUM(J9:J18)</f>
        <v>151692501</v>
      </c>
      <c r="K8" s="1374">
        <f>SUM(L8-J8)</f>
        <v>0</v>
      </c>
      <c r="L8" s="137">
        <f>SUM(L9:L18)</f>
        <v>151692501</v>
      </c>
      <c r="M8" s="137">
        <f>SUM(M9:M18)</f>
        <v>151720273</v>
      </c>
      <c r="R8" s="1876">
        <f t="shared" ref="R8:R39" si="0">SUM(F8-Z8)</f>
        <v>0</v>
      </c>
      <c r="S8" s="248"/>
      <c r="T8" s="1885">
        <f t="shared" ref="T8:V23" si="1">SUM(H8-AB8)</f>
        <v>0</v>
      </c>
      <c r="U8" s="248"/>
      <c r="V8" s="248">
        <f t="shared" si="1"/>
        <v>0</v>
      </c>
      <c r="W8" s="248"/>
      <c r="X8" s="1871">
        <f t="shared" ref="X8:Y66" si="2">SUM(L8-AF8)</f>
        <v>0</v>
      </c>
      <c r="Y8" s="2300">
        <f t="shared" si="2"/>
        <v>0</v>
      </c>
      <c r="Z8" s="1880">
        <f>SUM('5.5.a. sz. mell.'!F8)</f>
        <v>150145389</v>
      </c>
      <c r="AA8" s="248"/>
      <c r="AB8" s="1885">
        <f>SUM('5.5.a. sz. mell.'!H8)</f>
        <v>149825349</v>
      </c>
      <c r="AC8" s="248"/>
      <c r="AD8" s="248">
        <f>SUM('5.5.a. sz. mell.'!J8)</f>
        <v>151692501</v>
      </c>
      <c r="AE8" s="248"/>
      <c r="AF8" s="1871">
        <f>SUM('5.5.a. sz. mell.'!L8)</f>
        <v>151692501</v>
      </c>
      <c r="AG8" s="2300">
        <f>SUM('5.5.a. sz. mell.'!M8)</f>
        <v>151720273</v>
      </c>
    </row>
    <row r="9" spans="1:35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415">
        <f t="shared" ref="G9:K18" si="3">SUM(H9-F9)</f>
        <v>0</v>
      </c>
      <c r="H9" s="150">
        <v>0</v>
      </c>
      <c r="I9" s="1376">
        <f t="shared" si="3"/>
        <v>0</v>
      </c>
      <c r="J9" s="150"/>
      <c r="K9" s="1376">
        <f t="shared" si="3"/>
        <v>0</v>
      </c>
      <c r="L9" s="150"/>
      <c r="M9" s="150">
        <v>0</v>
      </c>
      <c r="R9" s="1876">
        <f t="shared" si="0"/>
        <v>0</v>
      </c>
      <c r="S9" s="248"/>
      <c r="T9" s="1885">
        <f t="shared" si="1"/>
        <v>0</v>
      </c>
      <c r="U9" s="248"/>
      <c r="V9" s="248">
        <f t="shared" si="1"/>
        <v>0</v>
      </c>
      <c r="W9" s="248"/>
      <c r="X9" s="1871">
        <f t="shared" si="2"/>
        <v>0</v>
      </c>
      <c r="Y9" s="2300">
        <f t="shared" si="2"/>
        <v>0</v>
      </c>
      <c r="Z9" s="1880">
        <f>SUM('5.5.a. sz. mell.'!F9)</f>
        <v>0</v>
      </c>
      <c r="AA9" s="248"/>
      <c r="AB9" s="1885">
        <f>SUM('5.5.a. sz. mell.'!H9)</f>
        <v>0</v>
      </c>
      <c r="AC9" s="248"/>
      <c r="AD9" s="248">
        <f>SUM('5.5.a. sz. mell.'!J9)</f>
        <v>0</v>
      </c>
      <c r="AE9" s="248"/>
      <c r="AF9" s="1871">
        <f>SUM('5.5.a. sz. mell.'!L9)</f>
        <v>0</v>
      </c>
      <c r="AG9" s="2300">
        <f>SUM('5.5.a. sz. mell.'!M9)</f>
        <v>0</v>
      </c>
    </row>
    <row r="10" spans="1:35" s="141" customFormat="1" ht="15" customHeight="1" x14ac:dyDescent="0.2">
      <c r="A10" s="142"/>
      <c r="B10" s="143" t="s">
        <v>154</v>
      </c>
      <c r="C10" s="55" t="s">
        <v>50</v>
      </c>
      <c r="D10" s="144">
        <v>155306</v>
      </c>
      <c r="E10" s="144">
        <v>155306</v>
      </c>
      <c r="F10" s="144">
        <v>75556312</v>
      </c>
      <c r="G10" s="1415">
        <f t="shared" si="3"/>
        <v>-755906</v>
      </c>
      <c r="H10" s="144">
        <v>74800406</v>
      </c>
      <c r="I10" s="1376">
        <f t="shared" si="3"/>
        <v>1293763</v>
      </c>
      <c r="J10" s="144">
        <v>76094169</v>
      </c>
      <c r="K10" s="1376">
        <f t="shared" si="3"/>
        <v>0</v>
      </c>
      <c r="L10" s="144">
        <v>76094169</v>
      </c>
      <c r="M10" s="144">
        <v>76121941</v>
      </c>
      <c r="R10" s="1876">
        <f t="shared" si="0"/>
        <v>0</v>
      </c>
      <c r="S10" s="248"/>
      <c r="T10" s="1885">
        <f t="shared" si="1"/>
        <v>0</v>
      </c>
      <c r="U10" s="248"/>
      <c r="V10" s="248">
        <f t="shared" si="1"/>
        <v>0</v>
      </c>
      <c r="W10" s="248"/>
      <c r="X10" s="1871">
        <f t="shared" si="2"/>
        <v>0</v>
      </c>
      <c r="Y10" s="2300">
        <f t="shared" si="2"/>
        <v>0</v>
      </c>
      <c r="Z10" s="1880">
        <f>SUM('5.5.a. sz. mell.'!F10)</f>
        <v>75556312</v>
      </c>
      <c r="AA10" s="248"/>
      <c r="AB10" s="1885">
        <f>SUM('5.5.a. sz. mell.'!H10)</f>
        <v>74800406</v>
      </c>
      <c r="AC10" s="248"/>
      <c r="AD10" s="248">
        <f>SUM('5.5.a. sz. mell.'!J10)</f>
        <v>76094169</v>
      </c>
      <c r="AE10" s="248"/>
      <c r="AF10" s="1871">
        <f>SUM('5.5.a. sz. mell.'!L10)</f>
        <v>76094169</v>
      </c>
      <c r="AG10" s="2300">
        <f>SUM('5.5.a. sz. mell.'!M10)</f>
        <v>76121941</v>
      </c>
    </row>
    <row r="11" spans="1:35" s="141" customFormat="1" ht="15" customHeight="1" x14ac:dyDescent="0.2">
      <c r="A11" s="142"/>
      <c r="B11" s="143" t="s">
        <v>156</v>
      </c>
      <c r="C11" s="55" t="s">
        <v>414</v>
      </c>
      <c r="D11" s="144"/>
      <c r="E11" s="144"/>
      <c r="F11" s="144"/>
      <c r="G11" s="1415">
        <f t="shared" si="3"/>
        <v>0</v>
      </c>
      <c r="H11" s="144"/>
      <c r="I11" s="1376">
        <f t="shared" si="3"/>
        <v>0</v>
      </c>
      <c r="J11" s="144"/>
      <c r="K11" s="1376">
        <f t="shared" si="3"/>
        <v>0</v>
      </c>
      <c r="L11" s="144"/>
      <c r="M11" s="144"/>
      <c r="R11" s="1876">
        <f t="shared" si="0"/>
        <v>0</v>
      </c>
      <c r="S11" s="248"/>
      <c r="T11" s="1885">
        <f t="shared" si="1"/>
        <v>0</v>
      </c>
      <c r="U11" s="248"/>
      <c r="V11" s="248">
        <f t="shared" si="1"/>
        <v>0</v>
      </c>
      <c r="W11" s="248"/>
      <c r="X11" s="1871">
        <f t="shared" si="2"/>
        <v>0</v>
      </c>
      <c r="Y11" s="2300">
        <f t="shared" si="2"/>
        <v>0</v>
      </c>
      <c r="Z11" s="1880">
        <f>SUM('5.5.a. sz. mell.'!F11)</f>
        <v>0</v>
      </c>
      <c r="AA11" s="248"/>
      <c r="AB11" s="1885">
        <f>SUM('5.5.a. sz. mell.'!H11)</f>
        <v>0</v>
      </c>
      <c r="AC11" s="248"/>
      <c r="AD11" s="248">
        <f>SUM('5.5.a. sz. mell.'!J11)</f>
        <v>0</v>
      </c>
      <c r="AE11" s="248"/>
      <c r="AF11" s="1871">
        <f>SUM('5.5.a. sz. mell.'!L11)</f>
        <v>0</v>
      </c>
      <c r="AG11" s="2300">
        <f>SUM('5.5.a. sz. mell.'!M11)</f>
        <v>0</v>
      </c>
    </row>
    <row r="12" spans="1:35" s="141" customFormat="1" ht="15" customHeight="1" x14ac:dyDescent="0.2">
      <c r="A12" s="142"/>
      <c r="B12" s="143" t="s">
        <v>158</v>
      </c>
      <c r="C12" s="55" t="s">
        <v>835</v>
      </c>
      <c r="D12" s="144"/>
      <c r="E12" s="144"/>
      <c r="F12" s="144">
        <v>42668404</v>
      </c>
      <c r="G12" s="1415">
        <f t="shared" si="3"/>
        <v>0</v>
      </c>
      <c r="H12" s="144">
        <v>42668404</v>
      </c>
      <c r="I12" s="1376">
        <f t="shared" si="3"/>
        <v>-1549935</v>
      </c>
      <c r="J12" s="144">
        <v>41118469</v>
      </c>
      <c r="K12" s="1376">
        <f t="shared" si="3"/>
        <v>0</v>
      </c>
      <c r="L12" s="144">
        <v>41118469</v>
      </c>
      <c r="M12" s="144">
        <v>41118469</v>
      </c>
      <c r="R12" s="1876">
        <f t="shared" si="0"/>
        <v>0</v>
      </c>
      <c r="S12" s="248"/>
      <c r="T12" s="1885">
        <f t="shared" si="1"/>
        <v>0</v>
      </c>
      <c r="U12" s="248"/>
      <c r="V12" s="248">
        <f t="shared" si="1"/>
        <v>0</v>
      </c>
      <c r="W12" s="248"/>
      <c r="X12" s="1871">
        <f t="shared" si="2"/>
        <v>0</v>
      </c>
      <c r="Y12" s="2300">
        <f t="shared" si="2"/>
        <v>0</v>
      </c>
      <c r="Z12" s="1880">
        <f>SUM('5.5.a. sz. mell.'!F12)</f>
        <v>42668404</v>
      </c>
      <c r="AA12" s="248"/>
      <c r="AB12" s="1885">
        <f>SUM('5.5.a. sz. mell.'!H12)</f>
        <v>42668404</v>
      </c>
      <c r="AC12" s="248"/>
      <c r="AD12" s="248">
        <f>SUM('5.5.a. sz. mell.'!J12)</f>
        <v>41118469</v>
      </c>
      <c r="AE12" s="248"/>
      <c r="AF12" s="1871">
        <f>SUM('5.5.a. sz. mell.'!L12)</f>
        <v>41118469</v>
      </c>
      <c r="AG12" s="2300">
        <f>SUM('5.5.a. sz. mell.'!M12)</f>
        <v>41118469</v>
      </c>
    </row>
    <row r="13" spans="1:35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/>
      <c r="G13" s="1415">
        <f t="shared" si="3"/>
        <v>0</v>
      </c>
      <c r="H13" s="144"/>
      <c r="I13" s="1376">
        <f t="shared" si="3"/>
        <v>0</v>
      </c>
      <c r="J13" s="144"/>
      <c r="K13" s="1376">
        <f t="shared" si="3"/>
        <v>0</v>
      </c>
      <c r="L13" s="144"/>
      <c r="M13" s="144"/>
      <c r="R13" s="1876">
        <f t="shared" si="0"/>
        <v>0</v>
      </c>
      <c r="S13" s="248"/>
      <c r="T13" s="1885">
        <f t="shared" si="1"/>
        <v>0</v>
      </c>
      <c r="U13" s="248"/>
      <c r="V13" s="248">
        <f t="shared" si="1"/>
        <v>0</v>
      </c>
      <c r="W13" s="248"/>
      <c r="X13" s="1871">
        <f t="shared" si="2"/>
        <v>0</v>
      </c>
      <c r="Y13" s="2300">
        <f t="shared" si="2"/>
        <v>0</v>
      </c>
      <c r="Z13" s="1880">
        <f>SUM('5.5.a. sz. mell.'!F13)</f>
        <v>0</v>
      </c>
      <c r="AA13" s="248"/>
      <c r="AB13" s="1885">
        <f>SUM('5.5.a. sz. mell.'!H13)</f>
        <v>0</v>
      </c>
      <c r="AC13" s="248"/>
      <c r="AD13" s="248">
        <f>SUM('5.5.a. sz. mell.'!J13)</f>
        <v>0</v>
      </c>
      <c r="AE13" s="248"/>
      <c r="AF13" s="1871">
        <f>SUM('5.5.a. sz. mell.'!L13)</f>
        <v>0</v>
      </c>
      <c r="AG13" s="2300">
        <f>SUM('5.5.a. sz. mell.'!M13)</f>
        <v>0</v>
      </c>
    </row>
    <row r="14" spans="1:35" s="141" customFormat="1" ht="15" customHeight="1" x14ac:dyDescent="0.2">
      <c r="A14" s="142"/>
      <c r="B14" s="143" t="s">
        <v>162</v>
      </c>
      <c r="C14" s="55" t="s">
        <v>340</v>
      </c>
      <c r="D14" s="147">
        <v>41933</v>
      </c>
      <c r="E14" s="147">
        <v>41933</v>
      </c>
      <c r="F14" s="144">
        <v>31920673</v>
      </c>
      <c r="G14" s="1415">
        <f t="shared" si="3"/>
        <v>-204094</v>
      </c>
      <c r="H14" s="144">
        <v>31716579</v>
      </c>
      <c r="I14" s="1376">
        <f t="shared" si="3"/>
        <v>-61628</v>
      </c>
      <c r="J14" s="144">
        <v>31654951</v>
      </c>
      <c r="K14" s="1376">
        <f t="shared" si="3"/>
        <v>0</v>
      </c>
      <c r="L14" s="144">
        <v>31654951</v>
      </c>
      <c r="M14" s="144">
        <v>31654951</v>
      </c>
      <c r="R14" s="1876">
        <f t="shared" si="0"/>
        <v>0</v>
      </c>
      <c r="S14" s="248"/>
      <c r="T14" s="1885">
        <f t="shared" si="1"/>
        <v>0</v>
      </c>
      <c r="U14" s="248"/>
      <c r="V14" s="248">
        <f t="shared" si="1"/>
        <v>0</v>
      </c>
      <c r="W14" s="248"/>
      <c r="X14" s="1871">
        <f t="shared" si="2"/>
        <v>0</v>
      </c>
      <c r="Y14" s="2300">
        <f t="shared" si="2"/>
        <v>0</v>
      </c>
      <c r="Z14" s="1880">
        <f>SUM('5.5.a. sz. mell.'!F14)</f>
        <v>31920673</v>
      </c>
      <c r="AA14" s="248"/>
      <c r="AB14" s="1885">
        <f>SUM('5.5.a. sz. mell.'!H14)</f>
        <v>31716579</v>
      </c>
      <c r="AC14" s="248"/>
      <c r="AD14" s="248">
        <f>SUM('5.5.a. sz. mell.'!J14)</f>
        <v>31654951</v>
      </c>
      <c r="AE14" s="248"/>
      <c r="AF14" s="1871">
        <f>SUM('5.5.a. sz. mell.'!L14)</f>
        <v>31654951</v>
      </c>
      <c r="AG14" s="2300">
        <f>SUM('5.5.a. sz. mell.'!M14)</f>
        <v>31654951</v>
      </c>
    </row>
    <row r="15" spans="1:35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/>
      <c r="G15" s="1415">
        <f t="shared" si="3"/>
        <v>632070</v>
      </c>
      <c r="H15" s="147">
        <v>632070</v>
      </c>
      <c r="I15" s="1376">
        <f t="shared" si="3"/>
        <v>2176790</v>
      </c>
      <c r="J15" s="147">
        <v>2808860</v>
      </c>
      <c r="K15" s="1376">
        <f t="shared" si="3"/>
        <v>0</v>
      </c>
      <c r="L15" s="147">
        <v>2808860</v>
      </c>
      <c r="M15" s="147">
        <v>2808860</v>
      </c>
      <c r="R15" s="1876">
        <f t="shared" si="0"/>
        <v>0</v>
      </c>
      <c r="S15" s="248"/>
      <c r="T15" s="1885">
        <f t="shared" si="1"/>
        <v>0</v>
      </c>
      <c r="U15" s="248"/>
      <c r="V15" s="248">
        <f t="shared" si="1"/>
        <v>0</v>
      </c>
      <c r="W15" s="248"/>
      <c r="X15" s="1871">
        <f t="shared" si="2"/>
        <v>0</v>
      </c>
      <c r="Y15" s="2300">
        <f t="shared" si="2"/>
        <v>0</v>
      </c>
      <c r="Z15" s="1880">
        <f>SUM('5.5.a. sz. mell.'!F15)</f>
        <v>0</v>
      </c>
      <c r="AA15" s="248"/>
      <c r="AB15" s="1885">
        <f>SUM('5.5.a. sz. mell.'!H15)</f>
        <v>632070</v>
      </c>
      <c r="AC15" s="248"/>
      <c r="AD15" s="248">
        <f>SUM('5.5.a. sz. mell.'!J15)</f>
        <v>2808860</v>
      </c>
      <c r="AE15" s="248"/>
      <c r="AF15" s="1871">
        <f>SUM('5.5.a. sz. mell.'!L15)</f>
        <v>2808860</v>
      </c>
      <c r="AG15" s="2300">
        <f>SUM('5.5.a. sz. mell.'!M15)</f>
        <v>2808860</v>
      </c>
    </row>
    <row r="16" spans="1:35" s="145" customFormat="1" ht="15" customHeight="1" x14ac:dyDescent="0.2">
      <c r="A16" s="142"/>
      <c r="B16" s="152" t="s">
        <v>166</v>
      </c>
      <c r="C16" s="55" t="s">
        <v>417</v>
      </c>
      <c r="D16" s="144"/>
      <c r="E16" s="144"/>
      <c r="F16" s="144">
        <v>0</v>
      </c>
      <c r="G16" s="1415">
        <f t="shared" si="3"/>
        <v>0</v>
      </c>
      <c r="H16" s="144"/>
      <c r="I16" s="1376">
        <f t="shared" si="3"/>
        <v>3</v>
      </c>
      <c r="J16" s="144">
        <v>3</v>
      </c>
      <c r="K16" s="1376">
        <f t="shared" si="3"/>
        <v>0</v>
      </c>
      <c r="L16" s="144">
        <v>3</v>
      </c>
      <c r="M16" s="144">
        <v>3</v>
      </c>
      <c r="R16" s="1876">
        <f t="shared" si="0"/>
        <v>0</v>
      </c>
      <c r="S16" s="248"/>
      <c r="T16" s="1885">
        <f t="shared" si="1"/>
        <v>0</v>
      </c>
      <c r="U16" s="248"/>
      <c r="V16" s="248">
        <f t="shared" si="1"/>
        <v>0</v>
      </c>
      <c r="W16" s="248"/>
      <c r="X16" s="1871">
        <f t="shared" si="2"/>
        <v>0</v>
      </c>
      <c r="Y16" s="2300">
        <f t="shared" si="2"/>
        <v>0</v>
      </c>
      <c r="Z16" s="1880">
        <f>SUM('5.5.a. sz. mell.'!F16)</f>
        <v>0</v>
      </c>
      <c r="AA16" s="248"/>
      <c r="AB16" s="1885">
        <f>SUM('5.5.a. sz. mell.'!H16)</f>
        <v>0</v>
      </c>
      <c r="AC16" s="248"/>
      <c r="AD16" s="248">
        <f>SUM('5.5.a. sz. mell.'!J16)</f>
        <v>3</v>
      </c>
      <c r="AE16" s="248"/>
      <c r="AF16" s="1871">
        <f>SUM('5.5.a. sz. mell.'!L16)</f>
        <v>3</v>
      </c>
      <c r="AG16" s="2300">
        <f>SUM('5.5.a. sz. mell.'!M16)</f>
        <v>3</v>
      </c>
    </row>
    <row r="17" spans="1:3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415">
        <f t="shared" si="3"/>
        <v>0</v>
      </c>
      <c r="H17" s="153"/>
      <c r="I17" s="1376">
        <f t="shared" si="3"/>
        <v>0</v>
      </c>
      <c r="J17" s="153"/>
      <c r="K17" s="1376">
        <f t="shared" si="3"/>
        <v>0</v>
      </c>
      <c r="L17" s="153"/>
      <c r="M17" s="153"/>
      <c r="R17" s="1876">
        <f t="shared" si="0"/>
        <v>0</v>
      </c>
      <c r="S17" s="248"/>
      <c r="T17" s="1885">
        <f t="shared" si="1"/>
        <v>0</v>
      </c>
      <c r="U17" s="248"/>
      <c r="V17" s="248">
        <f t="shared" si="1"/>
        <v>0</v>
      </c>
      <c r="W17" s="248"/>
      <c r="X17" s="1871">
        <f t="shared" si="2"/>
        <v>0</v>
      </c>
      <c r="Y17" s="2300">
        <f t="shared" si="2"/>
        <v>0</v>
      </c>
      <c r="Z17" s="1880">
        <f>SUM('5.5.a. sz. mell.'!F17)</f>
        <v>0</v>
      </c>
      <c r="AA17" s="248"/>
      <c r="AB17" s="1885">
        <f>SUM('5.5.a. sz. mell.'!H17)</f>
        <v>0</v>
      </c>
      <c r="AC17" s="248"/>
      <c r="AD17" s="248">
        <f>SUM('5.5.a. sz. mell.'!J17)</f>
        <v>0</v>
      </c>
      <c r="AE17" s="248"/>
      <c r="AF17" s="1871">
        <f>SUM('5.5.a. sz. mell.'!L17)</f>
        <v>0</v>
      </c>
      <c r="AG17" s="2300">
        <f>SUM('5.5.a. sz. mell.'!M17)</f>
        <v>0</v>
      </c>
    </row>
    <row r="18" spans="1:3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415">
        <f t="shared" si="3"/>
        <v>7890</v>
      </c>
      <c r="H18" s="153">
        <v>7890</v>
      </c>
      <c r="I18" s="1376">
        <f t="shared" si="3"/>
        <v>8159</v>
      </c>
      <c r="J18" s="153">
        <v>16049</v>
      </c>
      <c r="K18" s="1376">
        <f t="shared" si="3"/>
        <v>0</v>
      </c>
      <c r="L18" s="153">
        <v>16049</v>
      </c>
      <c r="M18" s="153">
        <v>16049</v>
      </c>
      <c r="O18" s="205"/>
      <c r="R18" s="1876">
        <f t="shared" si="0"/>
        <v>0</v>
      </c>
      <c r="S18" s="248"/>
      <c r="T18" s="1885">
        <f t="shared" si="1"/>
        <v>0</v>
      </c>
      <c r="U18" s="248"/>
      <c r="V18" s="248">
        <f t="shared" si="1"/>
        <v>0</v>
      </c>
      <c r="W18" s="248"/>
      <c r="X18" s="1871">
        <f t="shared" si="2"/>
        <v>0</v>
      </c>
      <c r="Y18" s="2300">
        <f t="shared" si="2"/>
        <v>0</v>
      </c>
      <c r="Z18" s="1880">
        <f>SUM('5.5.a. sz. mell.'!F18)</f>
        <v>0</v>
      </c>
      <c r="AA18" s="248"/>
      <c r="AB18" s="1885">
        <f>SUM('5.5.a. sz. mell.'!H18)</f>
        <v>7890</v>
      </c>
      <c r="AC18" s="248"/>
      <c r="AD18" s="248">
        <f>SUM('5.5.a. sz. mell.'!J18)</f>
        <v>16049</v>
      </c>
      <c r="AE18" s="248"/>
      <c r="AF18" s="1871">
        <f>SUM('5.5.a. sz. mell.'!L18)</f>
        <v>16049</v>
      </c>
      <c r="AG18" s="2300">
        <f>SUM('5.5.a. sz. mell.'!M18)</f>
        <v>16049</v>
      </c>
    </row>
    <row r="19" spans="1:33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45331</v>
      </c>
      <c r="E19" s="137">
        <f>SUM(E20:E25)</f>
        <v>47120</v>
      </c>
      <c r="F19" s="137">
        <f>SUM(F20+F24+F25)</f>
        <v>0</v>
      </c>
      <c r="G19" s="1382"/>
      <c r="H19" s="137">
        <f>SUM(H20+H24+H25)</f>
        <v>0</v>
      </c>
      <c r="I19" s="1374"/>
      <c r="J19" s="137">
        <f>SUM(J20+J24+J25)</f>
        <v>0</v>
      </c>
      <c r="K19" s="1374"/>
      <c r="L19" s="137">
        <f>SUM(L20+L24+L25)</f>
        <v>0</v>
      </c>
      <c r="M19" s="137">
        <f>SUM(M20:M25)</f>
        <v>0</v>
      </c>
      <c r="R19" s="1876">
        <f t="shared" si="0"/>
        <v>0</v>
      </c>
      <c r="S19" s="248"/>
      <c r="T19" s="1885">
        <f t="shared" si="1"/>
        <v>0</v>
      </c>
      <c r="U19" s="248"/>
      <c r="V19" s="248">
        <f t="shared" si="1"/>
        <v>0</v>
      </c>
      <c r="W19" s="248"/>
      <c r="X19" s="1871">
        <f t="shared" si="2"/>
        <v>0</v>
      </c>
      <c r="Y19" s="2300">
        <f t="shared" si="2"/>
        <v>0</v>
      </c>
      <c r="Z19" s="1880">
        <f>SUM('5.5.a. sz. mell.'!F19)</f>
        <v>0</v>
      </c>
      <c r="AA19" s="248"/>
      <c r="AB19" s="1885">
        <f>SUM('5.5.a. sz. mell.'!H19)</f>
        <v>0</v>
      </c>
      <c r="AC19" s="248"/>
      <c r="AD19" s="248">
        <f>SUM('5.5.a. sz. mell.'!J19)</f>
        <v>0</v>
      </c>
      <c r="AE19" s="248"/>
      <c r="AF19" s="1871">
        <f>SUM('5.5.a. sz. mell.'!L19)</f>
        <v>0</v>
      </c>
      <c r="AG19" s="2300">
        <f>SUM('5.5.a. sz. mell.'!M19)</f>
        <v>0</v>
      </c>
    </row>
    <row r="20" spans="1:33" s="145" customFormat="1" ht="30" x14ac:dyDescent="0.2">
      <c r="A20" s="142"/>
      <c r="B20" s="143" t="s">
        <v>5</v>
      </c>
      <c r="C20" s="251" t="s">
        <v>420</v>
      </c>
      <c r="D20" s="144">
        <v>45331</v>
      </c>
      <c r="E20" s="144">
        <v>47120</v>
      </c>
      <c r="F20" s="144">
        <f>SUM(F21:F23)</f>
        <v>0</v>
      </c>
      <c r="G20" s="1415"/>
      <c r="H20" s="144">
        <f>SUM(H21:H23)</f>
        <v>0</v>
      </c>
      <c r="I20" s="1376"/>
      <c r="J20" s="144">
        <f>SUM(J21:J23)</f>
        <v>0</v>
      </c>
      <c r="K20" s="1376"/>
      <c r="L20" s="144">
        <f>SUM(L21:L23)</f>
        <v>0</v>
      </c>
      <c r="M20" s="144"/>
      <c r="R20" s="1876">
        <f t="shared" si="0"/>
        <v>0</v>
      </c>
      <c r="S20" s="248"/>
      <c r="T20" s="1885">
        <f t="shared" si="1"/>
        <v>0</v>
      </c>
      <c r="U20" s="248"/>
      <c r="V20" s="248">
        <f t="shared" si="1"/>
        <v>0</v>
      </c>
      <c r="W20" s="248"/>
      <c r="X20" s="1871">
        <f t="shared" si="2"/>
        <v>0</v>
      </c>
      <c r="Y20" s="2300">
        <f t="shared" si="2"/>
        <v>0</v>
      </c>
      <c r="Z20" s="1880">
        <f>SUM('5.5.a. sz. mell.'!F20)</f>
        <v>0</v>
      </c>
      <c r="AA20" s="248"/>
      <c r="AB20" s="1885">
        <f>SUM('5.5.a. sz. mell.'!H20)</f>
        <v>0</v>
      </c>
      <c r="AC20" s="248"/>
      <c r="AD20" s="248">
        <f>SUM('5.5.a. sz. mell.'!J20)</f>
        <v>0</v>
      </c>
      <c r="AE20" s="248"/>
      <c r="AF20" s="1871">
        <f>SUM('5.5.a. sz. mell.'!L20)</f>
        <v>0</v>
      </c>
      <c r="AG20" s="2300">
        <f>SUM('5.5.a. sz. mell.'!M20)</f>
        <v>0</v>
      </c>
    </row>
    <row r="21" spans="1:3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>
        <v>0</v>
      </c>
      <c r="G21" s="1415"/>
      <c r="H21" s="144">
        <v>0</v>
      </c>
      <c r="I21" s="1376"/>
      <c r="J21" s="144">
        <v>0</v>
      </c>
      <c r="K21" s="1376"/>
      <c r="L21" s="144">
        <v>0</v>
      </c>
      <c r="M21" s="144">
        <v>0</v>
      </c>
      <c r="R21" s="1876">
        <f t="shared" si="0"/>
        <v>0</v>
      </c>
      <c r="S21" s="248"/>
      <c r="T21" s="1885">
        <f t="shared" si="1"/>
        <v>0</v>
      </c>
      <c r="U21" s="248"/>
      <c r="V21" s="248">
        <f t="shared" si="1"/>
        <v>0</v>
      </c>
      <c r="W21" s="248"/>
      <c r="X21" s="1871">
        <f t="shared" si="2"/>
        <v>0</v>
      </c>
      <c r="Y21" s="2300">
        <f t="shared" si="2"/>
        <v>0</v>
      </c>
      <c r="Z21" s="1880">
        <f>SUM('5.5.a. sz. mell.'!F21)</f>
        <v>0</v>
      </c>
      <c r="AA21" s="248"/>
      <c r="AB21" s="1885">
        <f>SUM('5.5.a. sz. mell.'!H21)</f>
        <v>0</v>
      </c>
      <c r="AC21" s="248"/>
      <c r="AD21" s="248">
        <f>SUM('5.5.a. sz. mell.'!J21)</f>
        <v>0</v>
      </c>
      <c r="AE21" s="248"/>
      <c r="AF21" s="1871">
        <f>SUM('5.5.a. sz. mell.'!L21)</f>
        <v>0</v>
      </c>
      <c r="AG21" s="2300">
        <f>SUM('5.5.a. sz. mell.'!M21)</f>
        <v>0</v>
      </c>
    </row>
    <row r="22" spans="1:33" s="145" customFormat="1" ht="15" customHeight="1" x14ac:dyDescent="0.2">
      <c r="A22" s="142"/>
      <c r="B22" s="143" t="s">
        <v>360</v>
      </c>
      <c r="C22" s="55" t="s">
        <v>1430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1376"/>
      <c r="L22" s="144">
        <v>0</v>
      </c>
      <c r="M22" s="144">
        <v>0</v>
      </c>
      <c r="R22" s="1876">
        <f t="shared" si="0"/>
        <v>0</v>
      </c>
      <c r="S22" s="248"/>
      <c r="T22" s="1885">
        <f t="shared" si="1"/>
        <v>0</v>
      </c>
      <c r="U22" s="248"/>
      <c r="V22" s="248">
        <f t="shared" si="1"/>
        <v>0</v>
      </c>
      <c r="W22" s="248"/>
      <c r="X22" s="1871">
        <f t="shared" si="2"/>
        <v>0</v>
      </c>
      <c r="Y22" s="2300">
        <f t="shared" si="2"/>
        <v>0</v>
      </c>
      <c r="Z22" s="1880">
        <f>SUM('5.5.a. sz. mell.'!F22)</f>
        <v>0</v>
      </c>
      <c r="AA22" s="248"/>
      <c r="AB22" s="1885">
        <f>SUM('5.5.a. sz. mell.'!H22)</f>
        <v>0</v>
      </c>
      <c r="AC22" s="248"/>
      <c r="AD22" s="248">
        <f>SUM('5.5.a. sz. mell.'!J22)</f>
        <v>0</v>
      </c>
      <c r="AE22" s="248"/>
      <c r="AF22" s="1871">
        <f>SUM('5.5.a. sz. mell.'!L22)</f>
        <v>0</v>
      </c>
      <c r="AG22" s="2300">
        <f>SUM('5.5.a. sz. mell.'!M22)</f>
        <v>0</v>
      </c>
    </row>
    <row r="23" spans="1:3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1376"/>
      <c r="L23" s="144">
        <v>0</v>
      </c>
      <c r="M23" s="144">
        <v>0</v>
      </c>
      <c r="R23" s="1876">
        <f t="shared" si="0"/>
        <v>0</v>
      </c>
      <c r="S23" s="248"/>
      <c r="T23" s="1885">
        <f t="shared" si="1"/>
        <v>0</v>
      </c>
      <c r="U23" s="248"/>
      <c r="V23" s="248">
        <f t="shared" si="1"/>
        <v>0</v>
      </c>
      <c r="W23" s="248"/>
      <c r="X23" s="1871">
        <f t="shared" si="2"/>
        <v>0</v>
      </c>
      <c r="Y23" s="2300">
        <f t="shared" si="2"/>
        <v>0</v>
      </c>
      <c r="Z23" s="1880">
        <f>SUM('5.5.a. sz. mell.'!F23)</f>
        <v>0</v>
      </c>
      <c r="AA23" s="248"/>
      <c r="AB23" s="1885">
        <f>SUM('5.5.a. sz. mell.'!H23)</f>
        <v>0</v>
      </c>
      <c r="AC23" s="248"/>
      <c r="AD23" s="248">
        <f>SUM('5.5.a. sz. mell.'!J23)</f>
        <v>0</v>
      </c>
      <c r="AE23" s="248"/>
      <c r="AF23" s="1871">
        <f>SUM('5.5.a. sz. mell.'!L23)</f>
        <v>0</v>
      </c>
      <c r="AG23" s="2300">
        <f>SUM('5.5.a. sz. mell.'!M23)</f>
        <v>0</v>
      </c>
    </row>
    <row r="24" spans="1:3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44">
        <v>0</v>
      </c>
      <c r="K24" s="1376"/>
      <c r="L24" s="144">
        <v>0</v>
      </c>
      <c r="M24" s="144">
        <v>0</v>
      </c>
      <c r="R24" s="1876">
        <f t="shared" si="0"/>
        <v>0</v>
      </c>
      <c r="S24" s="248"/>
      <c r="T24" s="1885">
        <f t="shared" ref="T24:V39" si="4">SUM(H24-AB24)</f>
        <v>0</v>
      </c>
      <c r="U24" s="248"/>
      <c r="V24" s="248">
        <f t="shared" si="4"/>
        <v>0</v>
      </c>
      <c r="W24" s="248"/>
      <c r="X24" s="1871">
        <f t="shared" si="2"/>
        <v>0</v>
      </c>
      <c r="Y24" s="2300">
        <f t="shared" si="2"/>
        <v>0</v>
      </c>
      <c r="Z24" s="1880">
        <f>SUM('5.5.a. sz. mell.'!F24)</f>
        <v>0</v>
      </c>
      <c r="AA24" s="248"/>
      <c r="AB24" s="1885">
        <f>SUM('5.5.a. sz. mell.'!H24)</f>
        <v>0</v>
      </c>
      <c r="AC24" s="248"/>
      <c r="AD24" s="248">
        <f>SUM('5.5.a. sz. mell.'!J24)</f>
        <v>0</v>
      </c>
      <c r="AE24" s="248"/>
      <c r="AF24" s="1871">
        <f>SUM('5.5.a. sz. mell.'!L24)</f>
        <v>0</v>
      </c>
      <c r="AG24" s="2300">
        <f>SUM('5.5.a. sz. mell.'!M24)</f>
        <v>0</v>
      </c>
    </row>
    <row r="25" spans="1:3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1376"/>
      <c r="L25" s="144">
        <v>0</v>
      </c>
      <c r="M25" s="144">
        <v>0</v>
      </c>
      <c r="R25" s="1876">
        <f t="shared" si="0"/>
        <v>0</v>
      </c>
      <c r="S25" s="248"/>
      <c r="T25" s="1885">
        <f t="shared" si="4"/>
        <v>0</v>
      </c>
      <c r="U25" s="248"/>
      <c r="V25" s="248">
        <f t="shared" si="4"/>
        <v>0</v>
      </c>
      <c r="W25" s="248"/>
      <c r="X25" s="1871">
        <f t="shared" si="2"/>
        <v>0</v>
      </c>
      <c r="Y25" s="2300">
        <f t="shared" si="2"/>
        <v>0</v>
      </c>
      <c r="Z25" s="1880">
        <f>SUM('5.5.a. sz. mell.'!F25)</f>
        <v>0</v>
      </c>
      <c r="AA25" s="248"/>
      <c r="AB25" s="1885">
        <f>SUM('5.5.a. sz. mell.'!H25)</f>
        <v>0</v>
      </c>
      <c r="AC25" s="248"/>
      <c r="AD25" s="248">
        <f>SUM('5.5.a. sz. mell.'!J25)</f>
        <v>0</v>
      </c>
      <c r="AE25" s="248"/>
      <c r="AF25" s="1871">
        <f>SUM('5.5.a. sz. mell.'!L25)</f>
        <v>0</v>
      </c>
      <c r="AG25" s="2300">
        <f>SUM('5.5.a. sz. mell.'!M25)</f>
        <v>0</v>
      </c>
    </row>
    <row r="26" spans="1:33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155">
        <f>SUM(F27)</f>
        <v>0</v>
      </c>
      <c r="G26" s="1381"/>
      <c r="H26" s="155">
        <f>SUM(H27)</f>
        <v>0</v>
      </c>
      <c r="I26" s="1380"/>
      <c r="J26" s="155">
        <f>SUM(J27)</f>
        <v>0</v>
      </c>
      <c r="K26" s="1380"/>
      <c r="L26" s="155">
        <f>SUM(L27)</f>
        <v>0</v>
      </c>
      <c r="M26" s="155">
        <v>0</v>
      </c>
      <c r="R26" s="1876">
        <f t="shared" si="0"/>
        <v>0</v>
      </c>
      <c r="S26" s="248"/>
      <c r="T26" s="1885">
        <f t="shared" si="4"/>
        <v>0</v>
      </c>
      <c r="U26" s="248"/>
      <c r="V26" s="248">
        <f t="shared" si="4"/>
        <v>0</v>
      </c>
      <c r="W26" s="248"/>
      <c r="X26" s="1871">
        <f t="shared" si="2"/>
        <v>0</v>
      </c>
      <c r="Y26" s="2300">
        <f t="shared" si="2"/>
        <v>0</v>
      </c>
      <c r="Z26" s="1880">
        <f>SUM('5.5.a. sz. mell.'!F26)</f>
        <v>0</v>
      </c>
      <c r="AA26" s="248"/>
      <c r="AB26" s="1885">
        <f>SUM('5.5.a. sz. mell.'!H26)</f>
        <v>0</v>
      </c>
      <c r="AC26" s="248"/>
      <c r="AD26" s="248">
        <f>SUM('5.5.a. sz. mell.'!J26)</f>
        <v>0</v>
      </c>
      <c r="AE26" s="248"/>
      <c r="AF26" s="1871">
        <f>SUM('5.5.a. sz. mell.'!L26)</f>
        <v>0</v>
      </c>
      <c r="AG26" s="2300">
        <f>SUM('5.5.a. sz. mell.'!M26)</f>
        <v>0</v>
      </c>
    </row>
    <row r="27" spans="1:33" s="145" customFormat="1" ht="30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1519"/>
      <c r="H27" s="147">
        <v>0</v>
      </c>
      <c r="I27" s="1377"/>
      <c r="J27" s="147">
        <v>0</v>
      </c>
      <c r="K27" s="1377"/>
      <c r="L27" s="147">
        <v>0</v>
      </c>
      <c r="M27" s="147">
        <v>0</v>
      </c>
      <c r="R27" s="1876">
        <f t="shared" si="0"/>
        <v>0</v>
      </c>
      <c r="S27" s="248"/>
      <c r="T27" s="1885">
        <f t="shared" si="4"/>
        <v>0</v>
      </c>
      <c r="U27" s="248"/>
      <c r="V27" s="248">
        <f t="shared" si="4"/>
        <v>0</v>
      </c>
      <c r="W27" s="248"/>
      <c r="X27" s="1871">
        <f t="shared" si="2"/>
        <v>0</v>
      </c>
      <c r="Y27" s="2300">
        <f t="shared" si="2"/>
        <v>0</v>
      </c>
      <c r="Z27" s="1880">
        <f>SUM('5.5.a. sz. mell.'!F27)</f>
        <v>0</v>
      </c>
      <c r="AA27" s="248"/>
      <c r="AB27" s="1885">
        <f>SUM('5.5.a. sz. mell.'!H27)</f>
        <v>0</v>
      </c>
      <c r="AC27" s="248"/>
      <c r="AD27" s="248">
        <f>SUM('5.5.a. sz. mell.'!J27)</f>
        <v>0</v>
      </c>
      <c r="AE27" s="248"/>
      <c r="AF27" s="1871">
        <f>SUM('5.5.a. sz. mell.'!L27)</f>
        <v>0</v>
      </c>
      <c r="AG27" s="2300">
        <f>SUM('5.5.a. sz. mell.'!M27)</f>
        <v>0</v>
      </c>
    </row>
    <row r="28" spans="1:33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1381"/>
      <c r="H28" s="155">
        <f>SUM(H29:H31)</f>
        <v>0</v>
      </c>
      <c r="I28" s="1380"/>
      <c r="J28" s="155">
        <f>SUM(J29:J31)</f>
        <v>0</v>
      </c>
      <c r="K28" s="1380"/>
      <c r="L28" s="155">
        <f>SUM(L29:L31)</f>
        <v>0</v>
      </c>
      <c r="M28" s="155">
        <v>0</v>
      </c>
      <c r="R28" s="1876">
        <f t="shared" si="0"/>
        <v>0</v>
      </c>
      <c r="S28" s="248"/>
      <c r="T28" s="1885">
        <f t="shared" si="4"/>
        <v>0</v>
      </c>
      <c r="U28" s="248"/>
      <c r="V28" s="248">
        <f t="shared" si="4"/>
        <v>0</v>
      </c>
      <c r="W28" s="248"/>
      <c r="X28" s="1871">
        <f t="shared" si="2"/>
        <v>0</v>
      </c>
      <c r="Y28" s="2300">
        <f t="shared" si="2"/>
        <v>0</v>
      </c>
      <c r="Z28" s="1880">
        <f>SUM('5.5.a. sz. mell.'!F28)</f>
        <v>0</v>
      </c>
      <c r="AA28" s="248"/>
      <c r="AB28" s="1885">
        <f>SUM('5.5.a. sz. mell.'!H28)</f>
        <v>0</v>
      </c>
      <c r="AC28" s="248"/>
      <c r="AD28" s="248">
        <f>SUM('5.5.a. sz. mell.'!J28)</f>
        <v>0</v>
      </c>
      <c r="AE28" s="248"/>
      <c r="AF28" s="1871">
        <f>SUM('5.5.a. sz. mell.'!L28)</f>
        <v>0</v>
      </c>
      <c r="AG28" s="2300">
        <f>SUM('5.5.a. sz. mell.'!M28)</f>
        <v>0</v>
      </c>
    </row>
    <row r="29" spans="1:3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1415"/>
      <c r="H29" s="144">
        <v>0</v>
      </c>
      <c r="I29" s="1376"/>
      <c r="J29" s="144">
        <v>0</v>
      </c>
      <c r="K29" s="1376"/>
      <c r="L29" s="144">
        <v>0</v>
      </c>
      <c r="M29" s="144">
        <v>0</v>
      </c>
      <c r="R29" s="1876">
        <f t="shared" si="0"/>
        <v>0</v>
      </c>
      <c r="S29" s="248"/>
      <c r="T29" s="1885">
        <f t="shared" si="4"/>
        <v>0</v>
      </c>
      <c r="U29" s="248"/>
      <c r="V29" s="248">
        <f t="shared" si="4"/>
        <v>0</v>
      </c>
      <c r="W29" s="248"/>
      <c r="X29" s="1871">
        <f t="shared" si="2"/>
        <v>0</v>
      </c>
      <c r="Y29" s="2300">
        <f t="shared" si="2"/>
        <v>0</v>
      </c>
      <c r="Z29" s="1880">
        <f>SUM('5.5.a. sz. mell.'!F29)</f>
        <v>0</v>
      </c>
      <c r="AA29" s="248"/>
      <c r="AB29" s="1885">
        <f>SUM('5.5.a. sz. mell.'!H29)</f>
        <v>0</v>
      </c>
      <c r="AC29" s="248"/>
      <c r="AD29" s="248">
        <f>SUM('5.5.a. sz. mell.'!J29)</f>
        <v>0</v>
      </c>
      <c r="AE29" s="248"/>
      <c r="AF29" s="1871">
        <f>SUM('5.5.a. sz. mell.'!L29)</f>
        <v>0</v>
      </c>
      <c r="AG29" s="2300">
        <f>SUM('5.5.a. sz. mell.'!M29)</f>
        <v>0</v>
      </c>
    </row>
    <row r="30" spans="1:3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1415"/>
      <c r="H30" s="144">
        <v>0</v>
      </c>
      <c r="I30" s="1376"/>
      <c r="J30" s="144">
        <v>0</v>
      </c>
      <c r="K30" s="1376"/>
      <c r="L30" s="144">
        <v>0</v>
      </c>
      <c r="M30" s="144">
        <v>0</v>
      </c>
      <c r="R30" s="1876">
        <f t="shared" si="0"/>
        <v>0</v>
      </c>
      <c r="S30" s="248"/>
      <c r="T30" s="1885">
        <f t="shared" si="4"/>
        <v>0</v>
      </c>
      <c r="U30" s="248"/>
      <c r="V30" s="248">
        <f t="shared" si="4"/>
        <v>0</v>
      </c>
      <c r="W30" s="248"/>
      <c r="X30" s="1871">
        <f t="shared" si="2"/>
        <v>0</v>
      </c>
      <c r="Y30" s="2300">
        <f t="shared" si="2"/>
        <v>0</v>
      </c>
      <c r="Z30" s="1880">
        <f>SUM('5.5.a. sz. mell.'!F30)</f>
        <v>0</v>
      </c>
      <c r="AA30" s="248"/>
      <c r="AB30" s="1885">
        <f>SUM('5.5.a. sz. mell.'!H30)</f>
        <v>0</v>
      </c>
      <c r="AC30" s="248"/>
      <c r="AD30" s="248">
        <f>SUM('5.5.a. sz. mell.'!J30)</f>
        <v>0</v>
      </c>
      <c r="AE30" s="248"/>
      <c r="AF30" s="1871">
        <f>SUM('5.5.a. sz. mell.'!L30)</f>
        <v>0</v>
      </c>
      <c r="AG30" s="2300">
        <f>SUM('5.5.a. sz. mell.'!M30)</f>
        <v>0</v>
      </c>
    </row>
    <row r="31" spans="1:3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1415"/>
      <c r="H31" s="144">
        <v>0</v>
      </c>
      <c r="I31" s="1376"/>
      <c r="J31" s="144">
        <v>0</v>
      </c>
      <c r="K31" s="1376"/>
      <c r="L31" s="144">
        <v>0</v>
      </c>
      <c r="M31" s="144">
        <v>0</v>
      </c>
      <c r="R31" s="1876">
        <f t="shared" si="0"/>
        <v>0</v>
      </c>
      <c r="S31" s="248"/>
      <c r="T31" s="1885">
        <f t="shared" si="4"/>
        <v>0</v>
      </c>
      <c r="U31" s="248"/>
      <c r="V31" s="248">
        <f t="shared" si="4"/>
        <v>0</v>
      </c>
      <c r="W31" s="248"/>
      <c r="X31" s="1871">
        <f t="shared" si="2"/>
        <v>0</v>
      </c>
      <c r="Y31" s="2300">
        <f t="shared" si="2"/>
        <v>0</v>
      </c>
      <c r="Z31" s="1880">
        <f>SUM('5.5.a. sz. mell.'!F31)</f>
        <v>0</v>
      </c>
      <c r="AA31" s="248"/>
      <c r="AB31" s="1885">
        <f>SUM('5.5.a. sz. mell.'!H31)</f>
        <v>0</v>
      </c>
      <c r="AC31" s="248"/>
      <c r="AD31" s="248">
        <f>SUM('5.5.a. sz. mell.'!J31)</f>
        <v>0</v>
      </c>
      <c r="AE31" s="248"/>
      <c r="AF31" s="1871">
        <f>SUM('5.5.a. sz. mell.'!L31)</f>
        <v>0</v>
      </c>
      <c r="AG31" s="2300">
        <f>SUM('5.5.a. sz. mell.'!M31)</f>
        <v>0</v>
      </c>
    </row>
    <row r="32" spans="1:33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0"/>
      <c r="J32" s="155">
        <v>0</v>
      </c>
      <c r="K32" s="1380"/>
      <c r="L32" s="155">
        <v>0</v>
      </c>
      <c r="M32" s="155">
        <v>0</v>
      </c>
      <c r="R32" s="1876">
        <f t="shared" si="0"/>
        <v>0</v>
      </c>
      <c r="S32" s="248"/>
      <c r="T32" s="1885">
        <f t="shared" si="4"/>
        <v>0</v>
      </c>
      <c r="U32" s="248"/>
      <c r="V32" s="248">
        <f t="shared" si="4"/>
        <v>0</v>
      </c>
      <c r="W32" s="248"/>
      <c r="X32" s="1871">
        <f t="shared" si="2"/>
        <v>0</v>
      </c>
      <c r="Y32" s="2300">
        <f t="shared" si="2"/>
        <v>0</v>
      </c>
      <c r="Z32" s="1880">
        <f>SUM('5.5.a. sz. mell.'!F32)</f>
        <v>0</v>
      </c>
      <c r="AA32" s="248"/>
      <c r="AB32" s="1885">
        <f>SUM('5.5.a. sz. mell.'!H32)</f>
        <v>0</v>
      </c>
      <c r="AC32" s="248"/>
      <c r="AD32" s="248">
        <f>SUM('5.5.a. sz. mell.'!J32)</f>
        <v>0</v>
      </c>
      <c r="AE32" s="248"/>
      <c r="AF32" s="1871">
        <f>SUM('5.5.a. sz. mell.'!L32)</f>
        <v>0</v>
      </c>
      <c r="AG32" s="2300">
        <f>SUM('5.5.a. sz. mell.'!M32)</f>
        <v>0</v>
      </c>
    </row>
    <row r="33" spans="1:33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9028</v>
      </c>
      <c r="F33" s="285">
        <f>+F34+F35</f>
        <v>0</v>
      </c>
      <c r="G33" s="1382"/>
      <c r="H33" s="285">
        <f>+H34+H35</f>
        <v>0</v>
      </c>
      <c r="I33" s="1382"/>
      <c r="J33" s="285">
        <f>+J34+J35</f>
        <v>0</v>
      </c>
      <c r="K33" s="1382"/>
      <c r="L33" s="285">
        <f>+L34+L35</f>
        <v>0</v>
      </c>
      <c r="M33" s="285">
        <f>+M34+M35</f>
        <v>0</v>
      </c>
      <c r="R33" s="1876">
        <f t="shared" si="0"/>
        <v>0</v>
      </c>
      <c r="S33" s="248"/>
      <c r="T33" s="1885">
        <f t="shared" si="4"/>
        <v>0</v>
      </c>
      <c r="U33" s="248"/>
      <c r="V33" s="248">
        <f t="shared" si="4"/>
        <v>0</v>
      </c>
      <c r="W33" s="248"/>
      <c r="X33" s="1871">
        <f t="shared" si="2"/>
        <v>0</v>
      </c>
      <c r="Y33" s="2300">
        <f t="shared" si="2"/>
        <v>0</v>
      </c>
      <c r="Z33" s="1880">
        <f>SUM('5.5.a. sz. mell.'!F33)</f>
        <v>0</v>
      </c>
      <c r="AA33" s="248"/>
      <c r="AB33" s="1885">
        <f>SUM('5.5.a. sz. mell.'!H33)</f>
        <v>0</v>
      </c>
      <c r="AC33" s="248"/>
      <c r="AD33" s="248">
        <f>SUM('5.5.a. sz. mell.'!J33)</f>
        <v>0</v>
      </c>
      <c r="AE33" s="248"/>
      <c r="AF33" s="1871">
        <f>SUM('5.5.a. sz. mell.'!L33)</f>
        <v>0</v>
      </c>
      <c r="AG33" s="2300">
        <f>SUM('5.5.a. sz. mell.'!M33)</f>
        <v>0</v>
      </c>
    </row>
    <row r="34" spans="1:33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9028</v>
      </c>
      <c r="F34" s="306"/>
      <c r="G34" s="1383"/>
      <c r="H34" s="306"/>
      <c r="I34" s="1383"/>
      <c r="J34" s="306"/>
      <c r="K34" s="1383"/>
      <c r="L34" s="306"/>
      <c r="M34" s="306"/>
      <c r="R34" s="1876">
        <f t="shared" si="0"/>
        <v>0</v>
      </c>
      <c r="S34" s="248"/>
      <c r="T34" s="1885">
        <f t="shared" si="4"/>
        <v>0</v>
      </c>
      <c r="U34" s="248"/>
      <c r="V34" s="248">
        <f t="shared" si="4"/>
        <v>0</v>
      </c>
      <c r="W34" s="248"/>
      <c r="X34" s="1871">
        <f t="shared" si="2"/>
        <v>0</v>
      </c>
      <c r="Y34" s="2300">
        <f t="shared" si="2"/>
        <v>0</v>
      </c>
      <c r="Z34" s="1880">
        <f>SUM('5.5.a. sz. mell.'!F34)</f>
        <v>0</v>
      </c>
      <c r="AA34" s="248"/>
      <c r="AB34" s="1885">
        <f>SUM('5.5.a. sz. mell.'!H34)</f>
        <v>0</v>
      </c>
      <c r="AC34" s="248"/>
      <c r="AD34" s="248">
        <f>SUM('5.5.a. sz. mell.'!J34)</f>
        <v>0</v>
      </c>
      <c r="AE34" s="248"/>
      <c r="AF34" s="1871">
        <f>SUM('5.5.a. sz. mell.'!L34)</f>
        <v>0</v>
      </c>
      <c r="AG34" s="2300">
        <f>SUM('5.5.a. sz. mell.'!M34)</f>
        <v>0</v>
      </c>
    </row>
    <row r="35" spans="1:33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>
        <v>0</v>
      </c>
      <c r="K35" s="1384"/>
      <c r="L35" s="294">
        <v>0</v>
      </c>
      <c r="M35" s="294">
        <v>0</v>
      </c>
      <c r="R35" s="1876">
        <f t="shared" si="0"/>
        <v>0</v>
      </c>
      <c r="S35" s="248"/>
      <c r="T35" s="1885">
        <f t="shared" si="4"/>
        <v>0</v>
      </c>
      <c r="U35" s="248"/>
      <c r="V35" s="248">
        <f t="shared" si="4"/>
        <v>0</v>
      </c>
      <c r="W35" s="248"/>
      <c r="X35" s="1871">
        <f t="shared" si="2"/>
        <v>0</v>
      </c>
      <c r="Y35" s="2300">
        <f t="shared" si="2"/>
        <v>0</v>
      </c>
      <c r="Z35" s="1880">
        <f>SUM('5.5.a. sz. mell.'!F35)</f>
        <v>0</v>
      </c>
      <c r="AA35" s="248"/>
      <c r="AB35" s="1885">
        <f>SUM('5.5.a. sz. mell.'!H35)</f>
        <v>0</v>
      </c>
      <c r="AC35" s="248"/>
      <c r="AD35" s="248">
        <f>SUM('5.5.a. sz. mell.'!J35)</f>
        <v>0</v>
      </c>
      <c r="AE35" s="248"/>
      <c r="AF35" s="1871">
        <f>SUM('5.5.a. sz. mell.'!L35)</f>
        <v>0</v>
      </c>
      <c r="AG35" s="2300">
        <f>SUM('5.5.a. sz. mell.'!M35)</f>
        <v>0</v>
      </c>
    </row>
    <row r="36" spans="1:33" s="141" customFormat="1" ht="29.25" thickBot="1" x14ac:dyDescent="0.25">
      <c r="A36" s="134" t="s">
        <v>67</v>
      </c>
      <c r="B36" s="254"/>
      <c r="C36" s="170" t="s">
        <v>429</v>
      </c>
      <c r="D36" s="320"/>
      <c r="E36" s="320"/>
      <c r="F36" s="155">
        <f>SUM(F37)</f>
        <v>0</v>
      </c>
      <c r="G36" s="1381"/>
      <c r="H36" s="155">
        <f>SUM(H37)</f>
        <v>0</v>
      </c>
      <c r="I36" s="1380"/>
      <c r="J36" s="155">
        <f>SUM(J37)</f>
        <v>0</v>
      </c>
      <c r="K36" s="1380"/>
      <c r="L36" s="155">
        <f>SUM(L37)</f>
        <v>0</v>
      </c>
      <c r="M36" s="155">
        <v>0</v>
      </c>
      <c r="R36" s="1876">
        <f t="shared" si="0"/>
        <v>0</v>
      </c>
      <c r="S36" s="248"/>
      <c r="T36" s="1885">
        <f t="shared" si="4"/>
        <v>0</v>
      </c>
      <c r="U36" s="248"/>
      <c r="V36" s="248">
        <f t="shared" si="4"/>
        <v>0</v>
      </c>
      <c r="W36" s="248"/>
      <c r="X36" s="1871">
        <f t="shared" si="2"/>
        <v>0</v>
      </c>
      <c r="Y36" s="2300">
        <f t="shared" si="2"/>
        <v>0</v>
      </c>
      <c r="Z36" s="1880">
        <f>SUM('5.5.a. sz. mell.'!F36)</f>
        <v>0</v>
      </c>
      <c r="AA36" s="248"/>
      <c r="AB36" s="1885">
        <f>SUM('5.5.a. sz. mell.'!H36)</f>
        <v>0</v>
      </c>
      <c r="AC36" s="248"/>
      <c r="AD36" s="248">
        <f>SUM('5.5.a. sz. mell.'!J36)</f>
        <v>0</v>
      </c>
      <c r="AE36" s="248"/>
      <c r="AF36" s="1871">
        <f>SUM('5.5.a. sz. mell.'!L36)</f>
        <v>0</v>
      </c>
      <c r="AG36" s="2300">
        <f>SUM('5.5.a. sz. mell.'!M36)</f>
        <v>0</v>
      </c>
    </row>
    <row r="37" spans="1:33" s="141" customFormat="1" ht="30.75" thickBot="1" x14ac:dyDescent="0.25">
      <c r="A37" s="146"/>
      <c r="B37" s="255" t="s">
        <v>47</v>
      </c>
      <c r="C37" s="251" t="s">
        <v>430</v>
      </c>
      <c r="D37" s="320"/>
      <c r="E37" s="320"/>
      <c r="F37" s="144">
        <v>0</v>
      </c>
      <c r="G37" s="1415"/>
      <c r="H37" s="144">
        <v>0</v>
      </c>
      <c r="I37" s="1376"/>
      <c r="J37" s="144">
        <v>0</v>
      </c>
      <c r="K37" s="1376"/>
      <c r="L37" s="144">
        <v>0</v>
      </c>
      <c r="M37" s="144">
        <v>0</v>
      </c>
      <c r="R37" s="1876">
        <f t="shared" si="0"/>
        <v>0</v>
      </c>
      <c r="S37" s="248"/>
      <c r="T37" s="1885">
        <f t="shared" si="4"/>
        <v>0</v>
      </c>
      <c r="U37" s="248"/>
      <c r="V37" s="248">
        <f t="shared" si="4"/>
        <v>0</v>
      </c>
      <c r="W37" s="248"/>
      <c r="X37" s="1871">
        <f t="shared" si="2"/>
        <v>0</v>
      </c>
      <c r="Y37" s="2300">
        <f t="shared" si="2"/>
        <v>0</v>
      </c>
      <c r="Z37" s="1880">
        <f>SUM('5.5.a. sz. mell.'!F37)</f>
        <v>0</v>
      </c>
      <c r="AA37" s="248"/>
      <c r="AB37" s="1885">
        <f>SUM('5.5.a. sz. mell.'!H37)</f>
        <v>0</v>
      </c>
      <c r="AC37" s="248"/>
      <c r="AD37" s="248">
        <f>SUM('5.5.a. sz. mell.'!J37)</f>
        <v>0</v>
      </c>
      <c r="AE37" s="248"/>
      <c r="AF37" s="1871">
        <f>SUM('5.5.a. sz. mell.'!L37)</f>
        <v>0</v>
      </c>
      <c r="AG37" s="2300">
        <f>SUM('5.5.a. sz. mell.'!M37)</f>
        <v>0</v>
      </c>
    </row>
    <row r="38" spans="1:33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f>SUM(F39)</f>
        <v>0</v>
      </c>
      <c r="G38" s="1381"/>
      <c r="H38" s="155">
        <f>SUM(H39)</f>
        <v>0</v>
      </c>
      <c r="I38" s="1380"/>
      <c r="J38" s="155">
        <f>SUM(J39)</f>
        <v>0</v>
      </c>
      <c r="K38" s="1380"/>
      <c r="L38" s="155">
        <f>SUM(L39)</f>
        <v>0</v>
      </c>
      <c r="M38" s="155">
        <v>0</v>
      </c>
      <c r="R38" s="1876">
        <f t="shared" si="0"/>
        <v>0</v>
      </c>
      <c r="S38" s="248"/>
      <c r="T38" s="1885">
        <f t="shared" si="4"/>
        <v>0</v>
      </c>
      <c r="U38" s="248"/>
      <c r="V38" s="248">
        <f t="shared" si="4"/>
        <v>0</v>
      </c>
      <c r="W38" s="248"/>
      <c r="X38" s="1871">
        <f t="shared" si="2"/>
        <v>0</v>
      </c>
      <c r="Y38" s="2300">
        <f t="shared" si="2"/>
        <v>0</v>
      </c>
      <c r="Z38" s="1880">
        <f>SUM('5.5.a. sz. mell.'!F38)</f>
        <v>0</v>
      </c>
      <c r="AA38" s="248"/>
      <c r="AB38" s="1885">
        <f>SUM('5.5.a. sz. mell.'!H38)</f>
        <v>0</v>
      </c>
      <c r="AC38" s="248"/>
      <c r="AD38" s="248">
        <f>SUM('5.5.a. sz. mell.'!J38)</f>
        <v>0</v>
      </c>
      <c r="AE38" s="248"/>
      <c r="AF38" s="1871">
        <f>SUM('5.5.a. sz. mell.'!L38)</f>
        <v>0</v>
      </c>
      <c r="AG38" s="2300">
        <f>SUM('5.5.a. sz. mell.'!M38)</f>
        <v>0</v>
      </c>
    </row>
    <row r="39" spans="1:33" s="141" customFormat="1" ht="30.75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2682"/>
      <c r="H39" s="320">
        <v>0</v>
      </c>
      <c r="I39" s="1474"/>
      <c r="J39" s="320">
        <v>0</v>
      </c>
      <c r="K39" s="1474"/>
      <c r="L39" s="320">
        <v>0</v>
      </c>
      <c r="M39" s="320">
        <v>0</v>
      </c>
      <c r="R39" s="1876">
        <f t="shared" si="0"/>
        <v>0</v>
      </c>
      <c r="S39" s="248"/>
      <c r="T39" s="1885">
        <f t="shared" si="4"/>
        <v>0</v>
      </c>
      <c r="U39" s="248"/>
      <c r="V39" s="248">
        <f t="shared" si="4"/>
        <v>0</v>
      </c>
      <c r="W39" s="248"/>
      <c r="X39" s="1871">
        <f t="shared" si="2"/>
        <v>0</v>
      </c>
      <c r="Y39" s="2300">
        <f t="shared" si="2"/>
        <v>0</v>
      </c>
      <c r="Z39" s="1880">
        <f>SUM('5.5.a. sz. mell.'!F39)</f>
        <v>0</v>
      </c>
      <c r="AA39" s="248"/>
      <c r="AB39" s="1885">
        <f>SUM('5.5.a. sz. mell.'!H39)</f>
        <v>0</v>
      </c>
      <c r="AC39" s="248"/>
      <c r="AD39" s="248">
        <f>SUM('5.5.a. sz. mell.'!J39)</f>
        <v>0</v>
      </c>
      <c r="AE39" s="248"/>
      <c r="AF39" s="1871">
        <f>SUM('5.5.a. sz. mell.'!L39)</f>
        <v>0</v>
      </c>
      <c r="AG39" s="2300">
        <f>SUM('5.5.a. sz. mell.'!M39)</f>
        <v>0</v>
      </c>
    </row>
    <row r="40" spans="1:33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1319">
        <f>SUM(F41:F43)</f>
        <v>141902095</v>
      </c>
      <c r="G40" s="2702">
        <f t="shared" ref="G40:K47" si="5">SUM(H40-F40)</f>
        <v>15542529</v>
      </c>
      <c r="H40" s="1319">
        <f>SUM(H41:H43)</f>
        <v>157444624</v>
      </c>
      <c r="I40" s="1496">
        <f t="shared" si="5"/>
        <v>9421890</v>
      </c>
      <c r="J40" s="1319">
        <f>SUM(J41:J43)</f>
        <v>166866514</v>
      </c>
      <c r="K40" s="1496">
        <f t="shared" si="5"/>
        <v>0</v>
      </c>
      <c r="L40" s="1319">
        <f>SUM(L41:L43)</f>
        <v>166866514</v>
      </c>
      <c r="M40" s="1319">
        <f>SUM(M41:M43)</f>
        <v>166866514</v>
      </c>
      <c r="R40" s="1876">
        <f t="shared" ref="R40:R66" si="6">SUM(F40-Z40)</f>
        <v>0</v>
      </c>
      <c r="S40" s="248"/>
      <c r="T40" s="1885">
        <f t="shared" ref="T40:V55" si="7">SUM(H40-AB40)</f>
        <v>0</v>
      </c>
      <c r="U40" s="248"/>
      <c r="V40" s="248">
        <f t="shared" si="7"/>
        <v>0</v>
      </c>
      <c r="W40" s="248"/>
      <c r="X40" s="1871">
        <f t="shared" si="2"/>
        <v>0</v>
      </c>
      <c r="Y40" s="2300">
        <f t="shared" si="2"/>
        <v>0</v>
      </c>
      <c r="Z40" s="1880">
        <f>SUM('5.5.a. sz. mell.'!F40)</f>
        <v>141902095</v>
      </c>
      <c r="AA40" s="248"/>
      <c r="AB40" s="1885">
        <f>SUM('5.5.a. sz. mell.'!H40)</f>
        <v>157444624</v>
      </c>
      <c r="AC40" s="248"/>
      <c r="AD40" s="248">
        <f>SUM('5.5.a. sz. mell.'!J40)</f>
        <v>166866514</v>
      </c>
      <c r="AE40" s="248"/>
      <c r="AF40" s="1871">
        <f>SUM('5.5.a. sz. mell.'!L40)</f>
        <v>166866514</v>
      </c>
      <c r="AG40" s="2300">
        <f>SUM('5.5.a. sz. mell.'!M40)</f>
        <v>166866514</v>
      </c>
    </row>
    <row r="41" spans="1:33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>
        <v>0</v>
      </c>
      <c r="G41" s="1415">
        <f t="shared" si="5"/>
        <v>294609</v>
      </c>
      <c r="H41" s="144">
        <v>294609</v>
      </c>
      <c r="I41" s="1376">
        <f t="shared" si="5"/>
        <v>0</v>
      </c>
      <c r="J41" s="144">
        <v>294609</v>
      </c>
      <c r="K41" s="1376">
        <f t="shared" si="5"/>
        <v>0</v>
      </c>
      <c r="L41" s="144">
        <v>294609</v>
      </c>
      <c r="M41" s="144">
        <v>294609</v>
      </c>
      <c r="R41" s="1876">
        <f t="shared" si="6"/>
        <v>0</v>
      </c>
      <c r="S41" s="248"/>
      <c r="T41" s="1885">
        <f t="shared" si="7"/>
        <v>0</v>
      </c>
      <c r="U41" s="248"/>
      <c r="V41" s="248">
        <f t="shared" si="7"/>
        <v>0</v>
      </c>
      <c r="W41" s="248"/>
      <c r="X41" s="1871">
        <f t="shared" si="2"/>
        <v>0</v>
      </c>
      <c r="Y41" s="2300">
        <f t="shared" si="2"/>
        <v>0</v>
      </c>
      <c r="Z41" s="1880">
        <f>SUM('5.5.a. sz. mell.'!F41)</f>
        <v>0</v>
      </c>
      <c r="AA41" s="248"/>
      <c r="AB41" s="1885">
        <f>SUM('5.5.a. sz. mell.'!H41)</f>
        <v>294609</v>
      </c>
      <c r="AC41" s="248"/>
      <c r="AD41" s="248">
        <f>SUM('5.5.a. sz. mell.'!J41)</f>
        <v>294609</v>
      </c>
      <c r="AE41" s="248"/>
      <c r="AF41" s="1871">
        <f>SUM('5.5.a. sz. mell.'!L41)</f>
        <v>294609</v>
      </c>
      <c r="AG41" s="2300">
        <f>SUM('5.5.a. sz. mell.'!M41)</f>
        <v>294609</v>
      </c>
    </row>
    <row r="42" spans="1:33" s="141" customFormat="1" ht="15" customHeight="1" x14ac:dyDescent="0.2">
      <c r="A42" s="146"/>
      <c r="B42" s="2676" t="s">
        <v>83</v>
      </c>
      <c r="C42" s="2376" t="s">
        <v>435</v>
      </c>
      <c r="D42" s="147"/>
      <c r="E42" s="147"/>
      <c r="F42" s="153">
        <v>0</v>
      </c>
      <c r="G42" s="1415">
        <f t="shared" si="5"/>
        <v>0</v>
      </c>
      <c r="H42" s="144">
        <v>0</v>
      </c>
      <c r="I42" s="1376">
        <f t="shared" si="5"/>
        <v>0</v>
      </c>
      <c r="J42" s="144"/>
      <c r="K42" s="1376">
        <f t="shared" si="5"/>
        <v>0</v>
      </c>
      <c r="L42" s="144"/>
      <c r="M42" s="144">
        <v>0</v>
      </c>
      <c r="R42" s="1876">
        <f t="shared" si="6"/>
        <v>0</v>
      </c>
      <c r="S42" s="248"/>
      <c r="T42" s="1885">
        <f t="shared" si="7"/>
        <v>0</v>
      </c>
      <c r="U42" s="248"/>
      <c r="V42" s="248">
        <f t="shared" si="7"/>
        <v>0</v>
      </c>
      <c r="W42" s="248"/>
      <c r="X42" s="1871">
        <f t="shared" si="2"/>
        <v>0</v>
      </c>
      <c r="Y42" s="2300">
        <f t="shared" si="2"/>
        <v>0</v>
      </c>
      <c r="Z42" s="1880">
        <f>SUM('5.5.a. sz. mell.'!F42)</f>
        <v>0</v>
      </c>
      <c r="AA42" s="248"/>
      <c r="AB42" s="1885">
        <f>SUM('5.5.a. sz. mell.'!H42)</f>
        <v>0</v>
      </c>
      <c r="AC42" s="248"/>
      <c r="AD42" s="248">
        <f>SUM('5.5.a. sz. mell.'!J42)</f>
        <v>0</v>
      </c>
      <c r="AE42" s="248"/>
      <c r="AF42" s="1871">
        <f>SUM('5.5.a. sz. mell.'!L42)</f>
        <v>0</v>
      </c>
      <c r="AG42" s="2300">
        <f>SUM('5.5.a. sz. mell.'!M42)</f>
        <v>0</v>
      </c>
    </row>
    <row r="43" spans="1:33" s="145" customFormat="1" ht="15" customHeight="1" x14ac:dyDescent="0.2">
      <c r="A43" s="142"/>
      <c r="B43" s="253" t="s">
        <v>85</v>
      </c>
      <c r="C43" s="55" t="s">
        <v>818</v>
      </c>
      <c r="D43" s="206">
        <v>16267</v>
      </c>
      <c r="E43" s="206">
        <v>20412</v>
      </c>
      <c r="F43" s="144">
        <f>SUM(F44:F45)</f>
        <v>141902095</v>
      </c>
      <c r="G43" s="1415">
        <f t="shared" si="5"/>
        <v>15247920</v>
      </c>
      <c r="H43" s="144">
        <f t="shared" ref="H43:M43" si="8">SUM(H44:H45)</f>
        <v>157150015</v>
      </c>
      <c r="I43" s="144">
        <f t="shared" si="8"/>
        <v>9421890</v>
      </c>
      <c r="J43" s="144">
        <f t="shared" ref="J43" si="9">SUM(J44:J45)</f>
        <v>166571905</v>
      </c>
      <c r="K43" s="1376">
        <f t="shared" si="8"/>
        <v>0</v>
      </c>
      <c r="L43" s="144">
        <f t="shared" si="8"/>
        <v>166571905</v>
      </c>
      <c r="M43" s="144">
        <f t="shared" si="8"/>
        <v>166571905</v>
      </c>
      <c r="O43" s="205"/>
      <c r="P43" s="205"/>
      <c r="Q43" s="205"/>
      <c r="R43" s="1876">
        <f t="shared" si="6"/>
        <v>0</v>
      </c>
      <c r="S43" s="248"/>
      <c r="T43" s="1885">
        <f t="shared" si="7"/>
        <v>0</v>
      </c>
      <c r="U43" s="248"/>
      <c r="V43" s="248">
        <f t="shared" si="7"/>
        <v>0</v>
      </c>
      <c r="W43" s="248"/>
      <c r="X43" s="1871">
        <f t="shared" si="2"/>
        <v>0</v>
      </c>
      <c r="Y43" s="2300">
        <f t="shared" si="2"/>
        <v>0</v>
      </c>
      <c r="Z43" s="1880">
        <f>SUM('5.5.a. sz. mell.'!F43)</f>
        <v>141902095</v>
      </c>
      <c r="AA43" s="248"/>
      <c r="AB43" s="1885">
        <f>SUM('5.5.a. sz. mell.'!H43)</f>
        <v>157150015</v>
      </c>
      <c r="AC43" s="248"/>
      <c r="AD43" s="248">
        <f>SUM('5.5.a. sz. mell.'!J43)</f>
        <v>166571905</v>
      </c>
      <c r="AE43" s="248"/>
      <c r="AF43" s="1871">
        <f>SUM('5.5.a. sz. mell.'!L43)</f>
        <v>166571905</v>
      </c>
      <c r="AG43" s="2300">
        <f>SUM('5.5.a. sz. mell.'!M43)</f>
        <v>166571905</v>
      </c>
    </row>
    <row r="44" spans="1:33" s="145" customFormat="1" ht="15" customHeight="1" x14ac:dyDescent="0.2">
      <c r="A44" s="142"/>
      <c r="B44" s="2685" t="s">
        <v>437</v>
      </c>
      <c r="C44" s="2686" t="s">
        <v>891</v>
      </c>
      <c r="D44" s="2697"/>
      <c r="E44" s="2697"/>
      <c r="F44" s="1306">
        <v>84260851</v>
      </c>
      <c r="G44" s="1415">
        <f t="shared" si="5"/>
        <v>412577</v>
      </c>
      <c r="H44" s="144">
        <v>84673428</v>
      </c>
      <c r="I44" s="1376">
        <f t="shared" si="5"/>
        <v>-2064347</v>
      </c>
      <c r="J44" s="144">
        <v>82609081</v>
      </c>
      <c r="K44" s="1376">
        <f t="shared" si="5"/>
        <v>0</v>
      </c>
      <c r="L44" s="144">
        <v>82609081</v>
      </c>
      <c r="M44" s="144">
        <v>82609081</v>
      </c>
      <c r="O44" s="205"/>
      <c r="P44" s="205"/>
      <c r="Q44" s="205"/>
      <c r="R44" s="1876">
        <f t="shared" si="6"/>
        <v>0</v>
      </c>
      <c r="S44" s="248"/>
      <c r="T44" s="1885">
        <f t="shared" si="7"/>
        <v>0</v>
      </c>
      <c r="U44" s="248"/>
      <c r="V44" s="248">
        <f t="shared" si="7"/>
        <v>0</v>
      </c>
      <c r="W44" s="248"/>
      <c r="X44" s="1871">
        <f t="shared" si="2"/>
        <v>0</v>
      </c>
      <c r="Y44" s="2300">
        <f t="shared" si="2"/>
        <v>0</v>
      </c>
      <c r="Z44" s="1880">
        <f>SUM('5.5.a. sz. mell.'!F44)</f>
        <v>84260851</v>
      </c>
      <c r="AA44" s="248"/>
      <c r="AB44" s="1885">
        <f>SUM('5.5.a. sz. mell.'!H44)</f>
        <v>84673428</v>
      </c>
      <c r="AC44" s="248"/>
      <c r="AD44" s="248">
        <f>SUM('5.5.a. sz. mell.'!J44)</f>
        <v>82609081</v>
      </c>
      <c r="AE44" s="248"/>
      <c r="AF44" s="1871">
        <f>SUM('5.5.a. sz. mell.'!L44)</f>
        <v>82609081</v>
      </c>
      <c r="AG44" s="2300">
        <f>SUM('5.5.a. sz. mell.'!M44)</f>
        <v>82609081</v>
      </c>
    </row>
    <row r="45" spans="1:33" s="145" customFormat="1" ht="15" customHeight="1" thickBot="1" x14ac:dyDescent="0.25">
      <c r="A45" s="178"/>
      <c r="B45" s="2698" t="s">
        <v>439</v>
      </c>
      <c r="C45" s="2699" t="s">
        <v>532</v>
      </c>
      <c r="D45" s="2700"/>
      <c r="E45" s="2700"/>
      <c r="F45" s="2701">
        <v>57641244</v>
      </c>
      <c r="G45" s="1415">
        <f t="shared" si="5"/>
        <v>14835343</v>
      </c>
      <c r="H45" s="144">
        <v>72476587</v>
      </c>
      <c r="I45" s="1376">
        <f t="shared" si="5"/>
        <v>11486237</v>
      </c>
      <c r="J45" s="144">
        <v>83962824</v>
      </c>
      <c r="K45" s="1376">
        <f t="shared" si="5"/>
        <v>0</v>
      </c>
      <c r="L45" s="144">
        <v>83962824</v>
      </c>
      <c r="M45" s="144">
        <v>83962824</v>
      </c>
      <c r="O45" s="205"/>
      <c r="P45" s="205"/>
      <c r="Q45" s="205"/>
      <c r="R45" s="1876">
        <f t="shared" si="6"/>
        <v>0</v>
      </c>
      <c r="S45" s="248"/>
      <c r="T45" s="1885">
        <f t="shared" si="7"/>
        <v>0</v>
      </c>
      <c r="U45" s="248"/>
      <c r="V45" s="248">
        <f t="shared" si="7"/>
        <v>0</v>
      </c>
      <c r="W45" s="248"/>
      <c r="X45" s="1871">
        <f t="shared" si="2"/>
        <v>0</v>
      </c>
      <c r="Y45" s="2300">
        <f t="shared" si="2"/>
        <v>0</v>
      </c>
      <c r="Z45" s="1880">
        <f>SUM('5.5.a. sz. mell.'!F45)</f>
        <v>57641244</v>
      </c>
      <c r="AA45" s="248"/>
      <c r="AB45" s="1885">
        <f>SUM('5.5.a. sz. mell.'!H45)</f>
        <v>72476587</v>
      </c>
      <c r="AC45" s="248"/>
      <c r="AD45" s="248">
        <f>SUM('5.5.a. sz. mell.'!J45)</f>
        <v>83962824</v>
      </c>
      <c r="AE45" s="248"/>
      <c r="AF45" s="1871">
        <f>SUM('5.5.a. sz. mell.'!L45)</f>
        <v>83962824</v>
      </c>
      <c r="AG45" s="2300">
        <f>SUM('5.5.a. sz. mell.'!M45)</f>
        <v>83962824</v>
      </c>
    </row>
    <row r="46" spans="1:33" s="145" customFormat="1" ht="12.75" hidden="1" customHeight="1" x14ac:dyDescent="0.25">
      <c r="A46" s="258"/>
      <c r="B46" s="256"/>
      <c r="C46" s="170" t="s">
        <v>458</v>
      </c>
      <c r="D46" s="155"/>
      <c r="E46" s="155"/>
      <c r="F46" s="155"/>
      <c r="G46" s="1415">
        <f t="shared" si="5"/>
        <v>0</v>
      </c>
      <c r="H46" s="155"/>
      <c r="I46" s="1376">
        <f t="shared" si="5"/>
        <v>0</v>
      </c>
      <c r="J46" s="155"/>
      <c r="K46" s="1380"/>
      <c r="L46" s="155"/>
      <c r="M46" s="155"/>
      <c r="O46" s="205"/>
      <c r="P46" s="205"/>
      <c r="Q46" s="205"/>
      <c r="R46" s="1876">
        <f t="shared" si="6"/>
        <v>0</v>
      </c>
      <c r="S46" s="248"/>
      <c r="T46" s="1885">
        <f t="shared" si="7"/>
        <v>0</v>
      </c>
      <c r="U46" s="248"/>
      <c r="V46" s="248">
        <f t="shared" si="7"/>
        <v>0</v>
      </c>
      <c r="W46" s="248"/>
      <c r="X46" s="1871">
        <f t="shared" si="2"/>
        <v>0</v>
      </c>
      <c r="Y46" s="2300">
        <f t="shared" si="2"/>
        <v>0</v>
      </c>
      <c r="Z46" s="1880">
        <f>SUM('5.5.a. sz. mell.'!F46)</f>
        <v>0</v>
      </c>
      <c r="AA46" s="248"/>
      <c r="AB46" s="1885">
        <f>SUM('5.5.a. sz. mell.'!H46)</f>
        <v>0</v>
      </c>
      <c r="AC46" s="248"/>
      <c r="AD46" s="248">
        <f>SUM('5.5.a. sz. mell.'!J46)</f>
        <v>0</v>
      </c>
      <c r="AE46" s="248"/>
      <c r="AF46" s="1871">
        <f>SUM('5.5.a. sz. mell.'!L46)</f>
        <v>0</v>
      </c>
      <c r="AG46" s="2300">
        <f>SUM('5.5.a. sz. mell.'!M46)</f>
        <v>0</v>
      </c>
    </row>
    <row r="47" spans="1:33" s="145" customFormat="1" ht="15" customHeight="1" thickBot="1" x14ac:dyDescent="0.25">
      <c r="A47" s="192" t="s">
        <v>99</v>
      </c>
      <c r="B47" s="160"/>
      <c r="C47" s="274" t="s">
        <v>441</v>
      </c>
      <c r="D47" s="162">
        <f>SUM(D8,D19,D28,D32,D33,D43)</f>
        <v>258837</v>
      </c>
      <c r="E47" s="162">
        <f>SUM(E8,E19,E28,E32,E33,E43)</f>
        <v>273799</v>
      </c>
      <c r="F47" s="162">
        <f>SUM(F8,F19,F28,F32,F33,F36,F38,F40)</f>
        <v>292047484</v>
      </c>
      <c r="G47" s="2719">
        <f t="shared" si="5"/>
        <v>15222489</v>
      </c>
      <c r="H47" s="162">
        <f>SUM(H8,H19,H28,H32,H33,H36,H38,H40)</f>
        <v>307269973</v>
      </c>
      <c r="I47" s="1495">
        <f t="shared" si="5"/>
        <v>11289042</v>
      </c>
      <c r="J47" s="162">
        <f>SUM(J8,J19,J28,J32,J33,J36,J38,J40)</f>
        <v>318559015</v>
      </c>
      <c r="K47" s="1495">
        <f t="shared" si="5"/>
        <v>0</v>
      </c>
      <c r="L47" s="162">
        <f>SUM(L8,L19,L28,L32,L33,L36,L38,L40)</f>
        <v>318559015</v>
      </c>
      <c r="M47" s="162">
        <f>SUM(M8,M19,M28,M32,M33,M36,M38,M40)</f>
        <v>318586787</v>
      </c>
      <c r="N47" s="205"/>
      <c r="O47" s="205">
        <f>SUM(F63-F47)</f>
        <v>0</v>
      </c>
      <c r="P47" s="205"/>
      <c r="Q47" s="205"/>
      <c r="R47" s="1876">
        <f t="shared" si="6"/>
        <v>0</v>
      </c>
      <c r="S47" s="248"/>
      <c r="T47" s="1885">
        <f t="shared" si="7"/>
        <v>0</v>
      </c>
      <c r="U47" s="248"/>
      <c r="V47" s="248">
        <f t="shared" si="7"/>
        <v>0</v>
      </c>
      <c r="W47" s="248"/>
      <c r="X47" s="1871">
        <f t="shared" si="2"/>
        <v>0</v>
      </c>
      <c r="Y47" s="2300">
        <f t="shared" si="2"/>
        <v>0</v>
      </c>
      <c r="Z47" s="1880">
        <f>SUM('5.5.a. sz. mell.'!F47)</f>
        <v>292047484</v>
      </c>
      <c r="AA47" s="248"/>
      <c r="AB47" s="1885">
        <f>SUM('5.5.a. sz. mell.'!H47)</f>
        <v>307269973</v>
      </c>
      <c r="AC47" s="248"/>
      <c r="AD47" s="248">
        <f>SUM('5.5.a. sz. mell.'!J47)</f>
        <v>318559015</v>
      </c>
      <c r="AE47" s="248"/>
      <c r="AF47" s="1871">
        <f>SUM('5.5.a. sz. mell.'!L47)</f>
        <v>318559015</v>
      </c>
      <c r="AG47" s="2300">
        <f>SUM('5.5.a. sz. mell.'!M47)</f>
        <v>318586787</v>
      </c>
    </row>
    <row r="48" spans="1:33" s="145" customFormat="1" ht="15" customHeight="1" thickBot="1" x14ac:dyDescent="0.25">
      <c r="A48" s="2098"/>
      <c r="B48" s="266"/>
      <c r="C48" s="275"/>
      <c r="D48" s="286"/>
      <c r="E48" s="286"/>
      <c r="F48" s="2163"/>
      <c r="G48" s="1443"/>
      <c r="H48" s="1443"/>
      <c r="I48" s="1443"/>
      <c r="J48" s="1443"/>
      <c r="K48" s="1443"/>
      <c r="L48" s="1443"/>
      <c r="M48" s="1458"/>
      <c r="R48" s="1876">
        <f t="shared" si="6"/>
        <v>0</v>
      </c>
      <c r="S48" s="248"/>
      <c r="T48" s="1885">
        <f t="shared" si="7"/>
        <v>0</v>
      </c>
      <c r="U48" s="248"/>
      <c r="V48" s="248">
        <f t="shared" si="7"/>
        <v>0</v>
      </c>
      <c r="W48" s="248"/>
      <c r="X48" s="1871">
        <f t="shared" si="2"/>
        <v>0</v>
      </c>
      <c r="Y48" s="2300">
        <f t="shared" si="2"/>
        <v>0</v>
      </c>
      <c r="Z48" s="1880">
        <f>SUM('5.5.a. sz. mell.'!F48)</f>
        <v>0</v>
      </c>
      <c r="AA48" s="248"/>
      <c r="AB48" s="1885">
        <f>SUM('5.5.a. sz. mell.'!H48)</f>
        <v>0</v>
      </c>
      <c r="AC48" s="248"/>
      <c r="AD48" s="248">
        <f>SUM('5.5.a. sz. mell.'!J48)</f>
        <v>0</v>
      </c>
      <c r="AE48" s="248"/>
      <c r="AF48" s="1871">
        <f>SUM('5.5.a. sz. mell.'!L48)</f>
        <v>0</v>
      </c>
      <c r="AG48" s="2300">
        <f>SUM('5.5.a. sz. mell.'!M48)</f>
        <v>0</v>
      </c>
    </row>
    <row r="49" spans="1:33" s="305" customFormat="1" ht="15" customHeight="1" thickBot="1" x14ac:dyDescent="0.25">
      <c r="A49" s="192"/>
      <c r="B49" s="160"/>
      <c r="C49" s="282" t="s">
        <v>231</v>
      </c>
      <c r="D49" s="162"/>
      <c r="E49" s="162"/>
      <c r="F49" s="162"/>
      <c r="G49" s="2719"/>
      <c r="H49" s="162"/>
      <c r="I49" s="1373"/>
      <c r="J49" s="162"/>
      <c r="K49" s="1373"/>
      <c r="L49" s="162"/>
      <c r="M49" s="162"/>
      <c r="R49" s="1876">
        <f t="shared" si="6"/>
        <v>0</v>
      </c>
      <c r="S49" s="248"/>
      <c r="T49" s="1885">
        <f t="shared" si="7"/>
        <v>0</v>
      </c>
      <c r="U49" s="248"/>
      <c r="V49" s="248">
        <f t="shared" si="7"/>
        <v>0</v>
      </c>
      <c r="W49" s="248"/>
      <c r="X49" s="1871">
        <f t="shared" si="2"/>
        <v>0</v>
      </c>
      <c r="Y49" s="2300">
        <f t="shared" si="2"/>
        <v>0</v>
      </c>
      <c r="Z49" s="1880">
        <f>SUM('5.5.a. sz. mell.'!F49)</f>
        <v>0</v>
      </c>
      <c r="AA49" s="248"/>
      <c r="AB49" s="1885">
        <f>SUM('5.5.a. sz. mell.'!H49)</f>
        <v>0</v>
      </c>
      <c r="AC49" s="248"/>
      <c r="AD49" s="248">
        <f>SUM('5.5.a. sz. mell.'!J49)</f>
        <v>0</v>
      </c>
      <c r="AE49" s="248"/>
      <c r="AF49" s="1871">
        <f>SUM('5.5.a. sz. mell.'!L49)</f>
        <v>0</v>
      </c>
      <c r="AG49" s="2300">
        <f>SUM('5.5.a. sz. mell.'!M49)</f>
        <v>0</v>
      </c>
    </row>
    <row r="50" spans="1:33" s="141" customFormat="1" ht="15" customHeight="1" thickBot="1" x14ac:dyDescent="0.25">
      <c r="A50" s="134" t="s">
        <v>3</v>
      </c>
      <c r="B50" s="170"/>
      <c r="C50" s="170" t="s">
        <v>442</v>
      </c>
      <c r="D50" s="137">
        <f>SUM(D51:D55)</f>
        <v>258837</v>
      </c>
      <c r="E50" s="137">
        <f>SUM(E51:E55)</f>
        <v>273555</v>
      </c>
      <c r="F50" s="137">
        <f>SUM(F51:F55)</f>
        <v>290777484</v>
      </c>
      <c r="G50" s="1382">
        <f t="shared" ref="G50:K65" si="10">SUM(H50-F50)</f>
        <v>12068229</v>
      </c>
      <c r="H50" s="137">
        <f>SUM(H51:H55)</f>
        <v>302845713</v>
      </c>
      <c r="I50" s="1374">
        <f t="shared" si="10"/>
        <v>10219614</v>
      </c>
      <c r="J50" s="137">
        <f>SUM(J51:J55)</f>
        <v>313065327</v>
      </c>
      <c r="K50" s="1374">
        <f t="shared" si="10"/>
        <v>0</v>
      </c>
      <c r="L50" s="137">
        <f>SUM(L51:L55)</f>
        <v>313065327</v>
      </c>
      <c r="M50" s="137">
        <f>SUM(M51:M55)</f>
        <v>312919488</v>
      </c>
      <c r="R50" s="1876">
        <f t="shared" si="6"/>
        <v>0</v>
      </c>
      <c r="S50" s="248"/>
      <c r="T50" s="1885">
        <f t="shared" si="7"/>
        <v>0</v>
      </c>
      <c r="U50" s="248"/>
      <c r="V50" s="248">
        <f t="shared" si="7"/>
        <v>0</v>
      </c>
      <c r="W50" s="248"/>
      <c r="X50" s="1871">
        <f t="shared" si="2"/>
        <v>0</v>
      </c>
      <c r="Y50" s="2300">
        <f t="shared" si="2"/>
        <v>0</v>
      </c>
      <c r="Z50" s="1880">
        <f>SUM('5.5.a. sz. mell.'!F50)</f>
        <v>290777484</v>
      </c>
      <c r="AA50" s="248"/>
      <c r="AB50" s="1885">
        <f>SUM('5.5.a. sz. mell.'!H50)</f>
        <v>302845713</v>
      </c>
      <c r="AC50" s="248"/>
      <c r="AD50" s="248">
        <f>SUM('5.5.a. sz. mell.'!J50)</f>
        <v>313065327</v>
      </c>
      <c r="AE50" s="248"/>
      <c r="AF50" s="1871">
        <f>SUM('5.5.a. sz. mell.'!L50)</f>
        <v>313065327</v>
      </c>
      <c r="AG50" s="2300">
        <f>SUM('5.5.a. sz. mell.'!M50)</f>
        <v>312919488</v>
      </c>
    </row>
    <row r="51" spans="1:33" s="145" customFormat="1" ht="15" customHeight="1" x14ac:dyDescent="0.2">
      <c r="A51" s="173"/>
      <c r="B51" s="267" t="s">
        <v>152</v>
      </c>
      <c r="C51" s="251" t="s">
        <v>153</v>
      </c>
      <c r="D51" s="175">
        <v>35918</v>
      </c>
      <c r="E51" s="175">
        <v>38855</v>
      </c>
      <c r="F51" s="175">
        <v>60087954</v>
      </c>
      <c r="G51" s="1415">
        <f t="shared" si="10"/>
        <v>590535</v>
      </c>
      <c r="H51" s="175">
        <v>60678489</v>
      </c>
      <c r="I51" s="1376">
        <f t="shared" si="10"/>
        <v>3318042</v>
      </c>
      <c r="J51" s="175">
        <v>63996531</v>
      </c>
      <c r="K51" s="1376">
        <f t="shared" si="10"/>
        <v>0</v>
      </c>
      <c r="L51" s="175">
        <v>63996531</v>
      </c>
      <c r="M51" s="175">
        <v>63996531</v>
      </c>
      <c r="R51" s="1876">
        <f t="shared" si="6"/>
        <v>0</v>
      </c>
      <c r="S51" s="248"/>
      <c r="T51" s="1885">
        <f t="shared" si="7"/>
        <v>0</v>
      </c>
      <c r="U51" s="248"/>
      <c r="V51" s="248">
        <f t="shared" si="7"/>
        <v>0</v>
      </c>
      <c r="W51" s="248"/>
      <c r="X51" s="1871">
        <f t="shared" si="2"/>
        <v>0</v>
      </c>
      <c r="Y51" s="2300">
        <f t="shared" si="2"/>
        <v>0</v>
      </c>
      <c r="Z51" s="1880">
        <f>SUM('5.5.a. sz. mell.'!F51)</f>
        <v>60087954</v>
      </c>
      <c r="AA51" s="248"/>
      <c r="AB51" s="1885">
        <f>SUM('5.5.a. sz. mell.'!H51)</f>
        <v>60678489</v>
      </c>
      <c r="AC51" s="248"/>
      <c r="AD51" s="248">
        <f>SUM('5.5.a. sz. mell.'!J51)</f>
        <v>63996531</v>
      </c>
      <c r="AE51" s="248"/>
      <c r="AF51" s="1871">
        <f>SUM('5.5.a. sz. mell.'!L51)</f>
        <v>63996531</v>
      </c>
      <c r="AG51" s="2300">
        <f>SUM('5.5.a. sz. mell.'!M51)</f>
        <v>63996531</v>
      </c>
    </row>
    <row r="52" spans="1:33" s="145" customFormat="1" ht="15" customHeight="1" x14ac:dyDescent="0.2">
      <c r="A52" s="142"/>
      <c r="B52" s="253" t="s">
        <v>154</v>
      </c>
      <c r="C52" s="55" t="s">
        <v>155</v>
      </c>
      <c r="D52" s="144">
        <v>9491</v>
      </c>
      <c r="E52" s="144">
        <v>10284</v>
      </c>
      <c r="F52" s="144">
        <v>12249720</v>
      </c>
      <c r="G52" s="1415">
        <f t="shared" si="10"/>
        <v>116651</v>
      </c>
      <c r="H52" s="144">
        <v>12366371</v>
      </c>
      <c r="I52" s="1376">
        <f t="shared" si="10"/>
        <v>919579</v>
      </c>
      <c r="J52" s="144">
        <v>13285950</v>
      </c>
      <c r="K52" s="1376">
        <f t="shared" si="10"/>
        <v>0</v>
      </c>
      <c r="L52" s="144">
        <v>13285950</v>
      </c>
      <c r="M52" s="144">
        <v>13285950</v>
      </c>
      <c r="R52" s="1876">
        <f t="shared" si="6"/>
        <v>0</v>
      </c>
      <c r="S52" s="248"/>
      <c r="T52" s="1885">
        <f t="shared" si="7"/>
        <v>0</v>
      </c>
      <c r="U52" s="248"/>
      <c r="V52" s="248">
        <f t="shared" si="7"/>
        <v>0</v>
      </c>
      <c r="W52" s="248"/>
      <c r="X52" s="1871">
        <f t="shared" si="2"/>
        <v>0</v>
      </c>
      <c r="Y52" s="2300">
        <f t="shared" si="2"/>
        <v>0</v>
      </c>
      <c r="Z52" s="1880">
        <f>SUM('5.5.a. sz. mell.'!F52)</f>
        <v>12249720</v>
      </c>
      <c r="AA52" s="248"/>
      <c r="AB52" s="1885">
        <f>SUM('5.5.a. sz. mell.'!H52)</f>
        <v>12366371</v>
      </c>
      <c r="AC52" s="248"/>
      <c r="AD52" s="248">
        <f>SUM('5.5.a. sz. mell.'!J52)</f>
        <v>13285950</v>
      </c>
      <c r="AE52" s="248"/>
      <c r="AF52" s="1871">
        <f>SUM('5.5.a. sz. mell.'!L52)</f>
        <v>13285950</v>
      </c>
      <c r="AG52" s="2300">
        <f>SUM('5.5.a. sz. mell.'!M52)</f>
        <v>13285950</v>
      </c>
    </row>
    <row r="53" spans="1:33" s="145" customFormat="1" ht="15" customHeight="1" x14ac:dyDescent="0.2">
      <c r="A53" s="142"/>
      <c r="B53" s="253" t="s">
        <v>156</v>
      </c>
      <c r="C53" s="55" t="s">
        <v>157</v>
      </c>
      <c r="D53" s="144">
        <v>213428</v>
      </c>
      <c r="E53" s="144">
        <v>224416</v>
      </c>
      <c r="F53" s="144">
        <v>218439810</v>
      </c>
      <c r="G53" s="1415">
        <f t="shared" si="10"/>
        <v>11361043</v>
      </c>
      <c r="H53" s="144">
        <v>229800853</v>
      </c>
      <c r="I53" s="1376">
        <f t="shared" si="10"/>
        <v>5981993</v>
      </c>
      <c r="J53" s="144">
        <v>235782846</v>
      </c>
      <c r="K53" s="1376">
        <f t="shared" si="10"/>
        <v>0</v>
      </c>
      <c r="L53" s="144">
        <v>235782846</v>
      </c>
      <c r="M53" s="144">
        <v>235637007</v>
      </c>
      <c r="R53" s="1876">
        <f t="shared" si="6"/>
        <v>0</v>
      </c>
      <c r="S53" s="248"/>
      <c r="T53" s="1885">
        <f t="shared" si="7"/>
        <v>0</v>
      </c>
      <c r="U53" s="248"/>
      <c r="V53" s="248">
        <f t="shared" si="7"/>
        <v>0</v>
      </c>
      <c r="W53" s="248"/>
      <c r="X53" s="1871">
        <f t="shared" si="2"/>
        <v>0</v>
      </c>
      <c r="Y53" s="2300">
        <f t="shared" si="2"/>
        <v>0</v>
      </c>
      <c r="Z53" s="1880">
        <f>SUM('5.5.a. sz. mell.'!F53)</f>
        <v>218439810</v>
      </c>
      <c r="AA53" s="248"/>
      <c r="AB53" s="1885">
        <f>SUM('5.5.a. sz. mell.'!H53)</f>
        <v>229800853</v>
      </c>
      <c r="AC53" s="248"/>
      <c r="AD53" s="248">
        <f>SUM('5.5.a. sz. mell.'!J53)</f>
        <v>235782846</v>
      </c>
      <c r="AE53" s="248"/>
      <c r="AF53" s="1871">
        <f>SUM('5.5.a. sz. mell.'!L53)</f>
        <v>235782846</v>
      </c>
      <c r="AG53" s="2300">
        <f>SUM('5.5.a. sz. mell.'!M53)</f>
        <v>235637007</v>
      </c>
    </row>
    <row r="54" spans="1:33" s="145" customFormat="1" ht="15" customHeight="1" x14ac:dyDescent="0.2">
      <c r="A54" s="142"/>
      <c r="B54" s="253" t="s">
        <v>158</v>
      </c>
      <c r="C54" s="55" t="s">
        <v>159</v>
      </c>
      <c r="D54" s="144"/>
      <c r="E54" s="144"/>
      <c r="F54" s="144"/>
      <c r="G54" s="1415">
        <f t="shared" si="10"/>
        <v>0</v>
      </c>
      <c r="H54" s="144"/>
      <c r="I54" s="1376">
        <f t="shared" si="10"/>
        <v>0</v>
      </c>
      <c r="J54" s="144"/>
      <c r="K54" s="1376">
        <f t="shared" si="10"/>
        <v>0</v>
      </c>
      <c r="L54" s="144"/>
      <c r="M54" s="144"/>
      <c r="R54" s="1876">
        <f t="shared" si="6"/>
        <v>0</v>
      </c>
      <c r="S54" s="248"/>
      <c r="T54" s="1885">
        <f t="shared" si="7"/>
        <v>0</v>
      </c>
      <c r="U54" s="248"/>
      <c r="V54" s="248">
        <f t="shared" si="7"/>
        <v>0</v>
      </c>
      <c r="W54" s="248"/>
      <c r="X54" s="1871">
        <f t="shared" si="2"/>
        <v>0</v>
      </c>
      <c r="Y54" s="2300">
        <f t="shared" si="2"/>
        <v>0</v>
      </c>
      <c r="Z54" s="1880">
        <f>SUM('5.5.a. sz. mell.'!F54)</f>
        <v>0</v>
      </c>
      <c r="AA54" s="248"/>
      <c r="AB54" s="1885">
        <f>SUM('5.5.a. sz. mell.'!H54)</f>
        <v>0</v>
      </c>
      <c r="AC54" s="248"/>
      <c r="AD54" s="248">
        <f>SUM('5.5.a. sz. mell.'!J54)</f>
        <v>0</v>
      </c>
      <c r="AE54" s="248"/>
      <c r="AF54" s="1871">
        <f>SUM('5.5.a. sz. mell.'!L54)</f>
        <v>0</v>
      </c>
      <c r="AG54" s="2300">
        <f>SUM('5.5.a. sz. mell.'!M54)</f>
        <v>0</v>
      </c>
    </row>
    <row r="55" spans="1:33" s="145" customFormat="1" ht="15" customHeight="1" thickBot="1" x14ac:dyDescent="0.25">
      <c r="A55" s="142"/>
      <c r="B55" s="253" t="s">
        <v>375</v>
      </c>
      <c r="C55" s="55" t="s">
        <v>161</v>
      </c>
      <c r="D55" s="144">
        <v>0</v>
      </c>
      <c r="E55" s="144">
        <v>0</v>
      </c>
      <c r="F55" s="144"/>
      <c r="G55" s="1415">
        <f t="shared" si="10"/>
        <v>0</v>
      </c>
      <c r="H55" s="144"/>
      <c r="I55" s="1376">
        <f t="shared" si="10"/>
        <v>0</v>
      </c>
      <c r="J55" s="144"/>
      <c r="K55" s="1376">
        <f t="shared" si="10"/>
        <v>0</v>
      </c>
      <c r="L55" s="144"/>
      <c r="M55" s="144"/>
      <c r="R55" s="1876">
        <f t="shared" si="6"/>
        <v>0</v>
      </c>
      <c r="S55" s="248"/>
      <c r="T55" s="1885">
        <f t="shared" si="7"/>
        <v>0</v>
      </c>
      <c r="U55" s="248"/>
      <c r="V55" s="248">
        <f t="shared" si="7"/>
        <v>0</v>
      </c>
      <c r="W55" s="248"/>
      <c r="X55" s="1871">
        <f t="shared" si="2"/>
        <v>0</v>
      </c>
      <c r="Y55" s="2300">
        <f t="shared" si="2"/>
        <v>0</v>
      </c>
      <c r="Z55" s="1880">
        <f>SUM('5.5.a. sz. mell.'!F55)</f>
        <v>0</v>
      </c>
      <c r="AA55" s="248"/>
      <c r="AB55" s="1885">
        <f>SUM('5.5.a. sz. mell.'!H55)</f>
        <v>0</v>
      </c>
      <c r="AC55" s="248"/>
      <c r="AD55" s="248">
        <f>SUM('5.5.a. sz. mell.'!J55)</f>
        <v>0</v>
      </c>
      <c r="AE55" s="248"/>
      <c r="AF55" s="1871">
        <f>SUM('5.5.a. sz. mell.'!L55)</f>
        <v>0</v>
      </c>
      <c r="AG55" s="2300">
        <f>SUM('5.5.a. sz. mell.'!M55)</f>
        <v>0</v>
      </c>
    </row>
    <row r="56" spans="1:33" s="145" customFormat="1" ht="15" customHeight="1" thickBot="1" x14ac:dyDescent="0.25">
      <c r="A56" s="134" t="s">
        <v>17</v>
      </c>
      <c r="B56" s="170"/>
      <c r="C56" s="170" t="s">
        <v>443</v>
      </c>
      <c r="D56" s="137">
        <f>SUM(D57:D60)</f>
        <v>0</v>
      </c>
      <c r="E56" s="137">
        <f>SUM(E57:E60)</f>
        <v>244</v>
      </c>
      <c r="F56" s="137">
        <f>SUM(F57:F60)</f>
        <v>1270000</v>
      </c>
      <c r="G56" s="1382">
        <f t="shared" si="10"/>
        <v>3154260</v>
      </c>
      <c r="H56" s="137">
        <f>SUM(H57:H60)</f>
        <v>4424260</v>
      </c>
      <c r="I56" s="1374">
        <f t="shared" si="10"/>
        <v>1069428</v>
      </c>
      <c r="J56" s="137">
        <f>SUM(J57:J60)</f>
        <v>5493688</v>
      </c>
      <c r="K56" s="1374">
        <f t="shared" si="10"/>
        <v>0</v>
      </c>
      <c r="L56" s="137">
        <f>SUM(L57:L60)</f>
        <v>5493688</v>
      </c>
      <c r="M56" s="137">
        <f>SUM(M57:M60)</f>
        <v>5493688</v>
      </c>
      <c r="R56" s="1876">
        <f t="shared" si="6"/>
        <v>0</v>
      </c>
      <c r="S56" s="248"/>
      <c r="T56" s="1885">
        <f t="shared" ref="T56:V66" si="11">SUM(H56-AB56)</f>
        <v>0</v>
      </c>
      <c r="U56" s="248"/>
      <c r="V56" s="248">
        <f t="shared" si="11"/>
        <v>0</v>
      </c>
      <c r="W56" s="248"/>
      <c r="X56" s="1871">
        <f t="shared" si="2"/>
        <v>0</v>
      </c>
      <c r="Y56" s="2300">
        <f t="shared" si="2"/>
        <v>0</v>
      </c>
      <c r="Z56" s="1880">
        <f>SUM('5.5.a. sz. mell.'!F56)</f>
        <v>1270000</v>
      </c>
      <c r="AA56" s="248"/>
      <c r="AB56" s="1885">
        <f>SUM('5.5.a. sz. mell.'!H56)</f>
        <v>4424260</v>
      </c>
      <c r="AC56" s="248"/>
      <c r="AD56" s="248">
        <f>SUM('5.5.a. sz. mell.'!J56)</f>
        <v>5493688</v>
      </c>
      <c r="AE56" s="248"/>
      <c r="AF56" s="1871">
        <f>SUM('5.5.a. sz. mell.'!L56)</f>
        <v>5493688</v>
      </c>
      <c r="AG56" s="2300">
        <f>SUM('5.5.a. sz. mell.'!M56)</f>
        <v>5493688</v>
      </c>
    </row>
    <row r="57" spans="1:33" s="141" customFormat="1" ht="15" customHeight="1" x14ac:dyDescent="0.2">
      <c r="A57" s="173"/>
      <c r="B57" s="267" t="s">
        <v>5</v>
      </c>
      <c r="C57" s="251" t="s">
        <v>183</v>
      </c>
      <c r="D57" s="175">
        <v>0</v>
      </c>
      <c r="E57" s="175">
        <v>244</v>
      </c>
      <c r="F57" s="175">
        <v>1270000</v>
      </c>
      <c r="G57" s="1415">
        <f t="shared" si="10"/>
        <v>2274260</v>
      </c>
      <c r="H57" s="175">
        <v>3544260</v>
      </c>
      <c r="I57" s="1376">
        <f t="shared" si="10"/>
        <v>-1092856</v>
      </c>
      <c r="J57" s="175">
        <v>2451404</v>
      </c>
      <c r="K57" s="1376">
        <f t="shared" si="10"/>
        <v>0</v>
      </c>
      <c r="L57" s="175">
        <v>2451404</v>
      </c>
      <c r="M57" s="175">
        <v>2451404</v>
      </c>
      <c r="R57" s="1876">
        <f t="shared" si="6"/>
        <v>0</v>
      </c>
      <c r="S57" s="248"/>
      <c r="T57" s="1885">
        <f t="shared" si="11"/>
        <v>0</v>
      </c>
      <c r="U57" s="248"/>
      <c r="V57" s="248">
        <f t="shared" si="11"/>
        <v>0</v>
      </c>
      <c r="W57" s="248"/>
      <c r="X57" s="1871">
        <f t="shared" si="2"/>
        <v>0</v>
      </c>
      <c r="Y57" s="2300">
        <f t="shared" si="2"/>
        <v>0</v>
      </c>
      <c r="Z57" s="1880">
        <f>SUM('5.5.a. sz. mell.'!F57)</f>
        <v>1270000</v>
      </c>
      <c r="AA57" s="248"/>
      <c r="AB57" s="1885">
        <f>SUM('5.5.a. sz. mell.'!H57)</f>
        <v>3544260</v>
      </c>
      <c r="AC57" s="248"/>
      <c r="AD57" s="248">
        <f>SUM('5.5.a. sz. mell.'!J57)</f>
        <v>2451404</v>
      </c>
      <c r="AE57" s="248"/>
      <c r="AF57" s="1871">
        <f>SUM('5.5.a. sz. mell.'!L57)</f>
        <v>2451404</v>
      </c>
      <c r="AG57" s="2300">
        <f>SUM('5.5.a. sz. mell.'!M57)</f>
        <v>2451404</v>
      </c>
    </row>
    <row r="58" spans="1:33" s="145" customFormat="1" ht="15" customHeight="1" x14ac:dyDescent="0.2">
      <c r="A58" s="142"/>
      <c r="B58" s="253" t="s">
        <v>7</v>
      </c>
      <c r="C58" s="55" t="s">
        <v>185</v>
      </c>
      <c r="D58" s="144">
        <v>0</v>
      </c>
      <c r="E58" s="144">
        <v>0</v>
      </c>
      <c r="F58" s="144"/>
      <c r="G58" s="1415">
        <f t="shared" si="10"/>
        <v>880000</v>
      </c>
      <c r="H58" s="144">
        <v>880000</v>
      </c>
      <c r="I58" s="1376">
        <f t="shared" si="10"/>
        <v>2162284</v>
      </c>
      <c r="J58" s="144">
        <v>3042284</v>
      </c>
      <c r="K58" s="1376">
        <f t="shared" si="10"/>
        <v>0</v>
      </c>
      <c r="L58" s="144">
        <v>3042284</v>
      </c>
      <c r="M58" s="144">
        <v>3042284</v>
      </c>
      <c r="R58" s="1876">
        <f t="shared" si="6"/>
        <v>0</v>
      </c>
      <c r="S58" s="248"/>
      <c r="T58" s="1885">
        <f t="shared" si="11"/>
        <v>0</v>
      </c>
      <c r="U58" s="248"/>
      <c r="V58" s="248">
        <f t="shared" si="11"/>
        <v>0</v>
      </c>
      <c r="W58" s="248"/>
      <c r="X58" s="1871">
        <f t="shared" si="2"/>
        <v>0</v>
      </c>
      <c r="Y58" s="2300">
        <f t="shared" si="2"/>
        <v>0</v>
      </c>
      <c r="Z58" s="1880">
        <f>SUM('5.5.a. sz. mell.'!F58)</f>
        <v>0</v>
      </c>
      <c r="AA58" s="248"/>
      <c r="AB58" s="1885">
        <f>SUM('5.5.a. sz. mell.'!H58)</f>
        <v>880000</v>
      </c>
      <c r="AC58" s="248"/>
      <c r="AD58" s="248">
        <f>SUM('5.5.a. sz. mell.'!J58)</f>
        <v>3042284</v>
      </c>
      <c r="AE58" s="248"/>
      <c r="AF58" s="1871">
        <f>SUM('5.5.a. sz. mell.'!L58)</f>
        <v>3042284</v>
      </c>
      <c r="AG58" s="2300">
        <f>SUM('5.5.a. sz. mell.'!M58)</f>
        <v>3042284</v>
      </c>
    </row>
    <row r="59" spans="1:33" s="145" customFormat="1" ht="15.75" thickBot="1" x14ac:dyDescent="0.25">
      <c r="A59" s="142"/>
      <c r="B59" s="253" t="s">
        <v>9</v>
      </c>
      <c r="C59" s="55" t="s">
        <v>444</v>
      </c>
      <c r="D59" s="144">
        <v>0</v>
      </c>
      <c r="E59" s="144">
        <v>0</v>
      </c>
      <c r="F59" s="144">
        <v>0</v>
      </c>
      <c r="G59" s="1415">
        <f t="shared" si="10"/>
        <v>0</v>
      </c>
      <c r="H59" s="144">
        <v>0</v>
      </c>
      <c r="I59" s="1376">
        <f t="shared" si="10"/>
        <v>0</v>
      </c>
      <c r="J59" s="144"/>
      <c r="K59" s="1376">
        <f t="shared" si="10"/>
        <v>0</v>
      </c>
      <c r="L59" s="144"/>
      <c r="M59" s="144">
        <v>0</v>
      </c>
      <c r="R59" s="1876">
        <f t="shared" si="6"/>
        <v>0</v>
      </c>
      <c r="S59" s="248"/>
      <c r="T59" s="1885">
        <f t="shared" si="11"/>
        <v>0</v>
      </c>
      <c r="U59" s="248"/>
      <c r="V59" s="248">
        <f t="shared" si="11"/>
        <v>0</v>
      </c>
      <c r="W59" s="248"/>
      <c r="X59" s="1871">
        <f t="shared" si="2"/>
        <v>0</v>
      </c>
      <c r="Y59" s="2300">
        <f t="shared" si="2"/>
        <v>0</v>
      </c>
      <c r="Z59" s="1880">
        <f>SUM('5.5.a. sz. mell.'!F59)</f>
        <v>0</v>
      </c>
      <c r="AA59" s="248"/>
      <c r="AB59" s="1885">
        <f>SUM('5.5.a. sz. mell.'!H59)</f>
        <v>0</v>
      </c>
      <c r="AC59" s="248"/>
      <c r="AD59" s="248">
        <f>SUM('5.5.a. sz. mell.'!J59)</f>
        <v>0</v>
      </c>
      <c r="AE59" s="248"/>
      <c r="AF59" s="1871">
        <f>SUM('5.5.a. sz. mell.'!L59)</f>
        <v>0</v>
      </c>
      <c r="AG59" s="2300">
        <f>SUM('5.5.a. sz. mell.'!M59)</f>
        <v>0</v>
      </c>
    </row>
    <row r="60" spans="1:33" s="145" customFormat="1" ht="12.75" hidden="1" customHeight="1" x14ac:dyDescent="0.2">
      <c r="A60" s="142"/>
      <c r="B60" s="176" t="s">
        <v>189</v>
      </c>
      <c r="C60" s="55" t="s">
        <v>448</v>
      </c>
      <c r="D60" s="144">
        <v>0</v>
      </c>
      <c r="E60" s="144">
        <v>0</v>
      </c>
      <c r="F60" s="144">
        <v>0</v>
      </c>
      <c r="G60" s="1415">
        <f t="shared" si="10"/>
        <v>0</v>
      </c>
      <c r="H60" s="144">
        <v>0</v>
      </c>
      <c r="I60" s="1376">
        <f t="shared" si="10"/>
        <v>0</v>
      </c>
      <c r="J60" s="144">
        <v>0</v>
      </c>
      <c r="K60" s="1376">
        <f t="shared" si="10"/>
        <v>0</v>
      </c>
      <c r="L60" s="144">
        <v>0</v>
      </c>
      <c r="M60" s="144">
        <v>0</v>
      </c>
      <c r="R60" s="1876">
        <f t="shared" si="6"/>
        <v>0</v>
      </c>
      <c r="S60" s="248"/>
      <c r="T60" s="1885">
        <f t="shared" si="11"/>
        <v>0</v>
      </c>
      <c r="U60" s="248"/>
      <c r="V60" s="248">
        <f t="shared" si="11"/>
        <v>0</v>
      </c>
      <c r="W60" s="248"/>
      <c r="X60" s="1871">
        <f t="shared" si="2"/>
        <v>0</v>
      </c>
      <c r="Y60" s="2300">
        <f t="shared" si="2"/>
        <v>0</v>
      </c>
      <c r="Z60" s="1880">
        <f>SUM('5.5.a. sz. mell.'!F60)</f>
        <v>0</v>
      </c>
      <c r="AA60" s="248"/>
      <c r="AB60" s="1885">
        <f>SUM('5.5.a. sz. mell.'!H60)</f>
        <v>0</v>
      </c>
      <c r="AC60" s="248"/>
      <c r="AD60" s="248">
        <f>SUM('5.5.a. sz. mell.'!J60)</f>
        <v>0</v>
      </c>
      <c r="AE60" s="248"/>
      <c r="AF60" s="1871">
        <f>SUM('5.5.a. sz. mell.'!L60)</f>
        <v>0</v>
      </c>
      <c r="AG60" s="2300">
        <f>SUM('5.5.a. sz. mell.'!M60)</f>
        <v>0</v>
      </c>
    </row>
    <row r="61" spans="1:33" s="145" customFormat="1" ht="12.75" hidden="1" customHeight="1" x14ac:dyDescent="0.2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415">
        <f t="shared" si="10"/>
        <v>0</v>
      </c>
      <c r="H61" s="155">
        <v>0</v>
      </c>
      <c r="I61" s="1376">
        <f t="shared" si="10"/>
        <v>0</v>
      </c>
      <c r="J61" s="155">
        <v>0</v>
      </c>
      <c r="K61" s="1376">
        <f t="shared" si="10"/>
        <v>0</v>
      </c>
      <c r="L61" s="155">
        <v>0</v>
      </c>
      <c r="M61" s="155">
        <v>0</v>
      </c>
      <c r="R61" s="1876">
        <f t="shared" si="6"/>
        <v>0</v>
      </c>
      <c r="S61" s="248"/>
      <c r="T61" s="1885">
        <f t="shared" si="11"/>
        <v>0</v>
      </c>
      <c r="U61" s="248"/>
      <c r="V61" s="248">
        <f t="shared" si="11"/>
        <v>0</v>
      </c>
      <c r="W61" s="248"/>
      <c r="X61" s="1871">
        <f t="shared" si="2"/>
        <v>0</v>
      </c>
      <c r="Y61" s="2300">
        <f t="shared" si="2"/>
        <v>0</v>
      </c>
      <c r="Z61" s="1880">
        <f>SUM('5.5.a. sz. mell.'!F61)</f>
        <v>0</v>
      </c>
      <c r="AA61" s="248"/>
      <c r="AB61" s="1885">
        <f>SUM('5.5.a. sz. mell.'!H61)</f>
        <v>0</v>
      </c>
      <c r="AC61" s="248"/>
      <c r="AD61" s="248">
        <f>SUM('5.5.a. sz. mell.'!J61)</f>
        <v>0</v>
      </c>
      <c r="AE61" s="248"/>
      <c r="AF61" s="1871">
        <f>SUM('5.5.a. sz. mell.'!L61)</f>
        <v>0</v>
      </c>
      <c r="AG61" s="2300">
        <f>SUM('5.5.a. sz. mell.'!M61)</f>
        <v>0</v>
      </c>
    </row>
    <row r="62" spans="1:33" s="145" customFormat="1" ht="12.75" hidden="1" customHeight="1" x14ac:dyDescent="0.2">
      <c r="A62" s="134"/>
      <c r="B62" s="170"/>
      <c r="C62" s="171" t="s">
        <v>459</v>
      </c>
      <c r="D62" s="155"/>
      <c r="E62" s="155"/>
      <c r="F62" s="155"/>
      <c r="G62" s="1415">
        <f t="shared" si="10"/>
        <v>0</v>
      </c>
      <c r="H62" s="155"/>
      <c r="I62" s="1376">
        <f t="shared" si="10"/>
        <v>0</v>
      </c>
      <c r="J62" s="155"/>
      <c r="K62" s="1376">
        <f t="shared" si="10"/>
        <v>0</v>
      </c>
      <c r="L62" s="155"/>
      <c r="M62" s="155"/>
      <c r="R62" s="1876">
        <f t="shared" si="6"/>
        <v>0</v>
      </c>
      <c r="S62" s="248"/>
      <c r="T62" s="1885">
        <f t="shared" si="11"/>
        <v>0</v>
      </c>
      <c r="U62" s="248"/>
      <c r="V62" s="248">
        <f t="shared" si="11"/>
        <v>0</v>
      </c>
      <c r="W62" s="248"/>
      <c r="X62" s="1871">
        <f t="shared" si="2"/>
        <v>0</v>
      </c>
      <c r="Y62" s="2300">
        <f t="shared" si="2"/>
        <v>0</v>
      </c>
      <c r="Z62" s="1880">
        <f>SUM('5.5.a. sz. mell.'!F62)</f>
        <v>0</v>
      </c>
      <c r="AA62" s="248"/>
      <c r="AB62" s="1885">
        <f>SUM('5.5.a. sz. mell.'!H62)</f>
        <v>0</v>
      </c>
      <c r="AC62" s="248"/>
      <c r="AD62" s="248">
        <f>SUM('5.5.a. sz. mell.'!J62)</f>
        <v>0</v>
      </c>
      <c r="AE62" s="248"/>
      <c r="AF62" s="1871">
        <f>SUM('5.5.a. sz. mell.'!L62)</f>
        <v>0</v>
      </c>
      <c r="AG62" s="2300">
        <f>SUM('5.5.a. sz. mell.'!M62)</f>
        <v>0</v>
      </c>
    </row>
    <row r="63" spans="1:33" s="145" customFormat="1" ht="15" customHeight="1" thickBot="1" x14ac:dyDescent="0.25">
      <c r="A63" s="192" t="s">
        <v>31</v>
      </c>
      <c r="B63" s="160"/>
      <c r="C63" s="274" t="s">
        <v>465</v>
      </c>
      <c r="D63" s="162">
        <f>+D50+D56+D61</f>
        <v>258837</v>
      </c>
      <c r="E63" s="162">
        <f>+E50+E56+E61</f>
        <v>273799</v>
      </c>
      <c r="F63" s="162">
        <f>+F50+F56+F61+F62</f>
        <v>292047484</v>
      </c>
      <c r="G63" s="2719">
        <f t="shared" si="10"/>
        <v>15222489</v>
      </c>
      <c r="H63" s="162">
        <f>+H50+H56+H61+H62</f>
        <v>307269973</v>
      </c>
      <c r="I63" s="1495">
        <f t="shared" si="10"/>
        <v>11289042</v>
      </c>
      <c r="J63" s="162">
        <f>+J50+J56+J61+J62</f>
        <v>318559015</v>
      </c>
      <c r="K63" s="1495">
        <f t="shared" si="10"/>
        <v>0</v>
      </c>
      <c r="L63" s="162">
        <f>+L50+L56+L61+L62</f>
        <v>318559015</v>
      </c>
      <c r="M63" s="162">
        <f>+M50+M56+M61+M62</f>
        <v>318413176</v>
      </c>
      <c r="R63" s="1876">
        <f t="shared" si="6"/>
        <v>0</v>
      </c>
      <c r="S63" s="248"/>
      <c r="T63" s="1885">
        <f t="shared" si="11"/>
        <v>0</v>
      </c>
      <c r="U63" s="248"/>
      <c r="V63" s="248">
        <f t="shared" si="11"/>
        <v>0</v>
      </c>
      <c r="W63" s="248"/>
      <c r="X63" s="1871">
        <f t="shared" si="2"/>
        <v>0</v>
      </c>
      <c r="Y63" s="2300">
        <f t="shared" si="2"/>
        <v>0</v>
      </c>
      <c r="Z63" s="1880">
        <f>SUM('5.5.a. sz. mell.'!F63)</f>
        <v>292047484</v>
      </c>
      <c r="AA63" s="248"/>
      <c r="AB63" s="1885">
        <f>SUM('5.5.a. sz. mell.'!H63)</f>
        <v>307269973</v>
      </c>
      <c r="AC63" s="248"/>
      <c r="AD63" s="248">
        <f>SUM('5.5.a. sz. mell.'!J63)</f>
        <v>318559015</v>
      </c>
      <c r="AE63" s="248"/>
      <c r="AF63" s="1871">
        <f>SUM('5.5.a. sz. mell.'!L63)</f>
        <v>318559015</v>
      </c>
      <c r="AG63" s="2300">
        <f>SUM('5.5.a. sz. mell.'!M63)</f>
        <v>318413176</v>
      </c>
    </row>
    <row r="64" spans="1:33" s="145" customFormat="1" ht="15" customHeight="1" thickBot="1" x14ac:dyDescent="0.25">
      <c r="A64" s="1303"/>
      <c r="B64" s="886"/>
      <c r="C64" s="886"/>
      <c r="D64" s="886"/>
      <c r="E64" s="886"/>
      <c r="F64" s="2100"/>
      <c r="G64" s="1550"/>
      <c r="H64" s="1550"/>
      <c r="I64" s="1550"/>
      <c r="J64" s="1550"/>
      <c r="K64" s="1550"/>
      <c r="L64" s="1550"/>
      <c r="M64" s="1304"/>
      <c r="R64" s="1876">
        <f t="shared" si="6"/>
        <v>0</v>
      </c>
      <c r="S64" s="248"/>
      <c r="T64" s="1885">
        <f t="shared" si="11"/>
        <v>0</v>
      </c>
      <c r="U64" s="248"/>
      <c r="V64" s="248">
        <f t="shared" si="11"/>
        <v>0</v>
      </c>
      <c r="W64" s="248"/>
      <c r="X64" s="1871">
        <f t="shared" si="2"/>
        <v>0</v>
      </c>
      <c r="Y64" s="2300">
        <f t="shared" si="2"/>
        <v>0</v>
      </c>
      <c r="Z64" s="1880">
        <f>SUM('5.5.a. sz. mell.'!F64)</f>
        <v>0</v>
      </c>
      <c r="AA64" s="248"/>
      <c r="AB64" s="1885">
        <f>SUM('5.5.a. sz. mell.'!H64)</f>
        <v>0</v>
      </c>
      <c r="AC64" s="248"/>
      <c r="AD64" s="248">
        <f>SUM('5.5.a. sz. mell.'!J64)</f>
        <v>0</v>
      </c>
      <c r="AE64" s="248"/>
      <c r="AF64" s="1871">
        <f>SUM('5.5.a. sz. mell.'!L64)</f>
        <v>0</v>
      </c>
      <c r="AG64" s="2300">
        <f>SUM('5.5.a. sz. mell.'!M64)</f>
        <v>0</v>
      </c>
    </row>
    <row r="65" spans="1:33" s="145" customFormat="1" ht="15" customHeight="1" thickBot="1" x14ac:dyDescent="0.25">
      <c r="A65" s="276" t="s">
        <v>324</v>
      </c>
      <c r="B65" s="277"/>
      <c r="C65" s="278"/>
      <c r="D65" s="200">
        <v>25</v>
      </c>
      <c r="E65" s="200">
        <v>25</v>
      </c>
      <c r="F65" s="200">
        <v>30</v>
      </c>
      <c r="G65" s="1559">
        <f>SUM(H65-F65)</f>
        <v>0</v>
      </c>
      <c r="H65" s="200">
        <v>30</v>
      </c>
      <c r="I65" s="1495">
        <f t="shared" si="10"/>
        <v>0</v>
      </c>
      <c r="J65" s="200">
        <v>30</v>
      </c>
      <c r="K65" s="1388">
        <f>SUM(L65:L66-J65)</f>
        <v>0</v>
      </c>
      <c r="L65" s="200">
        <v>30</v>
      </c>
      <c r="M65" s="200">
        <v>30</v>
      </c>
      <c r="R65" s="1876">
        <f t="shared" si="6"/>
        <v>0</v>
      </c>
      <c r="S65" s="248"/>
      <c r="T65" s="1885">
        <f t="shared" si="11"/>
        <v>0</v>
      </c>
      <c r="U65" s="248"/>
      <c r="V65" s="248">
        <f t="shared" si="11"/>
        <v>0</v>
      </c>
      <c r="W65" s="248"/>
      <c r="X65" s="1871">
        <f t="shared" si="2"/>
        <v>0</v>
      </c>
      <c r="Y65" s="2300">
        <f t="shared" si="2"/>
        <v>0</v>
      </c>
      <c r="Z65" s="1880">
        <f>SUM('5.5.a. sz. mell.'!F65)</f>
        <v>30</v>
      </c>
      <c r="AA65" s="248"/>
      <c r="AB65" s="1885">
        <f>SUM('5.5.a. sz. mell.'!H65)</f>
        <v>30</v>
      </c>
      <c r="AC65" s="248"/>
      <c r="AD65" s="248">
        <f>SUM('5.5.a. sz. mell.'!J65)</f>
        <v>30</v>
      </c>
      <c r="AE65" s="248"/>
      <c r="AF65" s="1871">
        <f>SUM('5.5.a. sz. mell.'!L65)</f>
        <v>30</v>
      </c>
      <c r="AG65" s="2300">
        <f>SUM('5.5.a. sz. mell.'!M65)</f>
        <v>30</v>
      </c>
    </row>
    <row r="66" spans="1:33" s="145" customFormat="1" ht="15" customHeight="1" thickBot="1" x14ac:dyDescent="0.25">
      <c r="A66" s="276" t="s">
        <v>325</v>
      </c>
      <c r="B66" s="277"/>
      <c r="C66" s="278"/>
      <c r="D66" s="279"/>
      <c r="E66" s="279"/>
      <c r="F66" s="279"/>
      <c r="G66" s="1560"/>
      <c r="H66" s="279"/>
      <c r="I66" s="1389"/>
      <c r="J66" s="279"/>
      <c r="K66" s="1389"/>
      <c r="L66" s="279"/>
      <c r="M66" s="279"/>
      <c r="R66" s="1876">
        <f t="shared" si="6"/>
        <v>0</v>
      </c>
      <c r="S66" s="248"/>
      <c r="T66" s="1885">
        <f t="shared" si="11"/>
        <v>0</v>
      </c>
      <c r="U66" s="248"/>
      <c r="V66" s="248">
        <f t="shared" si="11"/>
        <v>0</v>
      </c>
      <c r="W66" s="248"/>
      <c r="X66" s="1871">
        <f t="shared" si="2"/>
        <v>0</v>
      </c>
      <c r="Y66" s="2300">
        <f t="shared" si="2"/>
        <v>0</v>
      </c>
      <c r="Z66" s="1880">
        <f>SUM('5.5.a. sz. mell.'!F66)</f>
        <v>0</v>
      </c>
      <c r="AA66" s="248"/>
      <c r="AB66" s="1885">
        <f>SUM('5.5.a. sz. mell.'!H66)</f>
        <v>0</v>
      </c>
      <c r="AC66" s="248"/>
      <c r="AD66" s="248">
        <f>SUM('5.5.a. sz. mell.'!J66)</f>
        <v>0</v>
      </c>
      <c r="AE66" s="248"/>
      <c r="AF66" s="1871">
        <f>SUM('5.5.a. sz. mell.'!L66)</f>
        <v>0</v>
      </c>
      <c r="AG66" s="2300">
        <f>SUM('5.5.a. sz. mell.'!M66)</f>
        <v>0</v>
      </c>
    </row>
    <row r="67" spans="1:33" ht="15" x14ac:dyDescent="0.2">
      <c r="R67" s="1876"/>
      <c r="S67" s="248"/>
    </row>
    <row r="68" spans="1:33" x14ac:dyDescent="0.2">
      <c r="F68" s="92">
        <f>SUM(F47-F63)</f>
        <v>0</v>
      </c>
      <c r="G68" s="92">
        <f t="shared" ref="G68:M68" si="12">SUM(G47-G63)</f>
        <v>0</v>
      </c>
      <c r="H68" s="92">
        <f t="shared" si="12"/>
        <v>0</v>
      </c>
      <c r="I68" s="92">
        <f t="shared" si="12"/>
        <v>0</v>
      </c>
      <c r="J68" s="92">
        <f t="shared" si="12"/>
        <v>0</v>
      </c>
      <c r="K68" s="92">
        <f t="shared" si="12"/>
        <v>0</v>
      </c>
      <c r="L68" s="92">
        <f t="shared" si="12"/>
        <v>0</v>
      </c>
      <c r="M68" s="92">
        <f t="shared" si="12"/>
        <v>173611</v>
      </c>
    </row>
    <row r="70" spans="1:33" ht="15.75" x14ac:dyDescent="0.2">
      <c r="C70" s="116" t="s">
        <v>945</v>
      </c>
    </row>
    <row r="71" spans="1:33" ht="15.75" x14ac:dyDescent="0.2">
      <c r="C71" s="116" t="s">
        <v>942</v>
      </c>
      <c r="H71" s="116">
        <v>307269973</v>
      </c>
      <c r="I71" s="1416"/>
      <c r="J71" s="116">
        <v>318559015</v>
      </c>
      <c r="K71" s="1416"/>
      <c r="L71" s="116">
        <v>318559015</v>
      </c>
      <c r="M71" s="116">
        <v>318413176</v>
      </c>
    </row>
    <row r="72" spans="1:33" ht="15.75" x14ac:dyDescent="0.2">
      <c r="C72" s="116" t="s">
        <v>943</v>
      </c>
      <c r="H72" s="116"/>
      <c r="I72" s="1416"/>
      <c r="J72" s="116"/>
      <c r="K72" s="1416"/>
      <c r="L72" s="116"/>
      <c r="M72" s="116"/>
    </row>
    <row r="73" spans="1:33" ht="18.75" x14ac:dyDescent="0.2">
      <c r="C73" s="781" t="s">
        <v>944</v>
      </c>
      <c r="H73" s="116">
        <f t="shared" ref="H73:M73" si="13">SUM(H71:H72)</f>
        <v>307269973</v>
      </c>
      <c r="I73" s="116">
        <f t="shared" si="13"/>
        <v>0</v>
      </c>
      <c r="J73" s="116">
        <f t="shared" si="13"/>
        <v>318559015</v>
      </c>
      <c r="K73" s="116">
        <f t="shared" si="13"/>
        <v>0</v>
      </c>
      <c r="L73" s="116">
        <f t="shared" si="13"/>
        <v>318559015</v>
      </c>
      <c r="M73" s="116">
        <f t="shared" si="13"/>
        <v>318413176</v>
      </c>
    </row>
    <row r="74" spans="1:33" ht="15.75" x14ac:dyDescent="0.2">
      <c r="C74" s="116"/>
      <c r="H74" s="116"/>
      <c r="I74" s="1416"/>
      <c r="J74" s="116"/>
      <c r="K74" s="116"/>
      <c r="L74" s="116"/>
      <c r="M74" s="116"/>
    </row>
    <row r="75" spans="1:33" ht="15.75" x14ac:dyDescent="0.2">
      <c r="C75" s="780" t="s">
        <v>893</v>
      </c>
      <c r="H75" s="482">
        <f>SUM(H63-H73)</f>
        <v>0</v>
      </c>
      <c r="I75" s="482">
        <v>0</v>
      </c>
      <c r="J75" s="482">
        <f>SUM(J63-J73)</f>
        <v>0</v>
      </c>
      <c r="K75" s="482">
        <f>SUM(K63-K73)</f>
        <v>0</v>
      </c>
      <c r="L75" s="482">
        <f>SUM(L63-L73)</f>
        <v>0</v>
      </c>
      <c r="M75" s="482">
        <f>SUM(M63-M73)</f>
        <v>0</v>
      </c>
    </row>
    <row r="76" spans="1:33" ht="15.75" x14ac:dyDescent="0.2">
      <c r="H76" s="116"/>
      <c r="I76" s="1416"/>
      <c r="J76" s="116"/>
      <c r="K76" s="1416"/>
      <c r="L76" s="116"/>
      <c r="M76" s="116"/>
    </row>
    <row r="77" spans="1:33" ht="15.75" x14ac:dyDescent="0.2">
      <c r="H77" s="116"/>
      <c r="I77" s="1416"/>
      <c r="J77" s="116"/>
      <c r="K77" s="1416"/>
      <c r="L77" s="116"/>
      <c r="M77" s="116"/>
    </row>
    <row r="78" spans="1:33" ht="15.75" x14ac:dyDescent="0.2">
      <c r="H78" s="116"/>
      <c r="I78" s="1416"/>
      <c r="J78" s="116"/>
      <c r="K78" s="1416"/>
      <c r="L78" s="116"/>
      <c r="M78" s="116"/>
    </row>
    <row r="79" spans="1:33" ht="15.75" x14ac:dyDescent="0.2">
      <c r="C79" s="116" t="s">
        <v>946</v>
      </c>
      <c r="H79" s="116"/>
      <c r="I79" s="1416"/>
      <c r="J79" s="116"/>
      <c r="K79" s="1416"/>
      <c r="L79" s="116"/>
      <c r="M79" s="116"/>
    </row>
    <row r="80" spans="1:33" ht="15.75" x14ac:dyDescent="0.2">
      <c r="C80" s="116"/>
      <c r="H80" s="116"/>
      <c r="I80" s="1416"/>
      <c r="J80" s="116"/>
      <c r="K80" s="1416"/>
      <c r="L80" s="116"/>
      <c r="M80" s="116"/>
    </row>
    <row r="81" spans="3:13" ht="15.75" x14ac:dyDescent="0.2">
      <c r="C81" s="116" t="s">
        <v>947</v>
      </c>
      <c r="H81" s="203">
        <v>149825349</v>
      </c>
      <c r="I81" s="1470"/>
      <c r="J81" s="203">
        <v>151692501</v>
      </c>
      <c r="K81" s="1470"/>
      <c r="L81" s="203">
        <v>151692501</v>
      </c>
      <c r="M81" s="203">
        <v>151720273</v>
      </c>
    </row>
    <row r="82" spans="3:13" ht="15.75" x14ac:dyDescent="0.2">
      <c r="C82" s="116" t="s">
        <v>948</v>
      </c>
      <c r="H82" s="203">
        <v>157444624</v>
      </c>
      <c r="I82" s="1470"/>
      <c r="J82" s="203">
        <v>166866514</v>
      </c>
      <c r="K82" s="1470"/>
      <c r="L82" s="203">
        <v>166866514</v>
      </c>
      <c r="M82" s="203">
        <v>166866514</v>
      </c>
    </row>
    <row r="83" spans="3:13" ht="18.75" x14ac:dyDescent="0.2">
      <c r="C83" s="471" t="s">
        <v>944</v>
      </c>
      <c r="H83" s="482">
        <f t="shared" ref="H83:M83" si="14">SUM(H81:H82)</f>
        <v>307269973</v>
      </c>
      <c r="I83" s="482">
        <f t="shared" si="14"/>
        <v>0</v>
      </c>
      <c r="J83" s="482">
        <f t="shared" si="14"/>
        <v>318559015</v>
      </c>
      <c r="K83" s="482">
        <f t="shared" si="14"/>
        <v>0</v>
      </c>
      <c r="L83" s="482">
        <f t="shared" si="14"/>
        <v>318559015</v>
      </c>
      <c r="M83" s="482">
        <f t="shared" si="14"/>
        <v>318586787</v>
      </c>
    </row>
    <row r="84" spans="3:13" ht="15.75" x14ac:dyDescent="0.2">
      <c r="C84" s="116"/>
      <c r="H84" s="116"/>
      <c r="I84" s="1416"/>
      <c r="J84" s="116"/>
      <c r="K84" s="116"/>
      <c r="L84" s="116"/>
      <c r="M84" s="116"/>
    </row>
    <row r="85" spans="3:13" ht="15.75" x14ac:dyDescent="0.2">
      <c r="C85" s="780" t="s">
        <v>279</v>
      </c>
      <c r="H85" s="482">
        <f>SUM(H47-H83)</f>
        <v>0</v>
      </c>
      <c r="I85" s="482">
        <v>0</v>
      </c>
      <c r="J85" s="482">
        <f>SUM(J47-J83)</f>
        <v>0</v>
      </c>
      <c r="K85" s="482">
        <f>SUM(K47-K83)</f>
        <v>0</v>
      </c>
      <c r="L85" s="482">
        <f>SUM(L47-L83)</f>
        <v>0</v>
      </c>
      <c r="M85" s="482">
        <f>SUM(M47-M83)</f>
        <v>0</v>
      </c>
    </row>
    <row r="86" spans="3:13" ht="15.75" x14ac:dyDescent="0.2">
      <c r="C86" s="116"/>
      <c r="H86" s="116"/>
      <c r="I86" s="1416"/>
      <c r="J86" s="116"/>
      <c r="K86" s="1416"/>
      <c r="L86" s="116"/>
      <c r="M86" s="116"/>
    </row>
  </sheetData>
  <mergeCells count="20">
    <mergeCell ref="AD3:AD4"/>
    <mergeCell ref="AF3:AF4"/>
    <mergeCell ref="A5:B5"/>
    <mergeCell ref="A2:B2"/>
    <mergeCell ref="D2:D3"/>
    <mergeCell ref="F2:F3"/>
    <mergeCell ref="A3:B3"/>
    <mergeCell ref="G2:G3"/>
    <mergeCell ref="T3:T4"/>
    <mergeCell ref="V3:V4"/>
    <mergeCell ref="X3:X4"/>
    <mergeCell ref="AB3:AB4"/>
    <mergeCell ref="C1:M1"/>
    <mergeCell ref="H2:H3"/>
    <mergeCell ref="M2:M3"/>
    <mergeCell ref="D4:F4"/>
    <mergeCell ref="I2:I3"/>
    <mergeCell ref="J2:J3"/>
    <mergeCell ref="K2:K3"/>
    <mergeCell ref="L2:L3"/>
  </mergeCells>
  <printOptions horizontalCentered="1"/>
  <pageMargins left="0.19685039370078741" right="0.31496062992125984" top="0.35433070866141736" bottom="0.43307086614173229" header="0.51181102362204722" footer="0.15748031496062992"/>
  <pageSetup paperSize="9" scale="72" firstPageNumber="64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87"/>
  <sheetViews>
    <sheetView view="pageBreakPreview" topLeftCell="A39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1640625" style="115" customWidth="1"/>
    <col min="4" max="5" width="9.33203125" style="115" hidden="1" customWidth="1"/>
    <col min="6" max="6" width="15.1640625" style="115" customWidth="1"/>
    <col min="7" max="7" width="15.1640625" style="1390" hidden="1" customWidth="1"/>
    <col min="8" max="8" width="13" style="115" hidden="1" customWidth="1"/>
    <col min="9" max="9" width="12.83203125" style="1390" hidden="1" customWidth="1"/>
    <col min="10" max="10" width="15.1640625" style="115" customWidth="1"/>
    <col min="11" max="11" width="13.83203125" style="1390" customWidth="1"/>
    <col min="12" max="12" width="15.1640625" style="115" customWidth="1"/>
    <col min="13" max="13" width="15.5" style="115" customWidth="1"/>
    <col min="14" max="15" width="9.33203125" style="115"/>
    <col min="16" max="16" width="13.5" style="115" customWidth="1"/>
    <col min="17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733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472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304" t="s">
        <v>1435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34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197239</v>
      </c>
      <c r="E8" s="137">
        <f>SUM(E9:E18)</f>
        <v>197239</v>
      </c>
      <c r="F8" s="137">
        <f>SUM(F9:F18)</f>
        <v>150145389</v>
      </c>
      <c r="G8" s="1382">
        <f t="shared" ref="G8:K23" si="0">SUM(H8-F8)</f>
        <v>-320040</v>
      </c>
      <c r="H8" s="137">
        <f>SUM(H9:H18)</f>
        <v>149825349</v>
      </c>
      <c r="I8" s="1374">
        <f t="shared" si="0"/>
        <v>1867152</v>
      </c>
      <c r="J8" s="137">
        <f>SUM(J9:J18)</f>
        <v>151692501</v>
      </c>
      <c r="K8" s="1374">
        <f t="shared" si="0"/>
        <v>0</v>
      </c>
      <c r="L8" s="137">
        <f>SUM(L9:L18)</f>
        <v>151692501</v>
      </c>
      <c r="M8" s="137">
        <f>SUM(M9:M18)</f>
        <v>151720273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f>SUM('5.5. sz. mell.  '!F9)</f>
        <v>0</v>
      </c>
      <c r="G9" s="1415">
        <f t="shared" si="0"/>
        <v>0</v>
      </c>
      <c r="H9" s="150">
        <f>SUM('5.5. sz. mell.  '!H9)</f>
        <v>0</v>
      </c>
      <c r="I9" s="1376">
        <f t="shared" si="0"/>
        <v>0</v>
      </c>
      <c r="J9" s="150">
        <f>SUM('5.5. sz. mell.  '!J9)</f>
        <v>0</v>
      </c>
      <c r="K9" s="1376">
        <f t="shared" si="0"/>
        <v>0</v>
      </c>
      <c r="L9" s="150">
        <f>SUM('5.5. sz. mell.  '!L9)</f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155306</v>
      </c>
      <c r="E10" s="144">
        <v>155306</v>
      </c>
      <c r="F10" s="144">
        <f>SUM('5.5. sz. mell.  '!F10)</f>
        <v>75556312</v>
      </c>
      <c r="G10" s="1415">
        <f t="shared" si="0"/>
        <v>-755906</v>
      </c>
      <c r="H10" s="144">
        <f>SUM('5.5. sz. mell.  '!H10)</f>
        <v>74800406</v>
      </c>
      <c r="I10" s="1376">
        <f t="shared" si="0"/>
        <v>1293763</v>
      </c>
      <c r="J10" s="144">
        <f>SUM('5.5. sz. mell.  '!J10)</f>
        <v>76094169</v>
      </c>
      <c r="K10" s="1376">
        <f t="shared" si="0"/>
        <v>0</v>
      </c>
      <c r="L10" s="144">
        <f>SUM('5.5. sz. mell.  '!L10)</f>
        <v>76094169</v>
      </c>
      <c r="M10" s="144">
        <f>SUM('5.5. sz. mell.  '!M10)</f>
        <v>76121941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/>
      <c r="E11" s="144"/>
      <c r="F11" s="144">
        <f>SUM('5.5. sz. mell.  '!F11)</f>
        <v>0</v>
      </c>
      <c r="G11" s="1415">
        <f t="shared" si="0"/>
        <v>0</v>
      </c>
      <c r="H11" s="144">
        <f>SUM('5.5. sz. mell.  '!H11)</f>
        <v>0</v>
      </c>
      <c r="I11" s="1376">
        <f t="shared" si="0"/>
        <v>0</v>
      </c>
      <c r="J11" s="144">
        <f>SUM('5.5. sz. mell.  '!J11)</f>
        <v>0</v>
      </c>
      <c r="K11" s="1376">
        <f t="shared" si="0"/>
        <v>0</v>
      </c>
      <c r="L11" s="144">
        <f>SUM('5.5. sz. mell.  '!L11)</f>
        <v>0</v>
      </c>
      <c r="M11" s="144">
        <f>SUM('5.5. sz. mell.  '!M11)</f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>
        <f>SUM('5.5. sz. mell.  '!F12)</f>
        <v>42668404</v>
      </c>
      <c r="G12" s="1415">
        <f t="shared" si="0"/>
        <v>0</v>
      </c>
      <c r="H12" s="144">
        <f>SUM('5.5. sz. mell.  '!H12)</f>
        <v>42668404</v>
      </c>
      <c r="I12" s="1376">
        <f t="shared" si="0"/>
        <v>-1549935</v>
      </c>
      <c r="J12" s="144">
        <f>SUM('5.5. sz. mell.  '!J12)</f>
        <v>41118469</v>
      </c>
      <c r="K12" s="1376">
        <f t="shared" si="0"/>
        <v>0</v>
      </c>
      <c r="L12" s="144">
        <f>SUM('5.5. sz. mell.  '!L12)</f>
        <v>41118469</v>
      </c>
      <c r="M12" s="144">
        <f>SUM('5.5. sz. mell.  '!M12)</f>
        <v>41118469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>
        <f>SUM('5.5. sz. mell.  '!F13)</f>
        <v>0</v>
      </c>
      <c r="G13" s="1415">
        <f t="shared" si="0"/>
        <v>0</v>
      </c>
      <c r="H13" s="144">
        <f>SUM('5.5. sz. mell.  '!H13)</f>
        <v>0</v>
      </c>
      <c r="I13" s="1376">
        <f t="shared" si="0"/>
        <v>0</v>
      </c>
      <c r="J13" s="144">
        <f>SUM('5.5. sz. mell.  '!J13)</f>
        <v>0</v>
      </c>
      <c r="K13" s="1376">
        <f t="shared" si="0"/>
        <v>0</v>
      </c>
      <c r="L13" s="144">
        <f>SUM('5.5. sz. mell.  '!L13)</f>
        <v>0</v>
      </c>
      <c r="M13" s="144">
        <f>SUM('5.5. sz. mell.  '!M13)</f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41933</v>
      </c>
      <c r="E14" s="147">
        <v>41933</v>
      </c>
      <c r="F14" s="144">
        <f>SUM('5.5. sz. mell.  '!F14)</f>
        <v>31920673</v>
      </c>
      <c r="G14" s="1415">
        <f t="shared" si="0"/>
        <v>-204094</v>
      </c>
      <c r="H14" s="144">
        <f>SUM('5.5. sz. mell.  '!H14)</f>
        <v>31716579</v>
      </c>
      <c r="I14" s="1376">
        <f t="shared" si="0"/>
        <v>-61628</v>
      </c>
      <c r="J14" s="144">
        <f>SUM('5.5. sz. mell.  '!J14)</f>
        <v>31654951</v>
      </c>
      <c r="K14" s="1376">
        <f t="shared" si="0"/>
        <v>0</v>
      </c>
      <c r="L14" s="144">
        <f>SUM('5.5. sz. mell.  '!L14)</f>
        <v>31654951</v>
      </c>
      <c r="M14" s="144">
        <f>SUM('5.5. sz. mell.  '!M14)</f>
        <v>31654951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4">
        <f>SUM('5.5. sz. mell.  '!F15)</f>
        <v>0</v>
      </c>
      <c r="G15" s="1415">
        <f t="shared" si="0"/>
        <v>632070</v>
      </c>
      <c r="H15" s="144">
        <f>SUM('5.5. sz. mell.  '!H15)</f>
        <v>632070</v>
      </c>
      <c r="I15" s="1376">
        <f t="shared" si="0"/>
        <v>2176790</v>
      </c>
      <c r="J15" s="144">
        <f>SUM('5.5. sz. mell.  '!J15)</f>
        <v>2808860</v>
      </c>
      <c r="K15" s="1376">
        <f t="shared" si="0"/>
        <v>0</v>
      </c>
      <c r="L15" s="144">
        <f>SUM('5.5. sz. mell.  '!L15)</f>
        <v>2808860</v>
      </c>
      <c r="M15" s="144">
        <f>SUM('5.5. sz. mell.  '!M15)</f>
        <v>2808860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/>
      <c r="F16" s="144">
        <f>SUM('5.5. sz. mell.  '!F16)</f>
        <v>0</v>
      </c>
      <c r="G16" s="1415">
        <f t="shared" si="0"/>
        <v>0</v>
      </c>
      <c r="H16" s="144">
        <f>SUM('5.5. sz. mell.  '!H16)</f>
        <v>0</v>
      </c>
      <c r="I16" s="1376">
        <f t="shared" si="0"/>
        <v>3</v>
      </c>
      <c r="J16" s="144">
        <f>SUM('5.5. sz. mell.  '!J16)</f>
        <v>3</v>
      </c>
      <c r="K16" s="1376">
        <f t="shared" si="0"/>
        <v>0</v>
      </c>
      <c r="L16" s="144">
        <f>SUM('5.5. sz. mell.  '!L16)</f>
        <v>3</v>
      </c>
      <c r="M16" s="144">
        <f>SUM('5.5. sz. mell.  '!M16)</f>
        <v>3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44">
        <f>SUM('5.5. sz. mell.  '!F17)</f>
        <v>0</v>
      </c>
      <c r="G17" s="1415">
        <f t="shared" si="0"/>
        <v>0</v>
      </c>
      <c r="H17" s="144">
        <f>SUM('5.5. sz. mell.  '!H17)</f>
        <v>0</v>
      </c>
      <c r="I17" s="1376">
        <f t="shared" si="0"/>
        <v>0</v>
      </c>
      <c r="J17" s="144">
        <f>SUM('5.5. sz. mell.  '!J17)</f>
        <v>0</v>
      </c>
      <c r="K17" s="1376">
        <f t="shared" si="0"/>
        <v>0</v>
      </c>
      <c r="L17" s="144">
        <f>SUM('5.5. sz. mell.  '!L17)</f>
        <v>0</v>
      </c>
      <c r="M17" s="144">
        <f>SUM('5.5. sz. mell.  '!M17)</f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44">
        <f>SUM('5.5. sz. mell.  '!F18)</f>
        <v>0</v>
      </c>
      <c r="G18" s="1415">
        <f t="shared" si="0"/>
        <v>7890</v>
      </c>
      <c r="H18" s="144">
        <f>SUM('5.5. sz. mell.  '!H18)</f>
        <v>7890</v>
      </c>
      <c r="I18" s="1376">
        <f t="shared" si="0"/>
        <v>8159</v>
      </c>
      <c r="J18" s="144">
        <f>SUM('5.5. sz. mell.  '!J18)</f>
        <v>16049</v>
      </c>
      <c r="K18" s="1376">
        <f t="shared" si="0"/>
        <v>0</v>
      </c>
      <c r="L18" s="144">
        <f>SUM('5.5. sz. mell.  '!L18)</f>
        <v>16049</v>
      </c>
      <c r="M18" s="144">
        <f>SUM('5.5. sz. mell.  '!M18)</f>
        <v>16049</v>
      </c>
    </row>
    <row r="19" spans="1:13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45331</v>
      </c>
      <c r="E19" s="137">
        <f>SUM(E20:E25)</f>
        <v>47120</v>
      </c>
      <c r="F19" s="137">
        <f>SUM(F20+F24+F25)</f>
        <v>0</v>
      </c>
      <c r="G19" s="1382">
        <f t="shared" si="0"/>
        <v>0</v>
      </c>
      <c r="H19" s="137">
        <f>SUM(H20+H24+H25)</f>
        <v>0</v>
      </c>
      <c r="I19" s="1374">
        <f t="shared" si="0"/>
        <v>0</v>
      </c>
      <c r="J19" s="137">
        <f>SUM(J20+J24+J25)</f>
        <v>0</v>
      </c>
      <c r="K19" s="1374">
        <f t="shared" si="0"/>
        <v>0</v>
      </c>
      <c r="L19" s="137">
        <f>SUM(L20+L24+L25)</f>
        <v>0</v>
      </c>
      <c r="M19" s="137">
        <f>SUM(M20:M25)</f>
        <v>0</v>
      </c>
    </row>
    <row r="20" spans="1:13" s="145" customFormat="1" ht="30" x14ac:dyDescent="0.2">
      <c r="A20" s="142"/>
      <c r="B20" s="143" t="s">
        <v>5</v>
      </c>
      <c r="C20" s="251" t="s">
        <v>420</v>
      </c>
      <c r="D20" s="144">
        <v>45331</v>
      </c>
      <c r="E20" s="144">
        <v>47120</v>
      </c>
      <c r="F20" s="144">
        <f>SUM(F21:F23)</f>
        <v>0</v>
      </c>
      <c r="G20" s="1415">
        <f t="shared" si="0"/>
        <v>0</v>
      </c>
      <c r="H20" s="144">
        <f>SUM(H21:H23)</f>
        <v>0</v>
      </c>
      <c r="I20" s="1376">
        <f t="shared" si="0"/>
        <v>0</v>
      </c>
      <c r="J20" s="144">
        <f>SUM(J21:J23)</f>
        <v>0</v>
      </c>
      <c r="K20" s="1376">
        <f t="shared" si="0"/>
        <v>0</v>
      </c>
      <c r="L20" s="144">
        <f>SUM(L21:L23)</f>
        <v>0</v>
      </c>
      <c r="M20" s="144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>
        <v>0</v>
      </c>
      <c r="G21" s="1415">
        <f t="shared" si="0"/>
        <v>0</v>
      </c>
      <c r="H21" s="144">
        <v>0</v>
      </c>
      <c r="I21" s="1376">
        <f t="shared" si="0"/>
        <v>0</v>
      </c>
      <c r="J21" s="144">
        <v>0</v>
      </c>
      <c r="K21" s="1376">
        <f t="shared" si="0"/>
        <v>0</v>
      </c>
      <c r="L21" s="144">
        <v>0</v>
      </c>
      <c r="M21" s="144">
        <v>0</v>
      </c>
    </row>
    <row r="22" spans="1:13" s="145" customFormat="1" ht="15" customHeight="1" x14ac:dyDescent="0.2">
      <c r="A22" s="142"/>
      <c r="B22" s="143" t="s">
        <v>360</v>
      </c>
      <c r="C22" s="55" t="s">
        <v>1429</v>
      </c>
      <c r="D22" s="144"/>
      <c r="E22" s="144"/>
      <c r="F22" s="144">
        <v>0</v>
      </c>
      <c r="G22" s="1415">
        <f t="shared" si="0"/>
        <v>0</v>
      </c>
      <c r="H22" s="144">
        <v>0</v>
      </c>
      <c r="I22" s="1376">
        <f t="shared" si="0"/>
        <v>0</v>
      </c>
      <c r="J22" s="144">
        <v>0</v>
      </c>
      <c r="K22" s="1376">
        <f t="shared" si="0"/>
        <v>0</v>
      </c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>
        <f t="shared" si="0"/>
        <v>0</v>
      </c>
      <c r="H23" s="144">
        <v>0</v>
      </c>
      <c r="I23" s="1376">
        <f t="shared" si="0"/>
        <v>0</v>
      </c>
      <c r="J23" s="144">
        <v>0</v>
      </c>
      <c r="K23" s="1376">
        <f t="shared" si="0"/>
        <v>0</v>
      </c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>
        <f t="shared" ref="G24:K31" si="1">SUM(H24-F24)</f>
        <v>0</v>
      </c>
      <c r="H24" s="144">
        <v>0</v>
      </c>
      <c r="I24" s="1376">
        <f t="shared" si="1"/>
        <v>0</v>
      </c>
      <c r="J24" s="144">
        <v>0</v>
      </c>
      <c r="K24" s="1376">
        <f t="shared" si="1"/>
        <v>0</v>
      </c>
      <c r="L24" s="144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>
        <f t="shared" si="1"/>
        <v>0</v>
      </c>
      <c r="H25" s="144">
        <v>0</v>
      </c>
      <c r="I25" s="1376">
        <f t="shared" si="1"/>
        <v>0</v>
      </c>
      <c r="J25" s="144">
        <v>0</v>
      </c>
      <c r="K25" s="1376">
        <f t="shared" si="1"/>
        <v>0</v>
      </c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155">
        <v>0</v>
      </c>
      <c r="G26" s="1382">
        <f t="shared" si="1"/>
        <v>0</v>
      </c>
      <c r="H26" s="155">
        <f>SUM(H27)</f>
        <v>0</v>
      </c>
      <c r="I26" s="1374">
        <f t="shared" si="1"/>
        <v>0</v>
      </c>
      <c r="J26" s="155">
        <f>SUM(J27)</f>
        <v>0</v>
      </c>
      <c r="K26" s="1374">
        <f t="shared" si="1"/>
        <v>0</v>
      </c>
      <c r="L26" s="155">
        <f>SUM(L27)</f>
        <v>0</v>
      </c>
      <c r="M26" s="155">
        <v>0</v>
      </c>
    </row>
    <row r="27" spans="1:13" s="145" customFormat="1" ht="30.75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1415">
        <f t="shared" si="1"/>
        <v>0</v>
      </c>
      <c r="H27" s="147">
        <v>0</v>
      </c>
      <c r="I27" s="1377"/>
      <c r="J27" s="147">
        <v>0</v>
      </c>
      <c r="K27" s="1377"/>
      <c r="L27" s="147">
        <v>0</v>
      </c>
      <c r="M27" s="147">
        <v>0</v>
      </c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v>0</v>
      </c>
      <c r="G28" s="1382">
        <f t="shared" si="1"/>
        <v>0</v>
      </c>
      <c r="H28" s="155">
        <v>0</v>
      </c>
      <c r="I28" s="1374">
        <f t="shared" si="1"/>
        <v>0</v>
      </c>
      <c r="J28" s="155">
        <v>0</v>
      </c>
      <c r="K28" s="1374">
        <f t="shared" si="1"/>
        <v>0</v>
      </c>
      <c r="L28" s="155">
        <v>0</v>
      </c>
      <c r="M28" s="155">
        <v>0</v>
      </c>
    </row>
    <row r="29" spans="1:1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1415">
        <f t="shared" si="1"/>
        <v>0</v>
      </c>
      <c r="H29" s="144">
        <v>0</v>
      </c>
      <c r="I29" s="1376">
        <f t="shared" si="1"/>
        <v>0</v>
      </c>
      <c r="J29" s="144">
        <v>0</v>
      </c>
      <c r="K29" s="1376">
        <f t="shared" si="1"/>
        <v>0</v>
      </c>
      <c r="L29" s="144">
        <v>0</v>
      </c>
      <c r="M29" s="144">
        <v>0</v>
      </c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1415">
        <f t="shared" si="1"/>
        <v>0</v>
      </c>
      <c r="H30" s="144">
        <v>0</v>
      </c>
      <c r="I30" s="1376">
        <f t="shared" si="1"/>
        <v>0</v>
      </c>
      <c r="J30" s="144">
        <v>0</v>
      </c>
      <c r="K30" s="1376">
        <f t="shared" si="1"/>
        <v>0</v>
      </c>
      <c r="L30" s="144">
        <v>0</v>
      </c>
      <c r="M30" s="144">
        <v>0</v>
      </c>
    </row>
    <row r="31" spans="1:1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1415">
        <f t="shared" si="1"/>
        <v>0</v>
      </c>
      <c r="H31" s="144">
        <v>0</v>
      </c>
      <c r="I31" s="1376">
        <f t="shared" si="1"/>
        <v>0</v>
      </c>
      <c r="J31" s="144">
        <v>0</v>
      </c>
      <c r="K31" s="1376">
        <f t="shared" si="1"/>
        <v>0</v>
      </c>
      <c r="L31" s="144">
        <v>0</v>
      </c>
      <c r="M31" s="144">
        <v>0</v>
      </c>
    </row>
    <row r="32" spans="1:13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0"/>
      <c r="J32" s="155">
        <v>0</v>
      </c>
      <c r="K32" s="1380"/>
      <c r="L32" s="155">
        <v>0</v>
      </c>
      <c r="M32" s="155">
        <v>0</v>
      </c>
    </row>
    <row r="33" spans="1:16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9028</v>
      </c>
      <c r="F33" s="285">
        <f>+F34+F35</f>
        <v>0</v>
      </c>
      <c r="G33" s="1382"/>
      <c r="H33" s="285">
        <f>+H34+H35</f>
        <v>0</v>
      </c>
      <c r="I33" s="1382"/>
      <c r="J33" s="285">
        <f>+J34+J35</f>
        <v>0</v>
      </c>
      <c r="K33" s="1382"/>
      <c r="L33" s="285">
        <f>+L34+L35</f>
        <v>0</v>
      </c>
      <c r="M33" s="285">
        <f>+M34+M35</f>
        <v>0</v>
      </c>
    </row>
    <row r="34" spans="1:16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9028</v>
      </c>
      <c r="F34" s="306"/>
      <c r="G34" s="1383"/>
      <c r="H34" s="306"/>
      <c r="I34" s="1383"/>
      <c r="J34" s="306"/>
      <c r="K34" s="1383"/>
      <c r="L34" s="306"/>
      <c r="M34" s="306"/>
    </row>
    <row r="35" spans="1:16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>
        <v>0</v>
      </c>
      <c r="K35" s="1384"/>
      <c r="L35" s="294">
        <v>0</v>
      </c>
      <c r="M35" s="294">
        <v>0</v>
      </c>
    </row>
    <row r="36" spans="1:16" s="141" customFormat="1" ht="29.25" thickBot="1" x14ac:dyDescent="0.25">
      <c r="A36" s="134" t="s">
        <v>67</v>
      </c>
      <c r="B36" s="254"/>
      <c r="C36" s="170" t="s">
        <v>429</v>
      </c>
      <c r="D36" s="320"/>
      <c r="E36" s="320"/>
      <c r="F36" s="155">
        <v>0</v>
      </c>
      <c r="G36" s="1382">
        <f>SUM(H36-F36)</f>
        <v>0</v>
      </c>
      <c r="H36" s="155">
        <v>0</v>
      </c>
      <c r="I36" s="1374">
        <f>SUM(J36-H36)</f>
        <v>0</v>
      </c>
      <c r="J36" s="155">
        <v>0</v>
      </c>
      <c r="K36" s="1374">
        <f>SUM(L36-J36)</f>
        <v>0</v>
      </c>
      <c r="L36" s="155">
        <v>0</v>
      </c>
      <c r="M36" s="155">
        <v>0</v>
      </c>
    </row>
    <row r="37" spans="1:16" s="141" customFormat="1" ht="30.75" thickBot="1" x14ac:dyDescent="0.25">
      <c r="A37" s="146"/>
      <c r="B37" s="255" t="s">
        <v>47</v>
      </c>
      <c r="C37" s="251" t="s">
        <v>430</v>
      </c>
      <c r="D37" s="320"/>
      <c r="E37" s="320"/>
      <c r="F37" s="175">
        <v>0</v>
      </c>
      <c r="G37" s="1415">
        <f t="shared" ref="G37:K38" si="2">SUM(H37-F37)</f>
        <v>0</v>
      </c>
      <c r="H37" s="175">
        <v>0</v>
      </c>
      <c r="I37" s="1376">
        <f t="shared" si="2"/>
        <v>0</v>
      </c>
      <c r="J37" s="175">
        <v>0</v>
      </c>
      <c r="K37" s="1376">
        <f t="shared" si="2"/>
        <v>0</v>
      </c>
      <c r="L37" s="175">
        <v>0</v>
      </c>
      <c r="M37" s="175">
        <v>0</v>
      </c>
    </row>
    <row r="38" spans="1:16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v>0</v>
      </c>
      <c r="G38" s="1382">
        <f t="shared" si="2"/>
        <v>0</v>
      </c>
      <c r="H38" s="155">
        <v>0</v>
      </c>
      <c r="I38" s="1374">
        <f t="shared" si="2"/>
        <v>0</v>
      </c>
      <c r="J38" s="155">
        <v>0</v>
      </c>
      <c r="K38" s="1374">
        <f t="shared" si="2"/>
        <v>0</v>
      </c>
      <c r="L38" s="155">
        <v>0</v>
      </c>
      <c r="M38" s="155">
        <v>0</v>
      </c>
    </row>
    <row r="39" spans="1:16" s="141" customFormat="1" ht="30.75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1509">
        <f>SUM(H39-F39)</f>
        <v>0</v>
      </c>
      <c r="H39" s="252">
        <v>0</v>
      </c>
      <c r="I39" s="1436">
        <f>SUM(J39-H39)</f>
        <v>0</v>
      </c>
      <c r="J39" s="252">
        <v>0</v>
      </c>
      <c r="K39" s="1436">
        <f>SUM(L39-J39)</f>
        <v>0</v>
      </c>
      <c r="L39" s="320">
        <v>0</v>
      </c>
      <c r="M39" s="320">
        <v>0</v>
      </c>
    </row>
    <row r="40" spans="1:16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321">
        <f>SUM(F41:F43)</f>
        <v>141902095</v>
      </c>
      <c r="G40" s="2691">
        <f t="shared" ref="G40:K63" si="3">SUM(H40-F40)</f>
        <v>15542529</v>
      </c>
      <c r="H40" s="321">
        <f>SUM(H41:H43)</f>
        <v>157444624</v>
      </c>
      <c r="I40" s="1393">
        <f t="shared" si="3"/>
        <v>9421890</v>
      </c>
      <c r="J40" s="321">
        <f>SUM(J41:J43)</f>
        <v>166866514</v>
      </c>
      <c r="K40" s="1393">
        <f t="shared" si="3"/>
        <v>0</v>
      </c>
      <c r="L40" s="321">
        <f>SUM(L41:L43)</f>
        <v>166866514</v>
      </c>
      <c r="M40" s="321">
        <f>SUM(M41:M43)</f>
        <v>166866514</v>
      </c>
    </row>
    <row r="41" spans="1:16" s="141" customFormat="1" ht="15" customHeight="1" x14ac:dyDescent="0.2">
      <c r="A41" s="268"/>
      <c r="B41" s="2676" t="s">
        <v>81</v>
      </c>
      <c r="C41" s="2376" t="s">
        <v>434</v>
      </c>
      <c r="D41" s="147"/>
      <c r="E41" s="147"/>
      <c r="F41" s="153">
        <v>0</v>
      </c>
      <c r="G41" s="1415">
        <f t="shared" si="3"/>
        <v>294609</v>
      </c>
      <c r="H41" s="144">
        <f>SUM('5.5. sz. mell.  '!H41)</f>
        <v>294609</v>
      </c>
      <c r="I41" s="1376">
        <f t="shared" si="3"/>
        <v>0</v>
      </c>
      <c r="J41" s="144">
        <f>SUM('5.5. sz. mell.  '!J41)</f>
        <v>294609</v>
      </c>
      <c r="K41" s="1376">
        <f t="shared" si="3"/>
        <v>0</v>
      </c>
      <c r="L41" s="144">
        <f>SUM('5.5. sz. mell.  '!L41)</f>
        <v>294609</v>
      </c>
      <c r="M41" s="144">
        <f>SUM('5.5. sz. mell.  '!M41)</f>
        <v>294609</v>
      </c>
    </row>
    <row r="42" spans="1:16" s="141" customFormat="1" ht="15" customHeight="1" x14ac:dyDescent="0.2">
      <c r="A42" s="142"/>
      <c r="B42" s="253" t="s">
        <v>83</v>
      </c>
      <c r="C42" s="55" t="s">
        <v>435</v>
      </c>
      <c r="D42" s="144"/>
      <c r="E42" s="144"/>
      <c r="F42" s="144">
        <v>0</v>
      </c>
      <c r="G42" s="1415">
        <f t="shared" si="3"/>
        <v>0</v>
      </c>
      <c r="H42" s="144">
        <v>0</v>
      </c>
      <c r="I42" s="1376">
        <f t="shared" si="3"/>
        <v>0</v>
      </c>
      <c r="J42" s="144">
        <v>0</v>
      </c>
      <c r="K42" s="1376">
        <f t="shared" si="3"/>
        <v>0</v>
      </c>
      <c r="L42" s="144">
        <v>0</v>
      </c>
      <c r="M42" s="144">
        <v>0</v>
      </c>
    </row>
    <row r="43" spans="1:16" s="145" customFormat="1" ht="15" customHeight="1" x14ac:dyDescent="0.2">
      <c r="A43" s="142"/>
      <c r="B43" s="253" t="s">
        <v>85</v>
      </c>
      <c r="C43" s="55" t="s">
        <v>1432</v>
      </c>
      <c r="D43" s="206">
        <v>16267</v>
      </c>
      <c r="E43" s="206">
        <v>20412</v>
      </c>
      <c r="F43" s="144">
        <f>SUM(F44:F45)</f>
        <v>141902095</v>
      </c>
      <c r="G43" s="1415">
        <f t="shared" si="3"/>
        <v>15247920</v>
      </c>
      <c r="H43" s="144">
        <f>SUM(H44:H45)</f>
        <v>157150015</v>
      </c>
      <c r="I43" s="1376">
        <f t="shared" si="3"/>
        <v>9421890</v>
      </c>
      <c r="J43" s="144">
        <f>SUM(J44:J45)</f>
        <v>166571905</v>
      </c>
      <c r="K43" s="1376">
        <f t="shared" si="3"/>
        <v>0</v>
      </c>
      <c r="L43" s="144">
        <f>SUM(L44:L45)</f>
        <v>166571905</v>
      </c>
      <c r="M43" s="144">
        <f>SUM(M44:M45)</f>
        <v>166571905</v>
      </c>
    </row>
    <row r="44" spans="1:16" s="145" customFormat="1" ht="15" customHeight="1" x14ac:dyDescent="0.2">
      <c r="A44" s="142"/>
      <c r="B44" s="253" t="s">
        <v>437</v>
      </c>
      <c r="C44" s="2686" t="s">
        <v>891</v>
      </c>
      <c r="D44" s="206"/>
      <c r="E44" s="206"/>
      <c r="F44" s="1297">
        <f>SUM('5.5. sz. mell.  '!F44)</f>
        <v>84260851</v>
      </c>
      <c r="G44" s="1534">
        <f t="shared" si="3"/>
        <v>412577</v>
      </c>
      <c r="H44" s="1306">
        <f>SUM('5.5. sz. mell.  '!H44)</f>
        <v>84673428</v>
      </c>
      <c r="I44" s="1492">
        <f t="shared" si="3"/>
        <v>-2064347</v>
      </c>
      <c r="J44" s="1306">
        <f>SUM('5.5. sz. mell.  '!J44)</f>
        <v>82609081</v>
      </c>
      <c r="K44" s="1492">
        <f t="shared" si="3"/>
        <v>0</v>
      </c>
      <c r="L44" s="1306">
        <f>SUM('5.5. sz. mell.  '!L44)</f>
        <v>82609081</v>
      </c>
      <c r="M44" s="1306">
        <f>SUM('5.5. sz. mell.  '!M44)</f>
        <v>82609081</v>
      </c>
      <c r="N44" s="205"/>
    </row>
    <row r="45" spans="1:16" s="145" customFormat="1" ht="15" customHeight="1" thickBot="1" x14ac:dyDescent="0.25">
      <c r="A45" s="178"/>
      <c r="B45" s="307" t="s">
        <v>439</v>
      </c>
      <c r="C45" s="2699" t="s">
        <v>532</v>
      </c>
      <c r="D45" s="297"/>
      <c r="E45" s="297"/>
      <c r="F45" s="2701">
        <f>SUM('5.5. sz. mell.  '!F45)</f>
        <v>57641244</v>
      </c>
      <c r="G45" s="2718">
        <f t="shared" si="3"/>
        <v>14835343</v>
      </c>
      <c r="H45" s="1321">
        <f>SUM('5.5. sz. mell.  '!H45)</f>
        <v>72476587</v>
      </c>
      <c r="I45" s="1507">
        <f t="shared" si="3"/>
        <v>11486237</v>
      </c>
      <c r="J45" s="1321">
        <f>SUM('5.5. sz. mell.  '!J45)</f>
        <v>83962824</v>
      </c>
      <c r="K45" s="1507">
        <f t="shared" si="3"/>
        <v>0</v>
      </c>
      <c r="L45" s="1321">
        <f>SUM('5.5. sz. mell.  '!L45)</f>
        <v>83962824</v>
      </c>
      <c r="M45" s="1321">
        <f>SUM('5.5. sz. mell.  '!M45)</f>
        <v>83962824</v>
      </c>
      <c r="N45" s="205"/>
    </row>
    <row r="46" spans="1:16" s="145" customFormat="1" ht="12.75" hidden="1" customHeight="1" x14ac:dyDescent="0.25">
      <c r="A46" s="258"/>
      <c r="B46" s="256"/>
      <c r="C46" s="170" t="s">
        <v>458</v>
      </c>
      <c r="D46" s="155"/>
      <c r="E46" s="155"/>
      <c r="F46" s="155"/>
      <c r="G46" s="1415">
        <f t="shared" si="3"/>
        <v>0</v>
      </c>
      <c r="H46" s="147">
        <f>SUM('5.5. sz. mell.  '!H46)</f>
        <v>0</v>
      </c>
      <c r="I46" s="1376">
        <f t="shared" si="3"/>
        <v>0</v>
      </c>
      <c r="J46" s="147">
        <f>SUM('5.5. sz. mell.  '!J46)</f>
        <v>0</v>
      </c>
      <c r="K46" s="1376">
        <f t="shared" si="3"/>
        <v>0</v>
      </c>
      <c r="L46" s="147">
        <f>SUM('5.5. sz. mell.  '!L46)</f>
        <v>0</v>
      </c>
      <c r="M46" s="147">
        <f>SUM('5.5. sz. mell.  '!M46)</f>
        <v>0</v>
      </c>
    </row>
    <row r="47" spans="1:16" s="145" customFormat="1" ht="15" customHeight="1" thickBot="1" x14ac:dyDescent="0.25">
      <c r="A47" s="192" t="s">
        <v>99</v>
      </c>
      <c r="B47" s="160"/>
      <c r="C47" s="274" t="s">
        <v>441</v>
      </c>
      <c r="D47" s="162">
        <f>SUM(D8,D19,D28,D32,D33,D43)</f>
        <v>258837</v>
      </c>
      <c r="E47" s="162">
        <f>SUM(E8,E19,E28,E32,E33,E43)</f>
        <v>273799</v>
      </c>
      <c r="F47" s="162">
        <f>SUM(F8,F19,F28,F32,F33,F36,F38,F40)</f>
        <v>292047484</v>
      </c>
      <c r="G47" s="1437">
        <f t="shared" si="3"/>
        <v>15222489</v>
      </c>
      <c r="H47" s="162">
        <f>SUM(H8,H19,H28,H32,H33,H36,H38,H40)</f>
        <v>307269973</v>
      </c>
      <c r="I47" s="1373">
        <f t="shared" si="3"/>
        <v>11289042</v>
      </c>
      <c r="J47" s="162">
        <f>SUM(J8,J19,J28,J32,J33,J36,J38,J40)</f>
        <v>318559015</v>
      </c>
      <c r="K47" s="1373">
        <f t="shared" si="3"/>
        <v>0</v>
      </c>
      <c r="L47" s="162">
        <f>SUM(L8,L19,L28,L32,L33,L36,L38,L40)</f>
        <v>318559015</v>
      </c>
      <c r="M47" s="162">
        <f>SUM(M8,M19,M28,M32,M33,M36,M38,M40)</f>
        <v>318586787</v>
      </c>
      <c r="N47" s="205">
        <f>SUM(F63-F47)</f>
        <v>0</v>
      </c>
      <c r="O47" s="205">
        <f>SUM(H63-H47)</f>
        <v>0</v>
      </c>
      <c r="P47" s="205">
        <f>SUM(M63-M47)</f>
        <v>-173611</v>
      </c>
    </row>
    <row r="48" spans="1:16" s="145" customFormat="1" ht="15" customHeight="1" thickBot="1" x14ac:dyDescent="0.25">
      <c r="A48" s="2098"/>
      <c r="B48" s="266"/>
      <c r="C48" s="275"/>
      <c r="D48" s="286"/>
      <c r="E48" s="286"/>
      <c r="F48" s="2163"/>
      <c r="G48" s="2684"/>
      <c r="H48" s="1443"/>
      <c r="I48" s="610"/>
      <c r="J48" s="1443"/>
      <c r="K48" s="610"/>
      <c r="L48" s="1443"/>
      <c r="M48" s="1458"/>
    </row>
    <row r="49" spans="1:13" s="305" customFormat="1" ht="15" customHeight="1" thickBot="1" x14ac:dyDescent="0.25">
      <c r="A49" s="192"/>
      <c r="B49" s="160"/>
      <c r="C49" s="282" t="s">
        <v>231</v>
      </c>
      <c r="D49" s="162"/>
      <c r="E49" s="162"/>
      <c r="F49" s="162"/>
      <c r="G49" s="1437"/>
      <c r="H49" s="162"/>
      <c r="I49" s="1373"/>
      <c r="J49" s="162"/>
      <c r="K49" s="1373"/>
      <c r="L49" s="162"/>
      <c r="M49" s="162"/>
    </row>
    <row r="50" spans="1:13" s="141" customFormat="1" ht="15" customHeight="1" thickBot="1" x14ac:dyDescent="0.25">
      <c r="A50" s="134" t="s">
        <v>3</v>
      </c>
      <c r="B50" s="170"/>
      <c r="C50" s="170" t="s">
        <v>442</v>
      </c>
      <c r="D50" s="137">
        <f>SUM(D51:D55)</f>
        <v>258837</v>
      </c>
      <c r="E50" s="137">
        <f>SUM(E51:E55)</f>
        <v>273555</v>
      </c>
      <c r="F50" s="137">
        <f>SUM(F51:F55)</f>
        <v>290777484</v>
      </c>
      <c r="G50" s="1382">
        <f t="shared" si="3"/>
        <v>12068229</v>
      </c>
      <c r="H50" s="137">
        <f>SUM(H51:H55)</f>
        <v>302845713</v>
      </c>
      <c r="I50" s="1374">
        <f t="shared" si="3"/>
        <v>10219614</v>
      </c>
      <c r="J50" s="137">
        <f>SUM(J51:J55)</f>
        <v>313065327</v>
      </c>
      <c r="K50" s="1374">
        <f t="shared" si="3"/>
        <v>0</v>
      </c>
      <c r="L50" s="137">
        <f>SUM(L51:L55)</f>
        <v>313065327</v>
      </c>
      <c r="M50" s="137">
        <f>SUM(M51:M55)</f>
        <v>312919488</v>
      </c>
    </row>
    <row r="51" spans="1:13" s="145" customFormat="1" ht="15" customHeight="1" x14ac:dyDescent="0.2">
      <c r="A51" s="173"/>
      <c r="B51" s="267" t="s">
        <v>152</v>
      </c>
      <c r="C51" s="251" t="s">
        <v>153</v>
      </c>
      <c r="D51" s="175">
        <v>35918</v>
      </c>
      <c r="E51" s="175">
        <v>38855</v>
      </c>
      <c r="F51" s="175">
        <f>SUM('5.5. sz. mell.  '!F51)</f>
        <v>60087954</v>
      </c>
      <c r="G51" s="1415">
        <f t="shared" si="3"/>
        <v>590535</v>
      </c>
      <c r="H51" s="175">
        <f>SUM('5.5. sz. mell.  '!H51)</f>
        <v>60678489</v>
      </c>
      <c r="I51" s="1376">
        <f t="shared" si="3"/>
        <v>3318042</v>
      </c>
      <c r="J51" s="175">
        <f>SUM('5.5. sz. mell.  '!J51)</f>
        <v>63996531</v>
      </c>
      <c r="K51" s="1376">
        <f t="shared" si="3"/>
        <v>0</v>
      </c>
      <c r="L51" s="175">
        <f>SUM('5.5. sz. mell.  '!L51)</f>
        <v>63996531</v>
      </c>
      <c r="M51" s="175">
        <f>SUM('5.5. sz. mell.  '!M51)</f>
        <v>63996531</v>
      </c>
    </row>
    <row r="52" spans="1:13" s="145" customFormat="1" ht="15" customHeight="1" x14ac:dyDescent="0.2">
      <c r="A52" s="142"/>
      <c r="B52" s="253" t="s">
        <v>154</v>
      </c>
      <c r="C52" s="55" t="s">
        <v>155</v>
      </c>
      <c r="D52" s="144">
        <v>9491</v>
      </c>
      <c r="E52" s="144">
        <v>10284</v>
      </c>
      <c r="F52" s="175">
        <f>SUM('5.5. sz. mell.  '!F52)</f>
        <v>12249720</v>
      </c>
      <c r="G52" s="1415">
        <f t="shared" si="3"/>
        <v>116651</v>
      </c>
      <c r="H52" s="175">
        <f>SUM('5.5. sz. mell.  '!H52)</f>
        <v>12366371</v>
      </c>
      <c r="I52" s="1376">
        <f t="shared" si="3"/>
        <v>919579</v>
      </c>
      <c r="J52" s="175">
        <f>SUM('5.5. sz. mell.  '!J52)</f>
        <v>13285950</v>
      </c>
      <c r="K52" s="1376">
        <f t="shared" si="3"/>
        <v>0</v>
      </c>
      <c r="L52" s="175">
        <f>SUM('5.5. sz. mell.  '!L52)</f>
        <v>13285950</v>
      </c>
      <c r="M52" s="175">
        <f>SUM('5.5. sz. mell.  '!M52)</f>
        <v>13285950</v>
      </c>
    </row>
    <row r="53" spans="1:13" s="145" customFormat="1" ht="15" customHeight="1" x14ac:dyDescent="0.2">
      <c r="A53" s="142"/>
      <c r="B53" s="253" t="s">
        <v>156</v>
      </c>
      <c r="C53" s="55" t="s">
        <v>157</v>
      </c>
      <c r="D53" s="144">
        <v>213428</v>
      </c>
      <c r="E53" s="144">
        <v>224416</v>
      </c>
      <c r="F53" s="175">
        <f>SUM('5.5. sz. mell.  '!F53)</f>
        <v>218439810</v>
      </c>
      <c r="G53" s="1415">
        <f t="shared" si="3"/>
        <v>11361043</v>
      </c>
      <c r="H53" s="175">
        <f>SUM('5.5. sz. mell.  '!H53)</f>
        <v>229800853</v>
      </c>
      <c r="I53" s="1376">
        <f t="shared" si="3"/>
        <v>5981993</v>
      </c>
      <c r="J53" s="175">
        <f>SUM('5.5. sz. mell.  '!J53)</f>
        <v>235782846</v>
      </c>
      <c r="K53" s="1376">
        <f t="shared" si="3"/>
        <v>0</v>
      </c>
      <c r="L53" s="175">
        <f>SUM('5.5. sz. mell.  '!L53)</f>
        <v>235782846</v>
      </c>
      <c r="M53" s="175">
        <f>SUM('5.5. sz. mell.  '!M53)</f>
        <v>235637007</v>
      </c>
    </row>
    <row r="54" spans="1:13" s="145" customFormat="1" ht="15" customHeight="1" x14ac:dyDescent="0.2">
      <c r="A54" s="142"/>
      <c r="B54" s="253" t="s">
        <v>158</v>
      </c>
      <c r="C54" s="55" t="s">
        <v>159</v>
      </c>
      <c r="D54" s="144"/>
      <c r="E54" s="144"/>
      <c r="F54" s="144">
        <v>0</v>
      </c>
      <c r="G54" s="1415">
        <f t="shared" si="3"/>
        <v>0</v>
      </c>
      <c r="H54" s="175">
        <f>SUM('5.5. sz. mell.  '!H54)</f>
        <v>0</v>
      </c>
      <c r="I54" s="1376">
        <f t="shared" si="3"/>
        <v>0</v>
      </c>
      <c r="J54" s="175">
        <f>SUM('5.5. sz. mell.  '!J54)</f>
        <v>0</v>
      </c>
      <c r="K54" s="1376">
        <f t="shared" si="3"/>
        <v>0</v>
      </c>
      <c r="L54" s="175">
        <f>SUM('5.5. sz. mell.  '!L54)</f>
        <v>0</v>
      </c>
      <c r="M54" s="175">
        <f>SUM('5.5. sz. mell.  '!M54)</f>
        <v>0</v>
      </c>
    </row>
    <row r="55" spans="1:13" s="145" customFormat="1" ht="15" customHeight="1" thickBot="1" x14ac:dyDescent="0.25">
      <c r="A55" s="142"/>
      <c r="B55" s="253" t="s">
        <v>375</v>
      </c>
      <c r="C55" s="55" t="s">
        <v>161</v>
      </c>
      <c r="D55" s="144">
        <v>0</v>
      </c>
      <c r="E55" s="144">
        <v>0</v>
      </c>
      <c r="F55" s="144">
        <v>0</v>
      </c>
      <c r="G55" s="1415">
        <f t="shared" si="3"/>
        <v>0</v>
      </c>
      <c r="H55" s="175">
        <f>SUM('5.5. sz. mell.  '!H55)</f>
        <v>0</v>
      </c>
      <c r="I55" s="1376">
        <f t="shared" si="3"/>
        <v>0</v>
      </c>
      <c r="J55" s="175">
        <f>SUM('5.5. sz. mell.  '!J55)</f>
        <v>0</v>
      </c>
      <c r="K55" s="1376">
        <f t="shared" si="3"/>
        <v>0</v>
      </c>
      <c r="L55" s="175">
        <f>SUM('5.5. sz. mell.  '!L55)</f>
        <v>0</v>
      </c>
      <c r="M55" s="175">
        <f>SUM('5.5. sz. mell.  '!M55)</f>
        <v>0</v>
      </c>
    </row>
    <row r="56" spans="1:13" s="145" customFormat="1" ht="15" customHeight="1" thickBot="1" x14ac:dyDescent="0.25">
      <c r="A56" s="134" t="s">
        <v>17</v>
      </c>
      <c r="B56" s="170"/>
      <c r="C56" s="170" t="s">
        <v>443</v>
      </c>
      <c r="D56" s="137">
        <f>SUM(D57:D60)</f>
        <v>0</v>
      </c>
      <c r="E56" s="137">
        <f>SUM(E57:E60)</f>
        <v>244</v>
      </c>
      <c r="F56" s="137">
        <f>SUM(F57:F60)</f>
        <v>1270000</v>
      </c>
      <c r="G56" s="1382">
        <f t="shared" si="3"/>
        <v>3154260</v>
      </c>
      <c r="H56" s="137">
        <f>SUM(H57:H60)</f>
        <v>4424260</v>
      </c>
      <c r="I56" s="1374">
        <f t="shared" si="3"/>
        <v>1069428</v>
      </c>
      <c r="J56" s="137">
        <f>SUM(J57:J60)</f>
        <v>5493688</v>
      </c>
      <c r="K56" s="1374">
        <f t="shared" si="3"/>
        <v>0</v>
      </c>
      <c r="L56" s="137">
        <f>SUM(L57:L60)</f>
        <v>5493688</v>
      </c>
      <c r="M56" s="137">
        <f>SUM(M57:M60)</f>
        <v>5493688</v>
      </c>
    </row>
    <row r="57" spans="1:13" s="141" customFormat="1" ht="15" customHeight="1" x14ac:dyDescent="0.2">
      <c r="A57" s="173"/>
      <c r="B57" s="267" t="s">
        <v>5</v>
      </c>
      <c r="C57" s="251" t="s">
        <v>183</v>
      </c>
      <c r="D57" s="175">
        <v>0</v>
      </c>
      <c r="E57" s="175">
        <v>244</v>
      </c>
      <c r="F57" s="175">
        <f>SUM('5.5. sz. mell.  '!F57)</f>
        <v>1270000</v>
      </c>
      <c r="G57" s="1415">
        <f t="shared" si="3"/>
        <v>2274260</v>
      </c>
      <c r="H57" s="175">
        <f>SUM('5.5. sz. mell.  '!H57)</f>
        <v>3544260</v>
      </c>
      <c r="I57" s="1376">
        <f t="shared" si="3"/>
        <v>-1092856</v>
      </c>
      <c r="J57" s="175">
        <f>SUM('5.5. sz. mell.  '!J57)</f>
        <v>2451404</v>
      </c>
      <c r="K57" s="1376">
        <f t="shared" si="3"/>
        <v>0</v>
      </c>
      <c r="L57" s="175">
        <f>SUM('5.5. sz. mell.  '!L57)</f>
        <v>2451404</v>
      </c>
      <c r="M57" s="175">
        <f>SUM('5.5. sz. mell.  '!M57)</f>
        <v>2451404</v>
      </c>
    </row>
    <row r="58" spans="1:13" s="145" customFormat="1" ht="15" customHeight="1" x14ac:dyDescent="0.2">
      <c r="A58" s="142"/>
      <c r="B58" s="253" t="s">
        <v>7</v>
      </c>
      <c r="C58" s="55" t="s">
        <v>185</v>
      </c>
      <c r="D58" s="144">
        <v>0</v>
      </c>
      <c r="E58" s="144">
        <v>0</v>
      </c>
      <c r="F58" s="144"/>
      <c r="G58" s="1415">
        <f t="shared" si="3"/>
        <v>880000</v>
      </c>
      <c r="H58" s="144">
        <f>SUM('5.5. sz. mell.  '!H58)</f>
        <v>880000</v>
      </c>
      <c r="I58" s="1376">
        <f t="shared" si="3"/>
        <v>2162284</v>
      </c>
      <c r="J58" s="144">
        <f>SUM('5.5. sz. mell.  '!J58)</f>
        <v>3042284</v>
      </c>
      <c r="K58" s="1376">
        <f t="shared" si="3"/>
        <v>0</v>
      </c>
      <c r="L58" s="144">
        <f>SUM('5.5. sz. mell.  '!L58)</f>
        <v>3042284</v>
      </c>
      <c r="M58" s="144">
        <f>SUM('5.5. sz. mell.  '!M58)</f>
        <v>3042284</v>
      </c>
    </row>
    <row r="59" spans="1:13" s="145" customFormat="1" ht="15.75" thickBot="1" x14ac:dyDescent="0.25">
      <c r="A59" s="142"/>
      <c r="B59" s="253" t="s">
        <v>9</v>
      </c>
      <c r="C59" s="55" t="s">
        <v>444</v>
      </c>
      <c r="D59" s="144">
        <v>0</v>
      </c>
      <c r="E59" s="144">
        <v>0</v>
      </c>
      <c r="F59" s="144">
        <v>0</v>
      </c>
      <c r="G59" s="1415">
        <f t="shared" si="3"/>
        <v>0</v>
      </c>
      <c r="H59" s="144">
        <v>0</v>
      </c>
      <c r="I59" s="1376">
        <f t="shared" si="3"/>
        <v>0</v>
      </c>
      <c r="J59" s="144">
        <v>0</v>
      </c>
      <c r="K59" s="1376">
        <f t="shared" si="3"/>
        <v>0</v>
      </c>
      <c r="L59" s="144">
        <v>0</v>
      </c>
      <c r="M59" s="144">
        <v>0</v>
      </c>
    </row>
    <row r="60" spans="1:13" s="145" customFormat="1" ht="12.75" hidden="1" customHeight="1" x14ac:dyDescent="0.2">
      <c r="A60" s="142"/>
      <c r="B60" s="176" t="s">
        <v>189</v>
      </c>
      <c r="C60" s="55" t="s">
        <v>448</v>
      </c>
      <c r="D60" s="144">
        <v>0</v>
      </c>
      <c r="E60" s="144">
        <v>0</v>
      </c>
      <c r="F60" s="144">
        <v>0</v>
      </c>
      <c r="G60" s="1415">
        <f t="shared" si="3"/>
        <v>0</v>
      </c>
      <c r="H60" s="144">
        <v>0</v>
      </c>
      <c r="I60" s="1376">
        <f t="shared" si="3"/>
        <v>0</v>
      </c>
      <c r="J60" s="144">
        <v>0</v>
      </c>
      <c r="K60" s="1376">
        <f t="shared" si="3"/>
        <v>0</v>
      </c>
      <c r="L60" s="144">
        <v>0</v>
      </c>
      <c r="M60" s="144">
        <v>0</v>
      </c>
    </row>
    <row r="61" spans="1:13" s="145" customFormat="1" ht="12.75" hidden="1" customHeight="1" x14ac:dyDescent="0.2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415">
        <f t="shared" si="3"/>
        <v>0</v>
      </c>
      <c r="H61" s="155">
        <v>0</v>
      </c>
      <c r="I61" s="1376">
        <f t="shared" si="3"/>
        <v>0</v>
      </c>
      <c r="J61" s="155">
        <v>0</v>
      </c>
      <c r="K61" s="1376">
        <f t="shared" si="3"/>
        <v>0</v>
      </c>
      <c r="L61" s="155">
        <v>0</v>
      </c>
      <c r="M61" s="155">
        <v>0</v>
      </c>
    </row>
    <row r="62" spans="1:13" s="145" customFormat="1" ht="12.75" hidden="1" customHeight="1" x14ac:dyDescent="0.2">
      <c r="A62" s="134"/>
      <c r="B62" s="170"/>
      <c r="C62" s="171" t="s">
        <v>459</v>
      </c>
      <c r="D62" s="155"/>
      <c r="E62" s="155"/>
      <c r="F62" s="155"/>
      <c r="G62" s="1415">
        <f t="shared" si="3"/>
        <v>0</v>
      </c>
      <c r="H62" s="155"/>
      <c r="I62" s="1376">
        <f t="shared" si="3"/>
        <v>0</v>
      </c>
      <c r="J62" s="155"/>
      <c r="K62" s="1376">
        <f t="shared" si="3"/>
        <v>0</v>
      </c>
      <c r="L62" s="155"/>
      <c r="M62" s="155"/>
    </row>
    <row r="63" spans="1:13" s="145" customFormat="1" ht="15" customHeight="1" thickBot="1" x14ac:dyDescent="0.25">
      <c r="A63" s="192" t="s">
        <v>31</v>
      </c>
      <c r="B63" s="160"/>
      <c r="C63" s="274" t="s">
        <v>465</v>
      </c>
      <c r="D63" s="162">
        <f>+D50+D56+D61</f>
        <v>258837</v>
      </c>
      <c r="E63" s="162">
        <f>+E50+E56+E61</f>
        <v>273799</v>
      </c>
      <c r="F63" s="162">
        <f>+F50+F56+F61+F62</f>
        <v>292047484</v>
      </c>
      <c r="G63" s="1437">
        <f t="shared" si="3"/>
        <v>15222489</v>
      </c>
      <c r="H63" s="162">
        <f>+H50+H56+H61+H62</f>
        <v>307269973</v>
      </c>
      <c r="I63" s="1373">
        <f t="shared" si="3"/>
        <v>11289042</v>
      </c>
      <c r="J63" s="162">
        <f>+J50+J56+J61+J62</f>
        <v>318559015</v>
      </c>
      <c r="K63" s="1373">
        <f t="shared" si="3"/>
        <v>0</v>
      </c>
      <c r="L63" s="162">
        <f>+L50+L56+L61+L62</f>
        <v>318559015</v>
      </c>
      <c r="M63" s="162">
        <f>+M50+M56+M61+M62</f>
        <v>318413176</v>
      </c>
    </row>
    <row r="64" spans="1:13" s="145" customFormat="1" ht="15" customHeight="1" thickBot="1" x14ac:dyDescent="0.25">
      <c r="A64" s="1303"/>
      <c r="B64" s="886"/>
      <c r="C64" s="886"/>
      <c r="D64" s="886"/>
      <c r="E64" s="886"/>
      <c r="F64" s="2100"/>
      <c r="G64" s="1550"/>
      <c r="H64" s="1550"/>
      <c r="I64" s="1550"/>
      <c r="J64" s="1550"/>
      <c r="K64" s="1550"/>
      <c r="L64" s="1550"/>
      <c r="M64" s="1304"/>
    </row>
    <row r="65" spans="1:13" s="145" customFormat="1" ht="15" customHeight="1" thickBot="1" x14ac:dyDescent="0.25">
      <c r="A65" s="276" t="s">
        <v>324</v>
      </c>
      <c r="B65" s="277"/>
      <c r="C65" s="278"/>
      <c r="D65" s="200">
        <v>25</v>
      </c>
      <c r="E65" s="200">
        <v>25</v>
      </c>
      <c r="F65" s="200">
        <f>SUM('5.5. sz. mell.  '!F65)</f>
        <v>30</v>
      </c>
      <c r="G65" s="200">
        <f>SUM('5.5. sz. mell.  '!G65)</f>
        <v>0</v>
      </c>
      <c r="H65" s="200">
        <f>SUM('5.5. sz. mell.  '!H65)</f>
        <v>30</v>
      </c>
      <c r="I65" s="200">
        <f>SUM('5.5. sz. mell.  '!I65)</f>
        <v>0</v>
      </c>
      <c r="J65" s="200">
        <f>SUM('5.5. sz. mell.  '!J65)</f>
        <v>30</v>
      </c>
      <c r="K65" s="1388">
        <f>SUM(L65-J65)</f>
        <v>0</v>
      </c>
      <c r="L65" s="200">
        <f>SUM('5.5. sz. mell.  '!L65)</f>
        <v>30</v>
      </c>
      <c r="M65" s="200">
        <f>SUM('5.5. sz. mell.  '!M65)</f>
        <v>30</v>
      </c>
    </row>
    <row r="66" spans="1:13" s="145" customFormat="1" ht="15" customHeight="1" thickBot="1" x14ac:dyDescent="0.25">
      <c r="A66" s="276" t="s">
        <v>325</v>
      </c>
      <c r="B66" s="277"/>
      <c r="C66" s="278"/>
      <c r="D66" s="279"/>
      <c r="E66" s="279"/>
      <c r="F66" s="279"/>
      <c r="G66" s="1560"/>
      <c r="H66" s="279"/>
      <c r="I66" s="1389"/>
      <c r="J66" s="279"/>
      <c r="K66" s="1389"/>
      <c r="L66" s="279"/>
      <c r="M66" s="279"/>
    </row>
    <row r="71" spans="1:13" ht="15.75" x14ac:dyDescent="0.2">
      <c r="C71" s="116"/>
    </row>
    <row r="72" spans="1:13" ht="15.75" x14ac:dyDescent="0.2">
      <c r="C72" s="116"/>
    </row>
    <row r="73" spans="1:13" ht="15.75" x14ac:dyDescent="0.2">
      <c r="C73" s="116"/>
    </row>
    <row r="74" spans="1:13" ht="18.75" x14ac:dyDescent="0.2">
      <c r="C74" s="781"/>
    </row>
    <row r="75" spans="1:13" ht="15.75" x14ac:dyDescent="0.2">
      <c r="C75" s="116"/>
    </row>
    <row r="76" spans="1:13" ht="15.75" x14ac:dyDescent="0.2">
      <c r="C76" s="780"/>
    </row>
    <row r="80" spans="1:13" ht="15.75" x14ac:dyDescent="0.2">
      <c r="C80" s="116"/>
    </row>
    <row r="81" spans="3:3" ht="15.75" x14ac:dyDescent="0.2">
      <c r="C81" s="116"/>
    </row>
    <row r="82" spans="3:3" ht="15.75" x14ac:dyDescent="0.2">
      <c r="C82" s="116"/>
    </row>
    <row r="83" spans="3:3" ht="15.75" x14ac:dyDescent="0.2">
      <c r="C83" s="116"/>
    </row>
    <row r="84" spans="3:3" ht="18.75" x14ac:dyDescent="0.2">
      <c r="C84" s="471"/>
    </row>
    <row r="85" spans="3:3" ht="15.75" x14ac:dyDescent="0.2">
      <c r="C85" s="116"/>
    </row>
    <row r="86" spans="3:3" ht="15.75" x14ac:dyDescent="0.2">
      <c r="C86" s="780"/>
    </row>
    <row r="87" spans="3:3" ht="15.75" x14ac:dyDescent="0.2">
      <c r="C87" s="116"/>
    </row>
  </sheetData>
  <mergeCells count="14">
    <mergeCell ref="D4:F4"/>
    <mergeCell ref="A5:B5"/>
    <mergeCell ref="A2:B2"/>
    <mergeCell ref="D2:D3"/>
    <mergeCell ref="F2:F3"/>
    <mergeCell ref="A3:B3"/>
    <mergeCell ref="I2:I3"/>
    <mergeCell ref="J2:J3"/>
    <mergeCell ref="K2:K3"/>
    <mergeCell ref="L2:L3"/>
    <mergeCell ref="C1:M1"/>
    <mergeCell ref="H2:H3"/>
    <mergeCell ref="M2:M3"/>
    <mergeCell ref="G2:G3"/>
  </mergeCells>
  <printOptions horizontalCentered="1"/>
  <pageMargins left="0.19685039370078741" right="0.31496062992125984" top="0.35433070866141736" bottom="0.31496062992125984" header="0.51181102362204722" footer="0.15748031496062992"/>
  <pageSetup paperSize="9" scale="72" firstPageNumber="65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N64"/>
  <sheetViews>
    <sheetView view="pageBreakPreview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1640625" style="115" customWidth="1"/>
    <col min="4" max="5" width="9.33203125" style="115" hidden="1" customWidth="1"/>
    <col min="6" max="6" width="11.1640625" style="115" customWidth="1"/>
    <col min="7" max="7" width="13.1640625" style="1390" hidden="1" customWidth="1"/>
    <col min="8" max="8" width="13.1640625" style="115" hidden="1" customWidth="1"/>
    <col min="9" max="9" width="12.83203125" style="1390" hidden="1" customWidth="1"/>
    <col min="10" max="10" width="15" style="115" customWidth="1"/>
    <col min="11" max="11" width="13.1640625" style="1390" customWidth="1"/>
    <col min="12" max="12" width="15.5" style="115" customWidth="1"/>
    <col min="13" max="13" width="13.33203125" style="115" customWidth="1"/>
    <col min="14" max="14" width="9.33203125" style="115" customWidth="1"/>
    <col min="15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734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472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49" t="s">
        <v>2623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304" t="s">
        <v>479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50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64"/>
      <c r="E4" s="4464"/>
      <c r="F4" s="4465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34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3330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334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197239</v>
      </c>
      <c r="E8" s="137">
        <f>SUM(E9:E18)</f>
        <v>197239</v>
      </c>
      <c r="F8" s="137">
        <f>SUM(F9:F18)</f>
        <v>0</v>
      </c>
      <c r="G8" s="1382">
        <f t="shared" ref="G8:G40" si="0">SUM(H8-F8)</f>
        <v>0</v>
      </c>
      <c r="H8" s="137">
        <f>SUM(H9:H18)</f>
        <v>0</v>
      </c>
      <c r="I8" s="1374">
        <f t="shared" ref="I8:I40" si="1">SUM(J8-H8)</f>
        <v>0</v>
      </c>
      <c r="J8" s="137">
        <f>SUM(J9:J18)</f>
        <v>0</v>
      </c>
      <c r="K8" s="3332">
        <f t="shared" ref="K8:K40" si="2">SUM(L8-J8)</f>
        <v>0</v>
      </c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383">
        <f t="shared" si="0"/>
        <v>0</v>
      </c>
      <c r="H9" s="150">
        <v>0</v>
      </c>
      <c r="I9" s="1498">
        <f t="shared" si="1"/>
        <v>0</v>
      </c>
      <c r="J9" s="150">
        <v>0</v>
      </c>
      <c r="K9" s="3409">
        <f t="shared" si="2"/>
        <v>0</v>
      </c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155306</v>
      </c>
      <c r="E10" s="144">
        <v>155306</v>
      </c>
      <c r="F10" s="144">
        <v>0</v>
      </c>
      <c r="G10" s="1415">
        <f t="shared" si="0"/>
        <v>0</v>
      </c>
      <c r="H10" s="144">
        <v>0</v>
      </c>
      <c r="I10" s="1404">
        <f t="shared" si="1"/>
        <v>0</v>
      </c>
      <c r="J10" s="144">
        <v>0</v>
      </c>
      <c r="K10" s="3351">
        <f t="shared" si="2"/>
        <v>0</v>
      </c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/>
      <c r="E11" s="144"/>
      <c r="F11" s="144">
        <v>0</v>
      </c>
      <c r="G11" s="1519">
        <f t="shared" si="0"/>
        <v>0</v>
      </c>
      <c r="H11" s="144">
        <v>0</v>
      </c>
      <c r="I11" s="1377">
        <f t="shared" si="1"/>
        <v>0</v>
      </c>
      <c r="J11" s="144">
        <v>0</v>
      </c>
      <c r="K11" s="3335">
        <f t="shared" si="2"/>
        <v>0</v>
      </c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>
        <v>0</v>
      </c>
      <c r="G12" s="1415">
        <f t="shared" si="0"/>
        <v>0</v>
      </c>
      <c r="H12" s="144">
        <v>0</v>
      </c>
      <c r="I12" s="1404">
        <f t="shared" si="1"/>
        <v>0</v>
      </c>
      <c r="J12" s="144">
        <v>0</v>
      </c>
      <c r="K12" s="3351">
        <f t="shared" si="2"/>
        <v>0</v>
      </c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>
        <v>0</v>
      </c>
      <c r="G13" s="1519">
        <f t="shared" si="0"/>
        <v>0</v>
      </c>
      <c r="H13" s="144">
        <v>0</v>
      </c>
      <c r="I13" s="1377">
        <f t="shared" si="1"/>
        <v>0</v>
      </c>
      <c r="J13" s="144">
        <v>0</v>
      </c>
      <c r="K13" s="3335">
        <f t="shared" si="2"/>
        <v>0</v>
      </c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41933</v>
      </c>
      <c r="E14" s="147">
        <v>41933</v>
      </c>
      <c r="F14" s="144">
        <v>0</v>
      </c>
      <c r="G14" s="1415">
        <f t="shared" si="0"/>
        <v>0</v>
      </c>
      <c r="H14" s="144">
        <v>0</v>
      </c>
      <c r="I14" s="1404">
        <f t="shared" si="1"/>
        <v>0</v>
      </c>
      <c r="J14" s="144">
        <v>0</v>
      </c>
      <c r="K14" s="3351">
        <f t="shared" si="2"/>
        <v>0</v>
      </c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>
        <f t="shared" si="0"/>
        <v>0</v>
      </c>
      <c r="H15" s="147">
        <v>0</v>
      </c>
      <c r="I15" s="1377">
        <f t="shared" si="1"/>
        <v>0</v>
      </c>
      <c r="J15" s="147">
        <v>0</v>
      </c>
      <c r="K15" s="3335">
        <f t="shared" si="2"/>
        <v>0</v>
      </c>
      <c r="L15" s="147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/>
      <c r="F16" s="144">
        <v>0</v>
      </c>
      <c r="G16" s="1415">
        <f t="shared" si="0"/>
        <v>0</v>
      </c>
      <c r="H16" s="144">
        <v>0</v>
      </c>
      <c r="I16" s="1404">
        <f t="shared" si="1"/>
        <v>0</v>
      </c>
      <c r="J16" s="144">
        <v>0</v>
      </c>
      <c r="K16" s="3351">
        <f t="shared" si="2"/>
        <v>0</v>
      </c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9">
        <f t="shared" si="0"/>
        <v>0</v>
      </c>
      <c r="H17" s="153">
        <v>0</v>
      </c>
      <c r="I17" s="1377">
        <f t="shared" si="1"/>
        <v>0</v>
      </c>
      <c r="J17" s="153">
        <v>0</v>
      </c>
      <c r="K17" s="3335">
        <f t="shared" si="2"/>
        <v>0</v>
      </c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2667">
        <f t="shared" si="0"/>
        <v>0</v>
      </c>
      <c r="H18" s="153">
        <v>0</v>
      </c>
      <c r="I18" s="1435">
        <f t="shared" si="1"/>
        <v>0</v>
      </c>
      <c r="J18" s="153">
        <v>0</v>
      </c>
      <c r="K18" s="3384">
        <f t="shared" si="2"/>
        <v>0</v>
      </c>
      <c r="L18" s="153">
        <v>0</v>
      </c>
      <c r="M18" s="153">
        <v>0</v>
      </c>
    </row>
    <row r="19" spans="1:13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45331</v>
      </c>
      <c r="E19" s="137">
        <f>SUM(E20:E25)</f>
        <v>47120</v>
      </c>
      <c r="F19" s="137">
        <f>SUM(F20+F24+F25)</f>
        <v>0</v>
      </c>
      <c r="G19" s="1382">
        <f t="shared" si="0"/>
        <v>0</v>
      </c>
      <c r="H19" s="137">
        <f>SUM(H20:H25)</f>
        <v>0</v>
      </c>
      <c r="I19" s="1374">
        <f t="shared" si="1"/>
        <v>0</v>
      </c>
      <c r="J19" s="137">
        <f>SUM(J20:J25)</f>
        <v>0</v>
      </c>
      <c r="K19" s="3332">
        <f t="shared" si="2"/>
        <v>0</v>
      </c>
      <c r="L19" s="137">
        <f>SUM(L20:L25)</f>
        <v>0</v>
      </c>
      <c r="M19" s="137">
        <f>SUM(M20:M25)</f>
        <v>0</v>
      </c>
    </row>
    <row r="20" spans="1:13" s="145" customFormat="1" ht="30" x14ac:dyDescent="0.2">
      <c r="A20" s="142"/>
      <c r="B20" s="143" t="s">
        <v>5</v>
      </c>
      <c r="C20" s="251" t="s">
        <v>420</v>
      </c>
      <c r="D20" s="144">
        <v>45331</v>
      </c>
      <c r="E20" s="144">
        <v>47120</v>
      </c>
      <c r="F20" s="144">
        <f>SUM(F21:F23)</f>
        <v>0</v>
      </c>
      <c r="G20" s="1533">
        <f t="shared" si="0"/>
        <v>0</v>
      </c>
      <c r="H20" s="144">
        <f>SUM(H21:H23)</f>
        <v>0</v>
      </c>
      <c r="I20" s="1403">
        <f t="shared" si="1"/>
        <v>0</v>
      </c>
      <c r="J20" s="144">
        <f>SUM(J21:J23)</f>
        <v>0</v>
      </c>
      <c r="K20" s="3373">
        <f t="shared" si="2"/>
        <v>0</v>
      </c>
      <c r="L20" s="144">
        <f>SUM(L21:L23)</f>
        <v>0</v>
      </c>
      <c r="M20" s="144">
        <v>0</v>
      </c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>
        <v>0</v>
      </c>
      <c r="G21" s="1519">
        <f t="shared" si="0"/>
        <v>0</v>
      </c>
      <c r="H21" s="144">
        <v>0</v>
      </c>
      <c r="I21" s="1377">
        <f t="shared" si="1"/>
        <v>0</v>
      </c>
      <c r="J21" s="144">
        <v>0</v>
      </c>
      <c r="K21" s="3335">
        <f t="shared" si="2"/>
        <v>0</v>
      </c>
      <c r="L21" s="144">
        <v>0</v>
      </c>
      <c r="M21" s="144">
        <v>0</v>
      </c>
    </row>
    <row r="22" spans="1:13" s="145" customFormat="1" ht="15" customHeight="1" x14ac:dyDescent="0.2">
      <c r="A22" s="142"/>
      <c r="B22" s="143" t="s">
        <v>360</v>
      </c>
      <c r="C22" s="55" t="s">
        <v>1429</v>
      </c>
      <c r="D22" s="144"/>
      <c r="E22" s="144"/>
      <c r="F22" s="144">
        <v>0</v>
      </c>
      <c r="G22" s="1415">
        <f t="shared" si="0"/>
        <v>0</v>
      </c>
      <c r="H22" s="144">
        <v>0</v>
      </c>
      <c r="I22" s="1404">
        <f t="shared" si="1"/>
        <v>0</v>
      </c>
      <c r="J22" s="144">
        <v>0</v>
      </c>
      <c r="K22" s="3351">
        <f t="shared" si="2"/>
        <v>0</v>
      </c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519">
        <f t="shared" si="0"/>
        <v>0</v>
      </c>
      <c r="H23" s="144">
        <v>0</v>
      </c>
      <c r="I23" s="1377">
        <f t="shared" si="1"/>
        <v>0</v>
      </c>
      <c r="J23" s="144">
        <v>0</v>
      </c>
      <c r="K23" s="3335">
        <f t="shared" si="2"/>
        <v>0</v>
      </c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>
        <f t="shared" si="0"/>
        <v>0</v>
      </c>
      <c r="H24" s="144">
        <v>0</v>
      </c>
      <c r="I24" s="1404">
        <f t="shared" si="1"/>
        <v>0</v>
      </c>
      <c r="J24" s="144">
        <v>0</v>
      </c>
      <c r="K24" s="3351">
        <f t="shared" si="2"/>
        <v>0</v>
      </c>
      <c r="L24" s="144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519">
        <f t="shared" si="0"/>
        <v>0</v>
      </c>
      <c r="H25" s="144">
        <v>0</v>
      </c>
      <c r="I25" s="1377">
        <f t="shared" si="1"/>
        <v>0</v>
      </c>
      <c r="J25" s="144">
        <v>0</v>
      </c>
      <c r="K25" s="3335">
        <f t="shared" si="2"/>
        <v>0</v>
      </c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155">
        <v>0</v>
      </c>
      <c r="G26" s="1382">
        <f t="shared" si="0"/>
        <v>0</v>
      </c>
      <c r="H26" s="155">
        <v>0</v>
      </c>
      <c r="I26" s="1374">
        <f t="shared" si="1"/>
        <v>0</v>
      </c>
      <c r="J26" s="155">
        <v>0</v>
      </c>
      <c r="K26" s="3332">
        <f t="shared" si="2"/>
        <v>0</v>
      </c>
      <c r="L26" s="155">
        <v>0</v>
      </c>
      <c r="M26" s="155">
        <v>0</v>
      </c>
    </row>
    <row r="27" spans="1:13" s="145" customFormat="1" ht="30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2446">
        <f t="shared" si="0"/>
        <v>0</v>
      </c>
      <c r="H27" s="147">
        <v>0</v>
      </c>
      <c r="I27" s="1484">
        <f t="shared" si="1"/>
        <v>0</v>
      </c>
      <c r="J27" s="147">
        <v>0</v>
      </c>
      <c r="K27" s="3410">
        <f t="shared" si="2"/>
        <v>0</v>
      </c>
      <c r="L27" s="147">
        <v>0</v>
      </c>
      <c r="M27" s="147">
        <v>0</v>
      </c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v>0</v>
      </c>
      <c r="G28" s="1382">
        <f t="shared" si="0"/>
        <v>0</v>
      </c>
      <c r="H28" s="155">
        <v>0</v>
      </c>
      <c r="I28" s="1374">
        <f t="shared" si="1"/>
        <v>0</v>
      </c>
      <c r="J28" s="155">
        <v>0</v>
      </c>
      <c r="K28" s="3332">
        <f t="shared" si="2"/>
        <v>0</v>
      </c>
      <c r="L28" s="155">
        <v>0</v>
      </c>
      <c r="M28" s="155">
        <v>0</v>
      </c>
    </row>
    <row r="29" spans="1:1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2692">
        <f t="shared" si="0"/>
        <v>0</v>
      </c>
      <c r="H29" s="144">
        <v>0</v>
      </c>
      <c r="I29" s="1502">
        <f t="shared" si="1"/>
        <v>0</v>
      </c>
      <c r="J29" s="144">
        <v>0</v>
      </c>
      <c r="K29" s="3411">
        <f t="shared" si="2"/>
        <v>0</v>
      </c>
      <c r="L29" s="144">
        <v>0</v>
      </c>
      <c r="M29" s="144">
        <v>0</v>
      </c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2458">
        <f t="shared" si="0"/>
        <v>0</v>
      </c>
      <c r="H30" s="144">
        <v>0</v>
      </c>
      <c r="I30" s="1503">
        <f t="shared" si="1"/>
        <v>0</v>
      </c>
      <c r="J30" s="144">
        <v>0</v>
      </c>
      <c r="K30" s="3412">
        <f t="shared" si="2"/>
        <v>0</v>
      </c>
      <c r="L30" s="144">
        <v>0</v>
      </c>
      <c r="M30" s="144">
        <v>0</v>
      </c>
    </row>
    <row r="31" spans="1:1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2695">
        <f t="shared" si="0"/>
        <v>0</v>
      </c>
      <c r="H31" s="144">
        <v>0</v>
      </c>
      <c r="I31" s="1505">
        <f t="shared" si="1"/>
        <v>0</v>
      </c>
      <c r="J31" s="144">
        <v>0</v>
      </c>
      <c r="K31" s="3413">
        <f t="shared" si="2"/>
        <v>0</v>
      </c>
      <c r="L31" s="144">
        <v>0</v>
      </c>
      <c r="M31" s="144">
        <v>0</v>
      </c>
    </row>
    <row r="32" spans="1:13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382">
        <f t="shared" si="0"/>
        <v>0</v>
      </c>
      <c r="H32" s="155">
        <v>0</v>
      </c>
      <c r="I32" s="1374">
        <f t="shared" si="1"/>
        <v>0</v>
      </c>
      <c r="J32" s="155">
        <v>0</v>
      </c>
      <c r="K32" s="3332">
        <f t="shared" si="2"/>
        <v>0</v>
      </c>
      <c r="L32" s="155">
        <v>0</v>
      </c>
      <c r="M32" s="155">
        <v>0</v>
      </c>
    </row>
    <row r="33" spans="1:14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9028</v>
      </c>
      <c r="F33" s="285">
        <f>+F34+F35</f>
        <v>0</v>
      </c>
      <c r="G33" s="1382">
        <f t="shared" si="0"/>
        <v>0</v>
      </c>
      <c r="H33" s="285">
        <f>+H34+H35</f>
        <v>0</v>
      </c>
      <c r="I33" s="1374">
        <f t="shared" si="1"/>
        <v>0</v>
      </c>
      <c r="J33" s="285">
        <f>+J34+J35</f>
        <v>0</v>
      </c>
      <c r="K33" s="3332">
        <f t="shared" si="2"/>
        <v>0</v>
      </c>
      <c r="L33" s="285">
        <f>+L34+L35</f>
        <v>0</v>
      </c>
      <c r="M33" s="285">
        <f>+M34+M35</f>
        <v>0</v>
      </c>
    </row>
    <row r="34" spans="1:14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9028</v>
      </c>
      <c r="F34" s="306"/>
      <c r="G34" s="1382">
        <f t="shared" si="0"/>
        <v>0</v>
      </c>
      <c r="H34" s="306"/>
      <c r="I34" s="1374">
        <f t="shared" si="1"/>
        <v>0</v>
      </c>
      <c r="J34" s="306"/>
      <c r="K34" s="3332">
        <f t="shared" si="2"/>
        <v>0</v>
      </c>
      <c r="L34" s="306"/>
      <c r="M34" s="306"/>
    </row>
    <row r="35" spans="1:14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1382">
        <f t="shared" si="0"/>
        <v>0</v>
      </c>
      <c r="H35" s="294">
        <v>0</v>
      </c>
      <c r="I35" s="1374">
        <f t="shared" si="1"/>
        <v>0</v>
      </c>
      <c r="J35" s="294">
        <v>0</v>
      </c>
      <c r="K35" s="3332">
        <f t="shared" si="2"/>
        <v>0</v>
      </c>
      <c r="L35" s="294">
        <v>0</v>
      </c>
      <c r="M35" s="294">
        <v>0</v>
      </c>
    </row>
    <row r="36" spans="1:14" s="141" customFormat="1" ht="29.25" thickBot="1" x14ac:dyDescent="0.25">
      <c r="A36" s="134" t="s">
        <v>67</v>
      </c>
      <c r="B36" s="254"/>
      <c r="C36" s="170" t="s">
        <v>429</v>
      </c>
      <c r="D36" s="320"/>
      <c r="E36" s="320"/>
      <c r="F36" s="155">
        <v>0</v>
      </c>
      <c r="G36" s="1382">
        <f t="shared" si="0"/>
        <v>0</v>
      </c>
      <c r="H36" s="155">
        <v>0</v>
      </c>
      <c r="I36" s="1374">
        <f t="shared" si="1"/>
        <v>0</v>
      </c>
      <c r="J36" s="155">
        <v>0</v>
      </c>
      <c r="K36" s="3332">
        <f t="shared" si="2"/>
        <v>0</v>
      </c>
      <c r="L36" s="155">
        <v>0</v>
      </c>
      <c r="M36" s="155">
        <v>0</v>
      </c>
    </row>
    <row r="37" spans="1:14" s="141" customFormat="1" ht="30.75" thickBot="1" x14ac:dyDescent="0.25">
      <c r="A37" s="146"/>
      <c r="B37" s="255" t="s">
        <v>47</v>
      </c>
      <c r="C37" s="251" t="s">
        <v>430</v>
      </c>
      <c r="D37" s="320"/>
      <c r="E37" s="320"/>
      <c r="F37" s="153">
        <v>0</v>
      </c>
      <c r="G37" s="2692">
        <f t="shared" si="0"/>
        <v>0</v>
      </c>
      <c r="H37" s="153">
        <v>0</v>
      </c>
      <c r="I37" s="1502">
        <f t="shared" si="1"/>
        <v>0</v>
      </c>
      <c r="J37" s="153">
        <v>0</v>
      </c>
      <c r="K37" s="3411">
        <f t="shared" si="2"/>
        <v>0</v>
      </c>
      <c r="L37" s="153">
        <v>0</v>
      </c>
      <c r="M37" s="153">
        <v>0</v>
      </c>
    </row>
    <row r="38" spans="1:14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844">
        <v>0</v>
      </c>
      <c r="G38" s="1382">
        <f t="shared" si="0"/>
        <v>0</v>
      </c>
      <c r="H38" s="252">
        <v>0</v>
      </c>
      <c r="I38" s="1374">
        <f t="shared" si="1"/>
        <v>0</v>
      </c>
      <c r="J38" s="252">
        <v>0</v>
      </c>
      <c r="K38" s="3332">
        <f t="shared" si="2"/>
        <v>0</v>
      </c>
      <c r="L38" s="252">
        <v>0</v>
      </c>
      <c r="M38" s="252">
        <v>0</v>
      </c>
    </row>
    <row r="39" spans="1:14" s="141" customFormat="1" ht="30.75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1382">
        <f t="shared" si="0"/>
        <v>0</v>
      </c>
      <c r="H39" s="320">
        <v>0</v>
      </c>
      <c r="I39" s="1374">
        <f t="shared" si="1"/>
        <v>0</v>
      </c>
      <c r="J39" s="320">
        <v>0</v>
      </c>
      <c r="K39" s="3332">
        <f t="shared" si="2"/>
        <v>0</v>
      </c>
      <c r="L39" s="320">
        <v>0</v>
      </c>
      <c r="M39" s="320">
        <v>0</v>
      </c>
    </row>
    <row r="40" spans="1:14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320">
        <f>SUM(F41:F43)</f>
        <v>0</v>
      </c>
      <c r="G40" s="1382">
        <f t="shared" si="0"/>
        <v>0</v>
      </c>
      <c r="H40" s="320">
        <f>SUM(H41:H43)</f>
        <v>0</v>
      </c>
      <c r="I40" s="1374">
        <f t="shared" si="1"/>
        <v>0</v>
      </c>
      <c r="J40" s="320">
        <f>SUM(J41:J43)</f>
        <v>0</v>
      </c>
      <c r="K40" s="3332">
        <f t="shared" si="2"/>
        <v>0</v>
      </c>
      <c r="L40" s="320">
        <f>SUM(L41:L43)</f>
        <v>0</v>
      </c>
      <c r="M40" s="320">
        <f>SUM(M41:M43)</f>
        <v>0</v>
      </c>
    </row>
    <row r="41" spans="1:14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>
        <v>0</v>
      </c>
      <c r="G41" s="2458">
        <v>0</v>
      </c>
      <c r="H41" s="144">
        <v>0</v>
      </c>
      <c r="I41" s="1503">
        <v>0</v>
      </c>
      <c r="J41" s="144">
        <v>0</v>
      </c>
      <c r="K41" s="3334">
        <v>0</v>
      </c>
      <c r="L41" s="144">
        <v>0</v>
      </c>
      <c r="M41" s="144">
        <v>0</v>
      </c>
    </row>
    <row r="42" spans="1:14" s="141" customFormat="1" ht="15" customHeight="1" thickBot="1" x14ac:dyDescent="0.25">
      <c r="A42" s="146"/>
      <c r="B42" s="253" t="s">
        <v>83</v>
      </c>
      <c r="C42" s="55" t="s">
        <v>435</v>
      </c>
      <c r="D42" s="320"/>
      <c r="E42" s="320"/>
      <c r="F42" s="144">
        <v>0</v>
      </c>
      <c r="G42" s="2458">
        <v>0</v>
      </c>
      <c r="H42" s="144">
        <v>0</v>
      </c>
      <c r="I42" s="1503">
        <v>0</v>
      </c>
      <c r="J42" s="144">
        <v>0</v>
      </c>
      <c r="K42" s="3334">
        <v>0</v>
      </c>
      <c r="L42" s="144">
        <v>0</v>
      </c>
      <c r="M42" s="144">
        <v>0</v>
      </c>
    </row>
    <row r="43" spans="1:14" s="145" customFormat="1" ht="15" customHeight="1" thickBot="1" x14ac:dyDescent="0.25">
      <c r="A43" s="178"/>
      <c r="B43" s="253" t="s">
        <v>85</v>
      </c>
      <c r="C43" s="55" t="s">
        <v>1432</v>
      </c>
      <c r="D43" s="155">
        <v>16267</v>
      </c>
      <c r="E43" s="155">
        <v>20412</v>
      </c>
      <c r="F43" s="144">
        <v>0</v>
      </c>
      <c r="G43" s="1295">
        <v>0</v>
      </c>
      <c r="H43" s="144"/>
      <c r="I43" s="1503">
        <v>0</v>
      </c>
      <c r="J43" s="144"/>
      <c r="K43" s="3334">
        <v>0</v>
      </c>
      <c r="L43" s="144"/>
      <c r="M43" s="144">
        <v>0</v>
      </c>
      <c r="N43" s="205">
        <f>SUM(F61-F45)</f>
        <v>0</v>
      </c>
    </row>
    <row r="44" spans="1:14" s="145" customFormat="1" ht="12.75" hidden="1" customHeight="1" x14ac:dyDescent="0.25">
      <c r="A44" s="258"/>
      <c r="B44" s="256"/>
      <c r="C44" s="170" t="s">
        <v>458</v>
      </c>
      <c r="D44" s="155"/>
      <c r="E44" s="155"/>
      <c r="F44" s="155"/>
      <c r="G44" s="1382">
        <f>SUM(H44-F44)</f>
        <v>0</v>
      </c>
      <c r="H44" s="155"/>
      <c r="I44" s="1374">
        <f>SUM(J44-H44)</f>
        <v>0</v>
      </c>
      <c r="J44" s="155"/>
      <c r="K44" s="3332">
        <f>SUM(L44-J44)</f>
        <v>0</v>
      </c>
      <c r="L44" s="155"/>
      <c r="M44" s="155"/>
    </row>
    <row r="45" spans="1:14" s="145" customFormat="1" ht="15" customHeight="1" thickBot="1" x14ac:dyDescent="0.25">
      <c r="A45" s="192" t="s">
        <v>99</v>
      </c>
      <c r="B45" s="160"/>
      <c r="C45" s="274" t="s">
        <v>441</v>
      </c>
      <c r="D45" s="162">
        <f>SUM(D8,D19,D28,D32,D33,D43)</f>
        <v>258837</v>
      </c>
      <c r="E45" s="162">
        <f>SUM(E8,E19,E28,E32,E33,E43)</f>
        <v>273799</v>
      </c>
      <c r="F45" s="162">
        <f>SUM(F8,F19,F28,F32,F36,F38,F33,F40)</f>
        <v>0</v>
      </c>
      <c r="G45" s="1382">
        <f>SUM(H45-F45)</f>
        <v>0</v>
      </c>
      <c r="H45" s="162">
        <f>SUM(H8,H19,H28,H32,H36,H38,H33,H40)</f>
        <v>0</v>
      </c>
      <c r="I45" s="1374">
        <f>SUM(J45-H45)</f>
        <v>0</v>
      </c>
      <c r="J45" s="162">
        <f>SUM(J8,J19,J28,J32,J36,J38,J33,J40)</f>
        <v>0</v>
      </c>
      <c r="K45" s="3332">
        <f>SUM(L45-J45)</f>
        <v>0</v>
      </c>
      <c r="L45" s="162">
        <f>SUM(L8,L19,L28,L32,L36,L38,L33,L40)</f>
        <v>0</v>
      </c>
      <c r="M45" s="162">
        <f>SUM(M8,M19,M28,M32,M36,M38,M33,M40)</f>
        <v>0</v>
      </c>
    </row>
    <row r="46" spans="1:14" s="145" customFormat="1" ht="15" customHeight="1" thickBot="1" x14ac:dyDescent="0.25">
      <c r="A46" s="2098"/>
      <c r="B46" s="266"/>
      <c r="C46" s="275"/>
      <c r="D46" s="286"/>
      <c r="E46" s="286"/>
      <c r="F46" s="1458"/>
      <c r="G46" s="1443"/>
      <c r="H46" s="1443"/>
      <c r="I46" s="1443"/>
      <c r="J46" s="1443"/>
      <c r="K46" s="3344"/>
      <c r="L46" s="1443"/>
      <c r="M46" s="1458"/>
    </row>
    <row r="47" spans="1:14" s="305" customFormat="1" ht="15" customHeight="1" thickBot="1" x14ac:dyDescent="0.25">
      <c r="A47" s="192"/>
      <c r="B47" s="160"/>
      <c r="C47" s="282" t="s">
        <v>231</v>
      </c>
      <c r="D47" s="162"/>
      <c r="E47" s="162"/>
      <c r="F47" s="162"/>
      <c r="G47" s="1437"/>
      <c r="H47" s="162"/>
      <c r="I47" s="1373"/>
      <c r="J47" s="162"/>
      <c r="K47" s="3343"/>
      <c r="L47" s="162"/>
      <c r="M47" s="162"/>
    </row>
    <row r="48" spans="1:14" s="141" customFormat="1" ht="15" customHeight="1" thickBot="1" x14ac:dyDescent="0.25">
      <c r="A48" s="134" t="s">
        <v>3</v>
      </c>
      <c r="B48" s="170"/>
      <c r="C48" s="170" t="s">
        <v>442</v>
      </c>
      <c r="D48" s="137">
        <f>SUM(D49:D53)</f>
        <v>258837</v>
      </c>
      <c r="E48" s="137">
        <f>SUM(E49:E53)</f>
        <v>273555</v>
      </c>
      <c r="F48" s="137">
        <f>SUM(F49:F53)</f>
        <v>0</v>
      </c>
      <c r="G48" s="1382">
        <f t="shared" ref="G48:G61" si="3">SUM(H48-F48)</f>
        <v>0</v>
      </c>
      <c r="H48" s="137">
        <f>SUM(H49:H53)</f>
        <v>0</v>
      </c>
      <c r="I48" s="1374">
        <f t="shared" ref="I48:I61" si="4">SUM(J48-H48)</f>
        <v>0</v>
      </c>
      <c r="J48" s="137">
        <f>SUM(J49:J53)</f>
        <v>0</v>
      </c>
      <c r="K48" s="3332">
        <f t="shared" ref="K48:K61" si="5">SUM(L48-J48)</f>
        <v>0</v>
      </c>
      <c r="L48" s="137">
        <f>SUM(L49:L53)</f>
        <v>0</v>
      </c>
      <c r="M48" s="137">
        <f>SUM(M49:M53)</f>
        <v>0</v>
      </c>
    </row>
    <row r="49" spans="1:13" s="145" customFormat="1" ht="15" customHeight="1" x14ac:dyDescent="0.2">
      <c r="A49" s="173"/>
      <c r="B49" s="267" t="s">
        <v>152</v>
      </c>
      <c r="C49" s="251" t="s">
        <v>153</v>
      </c>
      <c r="D49" s="175">
        <v>35918</v>
      </c>
      <c r="E49" s="175">
        <v>38855</v>
      </c>
      <c r="F49" s="175">
        <v>0</v>
      </c>
      <c r="G49" s="2692">
        <f t="shared" si="3"/>
        <v>0</v>
      </c>
      <c r="H49" s="175">
        <v>0</v>
      </c>
      <c r="I49" s="1502">
        <f t="shared" si="4"/>
        <v>0</v>
      </c>
      <c r="J49" s="175">
        <v>0</v>
      </c>
      <c r="K49" s="3411">
        <f t="shared" si="5"/>
        <v>0</v>
      </c>
      <c r="L49" s="175">
        <v>0</v>
      </c>
      <c r="M49" s="175">
        <v>0</v>
      </c>
    </row>
    <row r="50" spans="1:13" s="145" customFormat="1" ht="15" customHeight="1" x14ac:dyDescent="0.2">
      <c r="A50" s="142"/>
      <c r="B50" s="253" t="s">
        <v>154</v>
      </c>
      <c r="C50" s="55" t="s">
        <v>155</v>
      </c>
      <c r="D50" s="144">
        <v>9491</v>
      </c>
      <c r="E50" s="144">
        <v>10284</v>
      </c>
      <c r="F50" s="144">
        <v>0</v>
      </c>
      <c r="G50" s="2458">
        <f t="shared" si="3"/>
        <v>0</v>
      </c>
      <c r="H50" s="144">
        <v>0</v>
      </c>
      <c r="I50" s="1503">
        <f t="shared" si="4"/>
        <v>0</v>
      </c>
      <c r="J50" s="144">
        <v>0</v>
      </c>
      <c r="K50" s="3412">
        <f t="shared" si="5"/>
        <v>0</v>
      </c>
      <c r="L50" s="144">
        <v>0</v>
      </c>
      <c r="M50" s="144">
        <v>0</v>
      </c>
    </row>
    <row r="51" spans="1:13" s="145" customFormat="1" ht="15" customHeight="1" x14ac:dyDescent="0.2">
      <c r="A51" s="142"/>
      <c r="B51" s="253" t="s">
        <v>156</v>
      </c>
      <c r="C51" s="55" t="s">
        <v>157</v>
      </c>
      <c r="D51" s="144">
        <v>213428</v>
      </c>
      <c r="E51" s="144">
        <v>224416</v>
      </c>
      <c r="F51" s="144">
        <v>0</v>
      </c>
      <c r="G51" s="2693">
        <f t="shared" si="3"/>
        <v>0</v>
      </c>
      <c r="H51" s="144">
        <v>0</v>
      </c>
      <c r="I51" s="1504">
        <f t="shared" si="4"/>
        <v>0</v>
      </c>
      <c r="J51" s="144">
        <v>0</v>
      </c>
      <c r="K51" s="3414">
        <f t="shared" si="5"/>
        <v>0</v>
      </c>
      <c r="L51" s="144">
        <v>0</v>
      </c>
      <c r="M51" s="144">
        <v>0</v>
      </c>
    </row>
    <row r="52" spans="1:13" s="145" customFormat="1" ht="15" customHeight="1" x14ac:dyDescent="0.2">
      <c r="A52" s="142"/>
      <c r="B52" s="253" t="s">
        <v>158</v>
      </c>
      <c r="C52" s="55" t="s">
        <v>159</v>
      </c>
      <c r="D52" s="144"/>
      <c r="E52" s="144"/>
      <c r="F52" s="144">
        <v>0</v>
      </c>
      <c r="G52" s="2458">
        <f t="shared" si="3"/>
        <v>0</v>
      </c>
      <c r="H52" s="144">
        <v>0</v>
      </c>
      <c r="I52" s="1503">
        <f t="shared" si="4"/>
        <v>0</v>
      </c>
      <c r="J52" s="144">
        <v>0</v>
      </c>
      <c r="K52" s="3412">
        <f t="shared" si="5"/>
        <v>0</v>
      </c>
      <c r="L52" s="144">
        <v>0</v>
      </c>
      <c r="M52" s="144">
        <v>0</v>
      </c>
    </row>
    <row r="53" spans="1:13" s="145" customFormat="1" ht="15" customHeight="1" thickBot="1" x14ac:dyDescent="0.25">
      <c r="A53" s="142"/>
      <c r="B53" s="253" t="s">
        <v>375</v>
      </c>
      <c r="C53" s="55" t="s">
        <v>161</v>
      </c>
      <c r="D53" s="144">
        <v>0</v>
      </c>
      <c r="E53" s="144">
        <v>0</v>
      </c>
      <c r="F53" s="144">
        <v>0</v>
      </c>
      <c r="G53" s="2695">
        <f t="shared" si="3"/>
        <v>0</v>
      </c>
      <c r="H53" s="144">
        <v>0</v>
      </c>
      <c r="I53" s="1505">
        <f t="shared" si="4"/>
        <v>0</v>
      </c>
      <c r="J53" s="144">
        <v>0</v>
      </c>
      <c r="K53" s="3413">
        <f t="shared" si="5"/>
        <v>0</v>
      </c>
      <c r="L53" s="144">
        <v>0</v>
      </c>
      <c r="M53" s="144">
        <v>0</v>
      </c>
    </row>
    <row r="54" spans="1:13" s="145" customFormat="1" ht="15" customHeight="1" thickBot="1" x14ac:dyDescent="0.25">
      <c r="A54" s="134" t="s">
        <v>17</v>
      </c>
      <c r="B54" s="170"/>
      <c r="C54" s="170" t="s">
        <v>443</v>
      </c>
      <c r="D54" s="137">
        <f>SUM(D55:D58)</f>
        <v>0</v>
      </c>
      <c r="E54" s="137">
        <f>SUM(E55:E58)</f>
        <v>244</v>
      </c>
      <c r="F54" s="137">
        <f>SUM(F55:F58)</f>
        <v>0</v>
      </c>
      <c r="G54" s="1382">
        <f t="shared" si="3"/>
        <v>0</v>
      </c>
      <c r="H54" s="137">
        <f>SUM(H55:H58)</f>
        <v>0</v>
      </c>
      <c r="I54" s="1374">
        <f t="shared" si="4"/>
        <v>0</v>
      </c>
      <c r="J54" s="137">
        <f>SUM(J55:J58)</f>
        <v>0</v>
      </c>
      <c r="K54" s="3332">
        <f t="shared" si="5"/>
        <v>0</v>
      </c>
      <c r="L54" s="137">
        <f>SUM(L55:L58)</f>
        <v>0</v>
      </c>
      <c r="M54" s="137">
        <f>SUM(M55:M58)</f>
        <v>0</v>
      </c>
    </row>
    <row r="55" spans="1:13" s="141" customFormat="1" ht="15" customHeight="1" x14ac:dyDescent="0.2">
      <c r="A55" s="173"/>
      <c r="B55" s="267" t="s">
        <v>5</v>
      </c>
      <c r="C55" s="251" t="s">
        <v>183</v>
      </c>
      <c r="D55" s="175">
        <v>0</v>
      </c>
      <c r="E55" s="175">
        <v>244</v>
      </c>
      <c r="F55" s="175">
        <v>0</v>
      </c>
      <c r="G55" s="2692">
        <f t="shared" si="3"/>
        <v>0</v>
      </c>
      <c r="H55" s="175">
        <v>0</v>
      </c>
      <c r="I55" s="1502">
        <f t="shared" si="4"/>
        <v>0</v>
      </c>
      <c r="J55" s="175">
        <v>0</v>
      </c>
      <c r="K55" s="3411">
        <f t="shared" si="5"/>
        <v>0</v>
      </c>
      <c r="L55" s="175">
        <v>0</v>
      </c>
      <c r="M55" s="175">
        <v>0</v>
      </c>
    </row>
    <row r="56" spans="1:13" s="145" customFormat="1" ht="15" customHeight="1" x14ac:dyDescent="0.2">
      <c r="A56" s="142"/>
      <c r="B56" s="253" t="s">
        <v>7</v>
      </c>
      <c r="C56" s="55" t="s">
        <v>185</v>
      </c>
      <c r="D56" s="144">
        <v>0</v>
      </c>
      <c r="E56" s="144">
        <v>0</v>
      </c>
      <c r="F56" s="144">
        <v>0</v>
      </c>
      <c r="G56" s="2458">
        <f t="shared" si="3"/>
        <v>0</v>
      </c>
      <c r="H56" s="144">
        <v>0</v>
      </c>
      <c r="I56" s="1503">
        <f t="shared" si="4"/>
        <v>0</v>
      </c>
      <c r="J56" s="144">
        <v>0</v>
      </c>
      <c r="K56" s="3412">
        <f t="shared" si="5"/>
        <v>0</v>
      </c>
      <c r="L56" s="144">
        <v>0</v>
      </c>
      <c r="M56" s="144">
        <v>0</v>
      </c>
    </row>
    <row r="57" spans="1:13" s="145" customFormat="1" ht="15.75" thickBot="1" x14ac:dyDescent="0.25">
      <c r="A57" s="142"/>
      <c r="B57" s="253" t="s">
        <v>9</v>
      </c>
      <c r="C57" s="55" t="s">
        <v>444</v>
      </c>
      <c r="D57" s="144">
        <v>0</v>
      </c>
      <c r="E57" s="144">
        <v>0</v>
      </c>
      <c r="F57" s="144">
        <v>0</v>
      </c>
      <c r="G57" s="2695">
        <f t="shared" si="3"/>
        <v>0</v>
      </c>
      <c r="H57" s="144">
        <v>0</v>
      </c>
      <c r="I57" s="1505">
        <f t="shared" si="4"/>
        <v>0</v>
      </c>
      <c r="J57" s="144">
        <v>0</v>
      </c>
      <c r="K57" s="3413">
        <f t="shared" si="5"/>
        <v>0</v>
      </c>
      <c r="L57" s="144">
        <v>0</v>
      </c>
      <c r="M57" s="144">
        <v>0</v>
      </c>
    </row>
    <row r="58" spans="1:13" s="145" customFormat="1" ht="12.75" hidden="1" customHeight="1" x14ac:dyDescent="0.2">
      <c r="A58" s="142"/>
      <c r="B58" s="176" t="s">
        <v>189</v>
      </c>
      <c r="C58" s="55" t="s">
        <v>448</v>
      </c>
      <c r="D58" s="144">
        <v>0</v>
      </c>
      <c r="E58" s="144">
        <v>0</v>
      </c>
      <c r="F58" s="144">
        <v>0</v>
      </c>
      <c r="G58" s="2695">
        <f t="shared" si="3"/>
        <v>0</v>
      </c>
      <c r="H58" s="144">
        <v>0</v>
      </c>
      <c r="I58" s="1505">
        <f t="shared" si="4"/>
        <v>0</v>
      </c>
      <c r="J58" s="144">
        <v>0</v>
      </c>
      <c r="K58" s="3413">
        <f t="shared" si="5"/>
        <v>0</v>
      </c>
      <c r="L58" s="144">
        <v>0</v>
      </c>
      <c r="M58" s="144">
        <v>0</v>
      </c>
    </row>
    <row r="59" spans="1:13" s="145" customFormat="1" ht="12.75" hidden="1" customHeight="1" x14ac:dyDescent="0.2">
      <c r="A59" s="134" t="s">
        <v>31</v>
      </c>
      <c r="B59" s="170"/>
      <c r="C59" s="171" t="s">
        <v>445</v>
      </c>
      <c r="D59" s="155">
        <v>0</v>
      </c>
      <c r="E59" s="155">
        <v>0</v>
      </c>
      <c r="F59" s="155">
        <v>0</v>
      </c>
      <c r="G59" s="2695">
        <f t="shared" si="3"/>
        <v>0</v>
      </c>
      <c r="H59" s="155">
        <v>0</v>
      </c>
      <c r="I59" s="1505">
        <f t="shared" si="4"/>
        <v>0</v>
      </c>
      <c r="J59" s="155">
        <v>0</v>
      </c>
      <c r="K59" s="3413">
        <f t="shared" si="5"/>
        <v>0</v>
      </c>
      <c r="L59" s="155">
        <v>0</v>
      </c>
      <c r="M59" s="155">
        <v>0</v>
      </c>
    </row>
    <row r="60" spans="1:13" s="145" customFormat="1" ht="12.75" hidden="1" customHeight="1" x14ac:dyDescent="0.2">
      <c r="A60" s="134"/>
      <c r="B60" s="170"/>
      <c r="C60" s="171" t="s">
        <v>459</v>
      </c>
      <c r="D60" s="155"/>
      <c r="E60" s="155"/>
      <c r="F60" s="155"/>
      <c r="G60" s="2695">
        <f t="shared" si="3"/>
        <v>0</v>
      </c>
      <c r="H60" s="155"/>
      <c r="I60" s="1505">
        <f t="shared" si="4"/>
        <v>0</v>
      </c>
      <c r="J60" s="155"/>
      <c r="K60" s="3413">
        <f t="shared" si="5"/>
        <v>0</v>
      </c>
      <c r="L60" s="155"/>
      <c r="M60" s="155"/>
    </row>
    <row r="61" spans="1:13" s="145" customFormat="1" ht="15" customHeight="1" thickBot="1" x14ac:dyDescent="0.25">
      <c r="A61" s="192" t="s">
        <v>31</v>
      </c>
      <c r="B61" s="160"/>
      <c r="C61" s="274" t="s">
        <v>465</v>
      </c>
      <c r="D61" s="162">
        <f>+D48+D54+D59</f>
        <v>258837</v>
      </c>
      <c r="E61" s="162">
        <f>+E48+E54+E59</f>
        <v>273799</v>
      </c>
      <c r="F61" s="162">
        <f>+F48+F54+F59+F60</f>
        <v>0</v>
      </c>
      <c r="G61" s="2717">
        <f t="shared" si="3"/>
        <v>0</v>
      </c>
      <c r="H61" s="162">
        <f>+H48+H54+H59+H60</f>
        <v>0</v>
      </c>
      <c r="I61" s="1506">
        <f t="shared" si="4"/>
        <v>0</v>
      </c>
      <c r="J61" s="162">
        <f>+J48+J54+J59+J60</f>
        <v>0</v>
      </c>
      <c r="K61" s="3415">
        <f t="shared" si="5"/>
        <v>0</v>
      </c>
      <c r="L61" s="162">
        <f>+L48+L54+L59+L60</f>
        <v>0</v>
      </c>
      <c r="M61" s="162">
        <f>+M48+M54+M59+M60</f>
        <v>0</v>
      </c>
    </row>
    <row r="62" spans="1:13" s="145" customFormat="1" ht="15" customHeight="1" thickBot="1" x14ac:dyDescent="0.25">
      <c r="A62" s="1303"/>
      <c r="B62" s="886"/>
      <c r="C62" s="886"/>
      <c r="D62" s="886"/>
      <c r="E62" s="886"/>
      <c r="F62" s="2100"/>
      <c r="G62" s="1550"/>
      <c r="H62" s="1550"/>
      <c r="I62" s="1550"/>
      <c r="J62" s="1550"/>
      <c r="K62" s="1550"/>
      <c r="L62" s="1550"/>
      <c r="M62" s="1304"/>
    </row>
    <row r="63" spans="1:13" s="145" customFormat="1" ht="15" customHeight="1" thickBot="1" x14ac:dyDescent="0.25">
      <c r="A63" s="276" t="s">
        <v>324</v>
      </c>
      <c r="B63" s="277"/>
      <c r="C63" s="278"/>
      <c r="D63" s="200">
        <v>25</v>
      </c>
      <c r="E63" s="200">
        <v>25</v>
      </c>
      <c r="F63" s="200"/>
      <c r="G63" s="1559"/>
      <c r="H63" s="200"/>
      <c r="I63" s="1388"/>
      <c r="J63" s="200"/>
      <c r="K63" s="3346"/>
      <c r="L63" s="200"/>
      <c r="M63" s="200"/>
    </row>
    <row r="64" spans="1:13" s="145" customFormat="1" ht="15" customHeight="1" thickBot="1" x14ac:dyDescent="0.25">
      <c r="A64" s="276" t="s">
        <v>325</v>
      </c>
      <c r="B64" s="277"/>
      <c r="C64" s="278"/>
      <c r="D64" s="279"/>
      <c r="E64" s="279"/>
      <c r="F64" s="279"/>
      <c r="G64" s="1560"/>
      <c r="H64" s="279"/>
      <c r="I64" s="1389"/>
      <c r="J64" s="279"/>
      <c r="K64" s="3347"/>
      <c r="L64" s="279"/>
      <c r="M64" s="279"/>
    </row>
  </sheetData>
  <mergeCells count="14">
    <mergeCell ref="D4:F4"/>
    <mergeCell ref="A5:B5"/>
    <mergeCell ref="A2:B2"/>
    <mergeCell ref="D2:D3"/>
    <mergeCell ref="F2:F3"/>
    <mergeCell ref="A3:B3"/>
    <mergeCell ref="I2:I3"/>
    <mergeCell ref="J2:J3"/>
    <mergeCell ref="K2:K3"/>
    <mergeCell ref="L2:L3"/>
    <mergeCell ref="C1:M1"/>
    <mergeCell ref="H2:H3"/>
    <mergeCell ref="M2:M3"/>
    <mergeCell ref="G2:G3"/>
  </mergeCells>
  <printOptions horizontalCentered="1"/>
  <pageMargins left="0.19685039370078741" right="0.31496062992125984" top="0.35433070866141736" bottom="0.43307086614173229" header="0.51181102362204722" footer="0.15748031496062992"/>
  <pageSetup paperSize="9" scale="65" firstPageNumber="66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64"/>
  <sheetViews>
    <sheetView view="pageBreakPreview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1640625" style="115" customWidth="1"/>
    <col min="4" max="5" width="9.33203125" style="115" hidden="1" customWidth="1"/>
    <col min="6" max="6" width="11.1640625" style="115" customWidth="1"/>
    <col min="7" max="7" width="12.6640625" style="1390" hidden="1" customWidth="1"/>
    <col min="8" max="8" width="12.83203125" style="115" hidden="1" customWidth="1"/>
    <col min="9" max="9" width="12.33203125" style="1390" hidden="1" customWidth="1"/>
    <col min="10" max="10" width="12.5" style="115" customWidth="1"/>
    <col min="11" max="11" width="12.5" style="1390" customWidth="1"/>
    <col min="12" max="12" width="14" style="115" customWidth="1"/>
    <col min="13" max="13" width="14.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735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472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304" t="s">
        <v>480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34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197239</v>
      </c>
      <c r="E8" s="137">
        <f>SUM(E9:E18)</f>
        <v>197239</v>
      </c>
      <c r="F8" s="137">
        <f>SUM(F9:F18)</f>
        <v>0</v>
      </c>
      <c r="G8" s="1382">
        <f t="shared" ref="G8:G25" si="0">SUM(H8-F8)</f>
        <v>0</v>
      </c>
      <c r="H8" s="137">
        <f>SUM(H9:H18)</f>
        <v>0</v>
      </c>
      <c r="I8" s="1374">
        <f t="shared" ref="I8:I25" si="1">SUM(J8-H8)</f>
        <v>0</v>
      </c>
      <c r="J8" s="137">
        <f>SUM(J9:J18)</f>
        <v>0</v>
      </c>
      <c r="K8" s="1374">
        <f t="shared" ref="K8:K25" si="2">SUM(L8-J8)</f>
        <v>0</v>
      </c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383">
        <f t="shared" si="0"/>
        <v>0</v>
      </c>
      <c r="H9" s="150">
        <v>0</v>
      </c>
      <c r="I9" s="1498">
        <f t="shared" si="1"/>
        <v>0</v>
      </c>
      <c r="J9" s="150">
        <v>0</v>
      </c>
      <c r="K9" s="1498">
        <f t="shared" si="2"/>
        <v>0</v>
      </c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155306</v>
      </c>
      <c r="E10" s="144">
        <v>155306</v>
      </c>
      <c r="F10" s="144">
        <v>0</v>
      </c>
      <c r="G10" s="1415">
        <f t="shared" si="0"/>
        <v>0</v>
      </c>
      <c r="H10" s="144">
        <v>0</v>
      </c>
      <c r="I10" s="1404">
        <f t="shared" si="1"/>
        <v>0</v>
      </c>
      <c r="J10" s="144">
        <v>0</v>
      </c>
      <c r="K10" s="1404">
        <f t="shared" si="2"/>
        <v>0</v>
      </c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/>
      <c r="E11" s="144"/>
      <c r="F11" s="144">
        <v>0</v>
      </c>
      <c r="G11" s="1519">
        <f t="shared" si="0"/>
        <v>0</v>
      </c>
      <c r="H11" s="144">
        <v>0</v>
      </c>
      <c r="I11" s="1377">
        <f t="shared" si="1"/>
        <v>0</v>
      </c>
      <c r="J11" s="144">
        <v>0</v>
      </c>
      <c r="K11" s="1377">
        <f t="shared" si="2"/>
        <v>0</v>
      </c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>
        <v>0</v>
      </c>
      <c r="G12" s="1415">
        <f t="shared" si="0"/>
        <v>0</v>
      </c>
      <c r="H12" s="144">
        <v>0</v>
      </c>
      <c r="I12" s="1404">
        <f t="shared" si="1"/>
        <v>0</v>
      </c>
      <c r="J12" s="144">
        <v>0</v>
      </c>
      <c r="K12" s="1404">
        <f t="shared" si="2"/>
        <v>0</v>
      </c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>
        <v>0</v>
      </c>
      <c r="G13" s="1519">
        <f t="shared" si="0"/>
        <v>0</v>
      </c>
      <c r="H13" s="144">
        <v>0</v>
      </c>
      <c r="I13" s="1377">
        <f t="shared" si="1"/>
        <v>0</v>
      </c>
      <c r="J13" s="144">
        <v>0</v>
      </c>
      <c r="K13" s="1377">
        <f t="shared" si="2"/>
        <v>0</v>
      </c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41933</v>
      </c>
      <c r="E14" s="147">
        <v>41933</v>
      </c>
      <c r="F14" s="144">
        <v>0</v>
      </c>
      <c r="G14" s="1415">
        <f t="shared" si="0"/>
        <v>0</v>
      </c>
      <c r="H14" s="144">
        <v>0</v>
      </c>
      <c r="I14" s="1404">
        <f t="shared" si="1"/>
        <v>0</v>
      </c>
      <c r="J14" s="144">
        <v>0</v>
      </c>
      <c r="K14" s="1404">
        <f t="shared" si="2"/>
        <v>0</v>
      </c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>
        <f t="shared" si="0"/>
        <v>0</v>
      </c>
      <c r="H15" s="147">
        <v>0</v>
      </c>
      <c r="I15" s="1377">
        <f t="shared" si="1"/>
        <v>0</v>
      </c>
      <c r="J15" s="147">
        <v>0</v>
      </c>
      <c r="K15" s="1377">
        <f t="shared" si="2"/>
        <v>0</v>
      </c>
      <c r="L15" s="147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/>
      <c r="F16" s="144">
        <v>0</v>
      </c>
      <c r="G16" s="1415">
        <f t="shared" si="0"/>
        <v>0</v>
      </c>
      <c r="H16" s="144">
        <v>0</v>
      </c>
      <c r="I16" s="1404">
        <f t="shared" si="1"/>
        <v>0</v>
      </c>
      <c r="J16" s="144">
        <v>0</v>
      </c>
      <c r="K16" s="1404">
        <f t="shared" si="2"/>
        <v>0</v>
      </c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9">
        <f t="shared" si="0"/>
        <v>0</v>
      </c>
      <c r="H17" s="153">
        <v>0</v>
      </c>
      <c r="I17" s="1377">
        <f t="shared" si="1"/>
        <v>0</v>
      </c>
      <c r="J17" s="153">
        <v>0</v>
      </c>
      <c r="K17" s="1377">
        <f t="shared" si="2"/>
        <v>0</v>
      </c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2667">
        <f t="shared" si="0"/>
        <v>0</v>
      </c>
      <c r="H18" s="153">
        <v>0</v>
      </c>
      <c r="I18" s="1435">
        <f t="shared" si="1"/>
        <v>0</v>
      </c>
      <c r="J18" s="153">
        <v>0</v>
      </c>
      <c r="K18" s="1435">
        <f t="shared" si="2"/>
        <v>0</v>
      </c>
      <c r="L18" s="153">
        <v>0</v>
      </c>
      <c r="M18" s="153">
        <v>0</v>
      </c>
    </row>
    <row r="19" spans="1:13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45331</v>
      </c>
      <c r="E19" s="137">
        <f>SUM(E20:E25)</f>
        <v>47120</v>
      </c>
      <c r="F19" s="137">
        <f>SUM(F20+F24+F25)</f>
        <v>0</v>
      </c>
      <c r="G19" s="2711">
        <f t="shared" si="0"/>
        <v>0</v>
      </c>
      <c r="H19" s="137">
        <f>SUM(H20+H24+H25)</f>
        <v>0</v>
      </c>
      <c r="I19" s="1499">
        <f t="shared" si="1"/>
        <v>0</v>
      </c>
      <c r="J19" s="137">
        <f>SUM(J20+J24+J25)</f>
        <v>0</v>
      </c>
      <c r="K19" s="1499">
        <f t="shared" si="2"/>
        <v>0</v>
      </c>
      <c r="L19" s="137">
        <f>SUM(L20+L24+L25)</f>
        <v>0</v>
      </c>
      <c r="M19" s="137">
        <f>SUM(M20:M25)</f>
        <v>0</v>
      </c>
    </row>
    <row r="20" spans="1:13" s="145" customFormat="1" ht="30" x14ac:dyDescent="0.2">
      <c r="A20" s="142"/>
      <c r="B20" s="143" t="s">
        <v>5</v>
      </c>
      <c r="C20" s="251" t="s">
        <v>420</v>
      </c>
      <c r="D20" s="144">
        <v>45331</v>
      </c>
      <c r="E20" s="144">
        <v>47120</v>
      </c>
      <c r="F20" s="144">
        <f>SUM(F21:F23)</f>
        <v>0</v>
      </c>
      <c r="G20" s="1383">
        <f t="shared" si="0"/>
        <v>0</v>
      </c>
      <c r="H20" s="144">
        <f>SUM(H21:H23)</f>
        <v>0</v>
      </c>
      <c r="I20" s="1498">
        <f t="shared" si="1"/>
        <v>0</v>
      </c>
      <c r="J20" s="144">
        <f>SUM(J21:J23)</f>
        <v>0</v>
      </c>
      <c r="K20" s="1498">
        <f t="shared" si="2"/>
        <v>0</v>
      </c>
      <c r="L20" s="144">
        <f>SUM(L21:L23)</f>
        <v>0</v>
      </c>
      <c r="M20" s="144">
        <v>0</v>
      </c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>
        <v>0</v>
      </c>
      <c r="G21" s="1415">
        <f t="shared" si="0"/>
        <v>0</v>
      </c>
      <c r="H21" s="144">
        <v>0</v>
      </c>
      <c r="I21" s="1404">
        <f t="shared" si="1"/>
        <v>0</v>
      </c>
      <c r="J21" s="144">
        <v>0</v>
      </c>
      <c r="K21" s="1404">
        <f t="shared" si="2"/>
        <v>0</v>
      </c>
      <c r="L21" s="144">
        <v>0</v>
      </c>
      <c r="M21" s="144">
        <v>0</v>
      </c>
    </row>
    <row r="22" spans="1:13" s="145" customFormat="1" ht="15" customHeight="1" x14ac:dyDescent="0.2">
      <c r="A22" s="142"/>
      <c r="B22" s="143" t="s">
        <v>360</v>
      </c>
      <c r="C22" s="55" t="s">
        <v>1429</v>
      </c>
      <c r="D22" s="144"/>
      <c r="E22" s="144"/>
      <c r="F22" s="144">
        <v>0</v>
      </c>
      <c r="G22" s="1519">
        <f t="shared" si="0"/>
        <v>0</v>
      </c>
      <c r="H22" s="144">
        <v>0</v>
      </c>
      <c r="I22" s="1377">
        <f t="shared" si="1"/>
        <v>0</v>
      </c>
      <c r="J22" s="144">
        <v>0</v>
      </c>
      <c r="K22" s="1377">
        <f t="shared" si="2"/>
        <v>0</v>
      </c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>
        <f t="shared" si="0"/>
        <v>0</v>
      </c>
      <c r="H23" s="144">
        <v>0</v>
      </c>
      <c r="I23" s="1404">
        <f t="shared" si="1"/>
        <v>0</v>
      </c>
      <c r="J23" s="144">
        <v>0</v>
      </c>
      <c r="K23" s="1404">
        <f t="shared" si="2"/>
        <v>0</v>
      </c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519">
        <f t="shared" si="0"/>
        <v>0</v>
      </c>
      <c r="H24" s="144">
        <v>0</v>
      </c>
      <c r="I24" s="1377">
        <f t="shared" si="1"/>
        <v>0</v>
      </c>
      <c r="J24" s="144">
        <v>0</v>
      </c>
      <c r="K24" s="1377">
        <f t="shared" si="2"/>
        <v>0</v>
      </c>
      <c r="L24" s="144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2667">
        <f t="shared" si="0"/>
        <v>0</v>
      </c>
      <c r="H25" s="144">
        <v>0</v>
      </c>
      <c r="I25" s="1435">
        <f t="shared" si="1"/>
        <v>0</v>
      </c>
      <c r="J25" s="144">
        <v>0</v>
      </c>
      <c r="K25" s="1435">
        <f t="shared" si="2"/>
        <v>0</v>
      </c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155">
        <f t="shared" ref="F26:L26" si="3">SUM(F27)</f>
        <v>0</v>
      </c>
      <c r="G26" s="1381">
        <f t="shared" si="3"/>
        <v>0</v>
      </c>
      <c r="H26" s="155">
        <f t="shared" si="3"/>
        <v>0</v>
      </c>
      <c r="I26" s="1380">
        <f t="shared" si="3"/>
        <v>0</v>
      </c>
      <c r="J26" s="155">
        <f t="shared" si="3"/>
        <v>0</v>
      </c>
      <c r="K26" s="1380">
        <f t="shared" si="3"/>
        <v>0</v>
      </c>
      <c r="L26" s="155">
        <f t="shared" si="3"/>
        <v>0</v>
      </c>
      <c r="M26" s="155">
        <v>0</v>
      </c>
    </row>
    <row r="27" spans="1:13" s="145" customFormat="1" ht="30.75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1533">
        <f>SUM(H27-F27)</f>
        <v>0</v>
      </c>
      <c r="H27" s="147">
        <v>0</v>
      </c>
      <c r="I27" s="1375">
        <f>SUM(J27-H27)</f>
        <v>0</v>
      </c>
      <c r="J27" s="147">
        <v>0</v>
      </c>
      <c r="K27" s="1375">
        <f>SUM(L27-J27)</f>
        <v>0</v>
      </c>
      <c r="L27" s="147">
        <v>0</v>
      </c>
      <c r="M27" s="147">
        <v>0</v>
      </c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 t="shared" ref="F28:L28" si="4">SUM(F29:F31)</f>
        <v>0</v>
      </c>
      <c r="G28" s="1381">
        <f t="shared" si="4"/>
        <v>0</v>
      </c>
      <c r="H28" s="155">
        <f t="shared" si="4"/>
        <v>0</v>
      </c>
      <c r="I28" s="1380">
        <f t="shared" si="4"/>
        <v>0</v>
      </c>
      <c r="J28" s="155">
        <f t="shared" si="4"/>
        <v>0</v>
      </c>
      <c r="K28" s="1380">
        <f t="shared" si="4"/>
        <v>0</v>
      </c>
      <c r="L28" s="155">
        <f t="shared" si="4"/>
        <v>0</v>
      </c>
      <c r="M28" s="155">
        <v>0</v>
      </c>
    </row>
    <row r="29" spans="1:1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1383">
        <f t="shared" ref="G29:G45" si="5">SUM(H29-F29)</f>
        <v>0</v>
      </c>
      <c r="H29" s="144">
        <v>0</v>
      </c>
      <c r="I29" s="1498">
        <f t="shared" ref="I29:I45" si="6">SUM(J29-H29)</f>
        <v>0</v>
      </c>
      <c r="J29" s="144">
        <v>0</v>
      </c>
      <c r="K29" s="1498">
        <f t="shared" ref="K29:K45" si="7">SUM(L29-J29)</f>
        <v>0</v>
      </c>
      <c r="L29" s="144">
        <v>0</v>
      </c>
      <c r="M29" s="144">
        <v>0</v>
      </c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1415">
        <f t="shared" si="5"/>
        <v>0</v>
      </c>
      <c r="H30" s="144">
        <v>0</v>
      </c>
      <c r="I30" s="1404">
        <f t="shared" si="6"/>
        <v>0</v>
      </c>
      <c r="J30" s="144">
        <v>0</v>
      </c>
      <c r="K30" s="1404">
        <f t="shared" si="7"/>
        <v>0</v>
      </c>
      <c r="L30" s="144">
        <v>0</v>
      </c>
      <c r="M30" s="144">
        <v>0</v>
      </c>
    </row>
    <row r="31" spans="1:1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1432">
        <f t="shared" si="5"/>
        <v>0</v>
      </c>
      <c r="H31" s="144">
        <v>0</v>
      </c>
      <c r="I31" s="1386">
        <f t="shared" si="6"/>
        <v>0</v>
      </c>
      <c r="J31" s="144">
        <v>0</v>
      </c>
      <c r="K31" s="1386">
        <f t="shared" si="7"/>
        <v>0</v>
      </c>
      <c r="L31" s="144">
        <v>0</v>
      </c>
      <c r="M31" s="144">
        <v>0</v>
      </c>
    </row>
    <row r="32" spans="1:13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533">
        <f t="shared" si="5"/>
        <v>0</v>
      </c>
      <c r="H32" s="155">
        <v>0</v>
      </c>
      <c r="I32" s="1375">
        <f t="shared" si="6"/>
        <v>0</v>
      </c>
      <c r="J32" s="155">
        <v>0</v>
      </c>
      <c r="K32" s="1375">
        <f t="shared" si="7"/>
        <v>0</v>
      </c>
      <c r="L32" s="155">
        <v>0</v>
      </c>
      <c r="M32" s="155">
        <v>0</v>
      </c>
    </row>
    <row r="33" spans="1:14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9028</v>
      </c>
      <c r="F33" s="285">
        <f>+F34+F35</f>
        <v>0</v>
      </c>
      <c r="G33" s="1533">
        <f t="shared" si="5"/>
        <v>0</v>
      </c>
      <c r="H33" s="285">
        <f>+H34+H35</f>
        <v>0</v>
      </c>
      <c r="I33" s="1375">
        <f t="shared" si="6"/>
        <v>0</v>
      </c>
      <c r="J33" s="285">
        <f>+J34+J35</f>
        <v>0</v>
      </c>
      <c r="K33" s="1375">
        <f t="shared" si="7"/>
        <v>0</v>
      </c>
      <c r="L33" s="285">
        <f>+L34+L35</f>
        <v>0</v>
      </c>
      <c r="M33" s="285">
        <f>+M34+M35</f>
        <v>0</v>
      </c>
    </row>
    <row r="34" spans="1:14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9028</v>
      </c>
      <c r="F34" s="306"/>
      <c r="G34" s="1533">
        <f t="shared" si="5"/>
        <v>0</v>
      </c>
      <c r="H34" s="306"/>
      <c r="I34" s="1375">
        <f t="shared" si="6"/>
        <v>0</v>
      </c>
      <c r="J34" s="306"/>
      <c r="K34" s="1375">
        <f t="shared" si="7"/>
        <v>0</v>
      </c>
      <c r="L34" s="306"/>
      <c r="M34" s="306"/>
    </row>
    <row r="35" spans="1:14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1533">
        <f t="shared" si="5"/>
        <v>0</v>
      </c>
      <c r="H35" s="294">
        <v>0</v>
      </c>
      <c r="I35" s="1375">
        <f t="shared" si="6"/>
        <v>0</v>
      </c>
      <c r="J35" s="294">
        <v>0</v>
      </c>
      <c r="K35" s="1375">
        <f t="shared" si="7"/>
        <v>0</v>
      </c>
      <c r="L35" s="294">
        <v>0</v>
      </c>
      <c r="M35" s="294">
        <v>0</v>
      </c>
    </row>
    <row r="36" spans="1:14" s="141" customFormat="1" ht="29.25" thickBot="1" x14ac:dyDescent="0.25">
      <c r="A36" s="134" t="s">
        <v>67</v>
      </c>
      <c r="B36" s="254"/>
      <c r="C36" s="170" t="s">
        <v>429</v>
      </c>
      <c r="D36" s="320"/>
      <c r="E36" s="320"/>
      <c r="F36" s="155">
        <f>SUM(F357)</f>
        <v>0</v>
      </c>
      <c r="G36" s="2712">
        <f t="shared" si="5"/>
        <v>0</v>
      </c>
      <c r="H36" s="155">
        <f>SUM(H357)</f>
        <v>0</v>
      </c>
      <c r="I36" s="1497">
        <f t="shared" si="6"/>
        <v>0</v>
      </c>
      <c r="J36" s="155">
        <f>SUM(J357)</f>
        <v>0</v>
      </c>
      <c r="K36" s="1497">
        <f t="shared" si="7"/>
        <v>0</v>
      </c>
      <c r="L36" s="155">
        <f>SUM(L357)</f>
        <v>0</v>
      </c>
      <c r="M36" s="155">
        <v>0</v>
      </c>
    </row>
    <row r="37" spans="1:14" s="141" customFormat="1" ht="30.75" thickBot="1" x14ac:dyDescent="0.25">
      <c r="A37" s="146"/>
      <c r="B37" s="255" t="s">
        <v>47</v>
      </c>
      <c r="C37" s="251" t="s">
        <v>430</v>
      </c>
      <c r="D37" s="320"/>
      <c r="E37" s="320"/>
      <c r="F37" s="144">
        <v>0</v>
      </c>
      <c r="G37" s="1533">
        <f t="shared" si="5"/>
        <v>0</v>
      </c>
      <c r="H37" s="144">
        <v>0</v>
      </c>
      <c r="I37" s="1375">
        <f t="shared" si="6"/>
        <v>0</v>
      </c>
      <c r="J37" s="144">
        <v>0</v>
      </c>
      <c r="K37" s="1375">
        <f t="shared" si="7"/>
        <v>0</v>
      </c>
      <c r="L37" s="144">
        <v>0</v>
      </c>
      <c r="M37" s="144">
        <v>0</v>
      </c>
    </row>
    <row r="38" spans="1:14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v>0</v>
      </c>
      <c r="G38" s="2712">
        <f t="shared" si="5"/>
        <v>0</v>
      </c>
      <c r="H38" s="155">
        <v>0</v>
      </c>
      <c r="I38" s="1497">
        <f t="shared" si="6"/>
        <v>0</v>
      </c>
      <c r="J38" s="155">
        <v>0</v>
      </c>
      <c r="K38" s="1497">
        <f t="shared" si="7"/>
        <v>0</v>
      </c>
      <c r="L38" s="155">
        <v>0</v>
      </c>
      <c r="M38" s="155">
        <v>0</v>
      </c>
    </row>
    <row r="39" spans="1:14" s="141" customFormat="1" ht="30.75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1533">
        <f t="shared" si="5"/>
        <v>0</v>
      </c>
      <c r="H39" s="320">
        <v>0</v>
      </c>
      <c r="I39" s="1375">
        <f t="shared" si="6"/>
        <v>0</v>
      </c>
      <c r="J39" s="320">
        <v>0</v>
      </c>
      <c r="K39" s="1375">
        <f t="shared" si="7"/>
        <v>0</v>
      </c>
      <c r="L39" s="320">
        <v>0</v>
      </c>
      <c r="M39" s="320">
        <v>0</v>
      </c>
    </row>
    <row r="40" spans="1:14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155">
        <f>SUM(F41:F43)</f>
        <v>0</v>
      </c>
      <c r="G40" s="2712">
        <f t="shared" si="5"/>
        <v>0</v>
      </c>
      <c r="H40" s="155">
        <f>SUM(H41:H43)</f>
        <v>0</v>
      </c>
      <c r="I40" s="1497">
        <f t="shared" si="6"/>
        <v>0</v>
      </c>
      <c r="J40" s="155">
        <f>SUM(J41:J43)</f>
        <v>0</v>
      </c>
      <c r="K40" s="1497">
        <f t="shared" si="7"/>
        <v>0</v>
      </c>
      <c r="L40" s="155">
        <f>SUM(L41:L43)</f>
        <v>0</v>
      </c>
      <c r="M40" s="155">
        <v>0</v>
      </c>
    </row>
    <row r="41" spans="1:14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>
        <v>0</v>
      </c>
      <c r="G41" s="1383">
        <f t="shared" si="5"/>
        <v>0</v>
      </c>
      <c r="H41" s="144">
        <v>0</v>
      </c>
      <c r="I41" s="1498">
        <f t="shared" si="6"/>
        <v>0</v>
      </c>
      <c r="J41" s="144">
        <v>0</v>
      </c>
      <c r="K41" s="1498">
        <f t="shared" si="7"/>
        <v>0</v>
      </c>
      <c r="L41" s="144">
        <v>0</v>
      </c>
      <c r="M41" s="144">
        <v>0</v>
      </c>
    </row>
    <row r="42" spans="1:14" s="141" customFormat="1" ht="15" customHeight="1" thickBot="1" x14ac:dyDescent="0.25">
      <c r="A42" s="146"/>
      <c r="B42" s="253" t="s">
        <v>83</v>
      </c>
      <c r="C42" s="55" t="s">
        <v>435</v>
      </c>
      <c r="D42" s="320"/>
      <c r="E42" s="320"/>
      <c r="F42" s="144">
        <v>0</v>
      </c>
      <c r="G42" s="1415">
        <f t="shared" si="5"/>
        <v>0</v>
      </c>
      <c r="H42" s="144">
        <v>0</v>
      </c>
      <c r="I42" s="1404">
        <f t="shared" si="6"/>
        <v>0</v>
      </c>
      <c r="J42" s="144">
        <v>0</v>
      </c>
      <c r="K42" s="1404">
        <f t="shared" si="7"/>
        <v>0</v>
      </c>
      <c r="L42" s="144">
        <v>0</v>
      </c>
      <c r="M42" s="144">
        <v>0</v>
      </c>
    </row>
    <row r="43" spans="1:14" s="145" customFormat="1" ht="15" customHeight="1" thickBot="1" x14ac:dyDescent="0.25">
      <c r="A43" s="178"/>
      <c r="B43" s="253" t="s">
        <v>85</v>
      </c>
      <c r="C43" s="55" t="s">
        <v>1433</v>
      </c>
      <c r="D43" s="155">
        <v>16267</v>
      </c>
      <c r="E43" s="155">
        <v>20412</v>
      </c>
      <c r="F43" s="144">
        <v>0</v>
      </c>
      <c r="G43" s="1432">
        <f t="shared" si="5"/>
        <v>0</v>
      </c>
      <c r="H43" s="144">
        <v>0</v>
      </c>
      <c r="I43" s="1386">
        <f t="shared" si="6"/>
        <v>0</v>
      </c>
      <c r="J43" s="144">
        <v>0</v>
      </c>
      <c r="K43" s="1386">
        <f t="shared" si="7"/>
        <v>0</v>
      </c>
      <c r="L43" s="144">
        <v>0</v>
      </c>
      <c r="M43" s="144">
        <v>0</v>
      </c>
      <c r="N43" s="205">
        <f>SUM(F61-F45)</f>
        <v>0</v>
      </c>
    </row>
    <row r="44" spans="1:14" s="145" customFormat="1" ht="12.75" hidden="1" customHeight="1" x14ac:dyDescent="0.25">
      <c r="A44" s="258"/>
      <c r="B44" s="256"/>
      <c r="C44" s="170" t="s">
        <v>458</v>
      </c>
      <c r="D44" s="155"/>
      <c r="E44" s="155"/>
      <c r="F44" s="155"/>
      <c r="G44" s="1533">
        <f t="shared" si="5"/>
        <v>0</v>
      </c>
      <c r="H44" s="155"/>
      <c r="I44" s="1375">
        <f t="shared" si="6"/>
        <v>0</v>
      </c>
      <c r="J44" s="155"/>
      <c r="K44" s="1375">
        <f t="shared" si="7"/>
        <v>0</v>
      </c>
      <c r="L44" s="155"/>
      <c r="M44" s="155"/>
    </row>
    <row r="45" spans="1:14" s="145" customFormat="1" ht="15" customHeight="1" thickBot="1" x14ac:dyDescent="0.25">
      <c r="A45" s="192" t="s">
        <v>99</v>
      </c>
      <c r="B45" s="160"/>
      <c r="C45" s="274" t="s">
        <v>441</v>
      </c>
      <c r="D45" s="162">
        <f>SUM(D8,D19,D28,D32,D33,D43)</f>
        <v>258837</v>
      </c>
      <c r="E45" s="162">
        <f>SUM(E8,E19,E28,E32,E33,E43)</f>
        <v>273799</v>
      </c>
      <c r="F45" s="162">
        <f>SUM(F8,F19,F28,F32,F33,F43)</f>
        <v>0</v>
      </c>
      <c r="G45" s="2713">
        <f t="shared" si="5"/>
        <v>0</v>
      </c>
      <c r="H45" s="162">
        <f>SUM(H8,H19,H28,H32,H33,H43)</f>
        <v>0</v>
      </c>
      <c r="I45" s="1476">
        <f t="shared" si="6"/>
        <v>0</v>
      </c>
      <c r="J45" s="162">
        <f>SUM(J8,J19,J28,J32,J33,J43)</f>
        <v>0</v>
      </c>
      <c r="K45" s="1476">
        <f t="shared" si="7"/>
        <v>0</v>
      </c>
      <c r="L45" s="162">
        <f>SUM(L8,L19,L28,L32,L33,L43)</f>
        <v>0</v>
      </c>
      <c r="M45" s="162">
        <f>SUM(M8,M19,M28,M32,M33,M43)</f>
        <v>0</v>
      </c>
    </row>
    <row r="46" spans="1:14" s="145" customFormat="1" ht="15" customHeight="1" thickBot="1" x14ac:dyDescent="0.25">
      <c r="A46" s="2098"/>
      <c r="B46" s="266"/>
      <c r="C46" s="275"/>
      <c r="D46" s="286"/>
      <c r="E46" s="286"/>
      <c r="F46" s="1458"/>
      <c r="G46" s="1443"/>
      <c r="H46" s="1443"/>
      <c r="I46" s="1443"/>
      <c r="J46" s="1443"/>
      <c r="K46" s="1443"/>
      <c r="L46" s="1443"/>
      <c r="M46" s="1458"/>
    </row>
    <row r="47" spans="1:14" s="305" customFormat="1" ht="15" customHeight="1" thickBot="1" x14ac:dyDescent="0.25">
      <c r="A47" s="192"/>
      <c r="B47" s="160"/>
      <c r="C47" s="282" t="s">
        <v>231</v>
      </c>
      <c r="D47" s="162"/>
      <c r="E47" s="162"/>
      <c r="F47" s="162"/>
      <c r="G47" s="1437"/>
      <c r="H47" s="162"/>
      <c r="I47" s="1373"/>
      <c r="J47" s="162"/>
      <c r="K47" s="1373"/>
      <c r="L47" s="162"/>
      <c r="M47" s="162"/>
    </row>
    <row r="48" spans="1:14" s="141" customFormat="1" ht="15" customHeight="1" thickBot="1" x14ac:dyDescent="0.25">
      <c r="A48" s="134" t="s">
        <v>3</v>
      </c>
      <c r="B48" s="170"/>
      <c r="C48" s="170" t="s">
        <v>442</v>
      </c>
      <c r="D48" s="137">
        <f>SUM(D49:D53)</f>
        <v>258837</v>
      </c>
      <c r="E48" s="137">
        <f>SUM(E49:E53)</f>
        <v>273555</v>
      </c>
      <c r="F48" s="137">
        <f>SUM(F49:F53)</f>
        <v>0</v>
      </c>
      <c r="G48" s="2712">
        <f t="shared" ref="G48:I61" si="8">SUM(H48-F48)</f>
        <v>0</v>
      </c>
      <c r="H48" s="137">
        <f>SUM(H49:H53)</f>
        <v>0</v>
      </c>
      <c r="I48" s="1497">
        <f t="shared" si="8"/>
        <v>0</v>
      </c>
      <c r="J48" s="137">
        <f>SUM(J49:J53)</f>
        <v>0</v>
      </c>
      <c r="K48" s="1497">
        <f t="shared" ref="K48:K61" si="9">SUM(L48-J48)</f>
        <v>0</v>
      </c>
      <c r="L48" s="137">
        <f>SUM(L49:L53)</f>
        <v>0</v>
      </c>
      <c r="M48" s="137">
        <f>SUM(M49:M53)</f>
        <v>0</v>
      </c>
    </row>
    <row r="49" spans="1:13" s="145" customFormat="1" ht="15" customHeight="1" x14ac:dyDescent="0.2">
      <c r="A49" s="173"/>
      <c r="B49" s="267" t="s">
        <v>152</v>
      </c>
      <c r="C49" s="251" t="s">
        <v>153</v>
      </c>
      <c r="D49" s="175">
        <v>35918</v>
      </c>
      <c r="E49" s="175">
        <v>38855</v>
      </c>
      <c r="F49" s="175">
        <v>0</v>
      </c>
      <c r="G49" s="2714">
        <f t="shared" si="8"/>
        <v>0</v>
      </c>
      <c r="H49" s="175">
        <v>0</v>
      </c>
      <c r="I49" s="1500">
        <f t="shared" si="8"/>
        <v>0</v>
      </c>
      <c r="J49" s="175">
        <v>0</v>
      </c>
      <c r="K49" s="1500">
        <f t="shared" si="9"/>
        <v>0</v>
      </c>
      <c r="L49" s="175">
        <v>0</v>
      </c>
      <c r="M49" s="175">
        <v>0</v>
      </c>
    </row>
    <row r="50" spans="1:13" s="145" customFormat="1" ht="15" customHeight="1" x14ac:dyDescent="0.2">
      <c r="A50" s="142"/>
      <c r="B50" s="253" t="s">
        <v>154</v>
      </c>
      <c r="C50" s="55" t="s">
        <v>155</v>
      </c>
      <c r="D50" s="144">
        <v>9491</v>
      </c>
      <c r="E50" s="144">
        <v>10284</v>
      </c>
      <c r="F50" s="144">
        <v>0</v>
      </c>
      <c r="G50" s="2664">
        <f t="shared" si="8"/>
        <v>0</v>
      </c>
      <c r="H50" s="144">
        <v>0</v>
      </c>
      <c r="I50" s="1425">
        <f t="shared" si="8"/>
        <v>0</v>
      </c>
      <c r="J50" s="144">
        <v>0</v>
      </c>
      <c r="K50" s="1425">
        <f t="shared" si="9"/>
        <v>0</v>
      </c>
      <c r="L50" s="144">
        <v>0</v>
      </c>
      <c r="M50" s="144">
        <v>0</v>
      </c>
    </row>
    <row r="51" spans="1:13" s="145" customFormat="1" ht="15" customHeight="1" x14ac:dyDescent="0.2">
      <c r="A51" s="142"/>
      <c r="B51" s="253" t="s">
        <v>156</v>
      </c>
      <c r="C51" s="55" t="s">
        <v>157</v>
      </c>
      <c r="D51" s="144">
        <v>213428</v>
      </c>
      <c r="E51" s="144">
        <v>224416</v>
      </c>
      <c r="F51" s="144">
        <v>0</v>
      </c>
      <c r="G51" s="2715">
        <f t="shared" si="8"/>
        <v>0</v>
      </c>
      <c r="H51" s="144">
        <v>0</v>
      </c>
      <c r="I51" s="1501">
        <f t="shared" si="8"/>
        <v>0</v>
      </c>
      <c r="J51" s="144">
        <v>0</v>
      </c>
      <c r="K51" s="1501">
        <f t="shared" si="9"/>
        <v>0</v>
      </c>
      <c r="L51" s="144">
        <v>0</v>
      </c>
      <c r="M51" s="144">
        <v>0</v>
      </c>
    </row>
    <row r="52" spans="1:13" s="145" customFormat="1" ht="15" customHeight="1" x14ac:dyDescent="0.2">
      <c r="A52" s="142"/>
      <c r="B52" s="253" t="s">
        <v>158</v>
      </c>
      <c r="C52" s="55" t="s">
        <v>159</v>
      </c>
      <c r="D52" s="144"/>
      <c r="E52" s="144"/>
      <c r="F52" s="144">
        <v>0</v>
      </c>
      <c r="G52" s="2664">
        <f t="shared" si="8"/>
        <v>0</v>
      </c>
      <c r="H52" s="144">
        <v>0</v>
      </c>
      <c r="I52" s="1425">
        <f t="shared" si="8"/>
        <v>0</v>
      </c>
      <c r="J52" s="144">
        <v>0</v>
      </c>
      <c r="K52" s="1425">
        <f t="shared" si="9"/>
        <v>0</v>
      </c>
      <c r="L52" s="144">
        <v>0</v>
      </c>
      <c r="M52" s="144">
        <v>0</v>
      </c>
    </row>
    <row r="53" spans="1:13" s="145" customFormat="1" ht="15" customHeight="1" thickBot="1" x14ac:dyDescent="0.25">
      <c r="A53" s="142"/>
      <c r="B53" s="253" t="s">
        <v>375</v>
      </c>
      <c r="C53" s="55" t="s">
        <v>161</v>
      </c>
      <c r="D53" s="144">
        <v>0</v>
      </c>
      <c r="E53" s="144">
        <v>0</v>
      </c>
      <c r="F53" s="144">
        <v>0</v>
      </c>
      <c r="G53" s="2716">
        <f t="shared" si="8"/>
        <v>0</v>
      </c>
      <c r="H53" s="144">
        <v>0</v>
      </c>
      <c r="I53" s="1426">
        <f t="shared" si="8"/>
        <v>0</v>
      </c>
      <c r="J53" s="144">
        <v>0</v>
      </c>
      <c r="K53" s="1426">
        <f t="shared" si="9"/>
        <v>0</v>
      </c>
      <c r="L53" s="144">
        <v>0</v>
      </c>
      <c r="M53" s="144">
        <v>0</v>
      </c>
    </row>
    <row r="54" spans="1:13" s="145" customFormat="1" ht="15" customHeight="1" thickBot="1" x14ac:dyDescent="0.25">
      <c r="A54" s="134" t="s">
        <v>17</v>
      </c>
      <c r="B54" s="170"/>
      <c r="C54" s="170" t="s">
        <v>443</v>
      </c>
      <c r="D54" s="137">
        <f>SUM(D55:D58)</f>
        <v>0</v>
      </c>
      <c r="E54" s="137">
        <f>SUM(E55:E58)</f>
        <v>244</v>
      </c>
      <c r="F54" s="137">
        <f>SUM(F55:F58)</f>
        <v>0</v>
      </c>
      <c r="G54" s="2713">
        <f t="shared" si="8"/>
        <v>0</v>
      </c>
      <c r="H54" s="137">
        <f>SUM(H55:H58)</f>
        <v>0</v>
      </c>
      <c r="I54" s="1476">
        <f t="shared" si="8"/>
        <v>0</v>
      </c>
      <c r="J54" s="137">
        <f>SUM(J55:J58)</f>
        <v>0</v>
      </c>
      <c r="K54" s="1476">
        <f t="shared" si="9"/>
        <v>0</v>
      </c>
      <c r="L54" s="137">
        <f>SUM(L55:L58)</f>
        <v>0</v>
      </c>
      <c r="M54" s="137">
        <f>SUM(M55:M58)</f>
        <v>0</v>
      </c>
    </row>
    <row r="55" spans="1:13" s="141" customFormat="1" ht="15" customHeight="1" x14ac:dyDescent="0.2">
      <c r="A55" s="173"/>
      <c r="B55" s="267" t="s">
        <v>5</v>
      </c>
      <c r="C55" s="251" t="s">
        <v>183</v>
      </c>
      <c r="D55" s="175">
        <v>0</v>
      </c>
      <c r="E55" s="175">
        <v>244</v>
      </c>
      <c r="F55" s="175">
        <v>0</v>
      </c>
      <c r="G55" s="2716">
        <f t="shared" si="8"/>
        <v>0</v>
      </c>
      <c r="H55" s="175">
        <v>0</v>
      </c>
      <c r="I55" s="1685">
        <f t="shared" si="8"/>
        <v>0</v>
      </c>
      <c r="J55" s="175">
        <v>0</v>
      </c>
      <c r="K55" s="1685">
        <f t="shared" si="9"/>
        <v>0</v>
      </c>
      <c r="L55" s="175">
        <v>0</v>
      </c>
      <c r="M55" s="175">
        <v>0</v>
      </c>
    </row>
    <row r="56" spans="1:13" s="145" customFormat="1" ht="15" customHeight="1" x14ac:dyDescent="0.2">
      <c r="A56" s="142"/>
      <c r="B56" s="253" t="s">
        <v>7</v>
      </c>
      <c r="C56" s="55" t="s">
        <v>185</v>
      </c>
      <c r="D56" s="144">
        <v>0</v>
      </c>
      <c r="E56" s="144">
        <v>0</v>
      </c>
      <c r="F56" s="144">
        <v>0</v>
      </c>
      <c r="G56" s="2715">
        <f t="shared" si="8"/>
        <v>0</v>
      </c>
      <c r="H56" s="144">
        <v>0</v>
      </c>
      <c r="I56" s="1501">
        <f t="shared" si="8"/>
        <v>0</v>
      </c>
      <c r="J56" s="144">
        <v>0</v>
      </c>
      <c r="K56" s="1501">
        <f t="shared" si="9"/>
        <v>0</v>
      </c>
      <c r="L56" s="144">
        <v>0</v>
      </c>
      <c r="M56" s="144">
        <v>0</v>
      </c>
    </row>
    <row r="57" spans="1:13" s="145" customFormat="1" ht="15.75" thickBot="1" x14ac:dyDescent="0.25">
      <c r="A57" s="142"/>
      <c r="B57" s="253" t="s">
        <v>9</v>
      </c>
      <c r="C57" s="55" t="s">
        <v>444</v>
      </c>
      <c r="D57" s="144">
        <v>0</v>
      </c>
      <c r="E57" s="144">
        <v>0</v>
      </c>
      <c r="F57" s="144">
        <v>0</v>
      </c>
      <c r="G57" s="2673">
        <f t="shared" si="8"/>
        <v>0</v>
      </c>
      <c r="H57" s="144">
        <v>0</v>
      </c>
      <c r="I57" s="1469">
        <f t="shared" si="8"/>
        <v>0</v>
      </c>
      <c r="J57" s="144">
        <v>0</v>
      </c>
      <c r="K57" s="1469">
        <f t="shared" si="9"/>
        <v>0</v>
      </c>
      <c r="L57" s="144">
        <v>0</v>
      </c>
      <c r="M57" s="144">
        <v>0</v>
      </c>
    </row>
    <row r="58" spans="1:13" s="145" customFormat="1" ht="12.75" hidden="1" customHeight="1" x14ac:dyDescent="0.2">
      <c r="A58" s="142"/>
      <c r="B58" s="176" t="s">
        <v>189</v>
      </c>
      <c r="C58" s="55" t="s">
        <v>448</v>
      </c>
      <c r="D58" s="144">
        <v>0</v>
      </c>
      <c r="E58" s="144">
        <v>0</v>
      </c>
      <c r="F58" s="144">
        <v>0</v>
      </c>
      <c r="G58" s="2712">
        <f t="shared" si="8"/>
        <v>0</v>
      </c>
      <c r="H58" s="144">
        <v>0</v>
      </c>
      <c r="I58" s="1497">
        <f t="shared" si="8"/>
        <v>0</v>
      </c>
      <c r="J58" s="144">
        <v>0</v>
      </c>
      <c r="K58" s="1497">
        <f t="shared" si="9"/>
        <v>0</v>
      </c>
      <c r="L58" s="144">
        <v>0</v>
      </c>
      <c r="M58" s="144">
        <v>0</v>
      </c>
    </row>
    <row r="59" spans="1:13" s="145" customFormat="1" ht="12.75" hidden="1" customHeight="1" x14ac:dyDescent="0.2">
      <c r="A59" s="134" t="s">
        <v>31</v>
      </c>
      <c r="B59" s="170"/>
      <c r="C59" s="171" t="s">
        <v>445</v>
      </c>
      <c r="D59" s="155">
        <v>0</v>
      </c>
      <c r="E59" s="155">
        <v>0</v>
      </c>
      <c r="F59" s="155">
        <v>0</v>
      </c>
      <c r="G59" s="2712">
        <f t="shared" si="8"/>
        <v>0</v>
      </c>
      <c r="H59" s="155">
        <v>0</v>
      </c>
      <c r="I59" s="1497">
        <f t="shared" si="8"/>
        <v>0</v>
      </c>
      <c r="J59" s="155">
        <v>0</v>
      </c>
      <c r="K59" s="1497">
        <f t="shared" si="9"/>
        <v>0</v>
      </c>
      <c r="L59" s="155">
        <v>0</v>
      </c>
      <c r="M59" s="155">
        <v>0</v>
      </c>
    </row>
    <row r="60" spans="1:13" s="145" customFormat="1" ht="12.75" hidden="1" customHeight="1" x14ac:dyDescent="0.2">
      <c r="A60" s="134"/>
      <c r="B60" s="170"/>
      <c r="C60" s="171" t="s">
        <v>459</v>
      </c>
      <c r="D60" s="155"/>
      <c r="E60" s="155"/>
      <c r="F60" s="155"/>
      <c r="G60" s="2712">
        <f t="shared" si="8"/>
        <v>0</v>
      </c>
      <c r="H60" s="155"/>
      <c r="I60" s="1497">
        <f t="shared" si="8"/>
        <v>0</v>
      </c>
      <c r="J60" s="155"/>
      <c r="K60" s="1497">
        <f t="shared" si="9"/>
        <v>0</v>
      </c>
      <c r="L60" s="155"/>
      <c r="M60" s="155"/>
    </row>
    <row r="61" spans="1:13" s="145" customFormat="1" ht="15" customHeight="1" thickBot="1" x14ac:dyDescent="0.25">
      <c r="A61" s="192" t="s">
        <v>31</v>
      </c>
      <c r="B61" s="160"/>
      <c r="C61" s="274" t="s">
        <v>465</v>
      </c>
      <c r="D61" s="162">
        <f>+D48+D54+D59</f>
        <v>258837</v>
      </c>
      <c r="E61" s="2710">
        <f>+E48+E54+E59</f>
        <v>273799</v>
      </c>
      <c r="F61" s="162">
        <f>+F48+F54+F59+F60</f>
        <v>0</v>
      </c>
      <c r="G61" s="2713">
        <f t="shared" si="8"/>
        <v>0</v>
      </c>
      <c r="H61" s="162">
        <f>+H48+H54+H59+H60</f>
        <v>0</v>
      </c>
      <c r="I61" s="1476">
        <f t="shared" si="8"/>
        <v>0</v>
      </c>
      <c r="J61" s="162">
        <f>+J48+J54+J59+J60</f>
        <v>0</v>
      </c>
      <c r="K61" s="1476">
        <f t="shared" si="9"/>
        <v>0</v>
      </c>
      <c r="L61" s="162">
        <f>+L48+L54+L59+L60</f>
        <v>0</v>
      </c>
      <c r="M61" s="162">
        <f>+M48+M54+M59+M60</f>
        <v>0</v>
      </c>
    </row>
    <row r="62" spans="1:13" s="145" customFormat="1" ht="15" customHeight="1" thickBot="1" x14ac:dyDescent="0.25">
      <c r="A62" s="1303"/>
      <c r="B62" s="886"/>
      <c r="C62" s="886"/>
      <c r="D62" s="886"/>
      <c r="E62" s="886"/>
      <c r="F62" s="2100"/>
      <c r="G62" s="1550"/>
      <c r="H62" s="1550"/>
      <c r="I62" s="1550"/>
      <c r="J62" s="1550"/>
      <c r="K62" s="1550"/>
      <c r="L62" s="1550"/>
      <c r="M62" s="1304"/>
    </row>
    <row r="63" spans="1:13" s="145" customFormat="1" ht="15" customHeight="1" thickBot="1" x14ac:dyDescent="0.25">
      <c r="A63" s="276" t="s">
        <v>324</v>
      </c>
      <c r="B63" s="277"/>
      <c r="C63" s="278"/>
      <c r="D63" s="200">
        <v>25</v>
      </c>
      <c r="E63" s="200">
        <v>25</v>
      </c>
      <c r="F63" s="200"/>
      <c r="G63" s="1559"/>
      <c r="H63" s="200"/>
      <c r="I63" s="1388"/>
      <c r="J63" s="200"/>
      <c r="K63" s="1388"/>
      <c r="L63" s="200"/>
      <c r="M63" s="200"/>
    </row>
    <row r="64" spans="1:13" s="145" customFormat="1" ht="15" customHeight="1" thickBot="1" x14ac:dyDescent="0.25">
      <c r="A64" s="276" t="s">
        <v>325</v>
      </c>
      <c r="B64" s="277"/>
      <c r="C64" s="278"/>
      <c r="D64" s="279"/>
      <c r="E64" s="279"/>
      <c r="F64" s="279"/>
      <c r="G64" s="1560"/>
      <c r="H64" s="279"/>
      <c r="I64" s="1389"/>
      <c r="J64" s="279"/>
      <c r="K64" s="1389"/>
      <c r="L64" s="279"/>
      <c r="M64" s="279"/>
    </row>
  </sheetData>
  <mergeCells count="14">
    <mergeCell ref="D4:F4"/>
    <mergeCell ref="A5:B5"/>
    <mergeCell ref="A2:B2"/>
    <mergeCell ref="D2:D3"/>
    <mergeCell ref="F2:F3"/>
    <mergeCell ref="A3:B3"/>
    <mergeCell ref="I2:I3"/>
    <mergeCell ref="J2:J3"/>
    <mergeCell ref="K2:K3"/>
    <mergeCell ref="L2:L3"/>
    <mergeCell ref="C1:M1"/>
    <mergeCell ref="H2:H3"/>
    <mergeCell ref="M2:M3"/>
    <mergeCell ref="G2:G3"/>
  </mergeCells>
  <printOptions horizontalCentered="1"/>
  <pageMargins left="0.19685039370078741" right="0.31496062992125984" top="0.35433070866141736" bottom="0.43307086614173229" header="0.51181102362204722" footer="0.15748031496062992"/>
  <pageSetup paperSize="9" scale="75" firstPageNumber="67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BG52"/>
  <sheetViews>
    <sheetView view="pageBreakPreview" zoomScale="80" zoomScaleNormal="100" zoomScaleSheetLayoutView="80" workbookViewId="0">
      <selection activeCell="AY1" sqref="AY1:AY1048576"/>
    </sheetView>
  </sheetViews>
  <sheetFormatPr defaultColWidth="9.33203125" defaultRowHeight="15" x14ac:dyDescent="0.25"/>
  <cols>
    <col min="1" max="1" width="15.33203125" style="621" customWidth="1"/>
    <col min="2" max="2" width="18" style="621" customWidth="1"/>
    <col min="3" max="3" width="16.1640625" style="621" customWidth="1"/>
    <col min="4" max="4" width="15" style="621" hidden="1" customWidth="1"/>
    <col min="5" max="5" width="18.1640625" style="621" hidden="1" customWidth="1"/>
    <col min="6" max="6" width="15.1640625" style="621" hidden="1" customWidth="1"/>
    <col min="7" max="7" width="17.83203125" style="621" hidden="1" customWidth="1"/>
    <col min="8" max="8" width="15.1640625" style="621" hidden="1" customWidth="1"/>
    <col min="9" max="9" width="18.5" style="621" customWidth="1"/>
    <col min="10" max="11" width="15.6640625" style="621" customWidth="1"/>
    <col min="12" max="12" width="16.1640625" style="621" hidden="1" customWidth="1"/>
    <col min="13" max="13" width="17.1640625" style="621" hidden="1" customWidth="1"/>
    <col min="14" max="14" width="14.6640625" style="621" hidden="1" customWidth="1"/>
    <col min="15" max="15" width="16.5" style="621" hidden="1" customWidth="1"/>
    <col min="16" max="16" width="14.6640625" style="621" hidden="1" customWidth="1"/>
    <col min="17" max="17" width="17" style="621" customWidth="1"/>
    <col min="18" max="18" width="15.6640625" style="621" customWidth="1"/>
    <col min="19" max="19" width="15" style="621" customWidth="1"/>
    <col min="20" max="20" width="16.33203125" style="621" hidden="1" customWidth="1"/>
    <col min="21" max="22" width="15.5" style="621" hidden="1" customWidth="1"/>
    <col min="23" max="23" width="14.33203125" style="621" hidden="1" customWidth="1"/>
    <col min="24" max="24" width="15.5" style="621" hidden="1" customWidth="1"/>
    <col min="25" max="25" width="15.5" style="621" customWidth="1"/>
    <col min="26" max="26" width="14.6640625" style="621" customWidth="1"/>
    <col min="27" max="27" width="10.33203125" style="619" customWidth="1"/>
    <col min="28" max="28" width="17.5" style="619" hidden="1" customWidth="1"/>
    <col min="29" max="30" width="13.83203125" style="619" hidden="1" customWidth="1"/>
    <col min="31" max="31" width="15.6640625" style="619" hidden="1" customWidth="1"/>
    <col min="32" max="32" width="13.83203125" style="619" hidden="1" customWidth="1"/>
    <col min="33" max="33" width="12.5" style="619" customWidth="1"/>
    <col min="34" max="34" width="12" style="619" customWidth="1"/>
    <col min="35" max="35" width="15.5" style="619" customWidth="1"/>
    <col min="36" max="36" width="14.5" style="619" hidden="1" customWidth="1"/>
    <col min="37" max="37" width="16.6640625" style="619" hidden="1" customWidth="1"/>
    <col min="38" max="38" width="15" style="619" hidden="1" customWidth="1"/>
    <col min="39" max="39" width="15.5" style="619" hidden="1" customWidth="1"/>
    <col min="40" max="40" width="15" style="619" hidden="1" customWidth="1"/>
    <col min="41" max="41" width="16.33203125" style="619" customWidth="1"/>
    <col min="42" max="42" width="16.5" style="619" customWidth="1"/>
    <col min="43" max="43" width="11.5" style="619" customWidth="1"/>
    <col min="44" max="44" width="14.83203125" style="619" hidden="1" customWidth="1"/>
    <col min="45" max="46" width="13.33203125" style="619" hidden="1" customWidth="1"/>
    <col min="47" max="47" width="11.1640625" style="619" hidden="1" customWidth="1"/>
    <col min="48" max="48" width="13.33203125" style="619" hidden="1" customWidth="1"/>
    <col min="49" max="49" width="13.33203125" style="619" customWidth="1"/>
    <col min="50" max="50" width="13" style="619" customWidth="1"/>
    <col min="51" max="51" width="9" style="619" customWidth="1"/>
    <col min="52" max="52" width="11.6640625" style="619" hidden="1" customWidth="1"/>
    <col min="53" max="54" width="15.5" style="619" hidden="1" customWidth="1"/>
    <col min="55" max="55" width="13.33203125" style="619" hidden="1" customWidth="1"/>
    <col min="56" max="56" width="15.5" style="619" hidden="1" customWidth="1"/>
    <col min="57" max="57" width="15.5" style="619" customWidth="1"/>
    <col min="58" max="58" width="16.83203125" style="619" customWidth="1"/>
    <col min="59" max="59" width="9.33203125" style="619" customWidth="1"/>
    <col min="60" max="16384" width="9.33203125" style="619"/>
  </cols>
  <sheetData>
    <row r="1" spans="1:59" ht="26.25" customHeight="1" x14ac:dyDescent="0.3">
      <c r="A1" s="4536" t="s">
        <v>847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4536"/>
      <c r="AJ1" s="4536"/>
      <c r="AK1" s="4536"/>
      <c r="AL1" s="4536"/>
      <c r="AM1" s="4536"/>
      <c r="AN1" s="4536"/>
      <c r="AO1" s="4536"/>
      <c r="AP1" s="4536"/>
      <c r="AQ1" s="4536"/>
      <c r="AR1" s="4536"/>
      <c r="AS1" s="4536"/>
      <c r="AT1" s="4536"/>
      <c r="AU1" s="4536"/>
      <c r="AV1" s="4536"/>
      <c r="AW1" s="4536"/>
      <c r="AX1" s="4536"/>
      <c r="AY1" s="1129"/>
      <c r="AZ1" s="1129"/>
      <c r="BA1" s="1130"/>
      <c r="BB1" s="1130"/>
      <c r="BC1" s="1130"/>
      <c r="BD1" s="1130"/>
      <c r="BE1" s="1130"/>
      <c r="BF1" s="1130"/>
    </row>
    <row r="2" spans="1:59" ht="26.25" customHeight="1" thickBot="1" x14ac:dyDescent="0.35">
      <c r="A2" s="4536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536"/>
      <c r="AI2" s="4536"/>
      <c r="AJ2" s="4536"/>
      <c r="AK2" s="4536"/>
      <c r="AL2" s="4536"/>
      <c r="AM2" s="4536"/>
      <c r="AN2" s="4536"/>
      <c r="AO2" s="4536"/>
      <c r="AP2" s="4536"/>
      <c r="AQ2" s="4536"/>
      <c r="AR2" s="4536"/>
      <c r="AS2" s="4536"/>
      <c r="AT2" s="4536"/>
      <c r="AU2" s="4536"/>
      <c r="AV2" s="4536"/>
      <c r="AW2" s="4536"/>
      <c r="AX2" s="4536"/>
      <c r="AY2" s="1129"/>
      <c r="AZ2" s="1129"/>
      <c r="BA2" s="1130"/>
      <c r="BB2" s="1130"/>
      <c r="BC2" s="1130"/>
      <c r="BD2" s="1130"/>
      <c r="BE2" s="1130"/>
      <c r="BF2" s="1130"/>
    </row>
    <row r="3" spans="1:59" ht="29.25" customHeight="1" thickTop="1" thickBot="1" x14ac:dyDescent="0.3">
      <c r="A3" s="4533" t="s">
        <v>230</v>
      </c>
      <c r="B3" s="4534"/>
      <c r="C3" s="4534"/>
      <c r="D3" s="4534"/>
      <c r="E3" s="4534"/>
      <c r="F3" s="4534"/>
      <c r="G3" s="4534"/>
      <c r="H3" s="4534"/>
      <c r="I3" s="4534"/>
      <c r="J3" s="4534"/>
      <c r="K3" s="4534"/>
      <c r="L3" s="4534"/>
      <c r="M3" s="4534"/>
      <c r="N3" s="4534"/>
      <c r="O3" s="4534"/>
      <c r="P3" s="4534"/>
      <c r="Q3" s="4534"/>
      <c r="R3" s="4534"/>
      <c r="S3" s="4534"/>
      <c r="T3" s="4534"/>
      <c r="U3" s="4534"/>
      <c r="V3" s="4534"/>
      <c r="W3" s="4534"/>
      <c r="X3" s="4534"/>
      <c r="Y3" s="4534"/>
      <c r="Z3" s="4534"/>
      <c r="AA3" s="4534"/>
      <c r="AB3" s="4534"/>
      <c r="AC3" s="4534"/>
      <c r="AD3" s="4534"/>
      <c r="AE3" s="4534"/>
      <c r="AF3" s="4534"/>
      <c r="AG3" s="4534"/>
      <c r="AH3" s="4534"/>
      <c r="AI3" s="4534"/>
      <c r="AJ3" s="4534"/>
      <c r="AK3" s="4534"/>
      <c r="AL3" s="4534"/>
      <c r="AM3" s="4534"/>
      <c r="AN3" s="4534"/>
      <c r="AO3" s="4534"/>
      <c r="AP3" s="4534"/>
      <c r="AQ3" s="4534"/>
      <c r="AR3" s="4534"/>
      <c r="AS3" s="4534"/>
      <c r="AT3" s="4534"/>
      <c r="AU3" s="4534"/>
      <c r="AV3" s="4534"/>
      <c r="AW3" s="4534"/>
      <c r="AX3" s="4534"/>
      <c r="AY3" s="4534"/>
      <c r="AZ3" s="4534"/>
      <c r="BA3" s="4534"/>
      <c r="BB3" s="4534"/>
      <c r="BC3" s="4534"/>
      <c r="BD3" s="4534"/>
      <c r="BE3" s="4534"/>
      <c r="BF3" s="4535"/>
    </row>
    <row r="4" spans="1:59" ht="66.75" customHeight="1" thickTop="1" thickBot="1" x14ac:dyDescent="0.3">
      <c r="A4" s="4537"/>
      <c r="B4" s="4538"/>
      <c r="C4" s="4541" t="s">
        <v>869</v>
      </c>
      <c r="D4" s="4542"/>
      <c r="E4" s="4542"/>
      <c r="F4" s="4542"/>
      <c r="G4" s="4542"/>
      <c r="H4" s="4542"/>
      <c r="I4" s="4542"/>
      <c r="J4" s="4545"/>
      <c r="K4" s="4586" t="s">
        <v>1928</v>
      </c>
      <c r="L4" s="4587"/>
      <c r="M4" s="4587"/>
      <c r="N4" s="4587"/>
      <c r="O4" s="4587"/>
      <c r="P4" s="4587"/>
      <c r="Q4" s="4587"/>
      <c r="R4" s="4600"/>
      <c r="S4" s="4586" t="s">
        <v>870</v>
      </c>
      <c r="T4" s="4587"/>
      <c r="U4" s="4587"/>
      <c r="V4" s="4587"/>
      <c r="W4" s="4587"/>
      <c r="X4" s="4587"/>
      <c r="Y4" s="4587"/>
      <c r="Z4" s="4600"/>
      <c r="AA4" s="4541" t="s">
        <v>1927</v>
      </c>
      <c r="AB4" s="4542"/>
      <c r="AC4" s="4542"/>
      <c r="AD4" s="4542"/>
      <c r="AE4" s="4542"/>
      <c r="AF4" s="4542"/>
      <c r="AG4" s="4542"/>
      <c r="AH4" s="4545"/>
      <c r="AI4" s="4586" t="s">
        <v>1453</v>
      </c>
      <c r="AJ4" s="4587"/>
      <c r="AK4" s="4588"/>
      <c r="AL4" s="4588"/>
      <c r="AM4" s="4588"/>
      <c r="AN4" s="4588"/>
      <c r="AO4" s="4588"/>
      <c r="AP4" s="4589"/>
      <c r="AQ4" s="4586" t="s">
        <v>1454</v>
      </c>
      <c r="AR4" s="4587"/>
      <c r="AS4" s="4543"/>
      <c r="AT4" s="4543"/>
      <c r="AU4" s="4543"/>
      <c r="AV4" s="4543"/>
      <c r="AW4" s="4543"/>
      <c r="AX4" s="4594"/>
      <c r="AY4" s="4587" t="s">
        <v>973</v>
      </c>
      <c r="AZ4" s="4587"/>
      <c r="BA4" s="4601"/>
      <c r="BB4" s="4601"/>
      <c r="BC4" s="4601"/>
      <c r="BD4" s="4601"/>
      <c r="BE4" s="4601"/>
      <c r="BF4" s="4602"/>
    </row>
    <row r="5" spans="1:59" ht="47.25" customHeight="1" thickTop="1" thickBot="1" x14ac:dyDescent="0.3">
      <c r="A5" s="4539"/>
      <c r="B5" s="4540"/>
      <c r="C5" s="959" t="s">
        <v>867</v>
      </c>
      <c r="D5" s="958"/>
      <c r="E5" s="959" t="s">
        <v>1070</v>
      </c>
      <c r="F5" s="959"/>
      <c r="G5" s="959" t="s">
        <v>1071</v>
      </c>
      <c r="H5" s="959"/>
      <c r="I5" s="959" t="s">
        <v>1072</v>
      </c>
      <c r="J5" s="959" t="s">
        <v>289</v>
      </c>
      <c r="K5" s="958" t="s">
        <v>867</v>
      </c>
      <c r="L5" s="1028"/>
      <c r="M5" s="959" t="s">
        <v>1070</v>
      </c>
      <c r="N5" s="959"/>
      <c r="O5" s="959" t="s">
        <v>1071</v>
      </c>
      <c r="P5" s="959"/>
      <c r="Q5" s="959" t="s">
        <v>1072</v>
      </c>
      <c r="R5" s="958" t="s">
        <v>289</v>
      </c>
      <c r="S5" s="2074" t="s">
        <v>867</v>
      </c>
      <c r="T5" s="1028"/>
      <c r="U5" s="959" t="s">
        <v>1070</v>
      </c>
      <c r="V5" s="959"/>
      <c r="W5" s="959" t="s">
        <v>1071</v>
      </c>
      <c r="X5" s="959"/>
      <c r="Y5" s="959" t="s">
        <v>1072</v>
      </c>
      <c r="Z5" s="958" t="s">
        <v>289</v>
      </c>
      <c r="AA5" s="958" t="s">
        <v>867</v>
      </c>
      <c r="AB5" s="1028"/>
      <c r="AC5" s="959" t="s">
        <v>1070</v>
      </c>
      <c r="AD5" s="959"/>
      <c r="AE5" s="959" t="s">
        <v>1071</v>
      </c>
      <c r="AF5" s="959"/>
      <c r="AG5" s="959" t="s">
        <v>1072</v>
      </c>
      <c r="AH5" s="958" t="s">
        <v>289</v>
      </c>
      <c r="AI5" s="2074" t="s">
        <v>867</v>
      </c>
      <c r="AJ5" s="1028"/>
      <c r="AK5" s="959" t="s">
        <v>1070</v>
      </c>
      <c r="AL5" s="959"/>
      <c r="AM5" s="959" t="s">
        <v>1071</v>
      </c>
      <c r="AN5" s="959"/>
      <c r="AO5" s="959" t="s">
        <v>1072</v>
      </c>
      <c r="AP5" s="959" t="s">
        <v>289</v>
      </c>
      <c r="AQ5" s="958" t="s">
        <v>867</v>
      </c>
      <c r="AR5" s="1028"/>
      <c r="AS5" s="959" t="s">
        <v>1070</v>
      </c>
      <c r="AT5" s="959"/>
      <c r="AU5" s="959" t="s">
        <v>1071</v>
      </c>
      <c r="AV5" s="959"/>
      <c r="AW5" s="959" t="s">
        <v>1072</v>
      </c>
      <c r="AX5" s="958" t="s">
        <v>289</v>
      </c>
      <c r="AY5" s="1028" t="s">
        <v>867</v>
      </c>
      <c r="AZ5" s="958"/>
      <c r="BA5" s="959" t="s">
        <v>1070</v>
      </c>
      <c r="BB5" s="959"/>
      <c r="BC5" s="959" t="s">
        <v>1071</v>
      </c>
      <c r="BD5" s="959"/>
      <c r="BE5" s="959" t="s">
        <v>1072</v>
      </c>
      <c r="BF5" s="1027" t="s">
        <v>289</v>
      </c>
    </row>
    <row r="6" spans="1:59" s="951" customFormat="1" ht="20.25" customHeight="1" thickTop="1" x14ac:dyDescent="0.25">
      <c r="A6" s="4527" t="s">
        <v>837</v>
      </c>
      <c r="B6" s="4555"/>
      <c r="C6" s="1059">
        <f>SUM(K6+S6+AA6+AI6)+AQ6</f>
        <v>150145389</v>
      </c>
      <c r="D6" s="1051"/>
      <c r="E6" s="1044">
        <f t="shared" ref="E6:J6" si="0">SUM(M6+U6+AC6+AK6)</f>
        <v>149825349</v>
      </c>
      <c r="F6" s="1044">
        <f t="shared" si="0"/>
        <v>0</v>
      </c>
      <c r="G6" s="1044">
        <f t="shared" si="0"/>
        <v>149825349</v>
      </c>
      <c r="H6" s="1044">
        <f t="shared" si="0"/>
        <v>0</v>
      </c>
      <c r="I6" s="1044">
        <f>SUM(Q6+Y6+AG6+AO6)</f>
        <v>151692501</v>
      </c>
      <c r="J6" s="1043">
        <f t="shared" si="0"/>
        <v>151720273</v>
      </c>
      <c r="K6" s="1046">
        <v>45143996</v>
      </c>
      <c r="L6" s="1044"/>
      <c r="M6" s="1044">
        <v>45783956</v>
      </c>
      <c r="N6" s="1044"/>
      <c r="O6" s="1044">
        <v>45783956</v>
      </c>
      <c r="P6" s="1044"/>
      <c r="Q6" s="1044">
        <v>51788251</v>
      </c>
      <c r="R6" s="1045">
        <v>51788251</v>
      </c>
      <c r="S6" s="1060">
        <v>11068850</v>
      </c>
      <c r="T6" s="2247"/>
      <c r="U6" s="1044">
        <v>11068850</v>
      </c>
      <c r="V6" s="1044"/>
      <c r="W6" s="1044">
        <v>11068850</v>
      </c>
      <c r="X6" s="1044"/>
      <c r="Y6" s="1044">
        <v>10252564</v>
      </c>
      <c r="Z6" s="1045">
        <v>10252564</v>
      </c>
      <c r="AA6" s="1046"/>
      <c r="AB6" s="1044"/>
      <c r="AC6" s="1044"/>
      <c r="AD6" s="1044"/>
      <c r="AE6" s="1044"/>
      <c r="AF6" s="1044"/>
      <c r="AG6" s="1044"/>
      <c r="AH6" s="1045"/>
      <c r="AI6" s="1046">
        <v>93932543</v>
      </c>
      <c r="AJ6" s="2247"/>
      <c r="AK6" s="2247">
        <v>92972543</v>
      </c>
      <c r="AL6" s="2247"/>
      <c r="AM6" s="2247">
        <v>92972543</v>
      </c>
      <c r="AN6" s="2247"/>
      <c r="AO6" s="2247">
        <v>89651686</v>
      </c>
      <c r="AP6" s="1061">
        <v>89679458</v>
      </c>
      <c r="AQ6" s="1060"/>
      <c r="AR6" s="2247"/>
      <c r="AS6" s="2247"/>
      <c r="AT6" s="2247"/>
      <c r="AU6" s="2247"/>
      <c r="AV6" s="2247"/>
      <c r="AW6" s="2247"/>
      <c r="AX6" s="1123"/>
      <c r="AY6" s="2705">
        <v>0</v>
      </c>
      <c r="AZ6" s="2249"/>
      <c r="BA6" s="2250"/>
      <c r="BB6" s="2250"/>
      <c r="BC6" s="2250"/>
      <c r="BD6" s="2250"/>
      <c r="BE6" s="2250"/>
      <c r="BF6" s="2254"/>
    </row>
    <row r="7" spans="1:59" s="951" customFormat="1" ht="20.25" customHeight="1" x14ac:dyDescent="0.25">
      <c r="A7" s="4592" t="s">
        <v>838</v>
      </c>
      <c r="B7" s="4593"/>
      <c r="C7" s="1124">
        <f>SUM(K7+S7+AA7+AI7)+AQ7</f>
        <v>141902095</v>
      </c>
      <c r="D7" s="1124"/>
      <c r="E7" s="964">
        <f>SUM(M7+U7+AC7+AK7+AS7+BA7)</f>
        <v>157444624</v>
      </c>
      <c r="F7" s="964">
        <f>SUM(N7+V7+AD7+AL7+AT7+BB7)</f>
        <v>0</v>
      </c>
      <c r="G7" s="964">
        <f>SUM(O7+W7+AE7+AM7+AU7+BC7)</f>
        <v>161129243</v>
      </c>
      <c r="H7" s="968"/>
      <c r="I7" s="2315">
        <f>SUM(Q7+Y7+AG7+AO7+AW7+BE7)</f>
        <v>166866514</v>
      </c>
      <c r="J7" s="1128">
        <f>SUM(R7+Z7+AH7+AP7+AX7+BF7)</f>
        <v>166866514</v>
      </c>
      <c r="K7" s="969">
        <f>SUM(K8:K9)</f>
        <v>109200307</v>
      </c>
      <c r="L7" s="964"/>
      <c r="M7" s="964">
        <f>SUM(M8:M9)</f>
        <v>113226811</v>
      </c>
      <c r="N7" s="964"/>
      <c r="O7" s="964">
        <f>SUM(O8:O9)</f>
        <v>116128981</v>
      </c>
      <c r="P7" s="964"/>
      <c r="Q7" s="964">
        <f>SUM(Q8:Q9)</f>
        <v>115024378</v>
      </c>
      <c r="R7" s="968">
        <f>SUM(R8:R9)</f>
        <v>114889172</v>
      </c>
      <c r="S7" s="969">
        <f>SUM(S8:S9)</f>
        <v>1970003</v>
      </c>
      <c r="T7" s="964"/>
      <c r="U7" s="964">
        <f>SUM(U8:U9)</f>
        <v>2382744</v>
      </c>
      <c r="V7" s="964"/>
      <c r="W7" s="964">
        <f>SUM(W8:W9)</f>
        <v>2382834</v>
      </c>
      <c r="X7" s="964"/>
      <c r="Y7" s="964">
        <f>SUM(Y8:Y9)</f>
        <v>2679048</v>
      </c>
      <c r="Z7" s="968">
        <f>SUM(Z8:Z9)</f>
        <v>2679048</v>
      </c>
      <c r="AA7" s="969">
        <f>SUM(AA8:AA9)</f>
        <v>0</v>
      </c>
      <c r="AB7" s="964"/>
      <c r="AC7" s="964">
        <f>SUM(AC8:AC9)</f>
        <v>0</v>
      </c>
      <c r="AD7" s="964"/>
      <c r="AE7" s="964">
        <f>SUM(AE8:AE9)</f>
        <v>0</v>
      </c>
      <c r="AF7" s="964"/>
      <c r="AG7" s="964">
        <f>SUM(AG8:AG9)</f>
        <v>0</v>
      </c>
      <c r="AH7" s="968">
        <f>SUM(AH8:AH9)</f>
        <v>0</v>
      </c>
      <c r="AI7" s="969">
        <f>SUM(AI8:AI9)</f>
        <v>30585722</v>
      </c>
      <c r="AJ7" s="964"/>
      <c r="AK7" s="964">
        <f>SUM(AK8:AK9)</f>
        <v>35256624</v>
      </c>
      <c r="AL7" s="964"/>
      <c r="AM7" s="964">
        <f>SUM(AM8:AM9)</f>
        <v>35159260</v>
      </c>
      <c r="AN7" s="964"/>
      <c r="AO7" s="964">
        <f>SUM(AO8:AO9)</f>
        <v>40408415</v>
      </c>
      <c r="AP7" s="968">
        <f>SUM(AP8:AP9)</f>
        <v>40543621</v>
      </c>
      <c r="AQ7" s="969">
        <f>SUM(AQ8:AQ9)</f>
        <v>146063</v>
      </c>
      <c r="AR7" s="964"/>
      <c r="AS7" s="964">
        <f>SUM(AS8:AS9)</f>
        <v>146063</v>
      </c>
      <c r="AT7" s="964"/>
      <c r="AU7" s="964">
        <f>SUM(AU8:AU9)</f>
        <v>146063</v>
      </c>
      <c r="AV7" s="964"/>
      <c r="AW7" s="964">
        <f>SUM(AW8:AW9)</f>
        <v>146063</v>
      </c>
      <c r="AX7" s="970">
        <f>SUM(AX8:AX9)</f>
        <v>146063</v>
      </c>
      <c r="AY7" s="963">
        <f>SUM(AY8:AY9)</f>
        <v>0</v>
      </c>
      <c r="AZ7" s="964"/>
      <c r="BA7" s="964">
        <f>SUM(BA8:BA9)</f>
        <v>6432382</v>
      </c>
      <c r="BB7" s="964"/>
      <c r="BC7" s="964">
        <f>SUM(BC8:BC9)</f>
        <v>7312105</v>
      </c>
      <c r="BD7" s="964"/>
      <c r="BE7" s="964">
        <f>SUM(BE8:BE9)</f>
        <v>8608610</v>
      </c>
      <c r="BF7" s="974">
        <f>SUM(BF8:BF9)</f>
        <v>8608610</v>
      </c>
    </row>
    <row r="8" spans="1:59" s="951" customFormat="1" ht="20.25" customHeight="1" x14ac:dyDescent="0.25">
      <c r="A8" s="4592" t="s">
        <v>839</v>
      </c>
      <c r="B8" s="4593"/>
      <c r="C8" s="1124">
        <f>SUM(K8+S8+AA8+AI8)+AQ8</f>
        <v>84260851</v>
      </c>
      <c r="D8" s="1124"/>
      <c r="E8" s="964">
        <f t="shared" ref="E8:J8" si="1">SUM(M8+U8+AC8+AK8+AS8)</f>
        <v>84673428</v>
      </c>
      <c r="F8" s="964">
        <f t="shared" si="1"/>
        <v>0</v>
      </c>
      <c r="G8" s="964">
        <f t="shared" si="1"/>
        <v>84877422</v>
      </c>
      <c r="H8" s="964">
        <f t="shared" si="1"/>
        <v>0</v>
      </c>
      <c r="I8" s="964">
        <f t="shared" si="1"/>
        <v>82609081</v>
      </c>
      <c r="J8" s="1128">
        <f t="shared" si="1"/>
        <v>82609081</v>
      </c>
      <c r="K8" s="969">
        <v>81029806</v>
      </c>
      <c r="L8" s="964"/>
      <c r="M8" s="964">
        <v>81383467</v>
      </c>
      <c r="N8" s="964"/>
      <c r="O8" s="964">
        <v>81562726</v>
      </c>
      <c r="P8" s="964"/>
      <c r="Q8" s="964">
        <v>79689980</v>
      </c>
      <c r="R8" s="968">
        <v>79689980</v>
      </c>
      <c r="S8" s="1066">
        <v>0</v>
      </c>
      <c r="T8" s="972"/>
      <c r="U8" s="964"/>
      <c r="V8" s="964"/>
      <c r="W8" s="964"/>
      <c r="X8" s="964"/>
      <c r="Y8" s="964"/>
      <c r="Z8" s="968"/>
      <c r="AA8" s="969"/>
      <c r="AB8" s="964"/>
      <c r="AC8" s="964"/>
      <c r="AD8" s="964"/>
      <c r="AE8" s="964"/>
      <c r="AF8" s="964"/>
      <c r="AG8" s="964"/>
      <c r="AH8" s="968"/>
      <c r="AI8" s="969">
        <v>3155520</v>
      </c>
      <c r="AJ8" s="972"/>
      <c r="AK8" s="972">
        <v>3214436</v>
      </c>
      <c r="AL8" s="972"/>
      <c r="AM8" s="972">
        <v>3239171</v>
      </c>
      <c r="AN8" s="972"/>
      <c r="AO8" s="972">
        <v>2848706</v>
      </c>
      <c r="AP8" s="1067">
        <v>2848706</v>
      </c>
      <c r="AQ8" s="1066">
        <v>75525</v>
      </c>
      <c r="AR8" s="972"/>
      <c r="AS8" s="972">
        <v>75525</v>
      </c>
      <c r="AT8" s="972"/>
      <c r="AU8" s="972">
        <v>75525</v>
      </c>
      <c r="AV8" s="972"/>
      <c r="AW8" s="972">
        <v>70395</v>
      </c>
      <c r="AX8" s="970">
        <v>70395</v>
      </c>
      <c r="AY8" s="2706">
        <v>0</v>
      </c>
      <c r="AZ8" s="2248"/>
      <c r="BA8" s="1131"/>
      <c r="BB8" s="1131"/>
      <c r="BC8" s="1131"/>
      <c r="BD8" s="1131"/>
      <c r="BE8" s="1131"/>
      <c r="BF8" s="2150"/>
    </row>
    <row r="9" spans="1:59" s="951" customFormat="1" ht="20.25" customHeight="1" x14ac:dyDescent="0.25">
      <c r="A9" s="4592" t="s">
        <v>840</v>
      </c>
      <c r="B9" s="4593"/>
      <c r="C9" s="1124">
        <f>SUM(K9+S9+AA9+AI9)+AQ9</f>
        <v>57641244</v>
      </c>
      <c r="D9" s="1124"/>
      <c r="E9" s="964">
        <f t="shared" ref="E9:G10" si="2">SUM(M9+U9+AC9+AK9+AS9+BA9)</f>
        <v>72771196</v>
      </c>
      <c r="F9" s="964">
        <f t="shared" si="2"/>
        <v>0</v>
      </c>
      <c r="G9" s="964">
        <f t="shared" si="2"/>
        <v>76251821</v>
      </c>
      <c r="H9" s="968"/>
      <c r="I9" s="2315">
        <f>SUM(Q9+Y9+AG9+AO9+AW9+BE9)</f>
        <v>84257433</v>
      </c>
      <c r="J9" s="1128">
        <f>SUM(R9+Z9+AH9+AP9+BF9+AX9)</f>
        <v>84257433</v>
      </c>
      <c r="K9" s="969">
        <v>28170501</v>
      </c>
      <c r="L9" s="964"/>
      <c r="M9" s="972">
        <v>31843344</v>
      </c>
      <c r="N9" s="972"/>
      <c r="O9" s="972">
        <v>34566255</v>
      </c>
      <c r="P9" s="972"/>
      <c r="Q9" s="972">
        <v>35334398</v>
      </c>
      <c r="R9" s="1067">
        <v>35199192</v>
      </c>
      <c r="S9" s="969">
        <v>1970003</v>
      </c>
      <c r="T9" s="964"/>
      <c r="U9" s="964">
        <v>2382744</v>
      </c>
      <c r="V9" s="964"/>
      <c r="W9" s="964">
        <v>2382834</v>
      </c>
      <c r="X9" s="964"/>
      <c r="Y9" s="964">
        <v>2679048</v>
      </c>
      <c r="Z9" s="968">
        <v>2679048</v>
      </c>
      <c r="AA9" s="969"/>
      <c r="AB9" s="964"/>
      <c r="AC9" s="964"/>
      <c r="AD9" s="964"/>
      <c r="AE9" s="964"/>
      <c r="AF9" s="964"/>
      <c r="AG9" s="964"/>
      <c r="AH9" s="964"/>
      <c r="AI9" s="969">
        <v>27430202</v>
      </c>
      <c r="AJ9" s="964"/>
      <c r="AK9" s="964">
        <v>32042188</v>
      </c>
      <c r="AL9" s="964"/>
      <c r="AM9" s="964">
        <v>31920089</v>
      </c>
      <c r="AN9" s="964"/>
      <c r="AO9" s="964">
        <v>37559709</v>
      </c>
      <c r="AP9" s="968">
        <v>37694915</v>
      </c>
      <c r="AQ9" s="969">
        <v>70538</v>
      </c>
      <c r="AR9" s="964"/>
      <c r="AS9" s="964">
        <v>70538</v>
      </c>
      <c r="AT9" s="964"/>
      <c r="AU9" s="964">
        <v>70538</v>
      </c>
      <c r="AV9" s="964"/>
      <c r="AW9" s="964">
        <v>75668</v>
      </c>
      <c r="AX9" s="970">
        <v>75668</v>
      </c>
      <c r="AY9" s="2706">
        <v>0</v>
      </c>
      <c r="AZ9" s="2248"/>
      <c r="BA9" s="2869">
        <v>6432382</v>
      </c>
      <c r="BB9" s="2869"/>
      <c r="BC9" s="2869">
        <v>7312105</v>
      </c>
      <c r="BD9" s="2869"/>
      <c r="BE9" s="2869">
        <v>8608610</v>
      </c>
      <c r="BF9">
        <v>8608610</v>
      </c>
    </row>
    <row r="10" spans="1:59" s="636" customFormat="1" ht="24.75" customHeight="1" thickBot="1" x14ac:dyDescent="0.3">
      <c r="A10" s="4598" t="s">
        <v>299</v>
      </c>
      <c r="B10" s="4599"/>
      <c r="C10" s="1078">
        <f>SUM(K10+S10+AA10+AI10)+AQ10</f>
        <v>292047484</v>
      </c>
      <c r="D10" s="1082"/>
      <c r="E10" s="1079">
        <f t="shared" si="2"/>
        <v>307269973</v>
      </c>
      <c r="F10" s="1079">
        <f t="shared" si="2"/>
        <v>0</v>
      </c>
      <c r="G10" s="1079">
        <f>SUM(O10+W10+AE10+AM10+AU10+BC10)</f>
        <v>310954592</v>
      </c>
      <c r="H10" s="2239"/>
      <c r="I10" s="2325">
        <f>SUM(Y10+AG10+AO10+AW10+BE10+Q10)</f>
        <v>318559015</v>
      </c>
      <c r="J10" s="2237">
        <f>SUM(R10+Z10+AH10+AP10+AX10+BF10)</f>
        <v>318586787</v>
      </c>
      <c r="K10" s="1078">
        <f>SUM(K6+K8+K9)</f>
        <v>154344303</v>
      </c>
      <c r="L10" s="1079"/>
      <c r="M10" s="985">
        <f>SUM(M6+M8+M9)</f>
        <v>159010767</v>
      </c>
      <c r="N10" s="985"/>
      <c r="O10" s="985">
        <f>SUM(O6+O8+O9)</f>
        <v>161912937</v>
      </c>
      <c r="P10" s="985"/>
      <c r="Q10" s="985">
        <f>SUM(Q6+Q8+Q9)</f>
        <v>166812629</v>
      </c>
      <c r="R10" s="2239">
        <f>SUM(R6+R8+R9)</f>
        <v>166677423</v>
      </c>
      <c r="S10" s="1078">
        <f>SUM(S6+S8+S9)</f>
        <v>13038853</v>
      </c>
      <c r="T10" s="1079"/>
      <c r="U10" s="985">
        <f>SUM(U6+U8+U9)</f>
        <v>13451594</v>
      </c>
      <c r="V10" s="985"/>
      <c r="W10" s="985">
        <f>SUM(W6+W8+W9)</f>
        <v>13451684</v>
      </c>
      <c r="X10" s="985"/>
      <c r="Y10" s="985">
        <f>SUM(Y6+Y8+Y9)</f>
        <v>12931612</v>
      </c>
      <c r="Z10" s="2239">
        <f>SUM(Z6+Z8+Z9)</f>
        <v>12931612</v>
      </c>
      <c r="AA10" s="1078">
        <f>SUM(AA6+AA8+AA9)</f>
        <v>0</v>
      </c>
      <c r="AB10" s="1079"/>
      <c r="AC10" s="1079">
        <f>SUM(AC6+AC8+AC9)</f>
        <v>0</v>
      </c>
      <c r="AD10" s="1079"/>
      <c r="AE10" s="1079">
        <f>SUM(AE6+AE8+AE9)</f>
        <v>0</v>
      </c>
      <c r="AF10" s="1079"/>
      <c r="AG10" s="1079">
        <f>SUM(AG6+AG8+AG9)</f>
        <v>0</v>
      </c>
      <c r="AH10" s="2239">
        <f>SUM(AH6+AH8+AH9)</f>
        <v>0</v>
      </c>
      <c r="AI10" s="1078">
        <f>SUM(AI6+AI8+AI9)</f>
        <v>124518265</v>
      </c>
      <c r="AJ10" s="1079"/>
      <c r="AK10" s="1079">
        <f>SUM(AK6+AK8+AK9)</f>
        <v>128229167</v>
      </c>
      <c r="AL10" s="1079"/>
      <c r="AM10" s="1079">
        <f>SUM(AM6+AM8+AM9)</f>
        <v>128131803</v>
      </c>
      <c r="AN10" s="1079"/>
      <c r="AO10" s="1079">
        <f>SUM(AO6+AO8+AO9)</f>
        <v>130060101</v>
      </c>
      <c r="AP10" s="2239">
        <f>SUM(AP6+AP8+AP9)</f>
        <v>130223079</v>
      </c>
      <c r="AQ10" s="1078">
        <f>SUM(AQ6+AQ8+AQ9)</f>
        <v>146063</v>
      </c>
      <c r="AR10" s="1079"/>
      <c r="AS10" s="1079">
        <f>SUM(AS6+AS8+AS9)</f>
        <v>146063</v>
      </c>
      <c r="AT10" s="1079"/>
      <c r="AU10" s="1079">
        <f>SUM(AU6+AU8+AU9)</f>
        <v>146063</v>
      </c>
      <c r="AV10" s="1079"/>
      <c r="AW10" s="1079">
        <f>SUM(AW6+AW8+AW9)</f>
        <v>146063</v>
      </c>
      <c r="AX10" s="1080">
        <f>SUM(AX6+AX8+AX9)</f>
        <v>146063</v>
      </c>
      <c r="AY10" s="1082">
        <f>SUM(AY6+AY8+AY9)</f>
        <v>0</v>
      </c>
      <c r="AZ10" s="1079"/>
      <c r="BA10" s="1079">
        <f>SUM(BA6+BA8+BA9)</f>
        <v>6432382</v>
      </c>
      <c r="BB10" s="1079"/>
      <c r="BC10" s="1079">
        <f>SUM(BC6+BC8+BC9)</f>
        <v>7312105</v>
      </c>
      <c r="BD10" s="1079"/>
      <c r="BE10" s="1079">
        <f>SUM(BE6+BE8+BE9)</f>
        <v>8608610</v>
      </c>
      <c r="BF10" s="1083">
        <f>SUM(BF6+BF8+BF9)</f>
        <v>8608610</v>
      </c>
      <c r="BG10" s="1116"/>
    </row>
    <row r="11" spans="1:59" ht="22.5" customHeight="1" thickTop="1" thickBot="1" x14ac:dyDescent="0.3">
      <c r="A11" s="3110"/>
      <c r="B11" s="1132"/>
      <c r="C11" s="1132"/>
      <c r="D11" s="1132"/>
      <c r="E11" s="1132"/>
      <c r="F11" s="1132"/>
      <c r="G11" s="1132"/>
      <c r="H11" s="1132"/>
      <c r="I11" s="1132"/>
      <c r="J11" s="1132"/>
      <c r="K11" s="1132"/>
      <c r="L11" s="1132"/>
      <c r="M11" s="1132"/>
      <c r="N11" s="1132"/>
      <c r="O11" s="1132"/>
      <c r="P11" s="1132"/>
      <c r="Q11" s="1132"/>
      <c r="R11" s="1132"/>
      <c r="S11" s="1132"/>
      <c r="T11" s="1132"/>
      <c r="U11" s="1132"/>
      <c r="V11" s="1132"/>
      <c r="W11" s="1132"/>
      <c r="X11" s="1132"/>
      <c r="Y11" s="1132"/>
      <c r="Z11" s="1132"/>
      <c r="AA11" s="1132"/>
      <c r="AB11" s="1132"/>
      <c r="AC11" s="1132"/>
      <c r="AD11" s="1132"/>
      <c r="AE11" s="1132"/>
      <c r="AF11" s="1132"/>
      <c r="AG11" s="1132"/>
      <c r="AH11" s="1132"/>
      <c r="AI11" s="1132"/>
      <c r="AJ11" s="1132"/>
      <c r="AK11" s="1132"/>
      <c r="AL11" s="1132"/>
      <c r="AM11" s="1132"/>
      <c r="AN11" s="1132"/>
      <c r="AO11" s="1132"/>
      <c r="AP11" s="1132"/>
      <c r="AQ11" s="1132"/>
      <c r="AR11" s="1132"/>
      <c r="AS11" s="3111"/>
      <c r="AT11" s="3111"/>
      <c r="AU11" s="3111"/>
      <c r="AV11" s="3111"/>
      <c r="AW11" s="3111"/>
      <c r="AX11" s="3112"/>
      <c r="AY11" s="2305"/>
      <c r="AZ11" s="2305"/>
      <c r="BA11" s="2305"/>
      <c r="BB11" s="2305"/>
      <c r="BC11" s="2305"/>
      <c r="BD11" s="2305"/>
      <c r="BE11" s="2305"/>
      <c r="BF11" s="2306"/>
    </row>
    <row r="12" spans="1:59" ht="32.25" customHeight="1" thickTop="1" thickBot="1" x14ac:dyDescent="0.3">
      <c r="A12" s="4595" t="s">
        <v>841</v>
      </c>
      <c r="B12" s="4596"/>
      <c r="C12" s="4596"/>
      <c r="D12" s="4596"/>
      <c r="E12" s="4596"/>
      <c r="F12" s="4596"/>
      <c r="G12" s="4596"/>
      <c r="H12" s="4596"/>
      <c r="I12" s="4596"/>
      <c r="J12" s="4596"/>
      <c r="K12" s="4596"/>
      <c r="L12" s="4596"/>
      <c r="M12" s="4596"/>
      <c r="N12" s="4596"/>
      <c r="O12" s="4596"/>
      <c r="P12" s="4596"/>
      <c r="Q12" s="4596"/>
      <c r="R12" s="4596"/>
      <c r="S12" s="4596"/>
      <c r="T12" s="4596"/>
      <c r="U12" s="4596"/>
      <c r="V12" s="4596"/>
      <c r="W12" s="4596"/>
      <c r="X12" s="4596"/>
      <c r="Y12" s="4596"/>
      <c r="Z12" s="4596"/>
      <c r="AA12" s="4596"/>
      <c r="AB12" s="4596"/>
      <c r="AC12" s="4596"/>
      <c r="AD12" s="4596"/>
      <c r="AE12" s="4596"/>
      <c r="AF12" s="4596"/>
      <c r="AG12" s="4596"/>
      <c r="AH12" s="4596"/>
      <c r="AI12" s="4596"/>
      <c r="AJ12" s="4596"/>
      <c r="AK12" s="4596"/>
      <c r="AL12" s="4596"/>
      <c r="AM12" s="4596"/>
      <c r="AN12" s="4596"/>
      <c r="AO12" s="4596"/>
      <c r="AP12" s="4596"/>
      <c r="AQ12" s="4596"/>
      <c r="AR12" s="4596"/>
      <c r="AS12" s="4596"/>
      <c r="AT12" s="4596"/>
      <c r="AU12" s="4596"/>
      <c r="AV12" s="4596"/>
      <c r="AW12" s="4596"/>
      <c r="AX12" s="4596"/>
      <c r="AY12" s="4596"/>
      <c r="AZ12" s="4596"/>
      <c r="BA12" s="4596"/>
      <c r="BB12" s="4596"/>
      <c r="BC12" s="4596"/>
      <c r="BD12" s="4596"/>
      <c r="BE12" s="4596"/>
      <c r="BF12" s="4597"/>
    </row>
    <row r="13" spans="1:59" s="951" customFormat="1" ht="20.25" customHeight="1" x14ac:dyDescent="0.25">
      <c r="A13" s="4590" t="s">
        <v>842</v>
      </c>
      <c r="B13" s="4591"/>
      <c r="C13" s="1086">
        <f t="shared" ref="C13:C18" si="3">SUM(K13+S13+AA13+AI13)+AQ13</f>
        <v>60087954</v>
      </c>
      <c r="D13" s="1086"/>
      <c r="E13" s="1086">
        <f>SUM(M13+U13+AC13+AK13+AS13)</f>
        <v>60678489</v>
      </c>
      <c r="F13" s="1086">
        <f t="shared" ref="F13:I15" si="4">SUM(N13+V13+AD13+AL13+AT13)</f>
        <v>0</v>
      </c>
      <c r="G13" s="1086">
        <f t="shared" si="4"/>
        <v>62008289</v>
      </c>
      <c r="H13" s="1086">
        <f t="shared" si="4"/>
        <v>0</v>
      </c>
      <c r="I13" s="1086">
        <f>SUM(Q13+Y13+AG13+AO13+AW13)</f>
        <v>63996531</v>
      </c>
      <c r="J13" s="2240">
        <f>SUM(R13+Z13+AH13+AP13)</f>
        <v>63996531</v>
      </c>
      <c r="K13" s="1085">
        <v>35491253</v>
      </c>
      <c r="L13" s="1086"/>
      <c r="M13" s="1086">
        <v>36032788</v>
      </c>
      <c r="N13" s="1086"/>
      <c r="O13" s="1086">
        <v>36693788</v>
      </c>
      <c r="P13" s="1086"/>
      <c r="Q13" s="1086">
        <v>36434555</v>
      </c>
      <c r="R13" s="2240">
        <v>36434555</v>
      </c>
      <c r="S13" s="1221">
        <v>1755224</v>
      </c>
      <c r="T13" s="2251"/>
      <c r="U13" s="1086">
        <v>1755224</v>
      </c>
      <c r="V13" s="1086"/>
      <c r="W13" s="1086">
        <v>1755224</v>
      </c>
      <c r="X13" s="1086"/>
      <c r="Y13" s="1086">
        <v>1260842</v>
      </c>
      <c r="Z13" s="2240">
        <v>1260842</v>
      </c>
      <c r="AA13" s="1085"/>
      <c r="AB13" s="1086"/>
      <c r="AC13" s="1086"/>
      <c r="AD13" s="1086"/>
      <c r="AE13" s="1086"/>
      <c r="AF13" s="1086"/>
      <c r="AG13" s="1086"/>
      <c r="AH13" s="2240"/>
      <c r="AI13" s="1085">
        <v>22841477</v>
      </c>
      <c r="AJ13" s="2251"/>
      <c r="AK13" s="2251">
        <v>22890477</v>
      </c>
      <c r="AL13" s="2251"/>
      <c r="AM13" s="2251">
        <v>23559277</v>
      </c>
      <c r="AN13" s="2251"/>
      <c r="AO13" s="2251">
        <v>26301134</v>
      </c>
      <c r="AP13" s="1224">
        <v>26301134</v>
      </c>
      <c r="AQ13" s="1221"/>
      <c r="AR13" s="2251"/>
      <c r="AS13" s="2251"/>
      <c r="AT13" s="2251"/>
      <c r="AU13" s="2251"/>
      <c r="AV13" s="2251"/>
      <c r="AW13" s="2251"/>
      <c r="AX13" s="3113"/>
      <c r="AY13" s="2707"/>
      <c r="AZ13" s="2252"/>
      <c r="BA13" s="2252"/>
      <c r="BB13" s="2252"/>
      <c r="BC13" s="2252"/>
      <c r="BD13" s="2252"/>
      <c r="BE13" s="2252"/>
      <c r="BF13" s="2253"/>
    </row>
    <row r="14" spans="1:59" s="951" customFormat="1" ht="20.25" customHeight="1" x14ac:dyDescent="0.25">
      <c r="A14" s="4531" t="s">
        <v>843</v>
      </c>
      <c r="B14" s="4532"/>
      <c r="C14" s="964">
        <f t="shared" si="3"/>
        <v>12249720</v>
      </c>
      <c r="D14" s="964"/>
      <c r="E14" s="964">
        <f>SUM(M14+U14+AC14+AK14+AS14)</f>
        <v>12366371</v>
      </c>
      <c r="F14" s="964">
        <f t="shared" si="4"/>
        <v>0</v>
      </c>
      <c r="G14" s="964">
        <f t="shared" si="4"/>
        <v>12625690</v>
      </c>
      <c r="H14" s="964">
        <f t="shared" si="4"/>
        <v>0</v>
      </c>
      <c r="I14" s="964">
        <f t="shared" si="4"/>
        <v>13285950</v>
      </c>
      <c r="J14" s="968">
        <f>SUM(R14+Z14+AH14+AP14)</f>
        <v>13285950</v>
      </c>
      <c r="K14" s="969">
        <v>7280660</v>
      </c>
      <c r="L14" s="964"/>
      <c r="M14" s="1035">
        <v>7387395</v>
      </c>
      <c r="N14" s="1035"/>
      <c r="O14" s="1035">
        <v>7516299</v>
      </c>
      <c r="P14" s="1035"/>
      <c r="Q14" s="1035">
        <v>7600786</v>
      </c>
      <c r="R14" s="968">
        <v>7600786</v>
      </c>
      <c r="S14" s="1072">
        <v>361639</v>
      </c>
      <c r="T14" s="1035"/>
      <c r="U14" s="1035">
        <v>361639</v>
      </c>
      <c r="V14" s="1035"/>
      <c r="W14" s="1035">
        <v>361639</v>
      </c>
      <c r="X14" s="1035"/>
      <c r="Y14" s="1035">
        <v>302501</v>
      </c>
      <c r="Z14" s="968">
        <v>302501</v>
      </c>
      <c r="AA14" s="969"/>
      <c r="AB14" s="964"/>
      <c r="AC14" s="1035"/>
      <c r="AD14" s="1035"/>
      <c r="AE14" s="1035"/>
      <c r="AF14" s="1035"/>
      <c r="AG14" s="1035"/>
      <c r="AH14" s="968"/>
      <c r="AI14" s="969">
        <v>4607421</v>
      </c>
      <c r="AJ14" s="1035"/>
      <c r="AK14" s="1035">
        <v>4617337</v>
      </c>
      <c r="AL14" s="1035"/>
      <c r="AM14" s="1035">
        <v>4747752</v>
      </c>
      <c r="AN14" s="1035"/>
      <c r="AO14" s="1035">
        <v>5382663</v>
      </c>
      <c r="AP14" s="1108">
        <v>5382663</v>
      </c>
      <c r="AQ14" s="1072"/>
      <c r="AR14" s="1035"/>
      <c r="AS14" s="1035"/>
      <c r="AT14" s="1035"/>
      <c r="AU14" s="1035"/>
      <c r="AV14" s="1035"/>
      <c r="AW14" s="1035"/>
      <c r="AX14" s="1049"/>
      <c r="AY14" s="2708"/>
      <c r="AZ14" s="1133"/>
      <c r="BA14" s="1133"/>
      <c r="BB14" s="1133"/>
      <c r="BC14" s="1133"/>
      <c r="BD14" s="1133"/>
      <c r="BE14" s="1133"/>
      <c r="BF14" s="1134"/>
    </row>
    <row r="15" spans="1:59" s="951" customFormat="1" ht="20.25" customHeight="1" x14ac:dyDescent="0.25">
      <c r="A15" s="4546" t="s">
        <v>844</v>
      </c>
      <c r="B15" s="4583"/>
      <c r="C15" s="964">
        <f t="shared" si="3"/>
        <v>218439810</v>
      </c>
      <c r="D15" s="964"/>
      <c r="E15" s="964">
        <f>SUM(M15+U15+AC15+AK15+AS15+BA15)</f>
        <v>229800853</v>
      </c>
      <c r="F15" s="964">
        <f t="shared" si="4"/>
        <v>0</v>
      </c>
      <c r="G15" s="964">
        <f>SUM(O15+W15+AE15+AM15+AU15+BC15)</f>
        <v>229722458</v>
      </c>
      <c r="H15" s="964">
        <f t="shared" si="4"/>
        <v>0</v>
      </c>
      <c r="I15" s="964">
        <f>SUM(Q15+Y15+AG15+AO15+AW15+BE15)</f>
        <v>235782846</v>
      </c>
      <c r="J15" s="968">
        <f>SUM(R15+Z15+AH15+AP15+AX15+BF15)</f>
        <v>235637007</v>
      </c>
      <c r="K15" s="969">
        <v>110873890</v>
      </c>
      <c r="L15" s="964"/>
      <c r="M15" s="1035">
        <v>111737824</v>
      </c>
      <c r="N15" s="1035"/>
      <c r="O15" s="1035">
        <v>111676195</v>
      </c>
      <c r="P15" s="1035"/>
      <c r="Q15" s="1035">
        <v>117283600</v>
      </c>
      <c r="R15" s="968">
        <v>117148394</v>
      </c>
      <c r="S15" s="1072">
        <v>10921990</v>
      </c>
      <c r="T15" s="1035"/>
      <c r="U15" s="1035">
        <v>11334731</v>
      </c>
      <c r="V15" s="1035"/>
      <c r="W15" s="1035">
        <v>11334821</v>
      </c>
      <c r="X15" s="1035"/>
      <c r="Y15" s="1035">
        <v>11368269</v>
      </c>
      <c r="Z15" s="968">
        <v>11368269</v>
      </c>
      <c r="AA15" s="969"/>
      <c r="AB15" s="964"/>
      <c r="AC15" s="1035"/>
      <c r="AD15" s="1035"/>
      <c r="AE15" s="1035"/>
      <c r="AF15" s="1035"/>
      <c r="AG15" s="1035"/>
      <c r="AH15" s="968"/>
      <c r="AI15" s="969">
        <v>96497867</v>
      </c>
      <c r="AJ15" s="1035"/>
      <c r="AK15" s="1035">
        <v>100149853</v>
      </c>
      <c r="AL15" s="1035"/>
      <c r="AM15" s="1035">
        <v>99253274</v>
      </c>
      <c r="AN15" s="1035"/>
      <c r="AO15" s="1035">
        <v>98376304</v>
      </c>
      <c r="AP15" s="1108">
        <v>98376304</v>
      </c>
      <c r="AQ15" s="1072">
        <v>146063</v>
      </c>
      <c r="AR15" s="1035"/>
      <c r="AS15" s="1035">
        <v>146063</v>
      </c>
      <c r="AT15" s="1035"/>
      <c r="AU15" s="1035">
        <v>146063</v>
      </c>
      <c r="AV15" s="1035"/>
      <c r="AW15" s="1035">
        <v>146063</v>
      </c>
      <c r="AX15" s="1049">
        <v>135430</v>
      </c>
      <c r="AY15" s="2708"/>
      <c r="AZ15" s="1133"/>
      <c r="BA15" s="1133">
        <v>6432382</v>
      </c>
      <c r="BB15" s="1133"/>
      <c r="BC15" s="1133">
        <v>7312105</v>
      </c>
      <c r="BD15" s="1133"/>
      <c r="BE15" s="1133">
        <v>8608610</v>
      </c>
      <c r="BF15" s="1134">
        <v>8608610</v>
      </c>
    </row>
    <row r="16" spans="1:59" s="951" customFormat="1" ht="20.25" customHeight="1" x14ac:dyDescent="0.25">
      <c r="A16" s="4546" t="s">
        <v>886</v>
      </c>
      <c r="B16" s="4583"/>
      <c r="C16" s="964">
        <f t="shared" si="3"/>
        <v>0</v>
      </c>
      <c r="D16" s="964"/>
      <c r="E16" s="964">
        <f>SUM(M16+U16+AC16+AK16)</f>
        <v>0</v>
      </c>
      <c r="F16" s="964">
        <f t="shared" ref="F16:I18" si="5">SUM(N16+V16+AD16+AL16)</f>
        <v>0</v>
      </c>
      <c r="G16" s="964">
        <f t="shared" si="5"/>
        <v>0</v>
      </c>
      <c r="H16" s="964">
        <f t="shared" si="5"/>
        <v>0</v>
      </c>
      <c r="I16" s="964">
        <f t="shared" si="5"/>
        <v>0</v>
      </c>
      <c r="J16" s="968">
        <f>SUM(R16+Z16+AH16+AP16)</f>
        <v>0</v>
      </c>
      <c r="K16" s="969"/>
      <c r="L16" s="964"/>
      <c r="M16" s="1035"/>
      <c r="N16" s="1035"/>
      <c r="O16" s="1035"/>
      <c r="P16" s="1035"/>
      <c r="Q16" s="1035"/>
      <c r="R16" s="968"/>
      <c r="S16" s="969"/>
      <c r="T16" s="964"/>
      <c r="U16" s="1035"/>
      <c r="V16" s="1035"/>
      <c r="W16" s="1035"/>
      <c r="X16" s="1035"/>
      <c r="Y16" s="1035"/>
      <c r="Z16" s="968"/>
      <c r="AA16" s="969"/>
      <c r="AB16" s="964"/>
      <c r="AC16" s="1035"/>
      <c r="AD16" s="1035"/>
      <c r="AE16" s="1035"/>
      <c r="AF16" s="1035"/>
      <c r="AG16" s="1035"/>
      <c r="AH16" s="968"/>
      <c r="AI16" s="969"/>
      <c r="AJ16" s="1035"/>
      <c r="AK16" s="1035"/>
      <c r="AL16" s="1035"/>
      <c r="AM16" s="1035"/>
      <c r="AN16" s="1035"/>
      <c r="AO16" s="1035"/>
      <c r="AP16" s="1108"/>
      <c r="AQ16" s="1072"/>
      <c r="AR16" s="1035"/>
      <c r="AS16" s="1035"/>
      <c r="AT16" s="1035"/>
      <c r="AU16" s="1035"/>
      <c r="AV16" s="1035"/>
      <c r="AW16" s="1035"/>
      <c r="AX16" s="1049"/>
      <c r="AY16" s="2708"/>
      <c r="AZ16" s="1133"/>
      <c r="BA16" s="1133"/>
      <c r="BB16" s="1133"/>
      <c r="BC16" s="1133"/>
      <c r="BD16" s="1133"/>
      <c r="BE16" s="1133"/>
      <c r="BF16" s="1134"/>
    </row>
    <row r="17" spans="1:58" s="951" customFormat="1" ht="20.25" customHeight="1" x14ac:dyDescent="0.25">
      <c r="A17" s="4546" t="s">
        <v>887</v>
      </c>
      <c r="B17" s="4583"/>
      <c r="C17" s="964">
        <f t="shared" si="3"/>
        <v>1270000</v>
      </c>
      <c r="D17" s="964"/>
      <c r="E17" s="964">
        <f>SUM(M17+U17+AC17+AK17)</f>
        <v>3544260</v>
      </c>
      <c r="F17" s="964">
        <f t="shared" si="5"/>
        <v>0</v>
      </c>
      <c r="G17" s="964">
        <f t="shared" si="5"/>
        <v>3544260</v>
      </c>
      <c r="H17" s="964">
        <f t="shared" si="5"/>
        <v>0</v>
      </c>
      <c r="I17" s="964">
        <f t="shared" si="5"/>
        <v>2451404</v>
      </c>
      <c r="J17" s="968">
        <f>SUM(R17+Z17+AH17+AP17)</f>
        <v>2451404</v>
      </c>
      <c r="K17" s="969">
        <v>698500</v>
      </c>
      <c r="L17" s="964"/>
      <c r="M17" s="1035">
        <v>2972760</v>
      </c>
      <c r="N17" s="1035"/>
      <c r="O17" s="1035">
        <v>2972760</v>
      </c>
      <c r="P17" s="1035"/>
      <c r="Q17" s="1035">
        <v>2451404</v>
      </c>
      <c r="R17" s="1108">
        <v>2451404</v>
      </c>
      <c r="S17" s="969"/>
      <c r="T17" s="964"/>
      <c r="U17" s="1035"/>
      <c r="V17" s="1035"/>
      <c r="W17" s="1035"/>
      <c r="X17" s="1035"/>
      <c r="Y17" s="1035"/>
      <c r="Z17" s="968"/>
      <c r="AA17" s="969"/>
      <c r="AB17" s="964"/>
      <c r="AC17" s="1035"/>
      <c r="AD17" s="1035"/>
      <c r="AE17" s="1035"/>
      <c r="AF17" s="1035"/>
      <c r="AG17" s="1035"/>
      <c r="AH17" s="968"/>
      <c r="AI17" s="969">
        <v>571500</v>
      </c>
      <c r="AJ17" s="1035"/>
      <c r="AK17" s="1035">
        <v>571500</v>
      </c>
      <c r="AL17" s="1035"/>
      <c r="AM17" s="1035">
        <v>571500</v>
      </c>
      <c r="AN17" s="1035"/>
      <c r="AO17" s="1035"/>
      <c r="AP17" s="1108"/>
      <c r="AQ17" s="1072"/>
      <c r="AR17" s="1035"/>
      <c r="AS17" s="1035"/>
      <c r="AT17" s="1035"/>
      <c r="AU17" s="1035"/>
      <c r="AV17" s="1035"/>
      <c r="AW17" s="1035"/>
      <c r="AX17" s="1049"/>
      <c r="AY17" s="2708"/>
      <c r="AZ17" s="1133"/>
      <c r="BA17" s="1133"/>
      <c r="BB17" s="1133"/>
      <c r="BC17" s="1133"/>
      <c r="BD17" s="1133"/>
      <c r="BE17" s="1133"/>
      <c r="BF17" s="1134"/>
    </row>
    <row r="18" spans="1:58" s="951" customFormat="1" ht="20.25" customHeight="1" x14ac:dyDescent="0.25">
      <c r="A18" s="1111" t="s">
        <v>950</v>
      </c>
      <c r="B18" s="2246"/>
      <c r="C18" s="964">
        <f t="shared" si="3"/>
        <v>0</v>
      </c>
      <c r="D18" s="964"/>
      <c r="E18" s="964">
        <f>SUM(M18+U18+AC18+AK18)</f>
        <v>880000</v>
      </c>
      <c r="F18" s="964">
        <f t="shared" si="5"/>
        <v>0</v>
      </c>
      <c r="G18" s="964">
        <f t="shared" si="5"/>
        <v>3053895</v>
      </c>
      <c r="H18" s="964">
        <f t="shared" si="5"/>
        <v>0</v>
      </c>
      <c r="I18" s="964">
        <f t="shared" si="5"/>
        <v>3042284</v>
      </c>
      <c r="J18" s="968">
        <f>SUM(R18+Z18+AH18+AP18)</f>
        <v>3042284</v>
      </c>
      <c r="K18" s="969"/>
      <c r="L18" s="964"/>
      <c r="M18" s="1035">
        <v>880000</v>
      </c>
      <c r="N18" s="1035"/>
      <c r="O18" s="1035">
        <v>3053895</v>
      </c>
      <c r="P18" s="1035"/>
      <c r="Q18" s="1035">
        <v>3042284</v>
      </c>
      <c r="R18" s="1108">
        <v>3042284</v>
      </c>
      <c r="S18" s="969"/>
      <c r="T18" s="964"/>
      <c r="U18" s="1035"/>
      <c r="V18" s="1035"/>
      <c r="W18" s="1035"/>
      <c r="X18" s="1035"/>
      <c r="Y18" s="1035"/>
      <c r="Z18" s="968"/>
      <c r="AA18" s="969"/>
      <c r="AB18" s="964"/>
      <c r="AC18" s="1035"/>
      <c r="AD18" s="1035"/>
      <c r="AE18" s="1035"/>
      <c r="AF18" s="1035"/>
      <c r="AG18" s="1035"/>
      <c r="AH18" s="968"/>
      <c r="AI18" s="1072"/>
      <c r="AJ18" s="1035"/>
      <c r="AK18" s="1035"/>
      <c r="AL18" s="1035"/>
      <c r="AM18" s="1035"/>
      <c r="AN18" s="1035"/>
      <c r="AO18" s="1035"/>
      <c r="AP18" s="1108"/>
      <c r="AQ18" s="1072"/>
      <c r="AR18" s="1035"/>
      <c r="AS18" s="1035"/>
      <c r="AT18" s="1035"/>
      <c r="AU18" s="1035"/>
      <c r="AV18" s="1035"/>
      <c r="AW18" s="1035"/>
      <c r="AX18" s="1049"/>
      <c r="AY18" s="2708"/>
      <c r="AZ18" s="1133"/>
      <c r="BA18" s="1133"/>
      <c r="BB18" s="1133"/>
      <c r="BC18" s="1133"/>
      <c r="BD18" s="1133"/>
      <c r="BE18" s="1133"/>
      <c r="BF18" s="1134"/>
    </row>
    <row r="19" spans="1:58" s="659" customFormat="1" ht="24.75" customHeight="1" thickBot="1" x14ac:dyDescent="0.3">
      <c r="A19" s="4584" t="s">
        <v>517</v>
      </c>
      <c r="B19" s="4585"/>
      <c r="C19" s="1079">
        <f t="shared" ref="C19:S19" si="6">SUM(C13:C18)</f>
        <v>292047484</v>
      </c>
      <c r="D19" s="1079"/>
      <c r="E19" s="1079">
        <f>SUM(E13:E18)</f>
        <v>307269973</v>
      </c>
      <c r="F19" s="1079"/>
      <c r="G19" s="1079">
        <f t="shared" si="6"/>
        <v>310954592</v>
      </c>
      <c r="H19" s="1079"/>
      <c r="I19" s="1079">
        <f t="shared" si="6"/>
        <v>318559015</v>
      </c>
      <c r="J19" s="2237">
        <f t="shared" si="6"/>
        <v>318413176</v>
      </c>
      <c r="K19" s="1078">
        <f t="shared" si="6"/>
        <v>154344303</v>
      </c>
      <c r="L19" s="1079"/>
      <c r="M19" s="1079">
        <f t="shared" si="6"/>
        <v>159010767</v>
      </c>
      <c r="N19" s="1079">
        <f t="shared" si="6"/>
        <v>0</v>
      </c>
      <c r="O19" s="1079">
        <f t="shared" si="6"/>
        <v>161912937</v>
      </c>
      <c r="P19" s="1079">
        <f t="shared" si="6"/>
        <v>0</v>
      </c>
      <c r="Q19" s="1079">
        <f t="shared" si="6"/>
        <v>166812629</v>
      </c>
      <c r="R19" s="2239">
        <f t="shared" si="6"/>
        <v>166677423</v>
      </c>
      <c r="S19" s="1078">
        <f t="shared" si="6"/>
        <v>13038853</v>
      </c>
      <c r="T19" s="1079"/>
      <c r="U19" s="1079">
        <f>SUM(U13:U18)</f>
        <v>13451594</v>
      </c>
      <c r="V19" s="1079">
        <f>SUM(V13:V18)</f>
        <v>0</v>
      </c>
      <c r="W19" s="1079">
        <f>SUM(W13:W18)</f>
        <v>13451684</v>
      </c>
      <c r="X19" s="1079">
        <f>SUM(X13:X18)</f>
        <v>0</v>
      </c>
      <c r="Y19" s="1079">
        <f>SUM(Y13:Y18)</f>
        <v>12931612</v>
      </c>
      <c r="Z19" s="2239">
        <f t="shared" ref="Z19:AW19" si="7">SUM(Z13:Z18)</f>
        <v>12931612</v>
      </c>
      <c r="AA19" s="1078">
        <f t="shared" si="7"/>
        <v>0</v>
      </c>
      <c r="AB19" s="1079"/>
      <c r="AC19" s="1079">
        <f t="shared" si="7"/>
        <v>0</v>
      </c>
      <c r="AD19" s="1079">
        <f t="shared" si="7"/>
        <v>0</v>
      </c>
      <c r="AE19" s="1079">
        <f t="shared" si="7"/>
        <v>0</v>
      </c>
      <c r="AF19" s="1079">
        <f t="shared" si="7"/>
        <v>0</v>
      </c>
      <c r="AG19" s="1079">
        <f t="shared" si="7"/>
        <v>0</v>
      </c>
      <c r="AH19" s="2239">
        <f t="shared" si="7"/>
        <v>0</v>
      </c>
      <c r="AI19" s="1078">
        <f t="shared" si="7"/>
        <v>124518265</v>
      </c>
      <c r="AJ19" s="1079"/>
      <c r="AK19" s="1079">
        <f t="shared" si="7"/>
        <v>128229167</v>
      </c>
      <c r="AL19" s="1079">
        <f t="shared" si="7"/>
        <v>0</v>
      </c>
      <c r="AM19" s="1079">
        <f t="shared" si="7"/>
        <v>128131803</v>
      </c>
      <c r="AN19" s="1079">
        <f t="shared" si="7"/>
        <v>0</v>
      </c>
      <c r="AO19" s="1079">
        <f t="shared" si="7"/>
        <v>130060101</v>
      </c>
      <c r="AP19" s="2239">
        <f t="shared" si="7"/>
        <v>130060101</v>
      </c>
      <c r="AQ19" s="1078">
        <f t="shared" si="7"/>
        <v>146063</v>
      </c>
      <c r="AR19" s="1079"/>
      <c r="AS19" s="1079">
        <f t="shared" si="7"/>
        <v>146063</v>
      </c>
      <c r="AT19" s="1079">
        <f t="shared" si="7"/>
        <v>0</v>
      </c>
      <c r="AU19" s="1079">
        <f t="shared" si="7"/>
        <v>146063</v>
      </c>
      <c r="AV19" s="1079">
        <f t="shared" si="7"/>
        <v>0</v>
      </c>
      <c r="AW19" s="1079">
        <f t="shared" si="7"/>
        <v>146063</v>
      </c>
      <c r="AX19" s="1080">
        <f>SUM(AX13:AX18)</f>
        <v>135430</v>
      </c>
      <c r="AY19" s="1003">
        <f>SUM(AY13:AY17)</f>
        <v>0</v>
      </c>
      <c r="AZ19" s="985"/>
      <c r="BA19" s="985">
        <f t="shared" ref="BA19:BF19" si="8">SUM(BA13:BA17)</f>
        <v>6432382</v>
      </c>
      <c r="BB19" s="985">
        <f t="shared" si="8"/>
        <v>0</v>
      </c>
      <c r="BC19" s="985">
        <f t="shared" si="8"/>
        <v>7312105</v>
      </c>
      <c r="BD19" s="985">
        <f t="shared" si="8"/>
        <v>0</v>
      </c>
      <c r="BE19" s="985">
        <f t="shared" si="8"/>
        <v>8608610</v>
      </c>
      <c r="BF19" s="990">
        <f t="shared" si="8"/>
        <v>8608610</v>
      </c>
    </row>
    <row r="20" spans="1:58" ht="15.75" thickTop="1" x14ac:dyDescent="0.25">
      <c r="A20" s="992"/>
      <c r="B20" s="992"/>
      <c r="C20" s="992"/>
      <c r="D20" s="992"/>
      <c r="E20" s="992"/>
      <c r="F20" s="992"/>
      <c r="G20" s="992"/>
      <c r="H20" s="992"/>
      <c r="I20" s="992"/>
      <c r="J20" s="992"/>
      <c r="K20" s="992"/>
      <c r="L20" s="992"/>
      <c r="M20" s="992"/>
      <c r="N20" s="992"/>
      <c r="O20" s="992"/>
      <c r="P20" s="992"/>
      <c r="Q20" s="992"/>
      <c r="R20" s="992"/>
      <c r="S20" s="992"/>
      <c r="T20" s="992"/>
      <c r="U20" s="992"/>
      <c r="V20" s="992"/>
      <c r="W20" s="992"/>
      <c r="X20" s="992"/>
      <c r="Y20" s="992"/>
      <c r="Z20" s="992"/>
      <c r="AA20" s="952"/>
      <c r="AB20" s="952"/>
      <c r="AC20" s="952"/>
      <c r="AD20" s="952"/>
      <c r="AE20" s="952"/>
      <c r="AF20" s="952"/>
      <c r="AG20" s="952"/>
      <c r="AH20" s="952"/>
      <c r="AI20" s="952"/>
      <c r="AJ20" s="952"/>
      <c r="AK20" s="952"/>
      <c r="AL20" s="952"/>
      <c r="AM20" s="952"/>
      <c r="AN20" s="952"/>
      <c r="AO20" s="952"/>
      <c r="AP20" s="952"/>
      <c r="AQ20" s="952"/>
      <c r="AR20" s="952"/>
      <c r="AS20" s="952"/>
      <c r="AT20" s="952"/>
      <c r="AU20" s="952"/>
      <c r="AV20" s="952"/>
      <c r="AW20" s="952"/>
      <c r="AX20" s="952"/>
      <c r="AY20" s="952"/>
      <c r="AZ20" s="952"/>
    </row>
    <row r="21" spans="1:58" x14ac:dyDescent="0.25">
      <c r="A21" s="992"/>
      <c r="B21" s="992"/>
      <c r="C21" s="992"/>
      <c r="D21" s="992"/>
      <c r="E21" s="992"/>
      <c r="F21" s="992"/>
      <c r="G21" s="992"/>
      <c r="H21" s="992"/>
      <c r="I21" s="992"/>
      <c r="J21" s="992"/>
      <c r="K21" s="992"/>
      <c r="L21" s="992"/>
      <c r="M21" s="992"/>
      <c r="N21" s="992"/>
      <c r="O21" s="992"/>
      <c r="P21" s="992"/>
      <c r="Q21" s="992"/>
      <c r="R21" s="992"/>
      <c r="S21" s="992"/>
      <c r="T21" s="992"/>
      <c r="U21" s="992"/>
      <c r="V21" s="992"/>
      <c r="W21" s="992"/>
      <c r="X21" s="992"/>
      <c r="Y21" s="992"/>
      <c r="Z21" s="99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952"/>
      <c r="AR21" s="952"/>
      <c r="AS21" s="952"/>
      <c r="AT21" s="952"/>
      <c r="AU21" s="952"/>
      <c r="AV21" s="952"/>
      <c r="AW21" s="952"/>
      <c r="AX21" s="952"/>
      <c r="AY21" s="952"/>
      <c r="AZ21" s="952"/>
    </row>
    <row r="22" spans="1:58" ht="15.75" x14ac:dyDescent="0.25">
      <c r="A22" s="1006" t="s">
        <v>893</v>
      </c>
      <c r="B22" s="992"/>
      <c r="C22" s="1007">
        <f>SUM(C19-C10)</f>
        <v>0</v>
      </c>
      <c r="D22" s="1007"/>
      <c r="E22" s="1007">
        <f t="shared" ref="E22:BF22" si="9">SUM(E19-E10)</f>
        <v>0</v>
      </c>
      <c r="F22" s="1007">
        <f t="shared" si="9"/>
        <v>0</v>
      </c>
      <c r="G22" s="1007">
        <f t="shared" si="9"/>
        <v>0</v>
      </c>
      <c r="H22" s="1007">
        <f t="shared" si="9"/>
        <v>0</v>
      </c>
      <c r="I22" s="1007">
        <f t="shared" si="9"/>
        <v>0</v>
      </c>
      <c r="J22" s="1007">
        <f t="shared" si="9"/>
        <v>-173611</v>
      </c>
      <c r="K22" s="1007">
        <f t="shared" si="9"/>
        <v>0</v>
      </c>
      <c r="L22" s="1007"/>
      <c r="M22" s="1007">
        <f t="shared" si="9"/>
        <v>0</v>
      </c>
      <c r="N22" s="1007">
        <f t="shared" si="9"/>
        <v>0</v>
      </c>
      <c r="O22" s="1007">
        <f t="shared" si="9"/>
        <v>0</v>
      </c>
      <c r="P22" s="1007">
        <f t="shared" si="9"/>
        <v>0</v>
      </c>
      <c r="Q22" s="1007">
        <f t="shared" si="9"/>
        <v>0</v>
      </c>
      <c r="R22" s="1007">
        <f t="shared" si="9"/>
        <v>0</v>
      </c>
      <c r="S22" s="1007">
        <f t="shared" si="9"/>
        <v>0</v>
      </c>
      <c r="T22" s="1007"/>
      <c r="U22" s="1007">
        <f t="shared" ref="U22:Z22" si="10">SUM(U19-U10)</f>
        <v>0</v>
      </c>
      <c r="V22" s="1007">
        <f t="shared" si="10"/>
        <v>0</v>
      </c>
      <c r="W22" s="1007">
        <f t="shared" si="10"/>
        <v>0</v>
      </c>
      <c r="X22" s="1007">
        <f t="shared" si="10"/>
        <v>0</v>
      </c>
      <c r="Y22" s="1007">
        <f t="shared" si="10"/>
        <v>0</v>
      </c>
      <c r="Z22" s="1007">
        <f t="shared" si="10"/>
        <v>0</v>
      </c>
      <c r="AA22" s="1007">
        <f t="shared" si="9"/>
        <v>0</v>
      </c>
      <c r="AB22" s="1007"/>
      <c r="AC22" s="1007">
        <f t="shared" si="9"/>
        <v>0</v>
      </c>
      <c r="AD22" s="1007">
        <f t="shared" si="9"/>
        <v>0</v>
      </c>
      <c r="AE22" s="1007">
        <f t="shared" si="9"/>
        <v>0</v>
      </c>
      <c r="AF22" s="1007">
        <f t="shared" si="9"/>
        <v>0</v>
      </c>
      <c r="AG22" s="1007">
        <f t="shared" si="9"/>
        <v>0</v>
      </c>
      <c r="AH22" s="1007">
        <f t="shared" si="9"/>
        <v>0</v>
      </c>
      <c r="AI22" s="1007">
        <f t="shared" si="9"/>
        <v>0</v>
      </c>
      <c r="AJ22" s="1007"/>
      <c r="AK22" s="1007">
        <f t="shared" si="9"/>
        <v>0</v>
      </c>
      <c r="AL22" s="1007">
        <f t="shared" si="9"/>
        <v>0</v>
      </c>
      <c r="AM22" s="1007">
        <f t="shared" si="9"/>
        <v>0</v>
      </c>
      <c r="AN22" s="1007">
        <f t="shared" si="9"/>
        <v>0</v>
      </c>
      <c r="AO22" s="1007">
        <f t="shared" si="9"/>
        <v>0</v>
      </c>
      <c r="AP22" s="1007">
        <f>SUM(AP19-AP10)</f>
        <v>-162978</v>
      </c>
      <c r="AQ22" s="1007">
        <f>SUM(AQ19-AQ10)</f>
        <v>0</v>
      </c>
      <c r="AR22" s="1007"/>
      <c r="AS22" s="1007">
        <f>SUM(AS19-AS10)</f>
        <v>0</v>
      </c>
      <c r="AT22" s="1007">
        <f>SUM(AT19-AT10)</f>
        <v>0</v>
      </c>
      <c r="AU22" s="1007">
        <f>SUM(AU19-AU10)</f>
        <v>0</v>
      </c>
      <c r="AV22" s="1007">
        <f>SUM(AV19-AV10)</f>
        <v>0</v>
      </c>
      <c r="AW22" s="1007">
        <f>SUM(AW19-AW10)</f>
        <v>0</v>
      </c>
      <c r="AX22" s="1007">
        <f t="shared" si="9"/>
        <v>-10633</v>
      </c>
      <c r="AY22" s="1007">
        <f t="shared" si="9"/>
        <v>0</v>
      </c>
      <c r="AZ22" s="1007"/>
      <c r="BA22" s="1007">
        <f t="shared" si="9"/>
        <v>0</v>
      </c>
      <c r="BB22" s="1007">
        <f t="shared" si="9"/>
        <v>0</v>
      </c>
      <c r="BC22" s="1007">
        <f t="shared" si="9"/>
        <v>0</v>
      </c>
      <c r="BD22" s="1007">
        <f t="shared" si="9"/>
        <v>0</v>
      </c>
      <c r="BE22" s="1007">
        <f t="shared" si="9"/>
        <v>0</v>
      </c>
      <c r="BF22" s="1007">
        <f t="shared" si="9"/>
        <v>0</v>
      </c>
    </row>
    <row r="23" spans="1:58" x14ac:dyDescent="0.25">
      <c r="A23" s="992"/>
      <c r="B23" s="992"/>
      <c r="C23" s="992"/>
      <c r="D23" s="992"/>
      <c r="E23" s="992"/>
      <c r="F23" s="992"/>
      <c r="G23" s="992"/>
      <c r="H23" s="992"/>
      <c r="I23" s="992"/>
      <c r="J23" s="992"/>
      <c r="K23" s="992"/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2"/>
      <c r="Y23" s="992"/>
      <c r="Z23" s="992"/>
      <c r="AA23" s="952"/>
      <c r="AB23" s="952"/>
      <c r="AC23" s="952"/>
      <c r="AD23" s="952"/>
      <c r="AE23" s="952"/>
      <c r="AF23" s="952"/>
      <c r="AG23" s="952"/>
      <c r="AH23" s="952"/>
      <c r="AI23" s="952"/>
      <c r="AJ23" s="952"/>
      <c r="AK23" s="952"/>
      <c r="AL23" s="952"/>
      <c r="AM23" s="952"/>
      <c r="AN23" s="952"/>
      <c r="AO23" s="952"/>
      <c r="AP23" s="952"/>
      <c r="AQ23" s="952"/>
      <c r="AR23" s="952"/>
      <c r="AS23" s="952"/>
      <c r="AT23" s="952"/>
      <c r="AU23" s="952"/>
      <c r="AV23" s="952"/>
      <c r="AW23" s="952"/>
      <c r="AX23" s="952"/>
      <c r="AY23" s="952"/>
      <c r="AZ23" s="952"/>
    </row>
    <row r="24" spans="1:58" x14ac:dyDescent="0.25">
      <c r="A24" s="992"/>
      <c r="B24" s="992"/>
      <c r="C24" s="992"/>
      <c r="D24" s="992"/>
      <c r="E24" s="992"/>
      <c r="F24" s="992"/>
      <c r="G24" s="992"/>
      <c r="H24" s="992"/>
      <c r="I24" s="992"/>
      <c r="J24" s="992"/>
      <c r="K24" s="992"/>
      <c r="L24" s="992"/>
      <c r="M24" s="992"/>
      <c r="N24" s="992"/>
      <c r="O24" s="992"/>
      <c r="P24" s="992"/>
      <c r="Q24" s="992"/>
      <c r="R24" s="992"/>
      <c r="S24" s="992"/>
      <c r="T24" s="992"/>
      <c r="U24" s="992"/>
      <c r="V24" s="992"/>
      <c r="W24" s="992"/>
      <c r="X24" s="992"/>
      <c r="Y24" s="992"/>
      <c r="Z24" s="992"/>
      <c r="AA24" s="952"/>
      <c r="AB24" s="952"/>
      <c r="AC24" s="952"/>
      <c r="AD24" s="952"/>
      <c r="AE24" s="952"/>
      <c r="AF24" s="952"/>
      <c r="AG24" s="952"/>
      <c r="AH24" s="952"/>
      <c r="AI24" s="952"/>
      <c r="AJ24" s="952"/>
      <c r="AK24" s="952"/>
      <c r="AL24" s="952"/>
      <c r="AM24" s="952"/>
      <c r="AN24" s="952"/>
      <c r="AO24" s="952"/>
      <c r="AP24" s="952"/>
      <c r="AQ24" s="952"/>
      <c r="AR24" s="952"/>
      <c r="AS24" s="952"/>
      <c r="AT24" s="952"/>
      <c r="AU24" s="952"/>
      <c r="AV24" s="952"/>
      <c r="AW24" s="952"/>
      <c r="AX24" s="952"/>
      <c r="AY24" s="952"/>
      <c r="AZ24" s="952"/>
    </row>
    <row r="25" spans="1:58" ht="15.75" x14ac:dyDescent="0.25">
      <c r="A25" s="4558" t="s">
        <v>900</v>
      </c>
      <c r="B25" s="4558"/>
      <c r="C25" s="1008"/>
      <c r="D25" s="1008"/>
      <c r="E25" s="1008"/>
      <c r="F25" s="1008"/>
      <c r="G25" s="1008"/>
      <c r="H25" s="1008"/>
      <c r="I25" s="1008"/>
      <c r="J25" s="1008"/>
      <c r="K25" s="992"/>
      <c r="L25" s="992"/>
      <c r="M25" s="992"/>
      <c r="N25" s="992"/>
      <c r="O25" s="992"/>
      <c r="P25" s="992"/>
      <c r="Q25" s="992"/>
      <c r="R25" s="992"/>
      <c r="S25" s="992"/>
      <c r="T25" s="992"/>
      <c r="U25" s="992"/>
      <c r="V25" s="992"/>
      <c r="W25" s="992"/>
      <c r="X25" s="992"/>
      <c r="Y25" s="992"/>
      <c r="Z25" s="992"/>
      <c r="AA25" s="952"/>
      <c r="AB25" s="952"/>
      <c r="AC25" s="952"/>
      <c r="AD25" s="952"/>
      <c r="AE25" s="952"/>
      <c r="AF25" s="952"/>
      <c r="AG25" s="952"/>
      <c r="AH25" s="952"/>
      <c r="AI25" s="952"/>
      <c r="AJ25" s="952"/>
      <c r="AK25" s="952"/>
      <c r="AL25" s="952"/>
      <c r="AM25" s="952"/>
      <c r="AN25" s="952"/>
      <c r="AO25" s="952"/>
      <c r="AP25" s="952"/>
      <c r="AQ25" s="952"/>
      <c r="AR25" s="952"/>
      <c r="AS25" s="952"/>
      <c r="AT25" s="952"/>
      <c r="AU25" s="952"/>
      <c r="AV25" s="952"/>
      <c r="AW25" s="952"/>
      <c r="AX25" s="952"/>
      <c r="AY25" s="952"/>
      <c r="AZ25" s="952"/>
    </row>
    <row r="26" spans="1:58" x14ac:dyDescent="0.25">
      <c r="A26" s="992"/>
      <c r="B26" s="992"/>
      <c r="C26" s="992"/>
      <c r="D26" s="992"/>
      <c r="E26" s="992"/>
      <c r="F26" s="992"/>
      <c r="G26" s="992"/>
      <c r="H26" s="992"/>
      <c r="I26" s="992"/>
      <c r="J26" s="992"/>
      <c r="K26" s="992"/>
      <c r="L26" s="992"/>
      <c r="M26" s="992"/>
      <c r="N26" s="992"/>
      <c r="O26" s="992"/>
      <c r="P26" s="992"/>
      <c r="Q26" s="992"/>
      <c r="R26" s="992"/>
      <c r="S26" s="992"/>
      <c r="T26" s="992"/>
      <c r="U26" s="992"/>
      <c r="V26" s="992"/>
      <c r="W26" s="992"/>
      <c r="X26" s="992"/>
      <c r="Y26" s="992"/>
      <c r="Z26" s="992"/>
      <c r="AA26" s="952"/>
      <c r="AB26" s="952"/>
      <c r="AC26" s="952"/>
      <c r="AD26" s="952"/>
      <c r="AE26" s="952"/>
      <c r="AF26" s="952"/>
      <c r="AG26" s="952"/>
      <c r="AH26" s="952"/>
      <c r="AI26" s="952"/>
      <c r="AJ26" s="952"/>
      <c r="AK26" s="952"/>
      <c r="AL26" s="952"/>
      <c r="AM26" s="952"/>
      <c r="AN26" s="952"/>
      <c r="AO26" s="952"/>
      <c r="AP26" s="952"/>
      <c r="AQ26" s="952"/>
      <c r="AR26" s="952"/>
      <c r="AS26" s="952"/>
      <c r="AT26" s="952"/>
      <c r="AU26" s="952"/>
      <c r="AV26" s="952"/>
      <c r="AW26" s="952"/>
      <c r="AX26" s="952"/>
      <c r="AY26" s="952"/>
      <c r="AZ26" s="952"/>
    </row>
    <row r="27" spans="1:58" ht="15.75" x14ac:dyDescent="0.25">
      <c r="A27" s="4548" t="s">
        <v>786</v>
      </c>
      <c r="B27" s="4548"/>
      <c r="C27" s="1007">
        <f>SUM('5.5. sz. mell.  '!F8)</f>
        <v>150145389</v>
      </c>
      <c r="D27" s="1007">
        <f>SUM('5.5. sz. mell.  '!G8)</f>
        <v>-320040</v>
      </c>
      <c r="E27" s="1007">
        <f>SUM('5.5. sz. mell.  '!H8)</f>
        <v>149825349</v>
      </c>
      <c r="F27" s="1007">
        <f>SUM('5.5. sz. mell.  '!I8)</f>
        <v>1867152</v>
      </c>
      <c r="G27" s="1007">
        <f>SUM('5.5. sz. mell.  '!J8)</f>
        <v>151692501</v>
      </c>
      <c r="H27" s="1007">
        <f>SUM('5.5. sz. mell.  '!K8)</f>
        <v>0</v>
      </c>
      <c r="I27" s="1007">
        <f>SUM('5.5. sz. mell.  '!L8)</f>
        <v>151692501</v>
      </c>
      <c r="J27" s="1007">
        <f>SUM('5.5. sz. mell.  '!M8)</f>
        <v>151720273</v>
      </c>
      <c r="K27" s="992"/>
      <c r="L27" s="992"/>
      <c r="M27" s="4548" t="s">
        <v>236</v>
      </c>
      <c r="N27" s="4548"/>
      <c r="O27" s="4548"/>
      <c r="P27" s="4548"/>
      <c r="Q27" s="4548"/>
      <c r="R27" s="4548"/>
      <c r="S27" s="1010">
        <f>SUM('5.5. sz. mell.  '!F51)</f>
        <v>60087954</v>
      </c>
      <c r="T27" s="1010">
        <f>SUM('5.5. sz. mell.  '!G51)</f>
        <v>590535</v>
      </c>
      <c r="U27" s="1010">
        <f>SUM('5.5. sz. mell.  '!H51)</f>
        <v>60678489</v>
      </c>
      <c r="V27" s="1010">
        <f>SUM('5.5. sz. mell.  '!I51)</f>
        <v>3318042</v>
      </c>
      <c r="W27" s="1010">
        <f>SUM('5.5. sz. mell.  '!J51)</f>
        <v>63996531</v>
      </c>
      <c r="X27" s="1010">
        <f>SUM('5.5. sz. mell.  '!K51)</f>
        <v>0</v>
      </c>
      <c r="Y27" s="1010">
        <f>SUM('5.5. sz. mell.  '!L51)</f>
        <v>63996531</v>
      </c>
      <c r="Z27" s="1010">
        <f>SUM('5.5. sz. mell.  '!M51)</f>
        <v>63996531</v>
      </c>
      <c r="AA27" s="1010">
        <f>SUM('5.5. sz. mell.  '!M51)</f>
        <v>63996531</v>
      </c>
      <c r="AB27" s="1010"/>
      <c r="AC27" s="1010">
        <f>SUM('5.5. sz. mell.  '!N51)</f>
        <v>0</v>
      </c>
      <c r="AD27" s="1010"/>
      <c r="AE27" s="1010"/>
      <c r="AF27" s="1010"/>
      <c r="AG27" s="1010"/>
      <c r="AH27" s="1010">
        <f>SUM('5.5. sz. mell.  '!O51)</f>
        <v>0</v>
      </c>
      <c r="AI27" s="1010"/>
      <c r="AJ27" s="1010"/>
      <c r="AK27" s="952"/>
      <c r="AL27" s="952"/>
      <c r="AM27" s="952"/>
      <c r="AN27" s="952"/>
      <c r="AO27" s="952"/>
      <c r="AP27" s="952"/>
      <c r="AQ27" s="952"/>
      <c r="AR27" s="952"/>
      <c r="AS27" s="952"/>
      <c r="AT27" s="952"/>
      <c r="AU27" s="952"/>
      <c r="AV27" s="952"/>
      <c r="AW27" s="952"/>
      <c r="AX27" s="952"/>
      <c r="AY27" s="952"/>
      <c r="AZ27" s="952"/>
    </row>
    <row r="28" spans="1:58" ht="15.75" x14ac:dyDescent="0.25">
      <c r="A28" s="1006" t="s">
        <v>893</v>
      </c>
      <c r="B28" s="1006"/>
      <c r="C28" s="1011">
        <f>SUM(C27-C6)</f>
        <v>0</v>
      </c>
      <c r="D28" s="1011">
        <f t="shared" ref="D28:J28" si="11">SUM(D27-D6)</f>
        <v>-320040</v>
      </c>
      <c r="E28" s="1011">
        <f t="shared" si="11"/>
        <v>0</v>
      </c>
      <c r="F28" s="1011">
        <f t="shared" si="11"/>
        <v>1867152</v>
      </c>
      <c r="G28" s="1011">
        <f t="shared" si="11"/>
        <v>1867152</v>
      </c>
      <c r="H28" s="1011">
        <f t="shared" si="11"/>
        <v>0</v>
      </c>
      <c r="I28" s="1011">
        <f t="shared" si="11"/>
        <v>0</v>
      </c>
      <c r="J28" s="1011">
        <f t="shared" si="11"/>
        <v>0</v>
      </c>
      <c r="K28" s="992"/>
      <c r="L28" s="992"/>
      <c r="M28" s="1006" t="s">
        <v>893</v>
      </c>
      <c r="N28" s="1006"/>
      <c r="O28" s="1006"/>
      <c r="P28" s="1006"/>
      <c r="Q28" s="1006"/>
      <c r="R28" s="992"/>
      <c r="S28" s="1012">
        <f>SUM(S27-C13)</f>
        <v>0</v>
      </c>
      <c r="T28" s="1012"/>
      <c r="U28" s="1012">
        <f>SUM(U27-E13)</f>
        <v>0</v>
      </c>
      <c r="V28" s="1012"/>
      <c r="W28" s="1012">
        <f>SUM(W27-G13)</f>
        <v>1988242</v>
      </c>
      <c r="X28" s="1012"/>
      <c r="Y28" s="1012">
        <f>SUM(Y27-I13)</f>
        <v>0</v>
      </c>
      <c r="Z28" s="1012">
        <f>SUM(Z27-J13)</f>
        <v>0</v>
      </c>
      <c r="AA28" s="952"/>
      <c r="AB28" s="952"/>
      <c r="AC28" s="952"/>
      <c r="AD28" s="952"/>
      <c r="AE28" s="952"/>
      <c r="AF28" s="952"/>
      <c r="AG28" s="952"/>
      <c r="AH28" s="952"/>
      <c r="AI28" s="952"/>
      <c r="AJ28" s="952"/>
      <c r="AK28" s="952"/>
      <c r="AL28" s="952"/>
      <c r="AM28" s="952"/>
      <c r="AN28" s="952"/>
      <c r="AO28" s="952"/>
      <c r="AP28" s="952"/>
      <c r="AQ28" s="952"/>
      <c r="AR28" s="952"/>
      <c r="AS28" s="952"/>
      <c r="AT28" s="952"/>
      <c r="AU28" s="952"/>
      <c r="AV28" s="952"/>
      <c r="AW28" s="952"/>
      <c r="AX28" s="952"/>
      <c r="AY28" s="952"/>
      <c r="AZ28" s="952"/>
    </row>
    <row r="29" spans="1:58" ht="15.75" x14ac:dyDescent="0.25">
      <c r="A29" s="1008"/>
      <c r="B29" s="1008"/>
      <c r="C29" s="992"/>
      <c r="D29" s="992"/>
      <c r="E29" s="992"/>
      <c r="F29" s="992"/>
      <c r="G29" s="992"/>
      <c r="H29" s="992"/>
      <c r="I29" s="992"/>
      <c r="J29" s="992"/>
      <c r="K29" s="992"/>
      <c r="L29" s="992"/>
      <c r="M29" s="992"/>
      <c r="N29" s="992"/>
      <c r="O29" s="992"/>
      <c r="P29" s="992"/>
      <c r="Q29" s="992"/>
      <c r="R29" s="992"/>
      <c r="S29" s="1008"/>
      <c r="T29" s="1008"/>
      <c r="U29" s="1008"/>
      <c r="V29" s="1008"/>
      <c r="W29" s="1008"/>
      <c r="X29" s="1008"/>
      <c r="Y29" s="1008"/>
      <c r="Z29" s="1008"/>
      <c r="AA29" s="952"/>
      <c r="AB29" s="952"/>
      <c r="AC29" s="952"/>
      <c r="AD29" s="952"/>
      <c r="AE29" s="952"/>
      <c r="AF29" s="952"/>
      <c r="AG29" s="952"/>
      <c r="AH29" s="952"/>
      <c r="AI29" s="952"/>
      <c r="AJ29" s="952"/>
      <c r="AK29" s="952"/>
      <c r="AL29" s="952"/>
      <c r="AM29" s="952"/>
      <c r="AN29" s="952"/>
      <c r="AO29" s="952"/>
      <c r="AP29" s="952"/>
      <c r="AQ29" s="952"/>
      <c r="AR29" s="952"/>
      <c r="AS29" s="952"/>
      <c r="AT29" s="952"/>
      <c r="AU29" s="952"/>
      <c r="AV29" s="952"/>
      <c r="AW29" s="952"/>
      <c r="AX29" s="952"/>
      <c r="AY29" s="952"/>
      <c r="AZ29" s="952"/>
    </row>
    <row r="30" spans="1:58" ht="15.75" x14ac:dyDescent="0.25">
      <c r="A30" s="4548" t="s">
        <v>892</v>
      </c>
      <c r="B30" s="4548"/>
      <c r="C30" s="1007">
        <f>SUM('5.5. sz. mell.  '!F40)</f>
        <v>141902095</v>
      </c>
      <c r="D30" s="1007">
        <f>SUM('5.5. sz. mell.  '!G40)</f>
        <v>15542529</v>
      </c>
      <c r="E30" s="1007">
        <f>SUM('5.5. sz. mell.  '!H40)</f>
        <v>157444624</v>
      </c>
      <c r="F30" s="1007">
        <f>SUM('5.5. sz. mell.  '!I40)</f>
        <v>9421890</v>
      </c>
      <c r="G30" s="1007">
        <f>SUM('5.5. sz. mell.  '!J40)</f>
        <v>166866514</v>
      </c>
      <c r="H30" s="1007">
        <f>SUM('5.5. sz. mell.  '!K40)</f>
        <v>0</v>
      </c>
      <c r="I30" s="1007">
        <f>SUM('5.5. sz. mell.  '!L40)</f>
        <v>166866514</v>
      </c>
      <c r="J30" s="1007">
        <f>SUM('5.5. sz. mell.  '!M40)</f>
        <v>166866514</v>
      </c>
      <c r="K30" s="992"/>
      <c r="L30" s="992"/>
      <c r="M30" s="4548" t="s">
        <v>895</v>
      </c>
      <c r="N30" s="4548"/>
      <c r="O30" s="4548"/>
      <c r="P30" s="4548"/>
      <c r="Q30" s="4548"/>
      <c r="R30" s="4548"/>
      <c r="S30" s="1010">
        <f>SUM('5.5. sz. mell.  '!F52)</f>
        <v>12249720</v>
      </c>
      <c r="T30" s="1010">
        <f>SUM('5.5. sz. mell.  '!G52)</f>
        <v>116651</v>
      </c>
      <c r="U30" s="1010">
        <f>SUM('5.5. sz. mell.  '!H52)</f>
        <v>12366371</v>
      </c>
      <c r="V30" s="1010">
        <f>SUM('5.5. sz. mell.  '!I52)</f>
        <v>919579</v>
      </c>
      <c r="W30" s="1010">
        <f>SUM('5.5. sz. mell.  '!J52)</f>
        <v>13285950</v>
      </c>
      <c r="X30" s="1010">
        <f>SUM('5.5. sz. mell.  '!K52)</f>
        <v>0</v>
      </c>
      <c r="Y30" s="1010">
        <f>SUM('5.5. sz. mell.  '!L52)</f>
        <v>13285950</v>
      </c>
      <c r="Z30" s="1010">
        <f>SUM('5.5. sz. mell.  '!M52)</f>
        <v>13285950</v>
      </c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  <c r="AR30" s="952"/>
      <c r="AS30" s="952"/>
      <c r="AT30" s="952"/>
      <c r="AU30" s="952"/>
      <c r="AV30" s="952"/>
      <c r="AW30" s="952"/>
      <c r="AX30" s="952"/>
      <c r="AY30" s="952"/>
      <c r="AZ30" s="952"/>
    </row>
    <row r="31" spans="1:58" ht="15.75" x14ac:dyDescent="0.25">
      <c r="A31" s="1006" t="s">
        <v>893</v>
      </c>
      <c r="B31" s="1008"/>
      <c r="C31" s="1011">
        <f>SUM(C30-C7)</f>
        <v>0</v>
      </c>
      <c r="D31" s="1011"/>
      <c r="E31" s="1011">
        <f>SUM(E30-E7)</f>
        <v>0</v>
      </c>
      <c r="F31" s="1011"/>
      <c r="G31" s="1011">
        <f>SUM(G30-G7)</f>
        <v>5737271</v>
      </c>
      <c r="H31" s="1011"/>
      <c r="I31" s="1011">
        <f>SUM(I30-I7)</f>
        <v>0</v>
      </c>
      <c r="J31" s="1011">
        <f>SUM(J30-J7)</f>
        <v>0</v>
      </c>
      <c r="K31" s="992"/>
      <c r="L31" s="992"/>
      <c r="M31" s="1006" t="s">
        <v>893</v>
      </c>
      <c r="N31" s="1006"/>
      <c r="O31" s="1006"/>
      <c r="P31" s="1006"/>
      <c r="Q31" s="1006"/>
      <c r="R31" s="992"/>
      <c r="S31" s="1012">
        <f>SUM(S30-C14)</f>
        <v>0</v>
      </c>
      <c r="T31" s="1012"/>
      <c r="U31" s="1012">
        <f>SUM(U30-E14)</f>
        <v>0</v>
      </c>
      <c r="V31" s="1012"/>
      <c r="W31" s="1012">
        <f>SUM(W30-G14)</f>
        <v>660260</v>
      </c>
      <c r="X31" s="1012"/>
      <c r="Y31" s="1012">
        <f>SUM(Y30-I14)</f>
        <v>0</v>
      </c>
      <c r="Z31" s="1012">
        <f>SUM(Z30-J14)</f>
        <v>0</v>
      </c>
      <c r="AA31" s="952"/>
      <c r="AB31" s="952"/>
      <c r="AC31" s="952"/>
      <c r="AD31" s="952"/>
      <c r="AE31" s="952"/>
      <c r="AF31" s="952"/>
      <c r="AG31" s="952"/>
      <c r="AH31" s="952"/>
      <c r="AI31" s="952"/>
      <c r="AJ31" s="952"/>
      <c r="AK31" s="952"/>
      <c r="AL31" s="952"/>
      <c r="AM31" s="952"/>
      <c r="AN31" s="952"/>
      <c r="AO31" s="952"/>
      <c r="AP31" s="952"/>
      <c r="AQ31" s="952"/>
      <c r="AR31" s="952"/>
      <c r="AS31" s="952"/>
      <c r="AT31" s="952"/>
      <c r="AU31" s="952"/>
      <c r="AV31" s="952"/>
      <c r="AW31" s="952"/>
      <c r="AX31" s="952"/>
      <c r="AY31" s="952"/>
      <c r="AZ31" s="952"/>
    </row>
    <row r="32" spans="1:58" ht="15.75" x14ac:dyDescent="0.25">
      <c r="A32" s="1008"/>
      <c r="B32" s="1008"/>
      <c r="C32" s="992"/>
      <c r="D32" s="992"/>
      <c r="E32" s="992"/>
      <c r="F32" s="992"/>
      <c r="G32" s="992"/>
      <c r="H32" s="992"/>
      <c r="I32" s="992"/>
      <c r="J32" s="992"/>
      <c r="K32" s="992"/>
      <c r="L32" s="992"/>
      <c r="M32" s="992"/>
      <c r="N32" s="992"/>
      <c r="O32" s="992"/>
      <c r="P32" s="992"/>
      <c r="Q32" s="992"/>
      <c r="R32" s="992"/>
      <c r="S32" s="1008"/>
      <c r="T32" s="1008"/>
      <c r="U32" s="1008"/>
      <c r="V32" s="1008"/>
      <c r="W32" s="1008"/>
      <c r="X32" s="1008"/>
      <c r="Y32" s="1008"/>
      <c r="Z32" s="1008"/>
      <c r="AA32" s="952"/>
      <c r="AB32" s="952"/>
      <c r="AC32" s="952"/>
      <c r="AD32" s="952"/>
      <c r="AE32" s="952"/>
      <c r="AF32" s="952"/>
      <c r="AG32" s="952"/>
      <c r="AH32" s="952"/>
      <c r="AI32" s="952"/>
      <c r="AJ32" s="952"/>
      <c r="AK32" s="952"/>
      <c r="AL32" s="952"/>
      <c r="AM32" s="952"/>
      <c r="AN32" s="952"/>
      <c r="AO32" s="952"/>
      <c r="AP32" s="952"/>
      <c r="AQ32" s="952"/>
      <c r="AR32" s="952"/>
      <c r="AS32" s="952"/>
      <c r="AT32" s="952"/>
      <c r="AU32" s="952"/>
      <c r="AV32" s="952"/>
      <c r="AW32" s="952"/>
      <c r="AX32" s="952"/>
      <c r="AY32" s="952"/>
      <c r="AZ32" s="952"/>
    </row>
    <row r="33" spans="1:52" ht="15.75" x14ac:dyDescent="0.25">
      <c r="A33" s="4548" t="s">
        <v>891</v>
      </c>
      <c r="B33" s="4548"/>
      <c r="C33" s="1007">
        <f>SUM('5.5. sz. mell.  '!F44)</f>
        <v>84260851</v>
      </c>
      <c r="D33" s="1007">
        <f>SUM('5.5. sz. mell.  '!G44)</f>
        <v>412577</v>
      </c>
      <c r="E33" s="1007">
        <f>SUM('5.5. sz. mell.  '!H44)</f>
        <v>84673428</v>
      </c>
      <c r="F33" s="1007">
        <f>SUM('5.5. sz. mell.  '!I44)</f>
        <v>-2064347</v>
      </c>
      <c r="G33" s="1007">
        <f>SUM('5.5. sz. mell.  '!J44)</f>
        <v>82609081</v>
      </c>
      <c r="H33" s="1007">
        <f>SUM('5.5. sz. mell.  '!K44)</f>
        <v>0</v>
      </c>
      <c r="I33" s="1007">
        <f>SUM('5.5. sz. mell.  '!L44)</f>
        <v>82609081</v>
      </c>
      <c r="J33" s="1007">
        <f>SUM('5.5. sz. mell.  '!M44)</f>
        <v>82609081</v>
      </c>
      <c r="K33" s="992"/>
      <c r="L33" s="992"/>
      <c r="M33" s="4549" t="s">
        <v>896</v>
      </c>
      <c r="N33" s="4549"/>
      <c r="O33" s="4549"/>
      <c r="P33" s="4549"/>
      <c r="Q33" s="4549"/>
      <c r="R33" s="4549"/>
      <c r="S33" s="1010">
        <f>SUM('5.5. sz. mell.  '!F53)</f>
        <v>218439810</v>
      </c>
      <c r="T33" s="1010">
        <f>SUM('5.5. sz. mell.  '!G53)</f>
        <v>11361043</v>
      </c>
      <c r="U33" s="1010">
        <f>SUM('5.5. sz. mell.  '!H53)</f>
        <v>229800853</v>
      </c>
      <c r="V33" s="1010">
        <f>SUM('5.5. sz. mell.  '!I53)</f>
        <v>5981993</v>
      </c>
      <c r="W33" s="1010">
        <f>SUM('5.5. sz. mell.  '!J53)</f>
        <v>235782846</v>
      </c>
      <c r="X33" s="1010">
        <f>SUM('5.5. sz. mell.  '!K53)</f>
        <v>0</v>
      </c>
      <c r="Y33" s="1010">
        <f>SUM('5.5. sz. mell.  '!L53)</f>
        <v>235782846</v>
      </c>
      <c r="Z33" s="1010">
        <f>SUM('5.5. sz. mell.  '!M53)</f>
        <v>235637007</v>
      </c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  <c r="AR33" s="952"/>
      <c r="AS33" s="952"/>
      <c r="AT33" s="952"/>
      <c r="AU33" s="952"/>
      <c r="AV33" s="952"/>
      <c r="AW33" s="952"/>
      <c r="AX33" s="952"/>
      <c r="AY33" s="952"/>
      <c r="AZ33" s="952"/>
    </row>
    <row r="34" spans="1:52" ht="15.75" x14ac:dyDescent="0.25">
      <c r="A34" s="1006" t="s">
        <v>893</v>
      </c>
      <c r="B34" s="1008"/>
      <c r="C34" s="1011">
        <f>SUM(C33-C8)</f>
        <v>0</v>
      </c>
      <c r="D34" s="1011"/>
      <c r="E34" s="1011">
        <f>SUM(E33-E8)</f>
        <v>0</v>
      </c>
      <c r="F34" s="1011"/>
      <c r="G34" s="1011">
        <f>SUM(G33-G8)</f>
        <v>-2268341</v>
      </c>
      <c r="H34" s="1011"/>
      <c r="I34" s="1011">
        <f>SUM(I33-I8)</f>
        <v>0</v>
      </c>
      <c r="J34" s="1011">
        <f>SUM(J33-J8)</f>
        <v>0</v>
      </c>
      <c r="K34" s="992"/>
      <c r="L34" s="992"/>
      <c r="M34" s="1006" t="s">
        <v>893</v>
      </c>
      <c r="N34" s="1006"/>
      <c r="O34" s="1006"/>
      <c r="P34" s="1006"/>
      <c r="Q34" s="1006"/>
      <c r="R34" s="992"/>
      <c r="S34" s="1012">
        <f>SUM(S33-C15)</f>
        <v>0</v>
      </c>
      <c r="T34" s="1012"/>
      <c r="U34" s="1012">
        <f>SUM(U33-E15)</f>
        <v>0</v>
      </c>
      <c r="V34" s="1012"/>
      <c r="W34" s="1012">
        <f>SUM(W33-G15)</f>
        <v>6060388</v>
      </c>
      <c r="X34" s="1012"/>
      <c r="Y34" s="1012">
        <f>SUM(Y33-I15)</f>
        <v>0</v>
      </c>
      <c r="Z34" s="1012">
        <f>SUM(Z33-J15)</f>
        <v>0</v>
      </c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  <c r="AN34" s="952"/>
      <c r="AO34" s="952"/>
      <c r="AP34" s="952"/>
      <c r="AQ34" s="952"/>
      <c r="AR34" s="952"/>
      <c r="AS34" s="952"/>
      <c r="AT34" s="952"/>
      <c r="AU34" s="952"/>
      <c r="AV34" s="952"/>
      <c r="AW34" s="952"/>
      <c r="AX34" s="952"/>
      <c r="AY34" s="952"/>
      <c r="AZ34" s="952"/>
    </row>
    <row r="35" spans="1:52" ht="15.75" x14ac:dyDescent="0.25">
      <c r="A35" s="1008"/>
      <c r="B35" s="1008"/>
      <c r="C35" s="992"/>
      <c r="D35" s="992"/>
      <c r="E35" s="992"/>
      <c r="F35" s="992"/>
      <c r="G35" s="992"/>
      <c r="H35" s="992"/>
      <c r="I35" s="992"/>
      <c r="J35" s="992"/>
      <c r="K35" s="992"/>
      <c r="L35" s="992"/>
      <c r="M35" s="992"/>
      <c r="N35" s="992"/>
      <c r="O35" s="992"/>
      <c r="P35" s="992"/>
      <c r="Q35" s="992"/>
      <c r="R35" s="992"/>
      <c r="S35" s="1008"/>
      <c r="T35" s="1008"/>
      <c r="U35" s="1008"/>
      <c r="V35" s="1008"/>
      <c r="W35" s="1008"/>
      <c r="X35" s="1008"/>
      <c r="Y35" s="1008"/>
      <c r="Z35" s="1008"/>
      <c r="AA35" s="952"/>
      <c r="AB35" s="952"/>
      <c r="AC35" s="952"/>
      <c r="AD35" s="952"/>
      <c r="AE35" s="952"/>
      <c r="AF35" s="952"/>
      <c r="AG35" s="952"/>
      <c r="AH35" s="952"/>
      <c r="AI35" s="952"/>
      <c r="AJ35" s="952"/>
      <c r="AK35" s="952"/>
      <c r="AL35" s="952"/>
      <c r="AM35" s="952"/>
      <c r="AN35" s="952"/>
      <c r="AO35" s="952"/>
      <c r="AP35" s="952"/>
      <c r="AQ35" s="952"/>
      <c r="AR35" s="952"/>
      <c r="AS35" s="952"/>
      <c r="AT35" s="952"/>
      <c r="AU35" s="952"/>
      <c r="AV35" s="952"/>
      <c r="AW35" s="952"/>
      <c r="AX35" s="952"/>
      <c r="AY35" s="952"/>
      <c r="AZ35" s="952"/>
    </row>
    <row r="36" spans="1:52" ht="15.75" x14ac:dyDescent="0.25">
      <c r="A36" s="4548" t="s">
        <v>890</v>
      </c>
      <c r="B36" s="4548"/>
      <c r="C36" s="1007">
        <f>SUM('5.5. sz. mell.  '!F45+'5.5. sz. mell.  '!F41)</f>
        <v>57641244</v>
      </c>
      <c r="D36" s="1007">
        <f>SUM('5.5. sz. mell.  '!G45+'5.5. sz. mell.  '!G41)</f>
        <v>15129952</v>
      </c>
      <c r="E36" s="1007">
        <f>SUM('5.5. sz. mell.  '!H45+'5.5. sz. mell.  '!H41)</f>
        <v>72771196</v>
      </c>
      <c r="F36" s="1007">
        <f>SUM('5.5. sz. mell.  '!I45+'5.5. sz. mell.  '!I41)</f>
        <v>11486237</v>
      </c>
      <c r="G36" s="1007">
        <f>SUM('5.5. sz. mell.  '!J45+'5.5. sz. mell.  '!J41)</f>
        <v>84257433</v>
      </c>
      <c r="H36" s="1007">
        <f>SUM('5.5. sz. mell.  '!K45+'5.5. sz. mell.  '!K41)</f>
        <v>0</v>
      </c>
      <c r="I36" s="1007">
        <f>SUM('5.5. sz. mell.  '!L45+'5.5. sz. mell.  '!L41)</f>
        <v>84257433</v>
      </c>
      <c r="J36" s="1007">
        <f>SUM('5.5. sz. mell.  '!M45+'5.5. sz. mell.  '!M41)</f>
        <v>84257433</v>
      </c>
      <c r="K36" s="992"/>
      <c r="L36" s="992"/>
      <c r="M36" s="4549" t="s">
        <v>897</v>
      </c>
      <c r="N36" s="4549"/>
      <c r="O36" s="4549"/>
      <c r="P36" s="4549"/>
      <c r="Q36" s="4549"/>
      <c r="R36" s="4549"/>
      <c r="S36" s="1010">
        <f>SUM('5.5. sz. mell.  '!F55)</f>
        <v>0</v>
      </c>
      <c r="T36" s="1010">
        <f>SUM('5.5. sz. mell.  '!G55)</f>
        <v>0</v>
      </c>
      <c r="U36" s="1010">
        <f>SUM('5.5. sz. mell.  '!H55)</f>
        <v>0</v>
      </c>
      <c r="V36" s="1010">
        <f>SUM('5.5. sz. mell.  '!I55)</f>
        <v>0</v>
      </c>
      <c r="W36" s="1010">
        <f>SUM('5.5. sz. mell.  '!J55)</f>
        <v>0</v>
      </c>
      <c r="X36" s="1010">
        <f>SUM('5.5. sz. mell.  '!K55)</f>
        <v>0</v>
      </c>
      <c r="Y36" s="1010">
        <f>SUM('5.5. sz. mell.  '!L55)</f>
        <v>0</v>
      </c>
      <c r="Z36" s="1010">
        <f>SUM('5.5. sz. mell.  '!M55)</f>
        <v>0</v>
      </c>
      <c r="AA36" s="952"/>
      <c r="AB36" s="952"/>
      <c r="AC36" s="952"/>
      <c r="AD36" s="952"/>
      <c r="AE36" s="952"/>
      <c r="AF36" s="952"/>
      <c r="AG36" s="952"/>
      <c r="AH36" s="952"/>
      <c r="AI36" s="952"/>
      <c r="AJ36" s="952"/>
      <c r="AK36" s="952"/>
      <c r="AL36" s="952"/>
      <c r="AM36" s="952"/>
      <c r="AN36" s="952"/>
      <c r="AO36" s="952"/>
      <c r="AP36" s="952"/>
      <c r="AQ36" s="952"/>
      <c r="AR36" s="952"/>
      <c r="AS36" s="952"/>
      <c r="AT36" s="952"/>
      <c r="AU36" s="952"/>
      <c r="AV36" s="952"/>
      <c r="AW36" s="952"/>
      <c r="AX36" s="952"/>
      <c r="AY36" s="952"/>
      <c r="AZ36" s="952"/>
    </row>
    <row r="37" spans="1:52" ht="15.75" x14ac:dyDescent="0.25">
      <c r="A37" s="1006" t="s">
        <v>893</v>
      </c>
      <c r="B37" s="1008"/>
      <c r="C37" s="1011">
        <f>SUM(C36-C9)</f>
        <v>0</v>
      </c>
      <c r="D37" s="1011"/>
      <c r="E37" s="1011">
        <f>SUM(E36-E9)</f>
        <v>0</v>
      </c>
      <c r="F37" s="1011"/>
      <c r="G37" s="1011">
        <f>SUM(G36-G9)</f>
        <v>8005612</v>
      </c>
      <c r="H37" s="1011"/>
      <c r="I37" s="1011">
        <f>SUM(I36-I9)</f>
        <v>0</v>
      </c>
      <c r="J37" s="1011">
        <f>SUM(J36-J9)</f>
        <v>0</v>
      </c>
      <c r="K37" s="992"/>
      <c r="L37" s="992"/>
      <c r="M37" s="1006" t="s">
        <v>893</v>
      </c>
      <c r="N37" s="1006"/>
      <c r="O37" s="1006"/>
      <c r="P37" s="1006"/>
      <c r="Q37" s="1006"/>
      <c r="R37" s="992"/>
      <c r="S37" s="1012">
        <f>SUM(S36-C16)</f>
        <v>0</v>
      </c>
      <c r="T37" s="1012"/>
      <c r="U37" s="1012">
        <f>SUM(U36-E16)</f>
        <v>0</v>
      </c>
      <c r="V37" s="1012"/>
      <c r="W37" s="1012">
        <f>SUM(W36-G16)</f>
        <v>0</v>
      </c>
      <c r="X37" s="1012"/>
      <c r="Y37" s="1012">
        <f>SUM(Y36-I16)</f>
        <v>0</v>
      </c>
      <c r="Z37" s="1012">
        <f>SUM(Z36-J16)</f>
        <v>0</v>
      </c>
      <c r="AA37" s="952"/>
      <c r="AB37" s="952"/>
      <c r="AC37" s="952"/>
      <c r="AD37" s="952"/>
      <c r="AE37" s="952"/>
      <c r="AF37" s="952"/>
      <c r="AG37" s="952"/>
      <c r="AH37" s="952"/>
      <c r="AI37" s="952"/>
      <c r="AJ37" s="952"/>
      <c r="AK37" s="952"/>
      <c r="AL37" s="952"/>
      <c r="AM37" s="952"/>
      <c r="AN37" s="952"/>
      <c r="AO37" s="952"/>
      <c r="AP37" s="952"/>
      <c r="AQ37" s="952"/>
      <c r="AR37" s="952"/>
      <c r="AS37" s="952"/>
      <c r="AT37" s="952"/>
      <c r="AU37" s="952"/>
      <c r="AV37" s="952"/>
      <c r="AW37" s="952"/>
      <c r="AX37" s="952"/>
      <c r="AY37" s="952"/>
      <c r="AZ37" s="952"/>
    </row>
    <row r="38" spans="1:52" ht="16.5" thickBot="1" x14ac:dyDescent="0.3">
      <c r="A38" s="992"/>
      <c r="B38" s="992"/>
      <c r="C38" s="992"/>
      <c r="D38" s="992"/>
      <c r="E38" s="992"/>
      <c r="F38" s="992"/>
      <c r="G38" s="992"/>
      <c r="H38" s="992"/>
      <c r="I38" s="992"/>
      <c r="J38" s="992"/>
      <c r="K38" s="992"/>
      <c r="L38" s="992"/>
      <c r="M38" s="992"/>
      <c r="N38" s="992"/>
      <c r="O38" s="992"/>
      <c r="P38" s="992"/>
      <c r="Q38" s="992"/>
      <c r="R38" s="992"/>
      <c r="S38" s="1008"/>
      <c r="T38" s="1008"/>
      <c r="U38" s="1008"/>
      <c r="V38" s="1008"/>
      <c r="W38" s="1008"/>
      <c r="X38" s="1008"/>
      <c r="Y38" s="1008"/>
      <c r="Z38" s="1008"/>
      <c r="AA38" s="952"/>
      <c r="AB38" s="952"/>
      <c r="AC38" s="952"/>
      <c r="AD38" s="952"/>
      <c r="AE38" s="952"/>
      <c r="AF38" s="952"/>
      <c r="AG38" s="952"/>
      <c r="AH38" s="952"/>
      <c r="AI38" s="952"/>
      <c r="AJ38" s="952"/>
      <c r="AK38" s="952"/>
      <c r="AL38" s="952"/>
      <c r="AM38" s="952"/>
      <c r="AN38" s="952"/>
      <c r="AO38" s="952"/>
      <c r="AP38" s="952"/>
      <c r="AQ38" s="952"/>
      <c r="AR38" s="952"/>
      <c r="AS38" s="952"/>
      <c r="AT38" s="952"/>
      <c r="AU38" s="952"/>
      <c r="AV38" s="952"/>
      <c r="AW38" s="952"/>
      <c r="AX38" s="952"/>
      <c r="AY38" s="952"/>
      <c r="AZ38" s="952"/>
    </row>
    <row r="39" spans="1:52" ht="16.5" thickTop="1" x14ac:dyDescent="0.25">
      <c r="A39" s="4556" t="s">
        <v>889</v>
      </c>
      <c r="B39" s="4557"/>
      <c r="C39" s="1015">
        <f>SUM('5.5. sz. mell.  '!F47)</f>
        <v>292047484</v>
      </c>
      <c r="D39" s="1015">
        <f>SUM('5.5. sz. mell.  '!G47)</f>
        <v>15222489</v>
      </c>
      <c r="E39" s="1015">
        <f>SUM('5.5. sz. mell.  '!H47)</f>
        <v>307269973</v>
      </c>
      <c r="F39" s="1015">
        <f>SUM('5.5. sz. mell.  '!I47)</f>
        <v>11289042</v>
      </c>
      <c r="G39" s="1015">
        <f>SUM('5.5. sz. mell.  '!J47)</f>
        <v>318559015</v>
      </c>
      <c r="H39" s="1015">
        <f>SUM('5.5. sz. mell.  '!K47)</f>
        <v>0</v>
      </c>
      <c r="I39" s="1015">
        <f>SUM('5.5. sz. mell.  '!L47)</f>
        <v>318559015</v>
      </c>
      <c r="J39" s="1016">
        <f>SUM('5.5. sz. mell.  '!M47)</f>
        <v>318586787</v>
      </c>
      <c r="K39" s="992"/>
      <c r="L39" s="992"/>
      <c r="M39" s="4549" t="s">
        <v>898</v>
      </c>
      <c r="N39" s="4549"/>
      <c r="O39" s="4549"/>
      <c r="P39" s="4549"/>
      <c r="Q39" s="4549"/>
      <c r="R39" s="4549"/>
      <c r="S39" s="1010">
        <f>SUM('5.5. sz. mell.  '!F57)</f>
        <v>1270000</v>
      </c>
      <c r="T39" s="1010">
        <f>SUM('5.5. sz. mell.  '!G57)</f>
        <v>2274260</v>
      </c>
      <c r="U39" s="1010">
        <f>SUM('5.5. sz. mell.  '!H57)</f>
        <v>3544260</v>
      </c>
      <c r="V39" s="1010">
        <f>SUM('5.5. sz. mell.  '!I57)</f>
        <v>-1092856</v>
      </c>
      <c r="W39" s="1010">
        <f>SUM('5.5. sz. mell.  '!J57)</f>
        <v>2451404</v>
      </c>
      <c r="X39" s="1010">
        <f>SUM('5.5. sz. mell.  '!K57)</f>
        <v>0</v>
      </c>
      <c r="Y39" s="1010">
        <f>SUM('5.5. sz. mell.  '!L57)</f>
        <v>2451404</v>
      </c>
      <c r="Z39" s="1010">
        <f>SUM('5.5. sz. mell.  '!M57)</f>
        <v>2451404</v>
      </c>
      <c r="AA39" s="1010">
        <f>SUM('5.5. sz. mell.  '!N57)</f>
        <v>0</v>
      </c>
      <c r="AB39" s="1010">
        <f>SUM('5.5. sz. mell.  '!O57)</f>
        <v>0</v>
      </c>
      <c r="AC39" s="1010">
        <f>SUM('5.5. sz. mell.  '!P57)</f>
        <v>0</v>
      </c>
      <c r="AD39" s="1010">
        <f>SUM('5.5. sz. mell.  '!Q57)</f>
        <v>0</v>
      </c>
      <c r="AE39" s="1010">
        <f>SUM('5.5. sz. mell.  '!R57)</f>
        <v>0</v>
      </c>
      <c r="AF39" s="1010">
        <f>SUM('5.5. sz. mell.  '!S57)</f>
        <v>0</v>
      </c>
      <c r="AG39" s="1010">
        <f>SUM('5.5. sz. mell.  '!T57)</f>
        <v>0</v>
      </c>
      <c r="AH39" s="1010">
        <f>SUM('5.5. sz. mell.  '!U57)</f>
        <v>0</v>
      </c>
      <c r="AI39" s="952"/>
      <c r="AJ39" s="952"/>
      <c r="AK39" s="952"/>
      <c r="AL39" s="952"/>
      <c r="AM39" s="952"/>
      <c r="AN39" s="952"/>
      <c r="AO39" s="952"/>
      <c r="AP39" s="952"/>
      <c r="AQ39" s="952"/>
      <c r="AR39" s="952"/>
      <c r="AS39" s="952"/>
      <c r="AT39" s="952"/>
      <c r="AU39" s="952"/>
      <c r="AV39" s="952"/>
      <c r="AW39" s="952"/>
      <c r="AX39" s="952"/>
      <c r="AY39" s="952"/>
      <c r="AZ39" s="952"/>
    </row>
    <row r="40" spans="1:52" ht="16.5" thickBot="1" x14ac:dyDescent="0.3">
      <c r="A40" s="1020" t="s">
        <v>960</v>
      </c>
      <c r="B40" s="1021"/>
      <c r="C40" s="1077">
        <f>SUM(C39-C10)</f>
        <v>0</v>
      </c>
      <c r="D40" s="1077"/>
      <c r="E40" s="1025">
        <f>SUM(E39-E10)</f>
        <v>0</v>
      </c>
      <c r="F40" s="1025"/>
      <c r="G40" s="1025">
        <f>SUM(G39-G10)</f>
        <v>7604423</v>
      </c>
      <c r="H40" s="1025"/>
      <c r="I40" s="1025">
        <f>SUM(I39-I10)</f>
        <v>0</v>
      </c>
      <c r="J40" s="1026">
        <f>SUM(J39-J10)</f>
        <v>0</v>
      </c>
      <c r="K40" s="992"/>
      <c r="L40" s="992"/>
      <c r="M40" s="1006" t="s">
        <v>893</v>
      </c>
      <c r="N40" s="1006"/>
      <c r="O40" s="1006"/>
      <c r="P40" s="1006"/>
      <c r="Q40" s="1006"/>
      <c r="R40" s="992"/>
      <c r="S40" s="1012">
        <f>SUM(S39-C17)</f>
        <v>0</v>
      </c>
      <c r="T40" s="1012"/>
      <c r="U40" s="1012">
        <f>SUM(U39-E17)</f>
        <v>0</v>
      </c>
      <c r="V40" s="1012"/>
      <c r="W40" s="1012">
        <f>SUM(W39-G17)</f>
        <v>-1092856</v>
      </c>
      <c r="X40" s="1012"/>
      <c r="Y40" s="1012">
        <f>SUM(Y39-I17)</f>
        <v>0</v>
      </c>
      <c r="Z40" s="1012">
        <f>SUM(Z39-J17)</f>
        <v>0</v>
      </c>
      <c r="AA40" s="952"/>
      <c r="AB40" s="952"/>
      <c r="AC40" s="952"/>
      <c r="AD40" s="952"/>
      <c r="AE40" s="952"/>
      <c r="AF40" s="952"/>
      <c r="AG40" s="952"/>
      <c r="AH40" s="952"/>
      <c r="AI40" s="952"/>
      <c r="AJ40" s="952"/>
      <c r="AK40" s="952"/>
      <c r="AL40" s="952"/>
      <c r="AM40" s="952"/>
      <c r="AN40" s="952"/>
      <c r="AO40" s="952"/>
      <c r="AP40" s="952"/>
      <c r="AQ40" s="952"/>
      <c r="AR40" s="952"/>
      <c r="AS40" s="952"/>
      <c r="AT40" s="952"/>
      <c r="AU40" s="952"/>
      <c r="AV40" s="952"/>
      <c r="AW40" s="952"/>
      <c r="AX40" s="952"/>
      <c r="AY40" s="952"/>
      <c r="AZ40" s="952"/>
    </row>
    <row r="41" spans="1:52" ht="16.5" thickTop="1" x14ac:dyDescent="0.25">
      <c r="A41" s="1225"/>
      <c r="B41" s="1226"/>
      <c r="C41" s="1227"/>
      <c r="D41" s="1227"/>
      <c r="E41" s="1228"/>
      <c r="F41" s="1228"/>
      <c r="G41" s="1228"/>
      <c r="H41" s="1228"/>
      <c r="I41" s="1228"/>
      <c r="J41" s="1228"/>
      <c r="K41" s="992"/>
      <c r="L41" s="992"/>
      <c r="M41" s="1006"/>
      <c r="N41" s="1006"/>
      <c r="O41" s="1006"/>
      <c r="P41" s="1006"/>
      <c r="Q41" s="1006"/>
      <c r="R41" s="992"/>
      <c r="S41" s="1012"/>
      <c r="T41" s="1012"/>
      <c r="U41" s="1012"/>
      <c r="V41" s="1012"/>
      <c r="W41" s="1012"/>
      <c r="X41" s="1012"/>
      <c r="Y41" s="1012"/>
      <c r="Z41" s="1012"/>
      <c r="AA41" s="952"/>
      <c r="AB41" s="952"/>
      <c r="AC41" s="952"/>
      <c r="AD41" s="952"/>
      <c r="AE41" s="952"/>
      <c r="AF41" s="952"/>
      <c r="AG41" s="952"/>
      <c r="AH41" s="952"/>
      <c r="AI41" s="952"/>
      <c r="AJ41" s="952"/>
      <c r="AK41" s="952"/>
      <c r="AL41" s="952"/>
      <c r="AM41" s="952"/>
      <c r="AN41" s="952"/>
      <c r="AO41" s="952"/>
      <c r="AP41" s="952"/>
      <c r="AQ41" s="952"/>
      <c r="AR41" s="952"/>
      <c r="AS41" s="952"/>
      <c r="AT41" s="952"/>
      <c r="AU41" s="952"/>
      <c r="AV41" s="952"/>
      <c r="AW41" s="952"/>
      <c r="AX41" s="952"/>
      <c r="AY41" s="952"/>
      <c r="AZ41" s="952"/>
    </row>
    <row r="42" spans="1:52" ht="15.75" x14ac:dyDescent="0.25">
      <c r="A42" s="1225"/>
      <c r="B42" s="1226"/>
      <c r="C42" s="1227"/>
      <c r="D42" s="1227"/>
      <c r="E42" s="1228"/>
      <c r="F42" s="1228"/>
      <c r="G42" s="1228"/>
      <c r="H42" s="1228"/>
      <c r="I42" s="1228"/>
      <c r="J42" s="1228"/>
      <c r="K42" s="992"/>
      <c r="L42" s="992"/>
      <c r="M42" s="1008" t="s">
        <v>513</v>
      </c>
      <c r="N42" s="1008"/>
      <c r="O42" s="1008" t="s">
        <v>513</v>
      </c>
      <c r="P42" s="1008"/>
      <c r="R42" s="992"/>
      <c r="S42" s="1010">
        <f>SUM('5.5. sz. mell.  '!F58)</f>
        <v>0</v>
      </c>
      <c r="T42" s="1012">
        <f>SUM('5.5. sz. mell.  '!G58)</f>
        <v>880000</v>
      </c>
      <c r="U42" s="1012">
        <f>SUM('5.5. sz. mell.  '!H58)</f>
        <v>880000</v>
      </c>
      <c r="V42" s="1012">
        <f>SUM('5.5. sz. mell.  '!I58)</f>
        <v>2162284</v>
      </c>
      <c r="W42" s="1010">
        <f>SUM('5.5. sz. mell.  '!J58)</f>
        <v>3042284</v>
      </c>
      <c r="X42" s="1012">
        <f>SUM('5.5. sz. mell.  '!K58)</f>
        <v>0</v>
      </c>
      <c r="Y42" s="1010">
        <f>SUM('5.5. sz. mell.  '!L58)</f>
        <v>3042284</v>
      </c>
      <c r="Z42" s="1010">
        <f>SUM('5.5. sz. mell.  '!M58)</f>
        <v>3042284</v>
      </c>
      <c r="AA42" s="1012">
        <f>SUM('5.5. sz. mell.  '!N58)</f>
        <v>0</v>
      </c>
      <c r="AB42" s="1012">
        <f>SUM('5.5. sz. mell.  '!O58)</f>
        <v>0</v>
      </c>
      <c r="AC42" s="1012">
        <f>SUM('5.5. sz. mell.  '!P58)</f>
        <v>0</v>
      </c>
      <c r="AD42" s="1012">
        <f>SUM('5.5. sz. mell.  '!Q58)</f>
        <v>0</v>
      </c>
      <c r="AE42" s="1012">
        <f>SUM('5.5. sz. mell.  '!R58)</f>
        <v>0</v>
      </c>
      <c r="AF42" s="1012">
        <f>SUM('5.5. sz. mell.  '!S58)</f>
        <v>0</v>
      </c>
      <c r="AG42" s="1012">
        <f>SUM('5.5. sz. mell.  '!T58)</f>
        <v>0</v>
      </c>
      <c r="AH42" s="1012">
        <f>SUM('5.5. sz. mell.  '!U58)</f>
        <v>0</v>
      </c>
      <c r="AI42" s="1012"/>
      <c r="AJ42" s="952"/>
      <c r="AK42" s="952"/>
      <c r="AL42" s="952"/>
      <c r="AM42" s="952"/>
      <c r="AN42" s="952"/>
      <c r="AO42" s="952"/>
      <c r="AP42" s="952"/>
      <c r="AQ42" s="952"/>
      <c r="AR42" s="952"/>
      <c r="AS42" s="952"/>
      <c r="AT42" s="952"/>
      <c r="AU42" s="952"/>
      <c r="AV42" s="952"/>
      <c r="AW42" s="952"/>
      <c r="AX42" s="952"/>
      <c r="AY42" s="952"/>
      <c r="AZ42" s="952"/>
    </row>
    <row r="43" spans="1:52" ht="15.75" x14ac:dyDescent="0.25">
      <c r="A43" s="992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1097" t="s">
        <v>893</v>
      </c>
      <c r="N43" s="1097"/>
      <c r="O43" s="1097"/>
      <c r="P43" s="1097"/>
      <c r="Q43" s="1097"/>
      <c r="R43" s="992"/>
      <c r="S43" s="1010">
        <f>SUM(S42-C18)</f>
        <v>0</v>
      </c>
      <c r="T43" s="1010">
        <f t="shared" ref="T43:Y43" si="12">SUM(T42-D18)</f>
        <v>880000</v>
      </c>
      <c r="U43" s="1010">
        <f t="shared" si="12"/>
        <v>0</v>
      </c>
      <c r="V43" s="1010">
        <f t="shared" si="12"/>
        <v>2162284</v>
      </c>
      <c r="W43" s="1010">
        <f t="shared" si="12"/>
        <v>-11611</v>
      </c>
      <c r="X43" s="1010">
        <f t="shared" si="12"/>
        <v>0</v>
      </c>
      <c r="Y43" s="1010">
        <f t="shared" si="12"/>
        <v>0</v>
      </c>
      <c r="Z43" s="1010">
        <f>SUM(Z42-J18)</f>
        <v>0</v>
      </c>
      <c r="AA43" s="952"/>
      <c r="AB43" s="952"/>
      <c r="AC43" s="952"/>
      <c r="AD43" s="952"/>
      <c r="AE43" s="952"/>
      <c r="AF43" s="952"/>
      <c r="AG43" s="952"/>
      <c r="AH43" s="952"/>
      <c r="AI43" s="952"/>
      <c r="AJ43" s="952"/>
      <c r="AK43" s="952"/>
      <c r="AL43" s="952"/>
      <c r="AM43" s="952"/>
      <c r="AN43" s="952"/>
      <c r="AO43" s="952"/>
      <c r="AP43" s="952"/>
      <c r="AQ43" s="952"/>
      <c r="AR43" s="952"/>
      <c r="AS43" s="952"/>
      <c r="AT43" s="952"/>
      <c r="AU43" s="952"/>
      <c r="AV43" s="952"/>
      <c r="AW43" s="952"/>
      <c r="AX43" s="952"/>
      <c r="AY43" s="952"/>
      <c r="AZ43" s="952"/>
    </row>
    <row r="44" spans="1:52" ht="16.5" thickBot="1" x14ac:dyDescent="0.3">
      <c r="A44" s="992"/>
      <c r="B44" s="992"/>
      <c r="C44" s="992"/>
      <c r="D44" s="992"/>
      <c r="E44" s="992"/>
      <c r="F44" s="992"/>
      <c r="G44" s="992"/>
      <c r="H44" s="992"/>
      <c r="I44" s="992"/>
      <c r="J44" s="992"/>
      <c r="K44" s="992"/>
      <c r="L44" s="992"/>
      <c r="M44" s="1097"/>
      <c r="N44" s="1097"/>
      <c r="O44" s="1097"/>
      <c r="P44" s="1097"/>
      <c r="Q44" s="1097"/>
      <c r="R44" s="992"/>
      <c r="S44" s="1008"/>
      <c r="T44" s="1008"/>
      <c r="U44" s="1008"/>
      <c r="V44" s="1008"/>
      <c r="W44" s="1008"/>
      <c r="X44" s="1008"/>
      <c r="Y44" s="1008"/>
      <c r="Z44" s="1008"/>
      <c r="AA44" s="952"/>
      <c r="AB44" s="952"/>
      <c r="AC44" s="952"/>
      <c r="AD44" s="952"/>
      <c r="AE44" s="952"/>
      <c r="AF44" s="952"/>
      <c r="AG44" s="952"/>
      <c r="AH44" s="952"/>
      <c r="AI44" s="952"/>
      <c r="AJ44" s="952"/>
      <c r="AK44" s="952"/>
      <c r="AL44" s="952"/>
      <c r="AM44" s="952"/>
      <c r="AN44" s="952"/>
      <c r="AO44" s="952"/>
      <c r="AP44" s="952"/>
      <c r="AQ44" s="952"/>
      <c r="AR44" s="952"/>
      <c r="AS44" s="952"/>
      <c r="AT44" s="952"/>
      <c r="AU44" s="952"/>
      <c r="AV44" s="952"/>
      <c r="AW44" s="952"/>
      <c r="AX44" s="952"/>
      <c r="AY44" s="952"/>
      <c r="AZ44" s="952"/>
    </row>
    <row r="45" spans="1:52" ht="16.5" thickTop="1" x14ac:dyDescent="0.25">
      <c r="A45" s="992"/>
      <c r="B45" s="992"/>
      <c r="C45" s="992"/>
      <c r="D45" s="992"/>
      <c r="E45" s="992"/>
      <c r="F45" s="992"/>
      <c r="G45" s="992"/>
      <c r="H45" s="992"/>
      <c r="I45" s="992"/>
      <c r="J45" s="992"/>
      <c r="K45" s="992"/>
      <c r="L45" s="992"/>
      <c r="M45" s="1014" t="s">
        <v>899</v>
      </c>
      <c r="N45" s="2214"/>
      <c r="O45" s="1014" t="s">
        <v>2016</v>
      </c>
      <c r="P45" s="2214"/>
      <c r="Q45" s="2214"/>
      <c r="R45" s="1017"/>
      <c r="S45" s="1018">
        <f>SUM('5.5. sz. mell.  '!F63)</f>
        <v>292047484</v>
      </c>
      <c r="T45" s="1018">
        <f>SUM('5.5. sz. mell.  '!G63)</f>
        <v>15222489</v>
      </c>
      <c r="U45" s="1018">
        <f>SUM('5.5. sz. mell.  '!H63)</f>
        <v>307269973</v>
      </c>
      <c r="V45" s="1018">
        <f>SUM('5.5. sz. mell.  '!I63)</f>
        <v>11289042</v>
      </c>
      <c r="W45" s="1018">
        <f>SUM('5.5. sz. mell.  '!J63)</f>
        <v>318559015</v>
      </c>
      <c r="X45" s="1018">
        <f>SUM('5.5. sz. mell.  '!K63)</f>
        <v>0</v>
      </c>
      <c r="Y45" s="1018">
        <f>SUM('5.5. sz. mell.  '!L63)</f>
        <v>318559015</v>
      </c>
      <c r="Z45" s="1019">
        <f>SUM('5.5. sz. mell.  '!M63)</f>
        <v>318413176</v>
      </c>
      <c r="AA45" s="952"/>
      <c r="AB45" s="952"/>
      <c r="AC45" s="952"/>
      <c r="AD45" s="952"/>
      <c r="AE45" s="952"/>
      <c r="AF45" s="952"/>
      <c r="AG45" s="952"/>
      <c r="AH45" s="952"/>
      <c r="AI45" s="952"/>
      <c r="AJ45" s="952"/>
      <c r="AK45" s="952"/>
      <c r="AL45" s="952"/>
      <c r="AM45" s="952"/>
      <c r="AN45" s="952"/>
      <c r="AO45" s="952"/>
      <c r="AP45" s="952"/>
      <c r="AQ45" s="952"/>
      <c r="AR45" s="952"/>
      <c r="AS45" s="952"/>
      <c r="AT45" s="952"/>
      <c r="AU45" s="952"/>
      <c r="AV45" s="952"/>
      <c r="AW45" s="952"/>
      <c r="AX45" s="952"/>
      <c r="AY45" s="952"/>
      <c r="AZ45" s="952"/>
    </row>
    <row r="46" spans="1:52" ht="16.5" thickBot="1" x14ac:dyDescent="0.3">
      <c r="A46" s="992"/>
      <c r="B46" s="992"/>
      <c r="C46" s="992"/>
      <c r="D46" s="992"/>
      <c r="E46" s="992"/>
      <c r="F46" s="992"/>
      <c r="G46" s="992"/>
      <c r="H46" s="992"/>
      <c r="I46" s="992"/>
      <c r="J46" s="992"/>
      <c r="K46" s="992"/>
      <c r="L46" s="992"/>
      <c r="M46" s="1020" t="s">
        <v>893</v>
      </c>
      <c r="N46" s="2222"/>
      <c r="O46" s="1020" t="s">
        <v>960</v>
      </c>
      <c r="P46" s="2222"/>
      <c r="Q46" s="2222"/>
      <c r="R46" s="1024"/>
      <c r="S46" s="1025">
        <f>SUM(S45-C19)</f>
        <v>0</v>
      </c>
      <c r="T46" s="1025"/>
      <c r="U46" s="1025">
        <f>SUM(U45-E19)</f>
        <v>0</v>
      </c>
      <c r="V46" s="1025"/>
      <c r="W46" s="1025">
        <f>SUM(W45-G19)</f>
        <v>7604423</v>
      </c>
      <c r="X46" s="1025"/>
      <c r="Y46" s="1025">
        <f>SUM(Y45-I19)</f>
        <v>0</v>
      </c>
      <c r="Z46" s="1026">
        <f>SUM(Z45-J19)</f>
        <v>0</v>
      </c>
      <c r="AA46" s="952"/>
      <c r="AB46" s="952"/>
      <c r="AC46" s="952"/>
      <c r="AD46" s="952"/>
      <c r="AE46" s="952"/>
      <c r="AF46" s="952"/>
      <c r="AG46" s="952"/>
      <c r="AH46" s="952"/>
      <c r="AI46" s="952"/>
      <c r="AJ46" s="952"/>
      <c r="AK46" s="952"/>
      <c r="AL46" s="952"/>
      <c r="AM46" s="952"/>
      <c r="AN46" s="952"/>
      <c r="AO46" s="952"/>
      <c r="AP46" s="952"/>
      <c r="AQ46" s="952"/>
      <c r="AR46" s="952"/>
      <c r="AS46" s="952"/>
      <c r="AT46" s="952"/>
      <c r="AU46" s="952"/>
      <c r="AV46" s="952"/>
      <c r="AW46" s="952"/>
      <c r="AX46" s="952"/>
      <c r="AY46" s="952"/>
      <c r="AZ46" s="952"/>
    </row>
    <row r="47" spans="1:52" ht="15.75" thickTop="1" x14ac:dyDescent="0.25">
      <c r="A47" s="992"/>
      <c r="B47" s="992"/>
      <c r="C47" s="992"/>
      <c r="D47" s="992"/>
      <c r="E47" s="992"/>
      <c r="F47" s="992"/>
      <c r="G47" s="992"/>
      <c r="H47" s="992"/>
      <c r="I47" s="992"/>
      <c r="J47" s="992"/>
      <c r="K47" s="992"/>
      <c r="L47" s="992"/>
      <c r="M47" s="992"/>
      <c r="N47" s="992"/>
      <c r="O47" s="992"/>
      <c r="P47" s="992"/>
      <c r="Q47" s="992"/>
      <c r="R47" s="992"/>
      <c r="S47" s="992"/>
      <c r="T47" s="992"/>
      <c r="U47" s="992"/>
      <c r="V47" s="992"/>
      <c r="W47" s="992"/>
      <c r="X47" s="992"/>
      <c r="Y47" s="992"/>
      <c r="Z47" s="992"/>
      <c r="AA47" s="952"/>
      <c r="AB47" s="952"/>
      <c r="AC47" s="952"/>
      <c r="AD47" s="952"/>
      <c r="AE47" s="952"/>
      <c r="AF47" s="952"/>
      <c r="AG47" s="952"/>
      <c r="AH47" s="952"/>
      <c r="AI47" s="952"/>
      <c r="AJ47" s="952"/>
      <c r="AK47" s="952"/>
      <c r="AL47" s="952"/>
      <c r="AM47" s="952"/>
      <c r="AN47" s="952"/>
      <c r="AO47" s="952"/>
      <c r="AP47" s="952"/>
      <c r="AQ47" s="952"/>
      <c r="AR47" s="952"/>
      <c r="AS47" s="952"/>
      <c r="AT47" s="952"/>
      <c r="AU47" s="952"/>
      <c r="AV47" s="952"/>
      <c r="AW47" s="952"/>
      <c r="AX47" s="952"/>
      <c r="AY47" s="952"/>
      <c r="AZ47" s="952"/>
    </row>
    <row r="48" spans="1:52" x14ac:dyDescent="0.25">
      <c r="A48" s="992"/>
      <c r="B48" s="992"/>
      <c r="C48" s="992"/>
      <c r="D48" s="992"/>
      <c r="E48" s="992"/>
      <c r="F48" s="992"/>
      <c r="G48" s="992"/>
      <c r="H48" s="992"/>
      <c r="I48" s="992"/>
      <c r="J48" s="992"/>
      <c r="K48" s="992"/>
      <c r="L48" s="992"/>
      <c r="M48" s="992"/>
      <c r="N48" s="992"/>
      <c r="O48" s="992"/>
      <c r="P48" s="992"/>
      <c r="Q48" s="992"/>
      <c r="R48" s="992"/>
      <c r="S48" s="992"/>
      <c r="T48" s="992"/>
      <c r="U48" s="992"/>
      <c r="V48" s="992"/>
      <c r="W48" s="992"/>
      <c r="X48" s="992"/>
      <c r="Y48" s="992"/>
      <c r="Z48" s="992"/>
      <c r="AA48" s="952"/>
      <c r="AB48" s="952"/>
      <c r="AC48" s="952"/>
      <c r="AD48" s="952"/>
      <c r="AE48" s="952"/>
      <c r="AF48" s="952"/>
      <c r="AG48" s="952"/>
      <c r="AH48" s="952"/>
      <c r="AI48" s="952"/>
      <c r="AJ48" s="952"/>
      <c r="AK48" s="952"/>
      <c r="AL48" s="952"/>
      <c r="AM48" s="952"/>
      <c r="AN48" s="952"/>
      <c r="AO48" s="952"/>
      <c r="AP48" s="952"/>
      <c r="AQ48" s="952"/>
      <c r="AR48" s="952"/>
      <c r="AS48" s="952"/>
      <c r="AT48" s="952"/>
      <c r="AU48" s="952"/>
      <c r="AV48" s="952"/>
      <c r="AW48" s="952"/>
      <c r="AX48" s="952"/>
      <c r="AY48" s="952"/>
      <c r="AZ48" s="952"/>
    </row>
    <row r="49" spans="1:52" x14ac:dyDescent="0.25">
      <c r="A49" s="992"/>
      <c r="B49" s="992"/>
      <c r="C49" s="992"/>
      <c r="D49" s="992"/>
      <c r="E49" s="992"/>
      <c r="F49" s="992"/>
      <c r="G49" s="992"/>
      <c r="H49" s="992"/>
      <c r="I49" s="992"/>
      <c r="J49" s="992"/>
      <c r="K49" s="992"/>
      <c r="L49" s="992"/>
      <c r="M49" s="992"/>
      <c r="N49" s="992"/>
      <c r="O49" s="992"/>
      <c r="P49" s="992"/>
      <c r="Q49" s="992"/>
      <c r="R49" s="992"/>
      <c r="S49" s="992"/>
      <c r="T49" s="992"/>
      <c r="U49" s="992"/>
      <c r="V49" s="992"/>
      <c r="W49" s="992"/>
      <c r="X49" s="992"/>
      <c r="Y49" s="992"/>
      <c r="Z49" s="992"/>
      <c r="AA49" s="952"/>
      <c r="AB49" s="952"/>
      <c r="AC49" s="952"/>
      <c r="AD49" s="952"/>
      <c r="AE49" s="952"/>
      <c r="AF49" s="952"/>
      <c r="AG49" s="952"/>
      <c r="AH49" s="952"/>
      <c r="AI49" s="952"/>
      <c r="AJ49" s="952"/>
      <c r="AK49" s="952"/>
      <c r="AL49" s="952"/>
      <c r="AM49" s="952"/>
      <c r="AN49" s="952"/>
      <c r="AO49" s="952"/>
      <c r="AP49" s="952"/>
      <c r="AQ49" s="952"/>
      <c r="AR49" s="952"/>
      <c r="AS49" s="952"/>
      <c r="AT49" s="952"/>
      <c r="AU49" s="952"/>
      <c r="AV49" s="952"/>
      <c r="AW49" s="952"/>
      <c r="AX49" s="952"/>
      <c r="AY49" s="952"/>
      <c r="AZ49" s="952"/>
    </row>
    <row r="50" spans="1:52" x14ac:dyDescent="0.25">
      <c r="A50" s="992"/>
      <c r="B50" s="992"/>
      <c r="C50" s="992"/>
      <c r="D50" s="992"/>
      <c r="E50" s="992"/>
      <c r="F50" s="992"/>
      <c r="G50" s="992"/>
      <c r="H50" s="992"/>
      <c r="I50" s="992"/>
      <c r="J50" s="992"/>
      <c r="K50" s="992"/>
      <c r="L50" s="992"/>
      <c r="M50" s="992"/>
      <c r="N50" s="992"/>
      <c r="O50" s="992"/>
      <c r="P50" s="992"/>
      <c r="Q50" s="992"/>
      <c r="R50" s="992"/>
      <c r="S50" s="992"/>
      <c r="T50" s="992"/>
      <c r="U50" s="992"/>
      <c r="V50" s="992"/>
      <c r="W50" s="992"/>
      <c r="X50" s="992"/>
      <c r="Y50" s="992"/>
      <c r="Z50" s="992"/>
      <c r="AA50" s="952"/>
      <c r="AB50" s="952"/>
      <c r="AC50" s="952"/>
      <c r="AD50" s="952"/>
      <c r="AE50" s="952"/>
      <c r="AF50" s="952"/>
      <c r="AG50" s="952"/>
      <c r="AH50" s="952"/>
      <c r="AI50" s="952"/>
      <c r="AJ50" s="952"/>
      <c r="AK50" s="952"/>
      <c r="AL50" s="952"/>
      <c r="AM50" s="952"/>
      <c r="AN50" s="952"/>
      <c r="AO50" s="952"/>
      <c r="AP50" s="952"/>
      <c r="AQ50" s="952"/>
      <c r="AR50" s="952"/>
      <c r="AS50" s="952"/>
      <c r="AT50" s="952"/>
      <c r="AU50" s="952"/>
      <c r="AV50" s="952"/>
      <c r="AW50" s="952"/>
      <c r="AX50" s="952"/>
      <c r="AY50" s="952"/>
      <c r="AZ50" s="952"/>
    </row>
    <row r="51" spans="1:52" ht="15.75" x14ac:dyDescent="0.25">
      <c r="A51" s="638"/>
      <c r="B51" s="638"/>
      <c r="C51" s="643"/>
      <c r="D51" s="643"/>
      <c r="E51" s="643"/>
      <c r="F51" s="643"/>
      <c r="G51" s="643"/>
      <c r="H51" s="643"/>
      <c r="I51" s="643"/>
      <c r="J51" s="643"/>
    </row>
    <row r="52" spans="1:52" ht="15.75" x14ac:dyDescent="0.25">
      <c r="A52" s="641"/>
      <c r="B52" s="638"/>
      <c r="C52" s="647"/>
      <c r="D52" s="647"/>
      <c r="E52" s="644"/>
      <c r="F52" s="644"/>
      <c r="G52" s="644"/>
      <c r="H52" s="644"/>
      <c r="I52" s="644"/>
      <c r="J52" s="644"/>
    </row>
  </sheetData>
  <mergeCells count="34">
    <mergeCell ref="AY4:BF4"/>
    <mergeCell ref="A6:B6"/>
    <mergeCell ref="S4:Z4"/>
    <mergeCell ref="A7:B7"/>
    <mergeCell ref="A17:B17"/>
    <mergeCell ref="A1:AX1"/>
    <mergeCell ref="A2:AX2"/>
    <mergeCell ref="AA4:AH4"/>
    <mergeCell ref="AI4:AP4"/>
    <mergeCell ref="A15:B15"/>
    <mergeCell ref="A13:B13"/>
    <mergeCell ref="A8:B8"/>
    <mergeCell ref="AQ4:AX4"/>
    <mergeCell ref="A4:B5"/>
    <mergeCell ref="A3:BF3"/>
    <mergeCell ref="A12:BF12"/>
    <mergeCell ref="A9:B9"/>
    <mergeCell ref="A10:B10"/>
    <mergeCell ref="A14:B14"/>
    <mergeCell ref="C4:J4"/>
    <mergeCell ref="K4:R4"/>
    <mergeCell ref="M39:R39"/>
    <mergeCell ref="A16:B16"/>
    <mergeCell ref="A25:B25"/>
    <mergeCell ref="A39:B39"/>
    <mergeCell ref="A27:B27"/>
    <mergeCell ref="A36:B36"/>
    <mergeCell ref="M33:R33"/>
    <mergeCell ref="M36:R36"/>
    <mergeCell ref="A33:B33"/>
    <mergeCell ref="A30:B30"/>
    <mergeCell ref="M30:R30"/>
    <mergeCell ref="M27:R27"/>
    <mergeCell ref="A19:B1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4" firstPageNumber="68" orientation="landscape" useFirstPageNumber="1" r:id="rId1"/>
  <headerFooter>
    <oddHeader>&amp;R&amp;12 5.5.d.számú melléklet
Forint</oddHeader>
    <oddFooter xml:space="preserve">&amp;C&amp;12- &amp;P -
</oddFooter>
  </headerFooter>
  <rowBreaks count="1" manualBreakCount="1">
    <brk id="24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89"/>
  <sheetViews>
    <sheetView view="pageBreakPreview" topLeftCell="C39" zoomScaleNormal="100" zoomScaleSheetLayoutView="100" zoomScalePageLayoutView="60" workbookViewId="0">
      <selection activeCell="J84" sqref="J84:J85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2.1640625" style="115" customWidth="1"/>
    <col min="4" max="5" width="9.33203125" style="115" hidden="1" customWidth="1"/>
    <col min="6" max="6" width="13.5" style="115" customWidth="1"/>
    <col min="7" max="7" width="13.1640625" style="1390" hidden="1" customWidth="1"/>
    <col min="8" max="8" width="11.5" style="115" hidden="1" customWidth="1"/>
    <col min="9" max="9" width="11.1640625" style="1390" hidden="1" customWidth="1"/>
    <col min="10" max="10" width="12.83203125" style="115" customWidth="1"/>
    <col min="11" max="11" width="13.6640625" style="1390" customWidth="1"/>
    <col min="12" max="12" width="16.1640625" style="115" customWidth="1"/>
    <col min="13" max="13" width="14.33203125" style="115" customWidth="1"/>
    <col min="14" max="14" width="11.83203125" style="115" customWidth="1"/>
    <col min="15" max="15" width="9.33203125" style="115"/>
    <col min="16" max="16" width="13" style="115" hidden="1" customWidth="1"/>
    <col min="17" max="17" width="13.5" style="115" customWidth="1"/>
    <col min="18" max="18" width="0" style="115" hidden="1" customWidth="1"/>
    <col min="19" max="19" width="9.33203125" style="115"/>
    <col min="20" max="20" width="0" style="115" hidden="1" customWidth="1"/>
    <col min="21" max="21" width="9" style="115" customWidth="1"/>
    <col min="22" max="22" width="15.33203125" style="115" customWidth="1"/>
    <col min="23" max="16384" width="9.33203125" style="115"/>
  </cols>
  <sheetData>
    <row r="1" spans="1:13" s="98" customFormat="1" ht="15" customHeight="1" thickBot="1" x14ac:dyDescent="0.25">
      <c r="A1" s="240"/>
      <c r="B1" s="241"/>
      <c r="C1" s="242"/>
      <c r="D1" s="4526" t="s">
        <v>736</v>
      </c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476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204" t="s">
        <v>1448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3114" t="s">
        <v>935</v>
      </c>
    </row>
    <row r="5" spans="1:13" s="145" customFormat="1" ht="33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92" t="s">
        <v>3</v>
      </c>
      <c r="B8" s="148"/>
      <c r="C8" s="247" t="s">
        <v>413</v>
      </c>
      <c r="D8" s="137">
        <f>SUM(D9:D18)</f>
        <v>6917</v>
      </c>
      <c r="E8" s="137">
        <f>SUM(E9:E18)</f>
        <v>6917</v>
      </c>
      <c r="F8" s="137">
        <f>SUM(F9:F18)</f>
        <v>6342642</v>
      </c>
      <c r="G8" s="1382">
        <f t="shared" ref="G8:K23" si="0">SUM(H8-F8)</f>
        <v>0</v>
      </c>
      <c r="H8" s="137">
        <f>SUM(H9:H18)</f>
        <v>6342642</v>
      </c>
      <c r="I8" s="1374">
        <f t="shared" si="0"/>
        <v>1683869</v>
      </c>
      <c r="J8" s="137">
        <f>SUM(J9:J18)</f>
        <v>8026511</v>
      </c>
      <c r="K8" s="1374">
        <f t="shared" si="0"/>
        <v>0</v>
      </c>
      <c r="L8" s="137">
        <f>SUM(L9:L18)</f>
        <v>8026511</v>
      </c>
      <c r="M8" s="137">
        <f>SUM(M9:M18)</f>
        <v>8026511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415">
        <f t="shared" si="0"/>
        <v>0</v>
      </c>
      <c r="H9" s="150">
        <v>0</v>
      </c>
      <c r="I9" s="1376">
        <f t="shared" si="0"/>
        <v>0</v>
      </c>
      <c r="J9" s="150"/>
      <c r="K9" s="1376">
        <f t="shared" si="0"/>
        <v>0</v>
      </c>
      <c r="L9" s="150"/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/>
      <c r="E10" s="144"/>
      <c r="F10" s="144">
        <v>0</v>
      </c>
      <c r="G10" s="1415">
        <f t="shared" si="0"/>
        <v>1186800</v>
      </c>
      <c r="H10" s="144">
        <v>1186800</v>
      </c>
      <c r="I10" s="1376">
        <f t="shared" si="0"/>
        <v>-172205</v>
      </c>
      <c r="J10" s="144">
        <v>1014595</v>
      </c>
      <c r="K10" s="1376">
        <f t="shared" si="0"/>
        <v>0</v>
      </c>
      <c r="L10" s="144">
        <v>1014595</v>
      </c>
      <c r="M10" s="144">
        <v>1014595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2500</v>
      </c>
      <c r="E11" s="144">
        <v>2500</v>
      </c>
      <c r="F11" s="144"/>
      <c r="G11" s="1415">
        <f t="shared" si="0"/>
        <v>0</v>
      </c>
      <c r="H11" s="144"/>
      <c r="I11" s="1376">
        <f t="shared" si="0"/>
        <v>0</v>
      </c>
      <c r="J11" s="144"/>
      <c r="K11" s="1376">
        <f t="shared" si="0"/>
        <v>0</v>
      </c>
      <c r="L11" s="144"/>
      <c r="M11" s="144"/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2571</v>
      </c>
      <c r="E12" s="144">
        <v>2571</v>
      </c>
      <c r="F12" s="144">
        <v>5844600</v>
      </c>
      <c r="G12" s="1415">
        <f t="shared" si="0"/>
        <v>-1186800</v>
      </c>
      <c r="H12" s="144">
        <v>4657800</v>
      </c>
      <c r="I12" s="1376">
        <f t="shared" si="0"/>
        <v>1776250</v>
      </c>
      <c r="J12" s="144">
        <v>6434050</v>
      </c>
      <c r="K12" s="1376">
        <f t="shared" si="0"/>
        <v>0</v>
      </c>
      <c r="L12" s="144">
        <v>6434050</v>
      </c>
      <c r="M12" s="144">
        <v>6434050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907</v>
      </c>
      <c r="E13" s="144">
        <v>907</v>
      </c>
      <c r="F13" s="144"/>
      <c r="G13" s="1415">
        <f t="shared" si="0"/>
        <v>0</v>
      </c>
      <c r="H13" s="144"/>
      <c r="I13" s="1376">
        <f t="shared" si="0"/>
        <v>0</v>
      </c>
      <c r="J13" s="144"/>
      <c r="K13" s="1376">
        <f t="shared" si="0"/>
        <v>0</v>
      </c>
      <c r="L13" s="144"/>
      <c r="M13" s="144"/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939</v>
      </c>
      <c r="E14" s="147">
        <v>939</v>
      </c>
      <c r="F14" s="144">
        <v>498042</v>
      </c>
      <c r="G14" s="1415">
        <f t="shared" si="0"/>
        <v>0</v>
      </c>
      <c r="H14" s="144">
        <v>498042</v>
      </c>
      <c r="I14" s="1376">
        <f t="shared" si="0"/>
        <v>56858</v>
      </c>
      <c r="J14" s="144">
        <v>554900</v>
      </c>
      <c r="K14" s="1376">
        <f t="shared" si="0"/>
        <v>0</v>
      </c>
      <c r="L14" s="144">
        <v>554900</v>
      </c>
      <c r="M14" s="144">
        <v>554900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/>
      <c r="G15" s="1415">
        <f t="shared" si="0"/>
        <v>0</v>
      </c>
      <c r="H15" s="147"/>
      <c r="I15" s="1376">
        <f t="shared" si="0"/>
        <v>0</v>
      </c>
      <c r="J15" s="147"/>
      <c r="K15" s="1376">
        <f t="shared" si="0"/>
        <v>0</v>
      </c>
      <c r="L15" s="147"/>
      <c r="M15" s="147"/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/>
      <c r="F16" s="144"/>
      <c r="G16" s="1415">
        <f t="shared" si="0"/>
        <v>0</v>
      </c>
      <c r="H16" s="144"/>
      <c r="I16" s="1376">
        <f t="shared" si="0"/>
        <v>1</v>
      </c>
      <c r="J16" s="144">
        <v>1</v>
      </c>
      <c r="K16" s="1376">
        <f t="shared" si="0"/>
        <v>0</v>
      </c>
      <c r="L16" s="144">
        <v>1</v>
      </c>
      <c r="M16" s="144">
        <v>1</v>
      </c>
    </row>
    <row r="17" spans="1:14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415">
        <f t="shared" si="0"/>
        <v>0</v>
      </c>
      <c r="H17" s="153">
        <v>0</v>
      </c>
      <c r="I17" s="1376">
        <f t="shared" si="0"/>
        <v>0</v>
      </c>
      <c r="J17" s="153"/>
      <c r="K17" s="1376">
        <f t="shared" si="0"/>
        <v>0</v>
      </c>
      <c r="L17" s="153"/>
      <c r="M17" s="153">
        <v>0</v>
      </c>
    </row>
    <row r="18" spans="1:14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415">
        <f t="shared" si="0"/>
        <v>0</v>
      </c>
      <c r="H18" s="153">
        <v>0</v>
      </c>
      <c r="I18" s="1376">
        <f t="shared" si="0"/>
        <v>22965</v>
      </c>
      <c r="J18" s="153">
        <v>22965</v>
      </c>
      <c r="K18" s="1376">
        <f t="shared" si="0"/>
        <v>0</v>
      </c>
      <c r="L18" s="153">
        <v>22965</v>
      </c>
      <c r="M18" s="153">
        <v>22965</v>
      </c>
    </row>
    <row r="19" spans="1:14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23819</v>
      </c>
      <c r="E19" s="137">
        <f>SUM(E20:E25)</f>
        <v>24503</v>
      </c>
      <c r="F19" s="137">
        <f>SUM(F20+F24+F25)</f>
        <v>0</v>
      </c>
      <c r="G19" s="1382">
        <f>SUM(H19-F19)</f>
        <v>0</v>
      </c>
      <c r="H19" s="137">
        <f>SUM(H20+H24+H25)</f>
        <v>0</v>
      </c>
      <c r="I19" s="1374">
        <f>SUM(J19-H19)</f>
        <v>0</v>
      </c>
      <c r="J19" s="137">
        <f>SUM(J20+J24+J25)</f>
        <v>0</v>
      </c>
      <c r="K19" s="1374">
        <f>SUM(L19-J19)</f>
        <v>0</v>
      </c>
      <c r="L19" s="137">
        <f>SUM(L20+L24+L25)</f>
        <v>0</v>
      </c>
      <c r="M19" s="137">
        <f>SUM(M20:M25)</f>
        <v>0</v>
      </c>
    </row>
    <row r="20" spans="1:14" s="145" customFormat="1" ht="30" x14ac:dyDescent="0.2">
      <c r="A20" s="142"/>
      <c r="B20" s="143" t="s">
        <v>5</v>
      </c>
      <c r="C20" s="251" t="s">
        <v>420</v>
      </c>
      <c r="D20" s="144">
        <v>23819</v>
      </c>
      <c r="E20" s="144">
        <v>24503</v>
      </c>
      <c r="F20" s="144">
        <f>SUM(F21:F23)</f>
        <v>0</v>
      </c>
      <c r="G20" s="1415">
        <f t="shared" si="0"/>
        <v>0</v>
      </c>
      <c r="H20" s="144">
        <f>SUM(H21:H23)</f>
        <v>0</v>
      </c>
      <c r="I20" s="1376">
        <f t="shared" si="0"/>
        <v>0</v>
      </c>
      <c r="J20" s="144">
        <f>SUM(J21:J23)</f>
        <v>0</v>
      </c>
      <c r="K20" s="1376">
        <f t="shared" si="0"/>
        <v>0</v>
      </c>
      <c r="L20" s="144">
        <f>SUM(L21:L23)</f>
        <v>0</v>
      </c>
      <c r="M20" s="144"/>
      <c r="N20" s="205"/>
    </row>
    <row r="21" spans="1:14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>
        <f t="shared" si="0"/>
        <v>0</v>
      </c>
      <c r="H21" s="144">
        <v>0</v>
      </c>
      <c r="I21" s="1376">
        <f t="shared" si="0"/>
        <v>0</v>
      </c>
      <c r="J21" s="144">
        <v>0</v>
      </c>
      <c r="K21" s="1376">
        <f t="shared" si="0"/>
        <v>0</v>
      </c>
      <c r="L21" s="144">
        <v>0</v>
      </c>
      <c r="M21" s="144">
        <v>0</v>
      </c>
      <c r="N21" s="205"/>
    </row>
    <row r="22" spans="1:14" s="145" customFormat="1" ht="15" customHeight="1" x14ac:dyDescent="0.2">
      <c r="A22" s="142"/>
      <c r="B22" s="143" t="s">
        <v>360</v>
      </c>
      <c r="C22" s="55" t="s">
        <v>1429</v>
      </c>
      <c r="D22" s="144"/>
      <c r="E22" s="144"/>
      <c r="F22" s="144">
        <v>0</v>
      </c>
      <c r="G22" s="1415">
        <f t="shared" si="0"/>
        <v>0</v>
      </c>
      <c r="H22" s="144">
        <v>0</v>
      </c>
      <c r="I22" s="1376">
        <f t="shared" si="0"/>
        <v>0</v>
      </c>
      <c r="J22" s="144">
        <v>0</v>
      </c>
      <c r="K22" s="1376">
        <f t="shared" si="0"/>
        <v>0</v>
      </c>
      <c r="L22" s="144">
        <v>0</v>
      </c>
      <c r="M22" s="144">
        <v>0</v>
      </c>
      <c r="N22" s="205"/>
    </row>
    <row r="23" spans="1:14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>
        <f t="shared" si="0"/>
        <v>0</v>
      </c>
      <c r="H23" s="144">
        <v>0</v>
      </c>
      <c r="I23" s="1376">
        <f t="shared" si="0"/>
        <v>0</v>
      </c>
      <c r="J23" s="144">
        <v>0</v>
      </c>
      <c r="K23" s="1376">
        <f t="shared" si="0"/>
        <v>0</v>
      </c>
      <c r="L23" s="144">
        <v>0</v>
      </c>
      <c r="M23" s="144">
        <v>0</v>
      </c>
      <c r="N23" s="205"/>
    </row>
    <row r="24" spans="1:14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>
        <f t="shared" ref="G24:K39" si="1">SUM(H24-F24)</f>
        <v>0</v>
      </c>
      <c r="H24" s="144">
        <v>0</v>
      </c>
      <c r="I24" s="1376">
        <f t="shared" si="1"/>
        <v>0</v>
      </c>
      <c r="J24" s="144">
        <v>0</v>
      </c>
      <c r="K24" s="1376">
        <f t="shared" si="1"/>
        <v>0</v>
      </c>
      <c r="L24" s="144">
        <v>0</v>
      </c>
      <c r="M24" s="144">
        <v>0</v>
      </c>
      <c r="N24" s="205"/>
    </row>
    <row r="25" spans="1:14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>
        <f t="shared" si="1"/>
        <v>0</v>
      </c>
      <c r="H25" s="144">
        <v>0</v>
      </c>
      <c r="I25" s="1376">
        <f t="shared" si="1"/>
        <v>0</v>
      </c>
      <c r="J25" s="144">
        <v>0</v>
      </c>
      <c r="K25" s="1378">
        <f t="shared" si="1"/>
        <v>0</v>
      </c>
      <c r="L25" s="144">
        <v>0</v>
      </c>
      <c r="M25" s="144">
        <v>0</v>
      </c>
      <c r="N25" s="205"/>
    </row>
    <row r="26" spans="1:14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137">
        <f>SUM(F27:F27)</f>
        <v>0</v>
      </c>
      <c r="G26" s="1415">
        <f t="shared" si="1"/>
        <v>0</v>
      </c>
      <c r="H26" s="137">
        <f>SUM(H27:H27)</f>
        <v>0</v>
      </c>
      <c r="I26" s="1376">
        <f t="shared" si="1"/>
        <v>0</v>
      </c>
      <c r="J26" s="137">
        <f>SUM(J27:J27)</f>
        <v>0</v>
      </c>
      <c r="K26" s="1477">
        <f t="shared" si="1"/>
        <v>0</v>
      </c>
      <c r="L26" s="137">
        <f>SUM(L27:L27)</f>
        <v>0</v>
      </c>
      <c r="M26" s="137">
        <v>0</v>
      </c>
      <c r="N26" s="205"/>
    </row>
    <row r="27" spans="1:14" s="145" customFormat="1" ht="15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1415">
        <f t="shared" si="1"/>
        <v>0</v>
      </c>
      <c r="H27" s="147">
        <v>0</v>
      </c>
      <c r="I27" s="1376">
        <f t="shared" si="1"/>
        <v>0</v>
      </c>
      <c r="J27" s="147">
        <v>0</v>
      </c>
      <c r="K27" s="1421">
        <f t="shared" si="1"/>
        <v>0</v>
      </c>
      <c r="L27" s="147">
        <v>0</v>
      </c>
      <c r="M27" s="147">
        <v>0</v>
      </c>
      <c r="N27" s="205"/>
    </row>
    <row r="28" spans="1:14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2702">
        <f t="shared" si="1"/>
        <v>0</v>
      </c>
      <c r="H28" s="155">
        <f>SUM(H29:H31)</f>
        <v>0</v>
      </c>
      <c r="I28" s="1496">
        <f t="shared" si="1"/>
        <v>0</v>
      </c>
      <c r="J28" s="155">
        <f>SUM(J29:J31)</f>
        <v>0</v>
      </c>
      <c r="K28" s="1477">
        <f t="shared" si="1"/>
        <v>0</v>
      </c>
      <c r="L28" s="155">
        <f>SUM(L29:L31)</f>
        <v>0</v>
      </c>
      <c r="M28" s="155">
        <v>0</v>
      </c>
      <c r="N28" s="205"/>
    </row>
    <row r="29" spans="1:14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1415">
        <f t="shared" si="1"/>
        <v>0</v>
      </c>
      <c r="H29" s="144">
        <v>0</v>
      </c>
      <c r="I29" s="1376">
        <f t="shared" si="1"/>
        <v>0</v>
      </c>
      <c r="J29" s="144">
        <v>0</v>
      </c>
      <c r="K29" s="1386">
        <f t="shared" si="1"/>
        <v>0</v>
      </c>
      <c r="L29" s="144">
        <v>0</v>
      </c>
      <c r="M29" s="144">
        <v>0</v>
      </c>
      <c r="N29" s="205"/>
    </row>
    <row r="30" spans="1:14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1415">
        <f t="shared" si="1"/>
        <v>0</v>
      </c>
      <c r="H30" s="144">
        <v>0</v>
      </c>
      <c r="I30" s="1376">
        <f t="shared" si="1"/>
        <v>0</v>
      </c>
      <c r="J30" s="144">
        <v>0</v>
      </c>
      <c r="K30" s="1376">
        <f t="shared" si="1"/>
        <v>0</v>
      </c>
      <c r="L30" s="144">
        <v>0</v>
      </c>
      <c r="M30" s="144">
        <v>0</v>
      </c>
      <c r="N30" s="205"/>
    </row>
    <row r="31" spans="1:14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1415">
        <f t="shared" si="1"/>
        <v>0</v>
      </c>
      <c r="H31" s="144">
        <v>0</v>
      </c>
      <c r="I31" s="1376">
        <f t="shared" si="1"/>
        <v>0</v>
      </c>
      <c r="J31" s="144">
        <v>0</v>
      </c>
      <c r="K31" s="1376">
        <f t="shared" si="1"/>
        <v>0</v>
      </c>
      <c r="L31" s="144">
        <v>0</v>
      </c>
      <c r="M31" s="144">
        <v>0</v>
      </c>
      <c r="N31" s="205"/>
    </row>
    <row r="32" spans="1:14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415">
        <f t="shared" si="1"/>
        <v>0</v>
      </c>
      <c r="H32" s="155">
        <v>0</v>
      </c>
      <c r="I32" s="1376">
        <f t="shared" si="1"/>
        <v>0</v>
      </c>
      <c r="J32" s="155">
        <v>0</v>
      </c>
      <c r="K32" s="1376">
        <f t="shared" si="1"/>
        <v>0</v>
      </c>
      <c r="L32" s="155">
        <v>0</v>
      </c>
      <c r="M32" s="155">
        <v>0</v>
      </c>
      <c r="N32" s="248"/>
    </row>
    <row r="33" spans="1:22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97</v>
      </c>
      <c r="F33" s="285">
        <f>+F34+F35</f>
        <v>0</v>
      </c>
      <c r="G33" s="1415">
        <f t="shared" si="1"/>
        <v>0</v>
      </c>
      <c r="H33" s="285">
        <f>+H34+H35</f>
        <v>0</v>
      </c>
      <c r="I33" s="1376">
        <f t="shared" si="1"/>
        <v>0</v>
      </c>
      <c r="J33" s="285">
        <f>+J34+J35</f>
        <v>0</v>
      </c>
      <c r="K33" s="1376">
        <f t="shared" si="1"/>
        <v>0</v>
      </c>
      <c r="L33" s="285">
        <f>+L34+L35</f>
        <v>0</v>
      </c>
      <c r="M33" s="285">
        <f>+M34+M35</f>
        <v>0</v>
      </c>
      <c r="N33" s="248"/>
    </row>
    <row r="34" spans="1:22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97</v>
      </c>
      <c r="F34" s="306"/>
      <c r="G34" s="1415">
        <f t="shared" si="1"/>
        <v>0</v>
      </c>
      <c r="H34" s="306"/>
      <c r="I34" s="1376">
        <f t="shared" si="1"/>
        <v>0</v>
      </c>
      <c r="J34" s="306"/>
      <c r="K34" s="1376">
        <f t="shared" si="1"/>
        <v>0</v>
      </c>
      <c r="L34" s="306"/>
      <c r="M34" s="306"/>
      <c r="N34" s="248"/>
    </row>
    <row r="35" spans="1:22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1415">
        <f t="shared" si="1"/>
        <v>0</v>
      </c>
      <c r="H35" s="294">
        <v>0</v>
      </c>
      <c r="I35" s="1376">
        <f t="shared" si="1"/>
        <v>0</v>
      </c>
      <c r="J35" s="294">
        <v>0</v>
      </c>
      <c r="K35" s="1376">
        <f t="shared" si="1"/>
        <v>0</v>
      </c>
      <c r="L35" s="294">
        <v>0</v>
      </c>
      <c r="M35" s="294">
        <v>0</v>
      </c>
      <c r="N35" s="248"/>
    </row>
    <row r="36" spans="1:22" s="141" customFormat="1" ht="29.25" thickBot="1" x14ac:dyDescent="0.25">
      <c r="A36" s="134" t="s">
        <v>67</v>
      </c>
      <c r="B36" s="254"/>
      <c r="C36" s="170" t="s">
        <v>429</v>
      </c>
      <c r="D36" s="320"/>
      <c r="E36" s="320"/>
      <c r="F36" s="155">
        <v>0</v>
      </c>
      <c r="G36" s="2703">
        <f t="shared" si="1"/>
        <v>0</v>
      </c>
      <c r="H36" s="155">
        <v>0</v>
      </c>
      <c r="I36" s="1493">
        <f t="shared" si="1"/>
        <v>0</v>
      </c>
      <c r="J36" s="155">
        <v>0</v>
      </c>
      <c r="K36" s="1477">
        <f t="shared" si="1"/>
        <v>0</v>
      </c>
      <c r="L36" s="155">
        <v>0</v>
      </c>
      <c r="M36" s="155">
        <v>0</v>
      </c>
      <c r="N36" s="248"/>
    </row>
    <row r="37" spans="1:22" s="141" customFormat="1" ht="30.75" thickBot="1" x14ac:dyDescent="0.25">
      <c r="A37" s="146"/>
      <c r="B37" s="255" t="s">
        <v>47</v>
      </c>
      <c r="C37" s="251" t="s">
        <v>430</v>
      </c>
      <c r="D37" s="320"/>
      <c r="E37" s="320"/>
      <c r="F37" s="144">
        <v>0</v>
      </c>
      <c r="G37" s="1509">
        <f t="shared" si="1"/>
        <v>0</v>
      </c>
      <c r="H37" s="144">
        <v>0</v>
      </c>
      <c r="I37" s="1421">
        <f t="shared" si="1"/>
        <v>0</v>
      </c>
      <c r="J37" s="144">
        <v>0</v>
      </c>
      <c r="K37" s="1421">
        <f t="shared" si="1"/>
        <v>0</v>
      </c>
      <c r="L37" s="144">
        <v>0</v>
      </c>
      <c r="M37" s="144">
        <v>0</v>
      </c>
      <c r="N37" s="248"/>
    </row>
    <row r="38" spans="1:22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v>0</v>
      </c>
      <c r="G38" s="2704">
        <f t="shared" si="1"/>
        <v>0</v>
      </c>
      <c r="H38" s="155">
        <v>0</v>
      </c>
      <c r="I38" s="1684">
        <f t="shared" si="1"/>
        <v>0</v>
      </c>
      <c r="J38" s="155">
        <v>0</v>
      </c>
      <c r="K38" s="1684">
        <f t="shared" si="1"/>
        <v>0</v>
      </c>
      <c r="L38" s="155">
        <v>0</v>
      </c>
      <c r="M38" s="155">
        <v>0</v>
      </c>
      <c r="N38" s="248"/>
    </row>
    <row r="39" spans="1:22" s="141" customFormat="1" ht="30.75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1509">
        <f t="shared" si="1"/>
        <v>0</v>
      </c>
      <c r="H39" s="320">
        <v>0</v>
      </c>
      <c r="I39" s="1421">
        <f t="shared" si="1"/>
        <v>0</v>
      </c>
      <c r="J39" s="320">
        <v>0</v>
      </c>
      <c r="K39" s="1421">
        <f t="shared" si="1"/>
        <v>0</v>
      </c>
      <c r="L39" s="320">
        <v>0</v>
      </c>
      <c r="M39" s="320">
        <v>0</v>
      </c>
      <c r="N39" s="248"/>
    </row>
    <row r="40" spans="1:22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321">
        <f>SUM(F41:F43)</f>
        <v>77511999</v>
      </c>
      <c r="G40" s="2691">
        <f t="shared" ref="G40:K65" si="2">SUM(H40-F40)</f>
        <v>4339550</v>
      </c>
      <c r="H40" s="321">
        <f>SUM(H41:H43)</f>
        <v>81851549</v>
      </c>
      <c r="I40" s="1393">
        <f t="shared" si="2"/>
        <v>-4350973</v>
      </c>
      <c r="J40" s="321">
        <f>SUM(J41:J43)</f>
        <v>77500576</v>
      </c>
      <c r="K40" s="1393">
        <f t="shared" si="2"/>
        <v>0</v>
      </c>
      <c r="L40" s="321">
        <f>SUM(L41:L43)</f>
        <v>77500576</v>
      </c>
      <c r="M40" s="321">
        <f>SUM(M41:M43)</f>
        <v>77500576</v>
      </c>
      <c r="N40" s="248"/>
    </row>
    <row r="41" spans="1:22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/>
      <c r="G41" s="1415">
        <f t="shared" si="2"/>
        <v>258398</v>
      </c>
      <c r="H41" s="144">
        <v>258398</v>
      </c>
      <c r="I41" s="1376">
        <f t="shared" si="2"/>
        <v>0</v>
      </c>
      <c r="J41" s="144">
        <v>258398</v>
      </c>
      <c r="K41" s="1376">
        <f t="shared" si="2"/>
        <v>0</v>
      </c>
      <c r="L41" s="144">
        <v>258398</v>
      </c>
      <c r="M41" s="144">
        <v>258398</v>
      </c>
      <c r="N41" s="248"/>
    </row>
    <row r="42" spans="1:22" s="141" customFormat="1" ht="15" customHeight="1" x14ac:dyDescent="0.2">
      <c r="A42" s="146"/>
      <c r="B42" s="2676" t="s">
        <v>83</v>
      </c>
      <c r="C42" s="2376" t="s">
        <v>435</v>
      </c>
      <c r="D42" s="147"/>
      <c r="E42" s="147"/>
      <c r="F42" s="153"/>
      <c r="G42" s="1415">
        <f t="shared" si="2"/>
        <v>0</v>
      </c>
      <c r="H42" s="144"/>
      <c r="I42" s="1376">
        <f t="shared" si="2"/>
        <v>0</v>
      </c>
      <c r="J42" s="144"/>
      <c r="K42" s="1376">
        <f t="shared" si="2"/>
        <v>0</v>
      </c>
      <c r="L42" s="144"/>
      <c r="M42" s="144"/>
      <c r="N42" s="248"/>
    </row>
    <row r="43" spans="1:22" s="145" customFormat="1" ht="15" customHeight="1" x14ac:dyDescent="0.2">
      <c r="A43" s="142"/>
      <c r="B43" s="253" t="s">
        <v>85</v>
      </c>
      <c r="C43" s="55" t="s">
        <v>436</v>
      </c>
      <c r="D43" s="206">
        <v>26907</v>
      </c>
      <c r="E43" s="206">
        <v>27958</v>
      </c>
      <c r="F43" s="144">
        <f>SUM(F44:F45)</f>
        <v>77511999</v>
      </c>
      <c r="G43" s="1415">
        <f t="shared" si="2"/>
        <v>4081152</v>
      </c>
      <c r="H43" s="144">
        <f>SUM(H44:H45)</f>
        <v>81593151</v>
      </c>
      <c r="I43" s="1376">
        <f t="shared" si="2"/>
        <v>-4350973</v>
      </c>
      <c r="J43" s="144">
        <f>SUM(J44:J45)</f>
        <v>77242178</v>
      </c>
      <c r="K43" s="1376">
        <f t="shared" si="2"/>
        <v>0</v>
      </c>
      <c r="L43" s="144">
        <f>SUM(L44:L45)</f>
        <v>77242178</v>
      </c>
      <c r="M43" s="144">
        <f>SUM(M44:M45)</f>
        <v>77242178</v>
      </c>
      <c r="N43" s="205"/>
      <c r="P43" s="205"/>
      <c r="Q43" s="205"/>
    </row>
    <row r="44" spans="1:22" s="145" customFormat="1" ht="15" customHeight="1" x14ac:dyDescent="0.2">
      <c r="A44" s="142"/>
      <c r="B44" s="2685" t="s">
        <v>437</v>
      </c>
      <c r="C44" s="2686" t="s">
        <v>891</v>
      </c>
      <c r="D44" s="2697"/>
      <c r="E44" s="2697"/>
      <c r="F44" s="1306">
        <v>35960200</v>
      </c>
      <c r="G44" s="1415">
        <f t="shared" si="2"/>
        <v>871152</v>
      </c>
      <c r="H44" s="144">
        <v>36831352</v>
      </c>
      <c r="I44" s="1376">
        <f t="shared" si="2"/>
        <v>9463576</v>
      </c>
      <c r="J44" s="144">
        <v>46294928</v>
      </c>
      <c r="K44" s="1376">
        <f t="shared" si="2"/>
        <v>0</v>
      </c>
      <c r="L44" s="144">
        <v>46294928</v>
      </c>
      <c r="M44" s="144">
        <v>46294928</v>
      </c>
      <c r="N44" s="205"/>
      <c r="P44" s="205"/>
      <c r="Q44" s="4438" t="s">
        <v>1929</v>
      </c>
      <c r="R44" s="4438" t="s">
        <v>1065</v>
      </c>
      <c r="S44" s="4438" t="s">
        <v>1065</v>
      </c>
      <c r="U44" s="4438" t="s">
        <v>1062</v>
      </c>
      <c r="V44" s="4438" t="s">
        <v>769</v>
      </c>
    </row>
    <row r="45" spans="1:22" s="145" customFormat="1" ht="15" customHeight="1" thickBot="1" x14ac:dyDescent="0.25">
      <c r="A45" s="178"/>
      <c r="B45" s="2698" t="s">
        <v>439</v>
      </c>
      <c r="C45" s="2699" t="s">
        <v>440</v>
      </c>
      <c r="D45" s="2700"/>
      <c r="E45" s="2700"/>
      <c r="F45" s="2701">
        <v>41551799</v>
      </c>
      <c r="G45" s="1415">
        <f t="shared" si="2"/>
        <v>3210000</v>
      </c>
      <c r="H45" s="144">
        <v>44761799</v>
      </c>
      <c r="I45" s="1376">
        <f t="shared" si="2"/>
        <v>-13814549</v>
      </c>
      <c r="J45" s="144">
        <v>30947250</v>
      </c>
      <c r="K45" s="1376">
        <f t="shared" si="2"/>
        <v>0</v>
      </c>
      <c r="L45" s="144">
        <v>30947250</v>
      </c>
      <c r="M45" s="144">
        <v>30947250</v>
      </c>
      <c r="N45" s="205">
        <f>SUM(F63-F43)-F8</f>
        <v>0</v>
      </c>
      <c r="O45" s="145" t="s">
        <v>1930</v>
      </c>
      <c r="P45" s="205"/>
      <c r="Q45" s="4438"/>
      <c r="R45" s="4438"/>
      <c r="S45" s="4438"/>
      <c r="U45" s="4438"/>
      <c r="V45" s="4438"/>
    </row>
    <row r="46" spans="1:22" s="145" customFormat="1" ht="12.75" hidden="1" customHeight="1" x14ac:dyDescent="0.25">
      <c r="A46" s="258"/>
      <c r="B46" s="256"/>
      <c r="C46" s="170" t="s">
        <v>458</v>
      </c>
      <c r="D46" s="155"/>
      <c r="E46" s="155"/>
      <c r="F46" s="155"/>
      <c r="G46" s="1415">
        <f t="shared" si="2"/>
        <v>0</v>
      </c>
      <c r="H46" s="155"/>
      <c r="I46" s="1376">
        <f t="shared" si="2"/>
        <v>0</v>
      </c>
      <c r="J46" s="155"/>
      <c r="K46" s="1376">
        <f t="shared" si="2"/>
        <v>0</v>
      </c>
      <c r="L46" s="155"/>
      <c r="M46" s="155"/>
      <c r="P46" s="205"/>
      <c r="Q46" s="205"/>
      <c r="U46" s="470"/>
    </row>
    <row r="47" spans="1:22" s="145" customFormat="1" ht="15" customHeight="1" thickBot="1" x14ac:dyDescent="0.25">
      <c r="A47" s="192" t="s">
        <v>99</v>
      </c>
      <c r="B47" s="160"/>
      <c r="C47" s="274" t="s">
        <v>441</v>
      </c>
      <c r="D47" s="162">
        <f>SUM(D8,D19,D28,D32,D33,D43)</f>
        <v>57643</v>
      </c>
      <c r="E47" s="162">
        <f>SUM(E8,E19,E28,E32,E33,E43)</f>
        <v>59475</v>
      </c>
      <c r="F47" s="162">
        <f>SUM(F8,F19,F28,F32,F33,F36,F38,F40)</f>
        <v>83854641</v>
      </c>
      <c r="G47" s="1437">
        <f t="shared" si="2"/>
        <v>4339550</v>
      </c>
      <c r="H47" s="162">
        <f>SUM(H8,H19,H28,H32,H33,H36,H38,H40)</f>
        <v>88194191</v>
      </c>
      <c r="I47" s="1373">
        <f t="shared" si="2"/>
        <v>-2667104</v>
      </c>
      <c r="J47" s="162">
        <f>SUM(J8,J19,J28,J32,J33,J36,J38,J40)</f>
        <v>85527087</v>
      </c>
      <c r="K47" s="1373">
        <f t="shared" si="2"/>
        <v>0</v>
      </c>
      <c r="L47" s="162">
        <f>SUM(L8,L19,L28,L32,L33,L36,L38,L40)</f>
        <v>85527087</v>
      </c>
      <c r="M47" s="162">
        <f>SUM(M8,M19,M28,M32,M33,M36,M38,M40)</f>
        <v>85527087</v>
      </c>
      <c r="N47" s="205"/>
      <c r="O47" s="205">
        <f>SUM(F63-F47)</f>
        <v>0</v>
      </c>
      <c r="P47" s="205">
        <f t="shared" ref="P47:V47" si="3">SUM(G63-G47)</f>
        <v>0</v>
      </c>
      <c r="Q47" s="205">
        <f t="shared" si="3"/>
        <v>0</v>
      </c>
      <c r="R47" s="205">
        <f t="shared" si="3"/>
        <v>0</v>
      </c>
      <c r="S47" s="205">
        <f t="shared" si="3"/>
        <v>0</v>
      </c>
      <c r="T47" s="205">
        <f t="shared" si="3"/>
        <v>0</v>
      </c>
      <c r="U47" s="205">
        <f t="shared" si="3"/>
        <v>0</v>
      </c>
      <c r="V47" s="205">
        <f t="shared" si="3"/>
        <v>-439833</v>
      </c>
    </row>
    <row r="48" spans="1:22" s="145" customFormat="1" ht="15" customHeight="1" thickBot="1" x14ac:dyDescent="0.25">
      <c r="A48" s="2098"/>
      <c r="B48" s="266"/>
      <c r="C48" s="275"/>
      <c r="D48" s="286"/>
      <c r="E48" s="286"/>
      <c r="F48" s="2163"/>
      <c r="G48" s="1443"/>
      <c r="H48" s="1443"/>
      <c r="I48" s="1443"/>
      <c r="J48" s="1443"/>
      <c r="K48" s="1443"/>
      <c r="L48" s="1443"/>
      <c r="M48" s="1458"/>
    </row>
    <row r="49" spans="1:13" s="305" customFormat="1" ht="15" customHeight="1" thickBot="1" x14ac:dyDescent="0.25">
      <c r="A49" s="192"/>
      <c r="B49" s="160"/>
      <c r="C49" s="282" t="s">
        <v>231</v>
      </c>
      <c r="D49" s="162"/>
      <c r="E49" s="162"/>
      <c r="F49" s="162"/>
      <c r="G49" s="1437"/>
      <c r="H49" s="162"/>
      <c r="I49" s="1373"/>
      <c r="J49" s="162"/>
      <c r="K49" s="1373"/>
      <c r="L49" s="162"/>
      <c r="M49" s="162"/>
    </row>
    <row r="50" spans="1:13" s="141" customFormat="1" ht="15" customHeight="1" thickBot="1" x14ac:dyDescent="0.25">
      <c r="A50" s="134" t="s">
        <v>3</v>
      </c>
      <c r="B50" s="170"/>
      <c r="C50" s="170" t="s">
        <v>442</v>
      </c>
      <c r="D50" s="137">
        <f>SUM(D51:D55)</f>
        <v>57643</v>
      </c>
      <c r="E50" s="137">
        <f>SUM(E51:E55)</f>
        <v>59475</v>
      </c>
      <c r="F50" s="137">
        <f>SUM(F51:F55)</f>
        <v>83664141</v>
      </c>
      <c r="G50" s="2691">
        <f t="shared" si="2"/>
        <v>4339550</v>
      </c>
      <c r="H50" s="137">
        <f>SUM(H51:H55)</f>
        <v>88003691</v>
      </c>
      <c r="I50" s="1393">
        <f t="shared" si="2"/>
        <v>-2681149</v>
      </c>
      <c r="J50" s="137">
        <f>SUM(J51:J55)</f>
        <v>85322542</v>
      </c>
      <c r="K50" s="1393">
        <f t="shared" si="2"/>
        <v>0</v>
      </c>
      <c r="L50" s="137">
        <f>SUM(L51:L55)</f>
        <v>85322542</v>
      </c>
      <c r="M50" s="137">
        <f>SUM(M51:M55)</f>
        <v>84882709</v>
      </c>
    </row>
    <row r="51" spans="1:13" s="145" customFormat="1" ht="15" customHeight="1" x14ac:dyDescent="0.2">
      <c r="A51" s="173"/>
      <c r="B51" s="267" t="s">
        <v>152</v>
      </c>
      <c r="C51" s="251" t="s">
        <v>153</v>
      </c>
      <c r="D51" s="175">
        <v>32955</v>
      </c>
      <c r="E51" s="175">
        <v>34286</v>
      </c>
      <c r="F51" s="175">
        <v>58854440</v>
      </c>
      <c r="G51" s="1415">
        <f t="shared" si="2"/>
        <v>3422053</v>
      </c>
      <c r="H51" s="175">
        <v>62276493</v>
      </c>
      <c r="I51" s="1376">
        <f t="shared" si="2"/>
        <v>-707015</v>
      </c>
      <c r="J51" s="175">
        <v>61569478</v>
      </c>
      <c r="K51" s="1376">
        <f t="shared" si="2"/>
        <v>0</v>
      </c>
      <c r="L51" s="175">
        <v>61569478</v>
      </c>
      <c r="M51" s="175">
        <v>61569478</v>
      </c>
    </row>
    <row r="52" spans="1:13" s="145" customFormat="1" ht="15" customHeight="1" x14ac:dyDescent="0.2">
      <c r="A52" s="142"/>
      <c r="B52" s="253" t="s">
        <v>154</v>
      </c>
      <c r="C52" s="55" t="s">
        <v>155</v>
      </c>
      <c r="D52" s="144">
        <v>8632</v>
      </c>
      <c r="E52" s="144">
        <v>8991</v>
      </c>
      <c r="F52" s="144">
        <v>12020585</v>
      </c>
      <c r="G52" s="1415">
        <f t="shared" si="2"/>
        <v>670281</v>
      </c>
      <c r="H52" s="144">
        <v>12690866</v>
      </c>
      <c r="I52" s="1376">
        <f t="shared" si="2"/>
        <v>75415</v>
      </c>
      <c r="J52" s="144">
        <v>12766281</v>
      </c>
      <c r="K52" s="1376">
        <f t="shared" si="2"/>
        <v>0</v>
      </c>
      <c r="L52" s="144">
        <v>12766281</v>
      </c>
      <c r="M52" s="144">
        <v>12718576</v>
      </c>
    </row>
    <row r="53" spans="1:13" s="145" customFormat="1" ht="15" customHeight="1" x14ac:dyDescent="0.2">
      <c r="A53" s="142"/>
      <c r="B53" s="253" t="s">
        <v>156</v>
      </c>
      <c r="C53" s="55" t="s">
        <v>157</v>
      </c>
      <c r="D53" s="144">
        <v>16056</v>
      </c>
      <c r="E53" s="144">
        <v>16198</v>
      </c>
      <c r="F53" s="144">
        <v>12789116</v>
      </c>
      <c r="G53" s="1415">
        <f t="shared" si="2"/>
        <v>247216</v>
      </c>
      <c r="H53" s="144">
        <v>13036332</v>
      </c>
      <c r="I53" s="1376">
        <f t="shared" si="2"/>
        <v>-2049549</v>
      </c>
      <c r="J53" s="144">
        <v>10986783</v>
      </c>
      <c r="K53" s="1376">
        <f t="shared" si="2"/>
        <v>0</v>
      </c>
      <c r="L53" s="144">
        <v>10986783</v>
      </c>
      <c r="M53" s="144">
        <v>10594655</v>
      </c>
    </row>
    <row r="54" spans="1:13" s="145" customFormat="1" ht="15" customHeight="1" x14ac:dyDescent="0.2">
      <c r="A54" s="142"/>
      <c r="B54" s="253" t="s">
        <v>158</v>
      </c>
      <c r="C54" s="55" t="s">
        <v>159</v>
      </c>
      <c r="D54" s="144"/>
      <c r="E54" s="144"/>
      <c r="F54" s="144"/>
      <c r="G54" s="1415">
        <f t="shared" si="2"/>
        <v>0</v>
      </c>
      <c r="H54" s="144"/>
      <c r="I54" s="1376">
        <f t="shared" si="2"/>
        <v>0</v>
      </c>
      <c r="J54" s="144"/>
      <c r="K54" s="1376">
        <f t="shared" si="2"/>
        <v>0</v>
      </c>
      <c r="L54" s="144"/>
      <c r="M54" s="144"/>
    </row>
    <row r="55" spans="1:13" s="145" customFormat="1" ht="15" customHeight="1" thickBot="1" x14ac:dyDescent="0.25">
      <c r="A55" s="142"/>
      <c r="B55" s="253" t="s">
        <v>375</v>
      </c>
      <c r="C55" s="55" t="s">
        <v>161</v>
      </c>
      <c r="D55" s="144">
        <v>0</v>
      </c>
      <c r="E55" s="144">
        <v>0</v>
      </c>
      <c r="F55" s="153"/>
      <c r="G55" s="1518">
        <f t="shared" si="2"/>
        <v>0</v>
      </c>
      <c r="H55" s="153"/>
      <c r="I55" s="1378">
        <f t="shared" si="2"/>
        <v>0</v>
      </c>
      <c r="J55" s="153"/>
      <c r="K55" s="1378">
        <f t="shared" si="2"/>
        <v>0</v>
      </c>
      <c r="L55" s="153"/>
      <c r="M55" s="153"/>
    </row>
    <row r="56" spans="1:13" s="145" customFormat="1" ht="15" customHeight="1" thickBot="1" x14ac:dyDescent="0.25">
      <c r="A56" s="134" t="s">
        <v>17</v>
      </c>
      <c r="B56" s="170"/>
      <c r="C56" s="170" t="s">
        <v>443</v>
      </c>
      <c r="D56" s="137">
        <f>SUM(D57:D60)</f>
        <v>0</v>
      </c>
      <c r="E56" s="137">
        <f>SUM(E57:E60)</f>
        <v>0</v>
      </c>
      <c r="F56" s="826">
        <f>SUM(F57:F60)</f>
        <v>190500</v>
      </c>
      <c r="G56" s="1381">
        <f t="shared" si="2"/>
        <v>0</v>
      </c>
      <c r="H56" s="826">
        <f>SUM(H57:H60)</f>
        <v>190500</v>
      </c>
      <c r="I56" s="1380">
        <f t="shared" si="2"/>
        <v>14045</v>
      </c>
      <c r="J56" s="137">
        <f>SUM(J57:J60)</f>
        <v>204545</v>
      </c>
      <c r="K56" s="1380">
        <f t="shared" si="2"/>
        <v>0</v>
      </c>
      <c r="L56" s="137">
        <f>SUM(L57:L60)</f>
        <v>204545</v>
      </c>
      <c r="M56" s="137">
        <f>SUM(M57:M60)</f>
        <v>204545</v>
      </c>
    </row>
    <row r="57" spans="1:13" s="141" customFormat="1" ht="15" customHeight="1" x14ac:dyDescent="0.2">
      <c r="A57" s="173"/>
      <c r="B57" s="267" t="s">
        <v>5</v>
      </c>
      <c r="C57" s="251" t="s">
        <v>183</v>
      </c>
      <c r="D57" s="175">
        <v>0</v>
      </c>
      <c r="E57" s="175">
        <v>0</v>
      </c>
      <c r="F57" s="175">
        <v>190500</v>
      </c>
      <c r="G57" s="1415">
        <f t="shared" si="2"/>
        <v>0</v>
      </c>
      <c r="H57" s="175">
        <v>190500</v>
      </c>
      <c r="I57" s="1376">
        <f t="shared" si="2"/>
        <v>14045</v>
      </c>
      <c r="J57" s="175">
        <v>204545</v>
      </c>
      <c r="K57" s="1376">
        <f t="shared" si="2"/>
        <v>0</v>
      </c>
      <c r="L57" s="175">
        <v>204545</v>
      </c>
      <c r="M57" s="175">
        <v>204545</v>
      </c>
    </row>
    <row r="58" spans="1:13" s="145" customFormat="1" ht="15" customHeight="1" x14ac:dyDescent="0.2">
      <c r="A58" s="142"/>
      <c r="B58" s="253" t="s">
        <v>7</v>
      </c>
      <c r="C58" s="55" t="s">
        <v>185</v>
      </c>
      <c r="D58" s="144">
        <v>0</v>
      </c>
      <c r="E58" s="144">
        <v>0</v>
      </c>
      <c r="F58" s="144">
        <v>0</v>
      </c>
      <c r="G58" s="1415">
        <f t="shared" si="2"/>
        <v>0</v>
      </c>
      <c r="H58" s="144">
        <v>0</v>
      </c>
      <c r="I58" s="1376">
        <f t="shared" si="2"/>
        <v>0</v>
      </c>
      <c r="J58" s="144"/>
      <c r="K58" s="1376">
        <f t="shared" si="2"/>
        <v>0</v>
      </c>
      <c r="L58" s="144"/>
      <c r="M58" s="175">
        <v>0</v>
      </c>
    </row>
    <row r="59" spans="1:13" s="145" customFormat="1" ht="15.75" thickBot="1" x14ac:dyDescent="0.25">
      <c r="A59" s="142"/>
      <c r="B59" s="253" t="s">
        <v>9</v>
      </c>
      <c r="C59" s="55" t="s">
        <v>444</v>
      </c>
      <c r="D59" s="144">
        <v>0</v>
      </c>
      <c r="E59" s="144">
        <v>0</v>
      </c>
      <c r="F59" s="144">
        <v>0</v>
      </c>
      <c r="G59" s="1415">
        <f t="shared" si="2"/>
        <v>0</v>
      </c>
      <c r="H59" s="144">
        <v>0</v>
      </c>
      <c r="I59" s="1376">
        <f t="shared" si="2"/>
        <v>0</v>
      </c>
      <c r="J59" s="144"/>
      <c r="K59" s="1376">
        <f t="shared" si="2"/>
        <v>0</v>
      </c>
      <c r="L59" s="144"/>
      <c r="M59" s="144">
        <v>0</v>
      </c>
    </row>
    <row r="60" spans="1:13" s="145" customFormat="1" ht="12.75" hidden="1" customHeight="1" x14ac:dyDescent="0.2">
      <c r="A60" s="142"/>
      <c r="B60" s="176" t="s">
        <v>189</v>
      </c>
      <c r="C60" s="55" t="s">
        <v>448</v>
      </c>
      <c r="D60" s="144">
        <v>0</v>
      </c>
      <c r="E60" s="144">
        <v>0</v>
      </c>
      <c r="F60" s="144">
        <v>0</v>
      </c>
      <c r="G60" s="1415">
        <f t="shared" si="2"/>
        <v>0</v>
      </c>
      <c r="H60" s="144">
        <v>0</v>
      </c>
      <c r="I60" s="1376">
        <f t="shared" si="2"/>
        <v>0</v>
      </c>
      <c r="J60" s="144">
        <v>0</v>
      </c>
      <c r="K60" s="1376">
        <f t="shared" si="2"/>
        <v>0</v>
      </c>
      <c r="L60" s="144">
        <v>0</v>
      </c>
      <c r="M60" s="144">
        <v>0</v>
      </c>
    </row>
    <row r="61" spans="1:13" s="145" customFormat="1" ht="12.75" hidden="1" customHeight="1" x14ac:dyDescent="0.2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415">
        <f t="shared" si="2"/>
        <v>0</v>
      </c>
      <c r="H61" s="155">
        <v>0</v>
      </c>
      <c r="I61" s="1376">
        <f t="shared" si="2"/>
        <v>0</v>
      </c>
      <c r="J61" s="155">
        <v>0</v>
      </c>
      <c r="K61" s="1376">
        <f t="shared" si="2"/>
        <v>0</v>
      </c>
      <c r="L61" s="155">
        <v>0</v>
      </c>
      <c r="M61" s="155">
        <v>0</v>
      </c>
    </row>
    <row r="62" spans="1:13" s="145" customFormat="1" ht="12.75" hidden="1" customHeight="1" x14ac:dyDescent="0.2">
      <c r="A62" s="134"/>
      <c r="B62" s="170"/>
      <c r="C62" s="171" t="s">
        <v>459</v>
      </c>
      <c r="D62" s="155"/>
      <c r="E62" s="155"/>
      <c r="F62" s="155"/>
      <c r="G62" s="1415">
        <f t="shared" si="2"/>
        <v>0</v>
      </c>
      <c r="H62" s="155"/>
      <c r="I62" s="1376">
        <f t="shared" si="2"/>
        <v>0</v>
      </c>
      <c r="J62" s="155"/>
      <c r="K62" s="1376">
        <f t="shared" si="2"/>
        <v>0</v>
      </c>
      <c r="L62" s="155"/>
      <c r="M62" s="155"/>
    </row>
    <row r="63" spans="1:13" s="145" customFormat="1" ht="15" customHeight="1" thickBot="1" x14ac:dyDescent="0.25">
      <c r="A63" s="192" t="s">
        <v>31</v>
      </c>
      <c r="B63" s="160"/>
      <c r="C63" s="274" t="s">
        <v>465</v>
      </c>
      <c r="D63" s="162">
        <f>+D50+D56+D61</f>
        <v>57643</v>
      </c>
      <c r="E63" s="162">
        <f>+E50+E56+E61</f>
        <v>59475</v>
      </c>
      <c r="F63" s="162">
        <f>+F50+F56+F61+F62</f>
        <v>83854641</v>
      </c>
      <c r="G63" s="1437">
        <f t="shared" si="2"/>
        <v>4339550</v>
      </c>
      <c r="H63" s="162">
        <f>+H50+H56+H61+H62</f>
        <v>88194191</v>
      </c>
      <c r="I63" s="1373">
        <f t="shared" si="2"/>
        <v>-2667104</v>
      </c>
      <c r="J63" s="162">
        <f>+J50+J56+J61+J62</f>
        <v>85527087</v>
      </c>
      <c r="K63" s="1373">
        <f t="shared" si="2"/>
        <v>0</v>
      </c>
      <c r="L63" s="162">
        <f>+L50+L56+L61+L62</f>
        <v>85527087</v>
      </c>
      <c r="M63" s="162">
        <f>+M50+M56+M61+M62</f>
        <v>85087254</v>
      </c>
    </row>
    <row r="64" spans="1:13" s="145" customFormat="1" ht="15" customHeight="1" thickBot="1" x14ac:dyDescent="0.25">
      <c r="A64" s="1303"/>
      <c r="B64" s="886"/>
      <c r="C64" s="886"/>
      <c r="D64" s="886"/>
      <c r="E64" s="886"/>
      <c r="F64" s="2100"/>
      <c r="G64" s="1550"/>
      <c r="H64" s="1550"/>
      <c r="I64" s="1550"/>
      <c r="J64" s="886"/>
      <c r="K64" s="1550"/>
      <c r="L64" s="886"/>
      <c r="M64" s="1304"/>
    </row>
    <row r="65" spans="1:14" s="145" customFormat="1" ht="15" customHeight="1" thickBot="1" x14ac:dyDescent="0.25">
      <c r="A65" s="276" t="s">
        <v>324</v>
      </c>
      <c r="B65" s="277"/>
      <c r="C65" s="278"/>
      <c r="D65" s="200">
        <v>21</v>
      </c>
      <c r="E65" s="200">
        <v>21</v>
      </c>
      <c r="F65" s="200">
        <v>22</v>
      </c>
      <c r="G65" s="1559">
        <f>SUM(H65-F65)</f>
        <v>0</v>
      </c>
      <c r="H65" s="200">
        <v>22</v>
      </c>
      <c r="I65" s="1373">
        <f t="shared" si="2"/>
        <v>4</v>
      </c>
      <c r="J65" s="200">
        <v>26</v>
      </c>
      <c r="K65" s="1566">
        <f>SUM(L65-J65)</f>
        <v>0</v>
      </c>
      <c r="L65" s="200">
        <v>26</v>
      </c>
      <c r="M65" s="200">
        <v>26</v>
      </c>
    </row>
    <row r="66" spans="1:14" s="145" customFormat="1" ht="15" customHeight="1" thickBot="1" x14ac:dyDescent="0.25">
      <c r="A66" s="276" t="s">
        <v>325</v>
      </c>
      <c r="B66" s="277"/>
      <c r="C66" s="278"/>
      <c r="D66" s="279"/>
      <c r="E66" s="279"/>
      <c r="F66" s="279"/>
      <c r="G66" s="1560"/>
      <c r="H66" s="279"/>
      <c r="I66" s="1389"/>
      <c r="J66" s="279"/>
      <c r="K66" s="1389"/>
      <c r="L66" s="279"/>
      <c r="M66" s="279"/>
    </row>
    <row r="73" spans="1:14" ht="15.75" x14ac:dyDescent="0.2">
      <c r="C73" s="116" t="s">
        <v>945</v>
      </c>
    </row>
    <row r="74" spans="1:14" ht="15.75" x14ac:dyDescent="0.2">
      <c r="C74" s="116" t="s">
        <v>942</v>
      </c>
      <c r="H74" s="203">
        <v>88194191</v>
      </c>
      <c r="I74" s="1470"/>
      <c r="J74" s="203">
        <v>85527087</v>
      </c>
      <c r="K74" s="1470"/>
      <c r="L74" s="203">
        <v>85527087</v>
      </c>
      <c r="M74" s="203">
        <v>85087254</v>
      </c>
    </row>
    <row r="75" spans="1:14" ht="15.75" x14ac:dyDescent="0.2">
      <c r="C75" s="116" t="s">
        <v>943</v>
      </c>
      <c r="H75" s="203"/>
      <c r="I75" s="1470"/>
      <c r="J75" s="203"/>
      <c r="K75" s="1470"/>
      <c r="L75" s="203"/>
      <c r="M75" s="203"/>
    </row>
    <row r="76" spans="1:14" ht="18.75" x14ac:dyDescent="0.2">
      <c r="C76" s="781" t="s">
        <v>944</v>
      </c>
      <c r="H76" s="203">
        <f t="shared" ref="H76:M76" si="4">SUM(H74:H75)</f>
        <v>88194191</v>
      </c>
      <c r="I76" s="203">
        <f t="shared" si="4"/>
        <v>0</v>
      </c>
      <c r="J76" s="203">
        <f t="shared" si="4"/>
        <v>85527087</v>
      </c>
      <c r="K76" s="203">
        <f t="shared" si="4"/>
        <v>0</v>
      </c>
      <c r="L76" s="203">
        <f t="shared" si="4"/>
        <v>85527087</v>
      </c>
      <c r="M76" s="203">
        <f t="shared" si="4"/>
        <v>85087254</v>
      </c>
    </row>
    <row r="77" spans="1:14" ht="15.75" x14ac:dyDescent="0.2">
      <c r="C77" s="116"/>
      <c r="H77" s="116"/>
      <c r="I77" s="1416"/>
      <c r="J77" s="116"/>
      <c r="K77" s="116"/>
      <c r="L77" s="116"/>
      <c r="M77" s="116"/>
    </row>
    <row r="78" spans="1:14" ht="15.75" x14ac:dyDescent="0.2">
      <c r="C78" s="780" t="s">
        <v>893</v>
      </c>
      <c r="H78" s="482">
        <f>SUM(H63-H76)</f>
        <v>0</v>
      </c>
      <c r="I78" s="482"/>
      <c r="J78" s="482">
        <f>SUM(J63-J76)</f>
        <v>0</v>
      </c>
      <c r="K78" s="482">
        <f>SUM(K63-K76)</f>
        <v>0</v>
      </c>
      <c r="L78" s="482">
        <f>SUM(L63-L76)</f>
        <v>0</v>
      </c>
      <c r="M78" s="482">
        <f>SUM(M63-M76)</f>
        <v>0</v>
      </c>
      <c r="N78" s="1714"/>
    </row>
    <row r="79" spans="1:14" ht="15.75" x14ac:dyDescent="0.2">
      <c r="H79" s="116"/>
      <c r="I79" s="1416"/>
      <c r="J79" s="116"/>
      <c r="K79" s="1416"/>
      <c r="L79" s="116"/>
      <c r="M79" s="116"/>
    </row>
    <row r="80" spans="1:14" ht="15.75" x14ac:dyDescent="0.2">
      <c r="H80" s="116"/>
      <c r="I80" s="1416"/>
      <c r="J80" s="116"/>
      <c r="K80" s="1416"/>
      <c r="L80" s="116"/>
      <c r="M80" s="116"/>
    </row>
    <row r="81" spans="3:14" ht="15.75" x14ac:dyDescent="0.2">
      <c r="H81" s="116"/>
      <c r="I81" s="1416"/>
      <c r="J81" s="116"/>
      <c r="K81" s="1416"/>
      <c r="L81" s="116"/>
      <c r="M81" s="116"/>
    </row>
    <row r="82" spans="3:14" ht="15.75" x14ac:dyDescent="0.2">
      <c r="C82" s="116" t="s">
        <v>946</v>
      </c>
      <c r="H82" s="116"/>
      <c r="I82" s="1416"/>
      <c r="J82" s="116"/>
      <c r="K82" s="1416"/>
      <c r="L82" s="116"/>
      <c r="M82" s="116"/>
    </row>
    <row r="83" spans="3:14" ht="15.75" x14ac:dyDescent="0.2">
      <c r="C83" s="116"/>
      <c r="H83" s="116"/>
      <c r="I83" s="1416"/>
      <c r="J83" s="116"/>
      <c r="K83" s="1416"/>
      <c r="L83" s="116"/>
      <c r="M83" s="116"/>
    </row>
    <row r="84" spans="3:14" ht="15.75" x14ac:dyDescent="0.2">
      <c r="C84" s="116" t="s">
        <v>947</v>
      </c>
      <c r="F84" s="92"/>
      <c r="G84" s="1420"/>
      <c r="H84" s="203">
        <v>6342642</v>
      </c>
      <c r="I84" s="1470"/>
      <c r="J84" s="203">
        <v>8026511</v>
      </c>
      <c r="K84" s="1470"/>
      <c r="L84" s="203">
        <v>8026511</v>
      </c>
      <c r="M84" s="203">
        <v>8026511</v>
      </c>
      <c r="N84" s="92"/>
    </row>
    <row r="85" spans="3:14" ht="15.75" x14ac:dyDescent="0.2">
      <c r="C85" s="116" t="s">
        <v>948</v>
      </c>
      <c r="F85" s="92"/>
      <c r="G85" s="1420"/>
      <c r="H85" s="203">
        <v>81851549</v>
      </c>
      <c r="I85" s="1470"/>
      <c r="J85" s="203">
        <v>77500576</v>
      </c>
      <c r="K85" s="1470"/>
      <c r="L85" s="203">
        <v>77500576</v>
      </c>
      <c r="M85" s="203">
        <v>77500576</v>
      </c>
      <c r="N85" s="92"/>
    </row>
    <row r="86" spans="3:14" ht="18.75" x14ac:dyDescent="0.2">
      <c r="C86" s="471" t="s">
        <v>944</v>
      </c>
      <c r="F86" s="92"/>
      <c r="G86" s="1420"/>
      <c r="H86" s="482">
        <f t="shared" ref="H86:M86" si="5">SUM(H84:H85)</f>
        <v>88194191</v>
      </c>
      <c r="I86" s="482">
        <f t="shared" si="5"/>
        <v>0</v>
      </c>
      <c r="J86" s="482">
        <f t="shared" si="5"/>
        <v>85527087</v>
      </c>
      <c r="K86" s="482">
        <f t="shared" si="5"/>
        <v>0</v>
      </c>
      <c r="L86" s="482">
        <f t="shared" si="5"/>
        <v>85527087</v>
      </c>
      <c r="M86" s="482">
        <f t="shared" si="5"/>
        <v>85527087</v>
      </c>
      <c r="N86" s="92"/>
    </row>
    <row r="87" spans="3:14" ht="15.75" x14ac:dyDescent="0.2">
      <c r="C87" s="116"/>
      <c r="H87" s="116"/>
      <c r="I87" s="1416"/>
      <c r="J87" s="116"/>
      <c r="K87" s="116"/>
      <c r="L87" s="116"/>
      <c r="M87" s="116"/>
    </row>
    <row r="88" spans="3:14" ht="15.75" x14ac:dyDescent="0.2">
      <c r="C88" s="780" t="s">
        <v>279</v>
      </c>
      <c r="H88" s="482">
        <f>SUM(H47-H86)</f>
        <v>0</v>
      </c>
      <c r="I88" s="482"/>
      <c r="J88" s="482">
        <f>SUM(J47-J86)</f>
        <v>0</v>
      </c>
      <c r="K88" s="482">
        <f>SUM(K47-K86)</f>
        <v>0</v>
      </c>
      <c r="L88" s="482">
        <f>SUM(L47-L86)</f>
        <v>0</v>
      </c>
      <c r="M88" s="482">
        <f>SUM(M47-M86)</f>
        <v>0</v>
      </c>
    </row>
    <row r="89" spans="3:14" ht="15.75" x14ac:dyDescent="0.2">
      <c r="C89" s="116"/>
      <c r="H89" s="116"/>
      <c r="I89" s="1416"/>
      <c r="J89" s="116"/>
      <c r="K89" s="1416"/>
      <c r="L89" s="116"/>
      <c r="M89" s="116"/>
    </row>
  </sheetData>
  <mergeCells count="19">
    <mergeCell ref="D1:M1"/>
    <mergeCell ref="H2:H3"/>
    <mergeCell ref="M2:M3"/>
    <mergeCell ref="G2:G3"/>
    <mergeCell ref="D4:F4"/>
    <mergeCell ref="I2:I3"/>
    <mergeCell ref="J2:J3"/>
    <mergeCell ref="K2:K3"/>
    <mergeCell ref="L2:L3"/>
    <mergeCell ref="A5:B5"/>
    <mergeCell ref="A2:B2"/>
    <mergeCell ref="D2:D3"/>
    <mergeCell ref="F2:F3"/>
    <mergeCell ref="A3:B3"/>
    <mergeCell ref="S44:S45"/>
    <mergeCell ref="U44:U45"/>
    <mergeCell ref="Q44:Q45"/>
    <mergeCell ref="R44:R45"/>
    <mergeCell ref="V44:V45"/>
  </mergeCells>
  <printOptions horizontalCentered="1"/>
  <pageMargins left="0.23622047244094491" right="0.27559055118110237" top="0.39370078740157483" bottom="0.35433070866141736" header="0.51181102362204722" footer="0.15748031496062992"/>
  <pageSetup paperSize="9" scale="74" firstPageNumber="69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Q66"/>
  <sheetViews>
    <sheetView view="pageBreakPreview" topLeftCell="A39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2.1640625" style="115" customWidth="1"/>
    <col min="4" max="5" width="9.33203125" style="115" hidden="1" customWidth="1"/>
    <col min="6" max="6" width="13.33203125" style="115" customWidth="1"/>
    <col min="7" max="7" width="15" style="1390" hidden="1" customWidth="1"/>
    <col min="8" max="8" width="12.1640625" style="115" hidden="1" customWidth="1"/>
    <col min="9" max="9" width="11.83203125" style="1390" hidden="1" customWidth="1"/>
    <col min="10" max="10" width="13.6640625" style="115" customWidth="1"/>
    <col min="11" max="11" width="12.5" style="1390" customWidth="1"/>
    <col min="12" max="12" width="14.1640625" style="115" customWidth="1"/>
    <col min="13" max="13" width="14" style="115" customWidth="1"/>
    <col min="14" max="16" width="9.33203125" style="115"/>
    <col min="17" max="17" width="12.6640625" style="115" customWidth="1"/>
    <col min="18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737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476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22" t="s">
        <v>2623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204" t="s">
        <v>478</v>
      </c>
      <c r="D3" s="4444"/>
      <c r="E3" s="121"/>
      <c r="F3" s="4444"/>
      <c r="G3" s="4603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5"/>
      <c r="M4" s="1508" t="s">
        <v>935</v>
      </c>
    </row>
    <row r="5" spans="1:13" s="145" customFormat="1" ht="33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3115" t="s">
        <v>3</v>
      </c>
      <c r="B8" s="3115"/>
      <c r="C8" s="3116" t="s">
        <v>413</v>
      </c>
      <c r="D8" s="137">
        <f>SUM(D9:D18)</f>
        <v>6917</v>
      </c>
      <c r="E8" s="137">
        <f>SUM(E9:E18)</f>
        <v>6917</v>
      </c>
      <c r="F8" s="137">
        <f>SUM(F9:F18)</f>
        <v>6342642</v>
      </c>
      <c r="G8" s="1382">
        <f t="shared" ref="G8:K23" si="0">SUM(H8-F8)</f>
        <v>0</v>
      </c>
      <c r="H8" s="137">
        <f>SUM(H9:H18)</f>
        <v>6342642</v>
      </c>
      <c r="I8" s="1374">
        <f t="shared" si="0"/>
        <v>1683869</v>
      </c>
      <c r="J8" s="137">
        <f>SUM(J9:J18)</f>
        <v>8026511</v>
      </c>
      <c r="K8" s="1374">
        <f t="shared" si="0"/>
        <v>0</v>
      </c>
      <c r="L8" s="137">
        <f>SUM(L9:L18)</f>
        <v>8026511</v>
      </c>
      <c r="M8" s="137">
        <f>SUM(M9:M18)</f>
        <v>8026511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415">
        <f t="shared" si="0"/>
        <v>0</v>
      </c>
      <c r="H9" s="150">
        <v>0</v>
      </c>
      <c r="I9" s="1376">
        <f t="shared" si="0"/>
        <v>0</v>
      </c>
      <c r="J9" s="150">
        <v>0</v>
      </c>
      <c r="K9" s="1376">
        <f t="shared" si="0"/>
        <v>0</v>
      </c>
      <c r="L9" s="150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/>
      <c r="E10" s="144"/>
      <c r="F10" s="144">
        <f>SUM('5.6. sz. mell'!F10)</f>
        <v>0</v>
      </c>
      <c r="G10" s="1415">
        <f t="shared" si="0"/>
        <v>1186800</v>
      </c>
      <c r="H10" s="144">
        <f>SUM('5.6. sz. mell'!H10)</f>
        <v>1186800</v>
      </c>
      <c r="I10" s="1376">
        <f t="shared" si="0"/>
        <v>-172205</v>
      </c>
      <c r="J10" s="144">
        <f>SUM('5.6. sz. mell'!J10)</f>
        <v>1014595</v>
      </c>
      <c r="K10" s="1376">
        <f t="shared" si="0"/>
        <v>0</v>
      </c>
      <c r="L10" s="144">
        <f>SUM('5.6. sz. mell'!L10)</f>
        <v>1014595</v>
      </c>
      <c r="M10" s="144">
        <f>SUM('5.6. sz. mell'!M10)</f>
        <v>1014595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2500</v>
      </c>
      <c r="E11" s="144">
        <v>2500</v>
      </c>
      <c r="F11" s="144">
        <f>SUM('5.6. sz. mell'!F11)</f>
        <v>0</v>
      </c>
      <c r="G11" s="1415">
        <f t="shared" si="0"/>
        <v>0</v>
      </c>
      <c r="H11" s="144">
        <f>SUM('5.6. sz. mell'!H11)</f>
        <v>0</v>
      </c>
      <c r="I11" s="1376">
        <f t="shared" si="0"/>
        <v>0</v>
      </c>
      <c r="J11" s="144">
        <f>SUM('5.6. sz. mell'!J11)</f>
        <v>0</v>
      </c>
      <c r="K11" s="1376">
        <f t="shared" si="0"/>
        <v>0</v>
      </c>
      <c r="L11" s="144">
        <f>SUM('5.6. sz. mell'!L11)</f>
        <v>0</v>
      </c>
      <c r="M11" s="144">
        <f>SUM('5.6. sz. mell'!M11)</f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2571</v>
      </c>
      <c r="E12" s="144">
        <v>2571</v>
      </c>
      <c r="F12" s="144">
        <f>SUM('5.6. sz. mell'!F12)</f>
        <v>5844600</v>
      </c>
      <c r="G12" s="1415">
        <f t="shared" si="0"/>
        <v>-1186800</v>
      </c>
      <c r="H12" s="144">
        <f>SUM('5.6. sz. mell'!H12)</f>
        <v>4657800</v>
      </c>
      <c r="I12" s="1376">
        <f t="shared" si="0"/>
        <v>1776250</v>
      </c>
      <c r="J12" s="144">
        <f>SUM('5.6. sz. mell'!J12)</f>
        <v>6434050</v>
      </c>
      <c r="K12" s="1376">
        <f t="shared" si="0"/>
        <v>0</v>
      </c>
      <c r="L12" s="144">
        <f>SUM('5.6. sz. mell'!L12)</f>
        <v>6434050</v>
      </c>
      <c r="M12" s="144">
        <f>SUM('5.6. sz. mell'!M12)</f>
        <v>6434050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907</v>
      </c>
      <c r="E13" s="144">
        <v>907</v>
      </c>
      <c r="F13" s="144">
        <f>SUM('5.6. sz. mell'!F13)</f>
        <v>0</v>
      </c>
      <c r="G13" s="1415">
        <f t="shared" si="0"/>
        <v>0</v>
      </c>
      <c r="H13" s="144">
        <f>SUM('5.6. sz. mell'!H13)</f>
        <v>0</v>
      </c>
      <c r="I13" s="1376">
        <f t="shared" si="0"/>
        <v>0</v>
      </c>
      <c r="J13" s="144">
        <f>SUM('5.6. sz. mell'!J13)</f>
        <v>0</v>
      </c>
      <c r="K13" s="1376">
        <f t="shared" si="0"/>
        <v>0</v>
      </c>
      <c r="L13" s="144">
        <f>SUM('5.6. sz. mell'!L13)</f>
        <v>0</v>
      </c>
      <c r="M13" s="144">
        <f>SUM('5.6. sz. mell'!M13)</f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939</v>
      </c>
      <c r="E14" s="147">
        <v>939</v>
      </c>
      <c r="F14" s="144">
        <f>SUM('5.6. sz. mell'!F14)</f>
        <v>498042</v>
      </c>
      <c r="G14" s="1415">
        <f t="shared" si="0"/>
        <v>0</v>
      </c>
      <c r="H14" s="144">
        <f>SUM('5.6. sz. mell'!H14)</f>
        <v>498042</v>
      </c>
      <c r="I14" s="1376">
        <f t="shared" si="0"/>
        <v>56858</v>
      </c>
      <c r="J14" s="144">
        <f>SUM('5.6. sz. mell'!J14)</f>
        <v>554900</v>
      </c>
      <c r="K14" s="1376">
        <f t="shared" si="0"/>
        <v>0</v>
      </c>
      <c r="L14" s="144">
        <f>SUM('5.6. sz. mell'!L14)</f>
        <v>554900</v>
      </c>
      <c r="M14" s="144">
        <f>SUM('5.6. sz. mell'!M14)</f>
        <v>554900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4">
        <f>SUM('5.6. sz. mell'!F15)</f>
        <v>0</v>
      </c>
      <c r="G15" s="1415">
        <f t="shared" si="0"/>
        <v>0</v>
      </c>
      <c r="H15" s="144">
        <f>SUM('5.6. sz. mell'!H15)</f>
        <v>0</v>
      </c>
      <c r="I15" s="1376">
        <f t="shared" si="0"/>
        <v>0</v>
      </c>
      <c r="J15" s="144">
        <f>SUM('5.6. sz. mell'!J15)</f>
        <v>0</v>
      </c>
      <c r="K15" s="1376">
        <f t="shared" si="0"/>
        <v>0</v>
      </c>
      <c r="L15" s="144">
        <f>SUM('5.6. sz. mell'!L15)</f>
        <v>0</v>
      </c>
      <c r="M15" s="144">
        <f>SUM('5.6. sz. mell'!M15)</f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/>
      <c r="F16" s="144">
        <f>SUM('5.6. sz. mell'!F16)</f>
        <v>0</v>
      </c>
      <c r="G16" s="1415">
        <f t="shared" si="0"/>
        <v>0</v>
      </c>
      <c r="H16" s="144">
        <f>SUM('5.6. sz. mell'!H16)</f>
        <v>0</v>
      </c>
      <c r="I16" s="1376">
        <f t="shared" si="0"/>
        <v>1</v>
      </c>
      <c r="J16" s="144">
        <f>SUM('5.6. sz. mell'!J16)</f>
        <v>1</v>
      </c>
      <c r="K16" s="1376">
        <f t="shared" si="0"/>
        <v>0</v>
      </c>
      <c r="L16" s="144">
        <f>SUM('5.6. sz. mell'!L16)</f>
        <v>1</v>
      </c>
      <c r="M16" s="144">
        <f>SUM('5.6. sz. mell'!M16)</f>
        <v>1</v>
      </c>
    </row>
    <row r="17" spans="1:14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44">
        <f>SUM('5.6. sz. mell'!F17)</f>
        <v>0</v>
      </c>
      <c r="G17" s="1415">
        <f t="shared" si="0"/>
        <v>0</v>
      </c>
      <c r="H17" s="144">
        <f>SUM('5.6. sz. mell'!H17)</f>
        <v>0</v>
      </c>
      <c r="I17" s="1376">
        <f t="shared" si="0"/>
        <v>0</v>
      </c>
      <c r="J17" s="144">
        <f>SUM('5.6. sz. mell'!J17)</f>
        <v>0</v>
      </c>
      <c r="K17" s="1376">
        <f t="shared" si="0"/>
        <v>0</v>
      </c>
      <c r="L17" s="144">
        <f>SUM('5.6. sz. mell'!L17)</f>
        <v>0</v>
      </c>
      <c r="M17" s="144">
        <f>SUM('5.6. sz. mell'!M17)</f>
        <v>0</v>
      </c>
    </row>
    <row r="18" spans="1:14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44">
        <f>SUM('5.6. sz. mell'!F18)</f>
        <v>0</v>
      </c>
      <c r="G18" s="1415">
        <f t="shared" si="0"/>
        <v>0</v>
      </c>
      <c r="H18" s="144">
        <f>SUM('5.6. sz. mell'!H18)</f>
        <v>0</v>
      </c>
      <c r="I18" s="1376">
        <f t="shared" si="0"/>
        <v>22965</v>
      </c>
      <c r="J18" s="144">
        <f>SUM('5.6. sz. mell'!J18)</f>
        <v>22965</v>
      </c>
      <c r="K18" s="1376">
        <f t="shared" si="0"/>
        <v>0</v>
      </c>
      <c r="L18" s="144">
        <f>SUM('5.6. sz. mell'!L18)</f>
        <v>22965</v>
      </c>
      <c r="M18" s="144">
        <f>SUM('5.6. sz. mell'!M18)</f>
        <v>22965</v>
      </c>
    </row>
    <row r="19" spans="1:14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23819</v>
      </c>
      <c r="E19" s="137">
        <f>SUM(E20:E25)</f>
        <v>24503</v>
      </c>
      <c r="F19" s="137">
        <f>SUM(F20+F24+F25)</f>
        <v>0</v>
      </c>
      <c r="G19" s="1382">
        <f t="shared" si="0"/>
        <v>0</v>
      </c>
      <c r="H19" s="137">
        <f>SUM(H20:H25)</f>
        <v>0</v>
      </c>
      <c r="I19" s="1374">
        <f t="shared" si="0"/>
        <v>0</v>
      </c>
      <c r="J19" s="137">
        <f>SUM(J20:J25)</f>
        <v>0</v>
      </c>
      <c r="K19" s="1374">
        <f t="shared" si="0"/>
        <v>0</v>
      </c>
      <c r="L19" s="137">
        <f>SUM(L20:L25)</f>
        <v>0</v>
      </c>
      <c r="M19" s="137">
        <f>SUM(M20:M25)</f>
        <v>0</v>
      </c>
    </row>
    <row r="20" spans="1:14" s="145" customFormat="1" ht="30" x14ac:dyDescent="0.2">
      <c r="A20" s="142"/>
      <c r="B20" s="143" t="s">
        <v>5</v>
      </c>
      <c r="C20" s="251" t="s">
        <v>420</v>
      </c>
      <c r="D20" s="144">
        <v>23819</v>
      </c>
      <c r="E20" s="144">
        <v>24503</v>
      </c>
      <c r="F20" s="144">
        <f>SUM(F21:F23)</f>
        <v>0</v>
      </c>
      <c r="G20" s="1415">
        <f t="shared" si="0"/>
        <v>0</v>
      </c>
      <c r="H20" s="144">
        <f>SUM(H21:H23)</f>
        <v>0</v>
      </c>
      <c r="I20" s="1376">
        <f t="shared" si="0"/>
        <v>0</v>
      </c>
      <c r="J20" s="144">
        <f>SUM(J21:J23)</f>
        <v>0</v>
      </c>
      <c r="K20" s="1376">
        <f t="shared" si="0"/>
        <v>0</v>
      </c>
      <c r="L20" s="144">
        <f>SUM(L21:L23)</f>
        <v>0</v>
      </c>
      <c r="M20" s="144"/>
      <c r="N20" s="205"/>
    </row>
    <row r="21" spans="1:14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>
        <f t="shared" si="0"/>
        <v>0</v>
      </c>
      <c r="H21" s="144">
        <v>0</v>
      </c>
      <c r="I21" s="1376">
        <f t="shared" si="0"/>
        <v>0</v>
      </c>
      <c r="J21" s="144">
        <v>0</v>
      </c>
      <c r="K21" s="1376">
        <f t="shared" si="0"/>
        <v>0</v>
      </c>
      <c r="L21" s="144">
        <v>0</v>
      </c>
      <c r="M21" s="144">
        <v>0</v>
      </c>
      <c r="N21" s="205"/>
    </row>
    <row r="22" spans="1:14" s="145" customFormat="1" ht="15" customHeight="1" x14ac:dyDescent="0.2">
      <c r="A22" s="142"/>
      <c r="B22" s="143" t="s">
        <v>360</v>
      </c>
      <c r="C22" s="55" t="s">
        <v>1429</v>
      </c>
      <c r="D22" s="144"/>
      <c r="E22" s="144"/>
      <c r="F22" s="144">
        <v>0</v>
      </c>
      <c r="G22" s="1415">
        <f t="shared" si="0"/>
        <v>0</v>
      </c>
      <c r="H22" s="144">
        <v>0</v>
      </c>
      <c r="I22" s="1376">
        <f t="shared" si="0"/>
        <v>0</v>
      </c>
      <c r="J22" s="144">
        <v>0</v>
      </c>
      <c r="K22" s="1376">
        <f t="shared" si="0"/>
        <v>0</v>
      </c>
      <c r="L22" s="144">
        <v>0</v>
      </c>
      <c r="M22" s="144">
        <v>0</v>
      </c>
      <c r="N22" s="205"/>
    </row>
    <row r="23" spans="1:14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>
        <f t="shared" si="0"/>
        <v>0</v>
      </c>
      <c r="H23" s="144">
        <v>0</v>
      </c>
      <c r="I23" s="1376">
        <f t="shared" si="0"/>
        <v>0</v>
      </c>
      <c r="J23" s="144">
        <v>0</v>
      </c>
      <c r="K23" s="1376">
        <f t="shared" si="0"/>
        <v>0</v>
      </c>
      <c r="L23" s="144">
        <v>0</v>
      </c>
      <c r="M23" s="144">
        <v>0</v>
      </c>
      <c r="N23" s="205"/>
    </row>
    <row r="24" spans="1:14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>
        <f t="shared" ref="G24:K31" si="1">SUM(H24-F24)</f>
        <v>0</v>
      </c>
      <c r="H24" s="144">
        <v>0</v>
      </c>
      <c r="I24" s="1376">
        <f t="shared" si="1"/>
        <v>0</v>
      </c>
      <c r="J24" s="144">
        <v>0</v>
      </c>
      <c r="K24" s="1376">
        <f t="shared" si="1"/>
        <v>0</v>
      </c>
      <c r="L24" s="144">
        <v>0</v>
      </c>
      <c r="M24" s="144">
        <v>0</v>
      </c>
      <c r="N24" s="205"/>
    </row>
    <row r="25" spans="1:14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>
        <f t="shared" si="1"/>
        <v>0</v>
      </c>
      <c r="H25" s="144">
        <v>0</v>
      </c>
      <c r="I25" s="1376">
        <f t="shared" si="1"/>
        <v>0</v>
      </c>
      <c r="J25" s="144">
        <v>0</v>
      </c>
      <c r="K25" s="1376">
        <f t="shared" si="1"/>
        <v>0</v>
      </c>
      <c r="L25" s="144">
        <v>0</v>
      </c>
      <c r="M25" s="144">
        <v>0</v>
      </c>
      <c r="N25" s="205"/>
    </row>
    <row r="26" spans="1:14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137">
        <f>SUM(F27)</f>
        <v>0</v>
      </c>
      <c r="G26" s="1382">
        <f t="shared" si="1"/>
        <v>0</v>
      </c>
      <c r="H26" s="137">
        <f>SUM(H27)</f>
        <v>0</v>
      </c>
      <c r="I26" s="1374">
        <f t="shared" si="1"/>
        <v>0</v>
      </c>
      <c r="J26" s="137">
        <f>SUM(J27)</f>
        <v>0</v>
      </c>
      <c r="K26" s="1374">
        <f t="shared" si="1"/>
        <v>0</v>
      </c>
      <c r="L26" s="137">
        <f>SUM(L27)</f>
        <v>0</v>
      </c>
      <c r="M26" s="137">
        <v>0</v>
      </c>
      <c r="N26" s="205"/>
    </row>
    <row r="27" spans="1:14" s="145" customFormat="1" ht="15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1533">
        <f t="shared" si="1"/>
        <v>0</v>
      </c>
      <c r="H27" s="147">
        <v>0</v>
      </c>
      <c r="I27" s="1403">
        <f t="shared" si="1"/>
        <v>0</v>
      </c>
      <c r="J27" s="147">
        <v>0</v>
      </c>
      <c r="K27" s="1403">
        <f t="shared" si="1"/>
        <v>0</v>
      </c>
      <c r="L27" s="147">
        <v>0</v>
      </c>
      <c r="M27" s="147">
        <v>0</v>
      </c>
      <c r="N27" s="205"/>
    </row>
    <row r="28" spans="1:14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1382">
        <f t="shared" si="1"/>
        <v>0</v>
      </c>
      <c r="H28" s="155">
        <f>SUM(H29:H31)</f>
        <v>0</v>
      </c>
      <c r="I28" s="1374">
        <f t="shared" si="1"/>
        <v>0</v>
      </c>
      <c r="J28" s="155">
        <f>SUM(J29:J31)</f>
        <v>0</v>
      </c>
      <c r="K28" s="1374">
        <f t="shared" si="1"/>
        <v>0</v>
      </c>
      <c r="L28" s="155">
        <f>SUM(L29:L31)</f>
        <v>0</v>
      </c>
      <c r="M28" s="155">
        <v>0</v>
      </c>
      <c r="N28" s="205"/>
    </row>
    <row r="29" spans="1:14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1415">
        <f t="shared" si="1"/>
        <v>0</v>
      </c>
      <c r="H29" s="144">
        <v>0</v>
      </c>
      <c r="I29" s="1376">
        <f t="shared" si="1"/>
        <v>0</v>
      </c>
      <c r="J29" s="144">
        <v>0</v>
      </c>
      <c r="K29" s="1376">
        <f t="shared" si="1"/>
        <v>0</v>
      </c>
      <c r="L29" s="144">
        <v>0</v>
      </c>
      <c r="M29" s="144">
        <v>0</v>
      </c>
      <c r="N29" s="205"/>
    </row>
    <row r="30" spans="1:14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1415">
        <f t="shared" si="1"/>
        <v>0</v>
      </c>
      <c r="H30" s="144">
        <v>0</v>
      </c>
      <c r="I30" s="1376">
        <f t="shared" si="1"/>
        <v>0</v>
      </c>
      <c r="J30" s="144">
        <v>0</v>
      </c>
      <c r="K30" s="1376">
        <f t="shared" si="1"/>
        <v>0</v>
      </c>
      <c r="L30" s="144">
        <v>0</v>
      </c>
      <c r="M30" s="144">
        <v>0</v>
      </c>
      <c r="N30" s="205"/>
    </row>
    <row r="31" spans="1:14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1415">
        <f t="shared" si="1"/>
        <v>0</v>
      </c>
      <c r="H31" s="144">
        <v>0</v>
      </c>
      <c r="I31" s="1376">
        <f t="shared" si="1"/>
        <v>0</v>
      </c>
      <c r="J31" s="144">
        <v>0</v>
      </c>
      <c r="K31" s="1376">
        <f t="shared" si="1"/>
        <v>0</v>
      </c>
      <c r="L31" s="144">
        <v>0</v>
      </c>
      <c r="M31" s="144">
        <v>0</v>
      </c>
      <c r="N31" s="205"/>
    </row>
    <row r="32" spans="1:14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0"/>
      <c r="J32" s="155">
        <v>0</v>
      </c>
      <c r="K32" s="1380"/>
      <c r="L32" s="155">
        <v>0</v>
      </c>
      <c r="M32" s="155">
        <v>0</v>
      </c>
      <c r="N32" s="248"/>
    </row>
    <row r="33" spans="1:17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97</v>
      </c>
      <c r="F33" s="285">
        <f>+F34+F35</f>
        <v>0</v>
      </c>
      <c r="G33" s="1382"/>
      <c r="H33" s="285">
        <f>+H34+H35</f>
        <v>0</v>
      </c>
      <c r="I33" s="1382"/>
      <c r="J33" s="285">
        <f>+J34+J35</f>
        <v>0</v>
      </c>
      <c r="K33" s="1382"/>
      <c r="L33" s="285">
        <f>+L34+L35</f>
        <v>0</v>
      </c>
      <c r="M33" s="285">
        <f>+M34+M35</f>
        <v>0</v>
      </c>
      <c r="N33" s="248"/>
    </row>
    <row r="34" spans="1:17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97</v>
      </c>
      <c r="F34" s="306"/>
      <c r="G34" s="1383"/>
      <c r="H34" s="306"/>
      <c r="I34" s="1383"/>
      <c r="J34" s="306"/>
      <c r="K34" s="1383"/>
      <c r="L34" s="306"/>
      <c r="M34" s="306"/>
      <c r="N34" s="248"/>
    </row>
    <row r="35" spans="1:17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>
        <v>0</v>
      </c>
      <c r="K35" s="1384"/>
      <c r="L35" s="294">
        <v>0</v>
      </c>
      <c r="M35" s="294">
        <v>0</v>
      </c>
      <c r="N35" s="248"/>
    </row>
    <row r="36" spans="1:17" s="141" customFormat="1" ht="29.25" thickBot="1" x14ac:dyDescent="0.25">
      <c r="A36" s="134" t="s">
        <v>67</v>
      </c>
      <c r="B36" s="254"/>
      <c r="C36" s="170" t="s">
        <v>429</v>
      </c>
      <c r="D36" s="320"/>
      <c r="E36" s="320"/>
      <c r="F36" s="155">
        <f>SUM(F37)</f>
        <v>0</v>
      </c>
      <c r="G36" s="1382">
        <f>SUM(H36-F36)</f>
        <v>0</v>
      </c>
      <c r="H36" s="155">
        <f>SUM(H37)</f>
        <v>0</v>
      </c>
      <c r="I36" s="1374">
        <f>SUM(J36-H36)</f>
        <v>0</v>
      </c>
      <c r="J36" s="155">
        <f>SUM(J37)</f>
        <v>0</v>
      </c>
      <c r="K36" s="1374">
        <f>SUM(L36-J36)</f>
        <v>0</v>
      </c>
      <c r="L36" s="155">
        <f>SUM(L37)</f>
        <v>0</v>
      </c>
      <c r="M36" s="155">
        <v>0</v>
      </c>
      <c r="N36" s="248"/>
    </row>
    <row r="37" spans="1:17" s="141" customFormat="1" ht="30.75" thickBot="1" x14ac:dyDescent="0.25">
      <c r="A37" s="146"/>
      <c r="B37" s="255" t="s">
        <v>47</v>
      </c>
      <c r="C37" s="251" t="s">
        <v>430</v>
      </c>
      <c r="D37" s="320"/>
      <c r="E37" s="320"/>
      <c r="F37" s="144">
        <v>0</v>
      </c>
      <c r="G37" s="1415">
        <f t="shared" ref="G37:K38" si="2">SUM(H37-F37)</f>
        <v>0</v>
      </c>
      <c r="H37" s="144">
        <v>0</v>
      </c>
      <c r="I37" s="1376">
        <f t="shared" si="2"/>
        <v>0</v>
      </c>
      <c r="J37" s="144">
        <v>0</v>
      </c>
      <c r="K37" s="1376">
        <f t="shared" si="2"/>
        <v>0</v>
      </c>
      <c r="L37" s="144">
        <v>0</v>
      </c>
      <c r="M37" s="144">
        <v>0</v>
      </c>
      <c r="N37" s="248"/>
    </row>
    <row r="38" spans="1:17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f>SUM(F39)</f>
        <v>0</v>
      </c>
      <c r="G38" s="1382">
        <f t="shared" si="2"/>
        <v>0</v>
      </c>
      <c r="H38" s="155">
        <f>SUM(H39)</f>
        <v>0</v>
      </c>
      <c r="I38" s="1374">
        <f t="shared" si="2"/>
        <v>0</v>
      </c>
      <c r="J38" s="155">
        <f>SUM(J39)</f>
        <v>0</v>
      </c>
      <c r="K38" s="1374">
        <f t="shared" si="2"/>
        <v>0</v>
      </c>
      <c r="L38" s="155">
        <f>SUM(L39)</f>
        <v>0</v>
      </c>
      <c r="M38" s="155">
        <v>0</v>
      </c>
      <c r="N38" s="248"/>
    </row>
    <row r="39" spans="1:17" s="141" customFormat="1" ht="30.75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1415">
        <f>SUM(H39-F39)</f>
        <v>0</v>
      </c>
      <c r="H39" s="320">
        <v>0</v>
      </c>
      <c r="I39" s="1376">
        <f>SUM(J39-H39)</f>
        <v>0</v>
      </c>
      <c r="J39" s="320">
        <v>0</v>
      </c>
      <c r="K39" s="1376">
        <f>SUM(L39-J39)</f>
        <v>0</v>
      </c>
      <c r="L39" s="320">
        <v>0</v>
      </c>
      <c r="M39" s="320">
        <v>0</v>
      </c>
      <c r="N39" s="248"/>
    </row>
    <row r="40" spans="1:17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137">
        <f>SUM(F41:F43)</f>
        <v>77511999</v>
      </c>
      <c r="G40" s="1382">
        <f t="shared" ref="G40:K63" si="3">SUM(H40-F40)</f>
        <v>4339550</v>
      </c>
      <c r="H40" s="137">
        <f>SUM(H41:H43)</f>
        <v>81851549</v>
      </c>
      <c r="I40" s="1374">
        <f t="shared" si="3"/>
        <v>-4350973</v>
      </c>
      <c r="J40" s="137">
        <f>SUM(J41:J43)</f>
        <v>77500576</v>
      </c>
      <c r="K40" s="1374">
        <f t="shared" si="3"/>
        <v>0</v>
      </c>
      <c r="L40" s="137">
        <f>SUM(L41:L43)</f>
        <v>77500576</v>
      </c>
      <c r="M40" s="137">
        <f>SUM(M41:M43)</f>
        <v>77500576</v>
      </c>
      <c r="N40" s="248"/>
    </row>
    <row r="41" spans="1:17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>
        <v>0</v>
      </c>
      <c r="G41" s="1415">
        <f t="shared" si="3"/>
        <v>258398</v>
      </c>
      <c r="H41" s="144">
        <f>SUM('5.6. sz. mell'!H41)</f>
        <v>258398</v>
      </c>
      <c r="I41" s="1376">
        <f t="shared" si="3"/>
        <v>0</v>
      </c>
      <c r="J41" s="144">
        <f>SUM('5.6. sz. mell'!J41)</f>
        <v>258398</v>
      </c>
      <c r="K41" s="1376">
        <f t="shared" si="3"/>
        <v>0</v>
      </c>
      <c r="L41" s="144">
        <f>SUM('5.6. sz. mell'!L41)</f>
        <v>258398</v>
      </c>
      <c r="M41" s="144">
        <f>SUM('5.6. sz. mell'!M41)</f>
        <v>258398</v>
      </c>
      <c r="N41" s="248"/>
    </row>
    <row r="42" spans="1:17" s="141" customFormat="1" ht="15" customHeight="1" x14ac:dyDescent="0.2">
      <c r="A42" s="146"/>
      <c r="B42" s="2676" t="s">
        <v>83</v>
      </c>
      <c r="C42" s="2376" t="s">
        <v>435</v>
      </c>
      <c r="D42" s="147"/>
      <c r="E42" s="147"/>
      <c r="F42" s="153">
        <v>0</v>
      </c>
      <c r="G42" s="1415">
        <f t="shared" si="3"/>
        <v>0</v>
      </c>
      <c r="H42" s="144">
        <v>0</v>
      </c>
      <c r="I42" s="1376">
        <f t="shared" si="3"/>
        <v>0</v>
      </c>
      <c r="J42" s="144">
        <f>SUM('5.6. sz. mell'!J42)</f>
        <v>0</v>
      </c>
      <c r="K42" s="1376">
        <f t="shared" si="3"/>
        <v>0</v>
      </c>
      <c r="L42" s="144">
        <f>SUM('5.6. sz. mell'!L42)</f>
        <v>0</v>
      </c>
      <c r="M42" s="144">
        <v>0</v>
      </c>
      <c r="N42" s="248"/>
    </row>
    <row r="43" spans="1:17" s="145" customFormat="1" ht="15" customHeight="1" x14ac:dyDescent="0.2">
      <c r="A43" s="142"/>
      <c r="B43" s="253" t="s">
        <v>85</v>
      </c>
      <c r="C43" s="55" t="s">
        <v>1432</v>
      </c>
      <c r="D43" s="206">
        <v>26907</v>
      </c>
      <c r="E43" s="206">
        <v>27958</v>
      </c>
      <c r="F43" s="144">
        <f>SUM(F44:F45)</f>
        <v>77511999</v>
      </c>
      <c r="G43" s="1415">
        <f t="shared" si="3"/>
        <v>4081152</v>
      </c>
      <c r="H43" s="144">
        <f>SUM(H44:H45)</f>
        <v>81593151</v>
      </c>
      <c r="I43" s="1376">
        <f t="shared" si="3"/>
        <v>-4350973</v>
      </c>
      <c r="J43" s="144">
        <f>SUM(J44:J45)</f>
        <v>77242178</v>
      </c>
      <c r="K43" s="1376">
        <f t="shared" si="3"/>
        <v>0</v>
      </c>
      <c r="L43" s="144">
        <f>SUM(L44:L45)</f>
        <v>77242178</v>
      </c>
      <c r="M43" s="144">
        <f>SUM(M44:M45)</f>
        <v>77242178</v>
      </c>
      <c r="N43" s="205"/>
    </row>
    <row r="44" spans="1:17" s="145" customFormat="1" ht="15" customHeight="1" x14ac:dyDescent="0.2">
      <c r="A44" s="142"/>
      <c r="B44" s="2685" t="s">
        <v>437</v>
      </c>
      <c r="C44" s="2686" t="s">
        <v>891</v>
      </c>
      <c r="D44" s="2697"/>
      <c r="E44" s="2697"/>
      <c r="F44" s="1306">
        <f>SUM('5.6. sz. mell'!F44)</f>
        <v>35960200</v>
      </c>
      <c r="G44" s="1415">
        <f t="shared" si="3"/>
        <v>871152</v>
      </c>
      <c r="H44" s="147">
        <f>SUM('5.6. sz. mell'!H44)</f>
        <v>36831352</v>
      </c>
      <c r="I44" s="1376">
        <f t="shared" si="3"/>
        <v>9463576</v>
      </c>
      <c r="J44" s="483">
        <f>SUM('5.6. sz. mell'!J44)</f>
        <v>46294928</v>
      </c>
      <c r="K44" s="1376">
        <f t="shared" si="3"/>
        <v>0</v>
      </c>
      <c r="L44" s="144">
        <f>SUM('5.6. sz. mell'!L44)</f>
        <v>46294928</v>
      </c>
      <c r="M44" s="144">
        <f>SUM('5.6. sz. mell'!M44)</f>
        <v>46294928</v>
      </c>
      <c r="N44" s="205"/>
      <c r="O44" s="205"/>
    </row>
    <row r="45" spans="1:17" s="145" customFormat="1" ht="15" customHeight="1" thickBot="1" x14ac:dyDescent="0.25">
      <c r="A45" s="178"/>
      <c r="B45" s="2698" t="s">
        <v>439</v>
      </c>
      <c r="C45" s="2699" t="s">
        <v>532</v>
      </c>
      <c r="D45" s="2700"/>
      <c r="E45" s="2700"/>
      <c r="F45" s="2701">
        <f>SUM('5.6. sz. mell'!F45)</f>
        <v>41551799</v>
      </c>
      <c r="G45" s="1415">
        <f t="shared" si="3"/>
        <v>3210000</v>
      </c>
      <c r="H45" s="147">
        <f>SUM('5.6. sz. mell'!H45)</f>
        <v>44761799</v>
      </c>
      <c r="I45" s="1376">
        <f t="shared" si="3"/>
        <v>-13814549</v>
      </c>
      <c r="J45" s="147">
        <f>SUM('5.6. sz. mell'!J45)</f>
        <v>30947250</v>
      </c>
      <c r="K45" s="1376">
        <f t="shared" si="3"/>
        <v>0</v>
      </c>
      <c r="L45" s="147">
        <f>SUM('5.6. sz. mell'!L45)</f>
        <v>30947250</v>
      </c>
      <c r="M45" s="147">
        <f>SUM('5.6. sz. mell'!M45)</f>
        <v>30947250</v>
      </c>
      <c r="N45" s="205"/>
      <c r="O45" s="205"/>
    </row>
    <row r="46" spans="1:17" s="145" customFormat="1" ht="12.75" hidden="1" customHeight="1" x14ac:dyDescent="0.25">
      <c r="A46" s="258"/>
      <c r="B46" s="256"/>
      <c r="C46" s="170" t="s">
        <v>458</v>
      </c>
      <c r="D46" s="155"/>
      <c r="E46" s="155"/>
      <c r="F46" s="155"/>
      <c r="G46" s="1415">
        <f t="shared" si="3"/>
        <v>0</v>
      </c>
      <c r="H46" s="155"/>
      <c r="I46" s="1376">
        <f t="shared" si="3"/>
        <v>0</v>
      </c>
      <c r="J46" s="155"/>
      <c r="K46" s="1376">
        <f t="shared" si="3"/>
        <v>0</v>
      </c>
      <c r="L46" s="155"/>
      <c r="M46" s="155"/>
    </row>
    <row r="47" spans="1:17" s="145" customFormat="1" ht="15" customHeight="1" thickBot="1" x14ac:dyDescent="0.25">
      <c r="A47" s="192" t="s">
        <v>99</v>
      </c>
      <c r="B47" s="160"/>
      <c r="C47" s="274" t="s">
        <v>441</v>
      </c>
      <c r="D47" s="162">
        <f>SUM(D8,D19,D28,D32,D33,D43)</f>
        <v>57643</v>
      </c>
      <c r="E47" s="162">
        <f>SUM(E8,E19,E28,E32,E33,E43)</f>
        <v>59475</v>
      </c>
      <c r="F47" s="162">
        <f>SUM(F8,F19,F28,F32,F33,F43)</f>
        <v>83854641</v>
      </c>
      <c r="G47" s="1437">
        <f t="shared" si="3"/>
        <v>4339550</v>
      </c>
      <c r="H47" s="162">
        <f>SUM(H8,H19,H28,H32,H33,H40)</f>
        <v>88194191</v>
      </c>
      <c r="I47" s="1373">
        <f t="shared" si="3"/>
        <v>-2667104</v>
      </c>
      <c r="J47" s="162">
        <f>SUM(J8,J19,J28,J32,J33,J40)</f>
        <v>85527087</v>
      </c>
      <c r="K47" s="1373">
        <f t="shared" si="3"/>
        <v>0</v>
      </c>
      <c r="L47" s="162">
        <f>SUM(L8,L19,L28,L32,L33,L40)</f>
        <v>85527087</v>
      </c>
      <c r="M47" s="162">
        <f>SUM(M8,M19,M28,M32,M33,M40)</f>
        <v>85527087</v>
      </c>
      <c r="N47" s="205"/>
      <c r="O47" s="205">
        <f>SUM(F63-F47)</f>
        <v>0</v>
      </c>
      <c r="P47" s="205">
        <f>SUM(H63-H47)</f>
        <v>0</v>
      </c>
      <c r="Q47" s="205">
        <f>SUM(M63-M47)</f>
        <v>-439833</v>
      </c>
    </row>
    <row r="48" spans="1:17" s="145" customFormat="1" ht="15" customHeight="1" thickBot="1" x14ac:dyDescent="0.25">
      <c r="A48" s="2098"/>
      <c r="B48" s="266"/>
      <c r="C48" s="275"/>
      <c r="D48" s="286"/>
      <c r="E48" s="286"/>
      <c r="F48" s="2163"/>
      <c r="G48" s="2684"/>
      <c r="H48" s="1443"/>
      <c r="I48" s="1443"/>
      <c r="J48" s="1443"/>
      <c r="K48" s="1443"/>
      <c r="L48" s="1443"/>
      <c r="M48" s="1458"/>
    </row>
    <row r="49" spans="1:13" s="305" customFormat="1" ht="15" customHeight="1" thickBot="1" x14ac:dyDescent="0.25">
      <c r="A49" s="192"/>
      <c r="B49" s="160"/>
      <c r="C49" s="282" t="s">
        <v>231</v>
      </c>
      <c r="D49" s="162"/>
      <c r="E49" s="162"/>
      <c r="F49" s="162"/>
      <c r="G49" s="1437"/>
      <c r="H49" s="162"/>
      <c r="I49" s="1373"/>
      <c r="J49" s="162"/>
      <c r="K49" s="1373"/>
      <c r="L49" s="162"/>
      <c r="M49" s="162"/>
    </row>
    <row r="50" spans="1:13" s="141" customFormat="1" ht="15" customHeight="1" thickBot="1" x14ac:dyDescent="0.25">
      <c r="A50" s="134" t="s">
        <v>3</v>
      </c>
      <c r="B50" s="170"/>
      <c r="C50" s="170" t="s">
        <v>442</v>
      </c>
      <c r="D50" s="137">
        <f>SUM(D51:D55)</f>
        <v>57643</v>
      </c>
      <c r="E50" s="137">
        <f>SUM(E51:E55)</f>
        <v>59475</v>
      </c>
      <c r="F50" s="137">
        <f>SUM(F51:F55)</f>
        <v>83664141</v>
      </c>
      <c r="G50" s="1382">
        <f t="shared" si="3"/>
        <v>4339550</v>
      </c>
      <c r="H50" s="137">
        <f>SUM(H51:H55)</f>
        <v>88003691</v>
      </c>
      <c r="I50" s="1374">
        <f t="shared" si="3"/>
        <v>-2681149</v>
      </c>
      <c r="J50" s="137">
        <f>SUM(J51:J55)</f>
        <v>85322542</v>
      </c>
      <c r="K50" s="1374">
        <f t="shared" si="3"/>
        <v>0</v>
      </c>
      <c r="L50" s="137">
        <f>SUM(L51:L55)</f>
        <v>85322542</v>
      </c>
      <c r="M50" s="137">
        <f>SUM(M51:M55)</f>
        <v>84882709</v>
      </c>
    </row>
    <row r="51" spans="1:13" s="145" customFormat="1" ht="15" customHeight="1" x14ac:dyDescent="0.2">
      <c r="A51" s="173"/>
      <c r="B51" s="267" t="s">
        <v>152</v>
      </c>
      <c r="C51" s="251" t="s">
        <v>153</v>
      </c>
      <c r="D51" s="175">
        <v>32955</v>
      </c>
      <c r="E51" s="175">
        <v>34286</v>
      </c>
      <c r="F51" s="175">
        <f>SUM('5.6. sz. mell'!F51)</f>
        <v>58854440</v>
      </c>
      <c r="G51" s="1415">
        <f t="shared" si="3"/>
        <v>3422053</v>
      </c>
      <c r="H51" s="175">
        <f>SUM('5.6. sz. mell'!H51)</f>
        <v>62276493</v>
      </c>
      <c r="I51" s="1376">
        <f t="shared" si="3"/>
        <v>-707015</v>
      </c>
      <c r="J51" s="175">
        <f>SUM('5.6. sz. mell'!J51)</f>
        <v>61569478</v>
      </c>
      <c r="K51" s="1376">
        <f t="shared" si="3"/>
        <v>0</v>
      </c>
      <c r="L51" s="175">
        <f>SUM('5.6. sz. mell'!L51)</f>
        <v>61569478</v>
      </c>
      <c r="M51" s="175">
        <f>SUM('5.6. sz. mell'!M51)</f>
        <v>61569478</v>
      </c>
    </row>
    <row r="52" spans="1:13" s="145" customFormat="1" ht="15" customHeight="1" x14ac:dyDescent="0.2">
      <c r="A52" s="142"/>
      <c r="B52" s="253" t="s">
        <v>154</v>
      </c>
      <c r="C52" s="55" t="s">
        <v>155</v>
      </c>
      <c r="D52" s="144">
        <v>8632</v>
      </c>
      <c r="E52" s="144">
        <v>8991</v>
      </c>
      <c r="F52" s="175">
        <f>SUM('5.6. sz. mell'!F52)</f>
        <v>12020585</v>
      </c>
      <c r="G52" s="1415">
        <f t="shared" si="3"/>
        <v>670281</v>
      </c>
      <c r="H52" s="175">
        <f>SUM('5.6. sz. mell'!H52)</f>
        <v>12690866</v>
      </c>
      <c r="I52" s="1376">
        <f t="shared" si="3"/>
        <v>75415</v>
      </c>
      <c r="J52" s="175">
        <f>SUM('5.6. sz. mell'!J52)</f>
        <v>12766281</v>
      </c>
      <c r="K52" s="1376">
        <f t="shared" si="3"/>
        <v>0</v>
      </c>
      <c r="L52" s="175">
        <f>SUM('5.6. sz. mell'!L52)</f>
        <v>12766281</v>
      </c>
      <c r="M52" s="175">
        <f>SUM('5.6. sz. mell'!M52)</f>
        <v>12718576</v>
      </c>
    </row>
    <row r="53" spans="1:13" s="145" customFormat="1" ht="15" customHeight="1" x14ac:dyDescent="0.2">
      <c r="A53" s="142"/>
      <c r="B53" s="253" t="s">
        <v>156</v>
      </c>
      <c r="C53" s="55" t="s">
        <v>157</v>
      </c>
      <c r="D53" s="144">
        <v>16056</v>
      </c>
      <c r="E53" s="144">
        <v>16198</v>
      </c>
      <c r="F53" s="175">
        <f>SUM('5.6. sz. mell'!F53)</f>
        <v>12789116</v>
      </c>
      <c r="G53" s="1415">
        <f t="shared" si="3"/>
        <v>247216</v>
      </c>
      <c r="H53" s="175">
        <f>SUM('5.6. sz. mell'!H53)</f>
        <v>13036332</v>
      </c>
      <c r="I53" s="1376">
        <f t="shared" si="3"/>
        <v>-2049549</v>
      </c>
      <c r="J53" s="175">
        <f>SUM('5.6. sz. mell'!J53)</f>
        <v>10986783</v>
      </c>
      <c r="K53" s="1376">
        <f t="shared" si="3"/>
        <v>0</v>
      </c>
      <c r="L53" s="175">
        <f>SUM('5.6. sz. mell'!L53)</f>
        <v>10986783</v>
      </c>
      <c r="M53" s="175">
        <f>SUM('5.6. sz. mell'!M53)</f>
        <v>10594655</v>
      </c>
    </row>
    <row r="54" spans="1:13" s="145" customFormat="1" ht="15" customHeight="1" x14ac:dyDescent="0.2">
      <c r="A54" s="142"/>
      <c r="B54" s="253" t="s">
        <v>158</v>
      </c>
      <c r="C54" s="55" t="s">
        <v>159</v>
      </c>
      <c r="D54" s="144"/>
      <c r="E54" s="144"/>
      <c r="F54" s="175">
        <f>SUM('5.6. sz. mell'!F54)</f>
        <v>0</v>
      </c>
      <c r="G54" s="1415">
        <f t="shared" si="3"/>
        <v>0</v>
      </c>
      <c r="H54" s="175">
        <f>SUM('5.6. sz. mell'!H54)</f>
        <v>0</v>
      </c>
      <c r="I54" s="1376">
        <f t="shared" si="3"/>
        <v>0</v>
      </c>
      <c r="J54" s="175">
        <f>SUM('5.6. sz. mell'!J54)</f>
        <v>0</v>
      </c>
      <c r="K54" s="1376">
        <f t="shared" si="3"/>
        <v>0</v>
      </c>
      <c r="L54" s="175">
        <f>SUM('5.6. sz. mell'!L54)</f>
        <v>0</v>
      </c>
      <c r="M54" s="175">
        <f>SUM('5.6. sz. mell'!M54)</f>
        <v>0</v>
      </c>
    </row>
    <row r="55" spans="1:13" s="145" customFormat="1" ht="15" customHeight="1" thickBot="1" x14ac:dyDescent="0.25">
      <c r="A55" s="142"/>
      <c r="B55" s="253" t="s">
        <v>375</v>
      </c>
      <c r="C55" s="55" t="s">
        <v>161</v>
      </c>
      <c r="D55" s="144">
        <v>0</v>
      </c>
      <c r="E55" s="144">
        <v>0</v>
      </c>
      <c r="F55" s="175">
        <f>SUM('5.6. sz. mell'!F55)</f>
        <v>0</v>
      </c>
      <c r="G55" s="1415">
        <f t="shared" si="3"/>
        <v>0</v>
      </c>
      <c r="H55" s="175">
        <f>SUM('5.6. sz. mell'!H55)</f>
        <v>0</v>
      </c>
      <c r="I55" s="1376">
        <f t="shared" si="3"/>
        <v>0</v>
      </c>
      <c r="J55" s="175">
        <f>SUM('5.6. sz. mell'!J55)</f>
        <v>0</v>
      </c>
      <c r="K55" s="1376">
        <f t="shared" si="3"/>
        <v>0</v>
      </c>
      <c r="L55" s="175">
        <f>SUM('5.6. sz. mell'!L55)</f>
        <v>0</v>
      </c>
      <c r="M55" s="175">
        <f>SUM('5.6. sz. mell'!M55)</f>
        <v>0</v>
      </c>
    </row>
    <row r="56" spans="1:13" s="145" customFormat="1" ht="15" customHeight="1" thickBot="1" x14ac:dyDescent="0.25">
      <c r="A56" s="134" t="s">
        <v>17</v>
      </c>
      <c r="B56" s="170"/>
      <c r="C56" s="170" t="s">
        <v>443</v>
      </c>
      <c r="D56" s="137">
        <f>SUM(D57:D60)</f>
        <v>0</v>
      </c>
      <c r="E56" s="137">
        <f>SUM(E57:E60)</f>
        <v>0</v>
      </c>
      <c r="F56" s="137">
        <f>SUM(F57:F60)</f>
        <v>190500</v>
      </c>
      <c r="G56" s="1382">
        <f t="shared" si="3"/>
        <v>0</v>
      </c>
      <c r="H56" s="137">
        <f>SUM(H57:H60)</f>
        <v>190500</v>
      </c>
      <c r="I56" s="1374">
        <f t="shared" si="3"/>
        <v>14045</v>
      </c>
      <c r="J56" s="137">
        <f>SUM(J57:J60)</f>
        <v>204545</v>
      </c>
      <c r="K56" s="1374">
        <f t="shared" si="3"/>
        <v>0</v>
      </c>
      <c r="L56" s="137">
        <f>SUM(L57:L60)</f>
        <v>204545</v>
      </c>
      <c r="M56" s="137">
        <f>SUM(M57:M60)</f>
        <v>204545</v>
      </c>
    </row>
    <row r="57" spans="1:13" s="141" customFormat="1" ht="15" customHeight="1" x14ac:dyDescent="0.2">
      <c r="A57" s="173"/>
      <c r="B57" s="267" t="s">
        <v>5</v>
      </c>
      <c r="C57" s="251" t="s">
        <v>183</v>
      </c>
      <c r="D57" s="175">
        <v>0</v>
      </c>
      <c r="E57" s="175">
        <v>0</v>
      </c>
      <c r="F57" s="175">
        <f>SUM('5.6. sz. mell'!F57)</f>
        <v>190500</v>
      </c>
      <c r="G57" s="1415">
        <f t="shared" si="3"/>
        <v>0</v>
      </c>
      <c r="H57" s="175">
        <f>SUM('5.6. sz. mell'!H57)</f>
        <v>190500</v>
      </c>
      <c r="I57" s="1376">
        <f t="shared" si="3"/>
        <v>14045</v>
      </c>
      <c r="J57" s="175">
        <f>SUM('5.6. sz. mell'!J57)</f>
        <v>204545</v>
      </c>
      <c r="K57" s="1376">
        <f t="shared" si="3"/>
        <v>0</v>
      </c>
      <c r="L57" s="175">
        <f>SUM('5.6. sz. mell'!L57)</f>
        <v>204545</v>
      </c>
      <c r="M57" s="175">
        <f>SUM('5.6. sz. mell'!M57)</f>
        <v>204545</v>
      </c>
    </row>
    <row r="58" spans="1:13" s="145" customFormat="1" ht="15" customHeight="1" x14ac:dyDescent="0.2">
      <c r="A58" s="142"/>
      <c r="B58" s="253" t="s">
        <v>7</v>
      </c>
      <c r="C58" s="55" t="s">
        <v>185</v>
      </c>
      <c r="D58" s="144">
        <v>0</v>
      </c>
      <c r="E58" s="144">
        <v>0</v>
      </c>
      <c r="F58" s="175">
        <f>SUM('5.6. sz. mell'!F58)</f>
        <v>0</v>
      </c>
      <c r="G58" s="1415">
        <f t="shared" si="3"/>
        <v>0</v>
      </c>
      <c r="H58" s="175">
        <f>SUM('5.6. sz. mell'!H58)</f>
        <v>0</v>
      </c>
      <c r="I58" s="1376">
        <f t="shared" si="3"/>
        <v>0</v>
      </c>
      <c r="J58" s="175">
        <f>SUM('5.6. sz. mell'!J58)</f>
        <v>0</v>
      </c>
      <c r="K58" s="1376">
        <f t="shared" si="3"/>
        <v>0</v>
      </c>
      <c r="L58" s="175">
        <f>SUM('5.6. sz. mell'!L58)</f>
        <v>0</v>
      </c>
      <c r="M58" s="175">
        <f>SUM('5.6. sz. mell'!M58)</f>
        <v>0</v>
      </c>
    </row>
    <row r="59" spans="1:13" s="145" customFormat="1" ht="15.75" thickBot="1" x14ac:dyDescent="0.25">
      <c r="A59" s="142"/>
      <c r="B59" s="253" t="s">
        <v>9</v>
      </c>
      <c r="C59" s="55" t="s">
        <v>444</v>
      </c>
      <c r="D59" s="144">
        <v>0</v>
      </c>
      <c r="E59" s="144">
        <v>0</v>
      </c>
      <c r="F59" s="175">
        <f>SUM('5.6. sz. mell'!F59)</f>
        <v>0</v>
      </c>
      <c r="G59" s="1415">
        <f t="shared" si="3"/>
        <v>0</v>
      </c>
      <c r="H59" s="175">
        <f>SUM('5.6. sz. mell'!H59)</f>
        <v>0</v>
      </c>
      <c r="I59" s="1376">
        <f t="shared" si="3"/>
        <v>0</v>
      </c>
      <c r="J59" s="175">
        <f>SUM('5.6. sz. mell'!J59)</f>
        <v>0</v>
      </c>
      <c r="K59" s="1376">
        <f t="shared" si="3"/>
        <v>0</v>
      </c>
      <c r="L59" s="175">
        <f>SUM('5.6. sz. mell'!L59)</f>
        <v>0</v>
      </c>
      <c r="M59" s="175">
        <f>SUM('5.6. sz. mell'!M59)</f>
        <v>0</v>
      </c>
    </row>
    <row r="60" spans="1:13" s="145" customFormat="1" ht="12.75" hidden="1" customHeight="1" x14ac:dyDescent="0.2">
      <c r="A60" s="142"/>
      <c r="B60" s="176" t="s">
        <v>189</v>
      </c>
      <c r="C60" s="55" t="s">
        <v>448</v>
      </c>
      <c r="D60" s="144">
        <v>0</v>
      </c>
      <c r="E60" s="144">
        <v>0</v>
      </c>
      <c r="F60" s="144">
        <v>0</v>
      </c>
      <c r="G60" s="1415">
        <f t="shared" si="3"/>
        <v>0</v>
      </c>
      <c r="H60" s="144">
        <v>0</v>
      </c>
      <c r="I60" s="1376">
        <f t="shared" si="3"/>
        <v>0</v>
      </c>
      <c r="J60" s="144">
        <v>0</v>
      </c>
      <c r="K60" s="1376">
        <f t="shared" si="3"/>
        <v>0</v>
      </c>
      <c r="L60" s="144">
        <v>0</v>
      </c>
      <c r="M60" s="144">
        <v>0</v>
      </c>
    </row>
    <row r="61" spans="1:13" s="145" customFormat="1" ht="12.75" hidden="1" customHeight="1" x14ac:dyDescent="0.2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415">
        <f t="shared" si="3"/>
        <v>0</v>
      </c>
      <c r="H61" s="155">
        <v>0</v>
      </c>
      <c r="I61" s="1376">
        <f t="shared" si="3"/>
        <v>0</v>
      </c>
      <c r="J61" s="155">
        <v>0</v>
      </c>
      <c r="K61" s="1376">
        <f t="shared" si="3"/>
        <v>0</v>
      </c>
      <c r="L61" s="155">
        <v>0</v>
      </c>
      <c r="M61" s="155">
        <v>0</v>
      </c>
    </row>
    <row r="62" spans="1:13" s="145" customFormat="1" ht="12.75" hidden="1" customHeight="1" x14ac:dyDescent="0.2">
      <c r="A62" s="134"/>
      <c r="B62" s="170"/>
      <c r="C62" s="171" t="s">
        <v>459</v>
      </c>
      <c r="D62" s="155"/>
      <c r="E62" s="155"/>
      <c r="F62" s="155"/>
      <c r="G62" s="1415">
        <f t="shared" si="3"/>
        <v>0</v>
      </c>
      <c r="H62" s="155"/>
      <c r="I62" s="1376">
        <f t="shared" si="3"/>
        <v>0</v>
      </c>
      <c r="J62" s="155"/>
      <c r="K62" s="1376">
        <f t="shared" si="3"/>
        <v>0</v>
      </c>
      <c r="L62" s="155"/>
      <c r="M62" s="155"/>
    </row>
    <row r="63" spans="1:13" s="145" customFormat="1" ht="15" customHeight="1" thickBot="1" x14ac:dyDescent="0.25">
      <c r="A63" s="192" t="s">
        <v>31</v>
      </c>
      <c r="B63" s="160"/>
      <c r="C63" s="274" t="s">
        <v>465</v>
      </c>
      <c r="D63" s="162">
        <f>+D50+D56+D61</f>
        <v>57643</v>
      </c>
      <c r="E63" s="162">
        <f>+E50+E56+E61</f>
        <v>59475</v>
      </c>
      <c r="F63" s="162">
        <f>+F50+F56+F61+F62</f>
        <v>83854641</v>
      </c>
      <c r="G63" s="1437">
        <f t="shared" si="3"/>
        <v>4339550</v>
      </c>
      <c r="H63" s="162">
        <f>+H50+H56+H61+H62</f>
        <v>88194191</v>
      </c>
      <c r="I63" s="1373">
        <f t="shared" si="3"/>
        <v>-2667104</v>
      </c>
      <c r="J63" s="162">
        <f>+J50+J56+J61+J62</f>
        <v>85527087</v>
      </c>
      <c r="K63" s="1373">
        <f t="shared" si="3"/>
        <v>0</v>
      </c>
      <c r="L63" s="162">
        <f>+L50+L56+L61+L62</f>
        <v>85527087</v>
      </c>
      <c r="M63" s="162">
        <f>+M50+M56+M61+M62</f>
        <v>85087254</v>
      </c>
    </row>
    <row r="64" spans="1:13" s="145" customFormat="1" ht="15" customHeight="1" thickBot="1" x14ac:dyDescent="0.25">
      <c r="A64" s="1303"/>
      <c r="B64" s="886"/>
      <c r="C64" s="886"/>
      <c r="D64" s="886"/>
      <c r="E64" s="886"/>
      <c r="F64" s="2100"/>
      <c r="G64" s="1550"/>
      <c r="H64" s="1550"/>
      <c r="I64" s="1550"/>
      <c r="J64" s="1550"/>
      <c r="K64" s="1550"/>
      <c r="L64" s="1550"/>
      <c r="M64" s="1304"/>
    </row>
    <row r="65" spans="1:13" s="145" customFormat="1" ht="15" customHeight="1" thickBot="1" x14ac:dyDescent="0.25">
      <c r="A65" s="276" t="s">
        <v>324</v>
      </c>
      <c r="B65" s="277"/>
      <c r="C65" s="278"/>
      <c r="D65" s="200">
        <v>21</v>
      </c>
      <c r="E65" s="200">
        <v>21</v>
      </c>
      <c r="F65" s="200">
        <f>SUM('5.6. sz. mell'!F65)</f>
        <v>22</v>
      </c>
      <c r="G65" s="1559">
        <f>SUM(H65-F65)</f>
        <v>0</v>
      </c>
      <c r="H65" s="200">
        <f>SUM('5.6. sz. mell'!H65)</f>
        <v>22</v>
      </c>
      <c r="I65" s="1388"/>
      <c r="J65" s="200">
        <f>SUM('5.6. sz. mell'!J65)</f>
        <v>26</v>
      </c>
      <c r="K65" s="1388">
        <f>SUM(L65-J65)</f>
        <v>0</v>
      </c>
      <c r="L65" s="200">
        <f>SUM('5.6. sz. mell'!L65)</f>
        <v>26</v>
      </c>
      <c r="M65" s="200">
        <f>SUM('5.6. sz. mell'!M65)</f>
        <v>26</v>
      </c>
    </row>
    <row r="66" spans="1:13" s="145" customFormat="1" ht="15" customHeight="1" thickBot="1" x14ac:dyDescent="0.25">
      <c r="A66" s="276" t="s">
        <v>325</v>
      </c>
      <c r="B66" s="277"/>
      <c r="C66" s="278"/>
      <c r="D66" s="279"/>
      <c r="E66" s="279"/>
      <c r="F66" s="279"/>
      <c r="G66" s="1560"/>
      <c r="H66" s="279"/>
      <c r="I66" s="1389"/>
      <c r="J66" s="279"/>
      <c r="K66" s="1389"/>
      <c r="L66" s="279"/>
      <c r="M66" s="279"/>
    </row>
  </sheetData>
  <mergeCells count="14">
    <mergeCell ref="D4:F4"/>
    <mergeCell ref="A5:B5"/>
    <mergeCell ref="A2:B2"/>
    <mergeCell ref="D2:D3"/>
    <mergeCell ref="F2:F3"/>
    <mergeCell ref="A3:B3"/>
    <mergeCell ref="I2:I3"/>
    <mergeCell ref="J2:J3"/>
    <mergeCell ref="K2:K3"/>
    <mergeCell ref="L2:L3"/>
    <mergeCell ref="C1:M1"/>
    <mergeCell ref="H2:H3"/>
    <mergeCell ref="M2:M3"/>
    <mergeCell ref="G2:G3"/>
  </mergeCells>
  <printOptions horizontalCentered="1"/>
  <pageMargins left="0.23622047244094491" right="0.27559055118110237" top="0.39370078740157483" bottom="0.35433070866141736" header="0.51181102362204722" footer="0.15748031496062992"/>
  <pageSetup paperSize="9" scale="75" firstPageNumber="70" orientation="portrait" useFirstPageNumber="1" r:id="rId1"/>
  <headerFooter>
    <oddFooter>&amp;C- &amp;P -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64"/>
  <sheetViews>
    <sheetView view="pageBreakPreview" topLeftCell="A45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2.1640625" style="115" customWidth="1"/>
    <col min="4" max="5" width="9.33203125" style="115" hidden="1" customWidth="1"/>
    <col min="6" max="6" width="11.33203125" style="115" customWidth="1"/>
    <col min="7" max="7" width="13.33203125" style="1390" hidden="1" customWidth="1"/>
    <col min="8" max="8" width="12.6640625" style="115" hidden="1" customWidth="1"/>
    <col min="9" max="9" width="11.5" style="1390" hidden="1" customWidth="1"/>
    <col min="10" max="10" width="13.33203125" style="115" customWidth="1"/>
    <col min="11" max="11" width="14.1640625" style="1390" customWidth="1"/>
    <col min="12" max="12" width="14.1640625" style="115" customWidth="1"/>
    <col min="13" max="13" width="13.83203125" style="115" customWidth="1"/>
    <col min="14" max="16384" width="9.33203125" style="115"/>
  </cols>
  <sheetData>
    <row r="1" spans="1:13" s="98" customFormat="1" ht="16.899999999999999" customHeight="1" thickBot="1" x14ac:dyDescent="0.25">
      <c r="A1" s="240"/>
      <c r="B1" s="241"/>
      <c r="C1" s="4526" t="s">
        <v>738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476</v>
      </c>
      <c r="D2" s="4444" t="s">
        <v>282</v>
      </c>
      <c r="E2" s="118"/>
      <c r="F2" s="4415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204" t="s">
        <v>479</v>
      </c>
      <c r="D3" s="4444"/>
      <c r="E3" s="121"/>
      <c r="F3" s="4432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5"/>
      <c r="M4" s="1508" t="s">
        <v>935</v>
      </c>
    </row>
    <row r="5" spans="1:13" s="145" customFormat="1" ht="33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92" t="s">
        <v>3</v>
      </c>
      <c r="B8" s="148"/>
      <c r="C8" s="247" t="s">
        <v>413</v>
      </c>
      <c r="D8" s="137">
        <f>SUM(D9:D18)</f>
        <v>6917</v>
      </c>
      <c r="E8" s="137">
        <f>SUM(E9:E18)</f>
        <v>6917</v>
      </c>
      <c r="F8" s="137">
        <f>SUM(F9:F18)</f>
        <v>0</v>
      </c>
      <c r="G8" s="1382">
        <f t="shared" ref="G8:G45" si="0">SUM(H8-F8)</f>
        <v>0</v>
      </c>
      <c r="H8" s="137">
        <f>SUM(H9:H18)</f>
        <v>0</v>
      </c>
      <c r="I8" s="1374">
        <f t="shared" ref="I8:I45" si="1">SUM(J8-H8)</f>
        <v>0</v>
      </c>
      <c r="J8" s="137">
        <f>SUM(J9:J18)</f>
        <v>0</v>
      </c>
      <c r="K8" s="1374">
        <f t="shared" ref="K8:K45" si="2">SUM(L8-J8)</f>
        <v>0</v>
      </c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47">
        <v>0</v>
      </c>
      <c r="G9" s="2692">
        <f t="shared" si="0"/>
        <v>0</v>
      </c>
      <c r="H9" s="147">
        <v>0</v>
      </c>
      <c r="I9" s="1502">
        <f t="shared" si="1"/>
        <v>0</v>
      </c>
      <c r="J9" s="147">
        <v>0</v>
      </c>
      <c r="K9" s="1502">
        <f t="shared" si="2"/>
        <v>0</v>
      </c>
      <c r="L9" s="147">
        <v>0</v>
      </c>
      <c r="M9" s="147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/>
      <c r="E10" s="144"/>
      <c r="F10" s="144">
        <v>0</v>
      </c>
      <c r="G10" s="2458">
        <f t="shared" si="0"/>
        <v>0</v>
      </c>
      <c r="H10" s="144">
        <v>0</v>
      </c>
      <c r="I10" s="1503">
        <f t="shared" si="1"/>
        <v>0</v>
      </c>
      <c r="J10" s="144">
        <v>0</v>
      </c>
      <c r="K10" s="1503">
        <f t="shared" si="2"/>
        <v>0</v>
      </c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2500</v>
      </c>
      <c r="E11" s="144">
        <v>2500</v>
      </c>
      <c r="F11" s="144">
        <v>0</v>
      </c>
      <c r="G11" s="2693">
        <f t="shared" si="0"/>
        <v>0</v>
      </c>
      <c r="H11" s="144">
        <v>0</v>
      </c>
      <c r="I11" s="1504">
        <f t="shared" si="1"/>
        <v>0</v>
      </c>
      <c r="J11" s="144">
        <v>0</v>
      </c>
      <c r="K11" s="1504">
        <f t="shared" si="2"/>
        <v>0</v>
      </c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2571</v>
      </c>
      <c r="E12" s="144">
        <v>2571</v>
      </c>
      <c r="F12" s="144">
        <v>0</v>
      </c>
      <c r="G12" s="2458">
        <f t="shared" si="0"/>
        <v>0</v>
      </c>
      <c r="H12" s="144">
        <v>0</v>
      </c>
      <c r="I12" s="1503">
        <f t="shared" si="1"/>
        <v>0</v>
      </c>
      <c r="J12" s="144">
        <v>0</v>
      </c>
      <c r="K12" s="1503">
        <f t="shared" si="2"/>
        <v>0</v>
      </c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907</v>
      </c>
      <c r="E13" s="144">
        <v>907</v>
      </c>
      <c r="F13" s="144">
        <v>0</v>
      </c>
      <c r="G13" s="2693">
        <f t="shared" si="0"/>
        <v>0</v>
      </c>
      <c r="H13" s="144">
        <v>0</v>
      </c>
      <c r="I13" s="1504">
        <f t="shared" si="1"/>
        <v>0</v>
      </c>
      <c r="J13" s="144">
        <v>0</v>
      </c>
      <c r="K13" s="1504">
        <f t="shared" si="2"/>
        <v>0</v>
      </c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939</v>
      </c>
      <c r="E14" s="147">
        <v>939</v>
      </c>
      <c r="F14" s="144">
        <v>0</v>
      </c>
      <c r="G14" s="2458">
        <f t="shared" si="0"/>
        <v>0</v>
      </c>
      <c r="H14" s="144">
        <v>0</v>
      </c>
      <c r="I14" s="1503">
        <f t="shared" si="1"/>
        <v>0</v>
      </c>
      <c r="J14" s="144">
        <v>0</v>
      </c>
      <c r="K14" s="1503">
        <f t="shared" si="2"/>
        <v>0</v>
      </c>
      <c r="L14" s="144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4">
        <v>0</v>
      </c>
      <c r="G15" s="2693">
        <f t="shared" si="0"/>
        <v>0</v>
      </c>
      <c r="H15" s="144">
        <v>0</v>
      </c>
      <c r="I15" s="1504">
        <f t="shared" si="1"/>
        <v>0</v>
      </c>
      <c r="J15" s="144">
        <v>0</v>
      </c>
      <c r="K15" s="1504">
        <f t="shared" si="2"/>
        <v>0</v>
      </c>
      <c r="L15" s="144">
        <v>0</v>
      </c>
      <c r="M15" s="144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/>
      <c r="F16" s="144">
        <v>0</v>
      </c>
      <c r="G16" s="2458">
        <f t="shared" si="0"/>
        <v>0</v>
      </c>
      <c r="H16" s="144">
        <v>0</v>
      </c>
      <c r="I16" s="1503">
        <f t="shared" si="1"/>
        <v>0</v>
      </c>
      <c r="J16" s="144">
        <v>0</v>
      </c>
      <c r="K16" s="1503">
        <f t="shared" si="2"/>
        <v>0</v>
      </c>
      <c r="L16" s="144">
        <v>0</v>
      </c>
      <c r="M16" s="144">
        <v>0</v>
      </c>
    </row>
    <row r="17" spans="1:14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44">
        <v>0</v>
      </c>
      <c r="G17" s="2693">
        <f t="shared" si="0"/>
        <v>0</v>
      </c>
      <c r="H17" s="144">
        <v>0</v>
      </c>
      <c r="I17" s="1504">
        <f t="shared" si="1"/>
        <v>0</v>
      </c>
      <c r="J17" s="144">
        <v>0</v>
      </c>
      <c r="K17" s="1504">
        <f t="shared" si="2"/>
        <v>0</v>
      </c>
      <c r="L17" s="144">
        <v>0</v>
      </c>
      <c r="M17" s="144">
        <v>0</v>
      </c>
    </row>
    <row r="18" spans="1:14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2694">
        <f t="shared" si="0"/>
        <v>0</v>
      </c>
      <c r="H18" s="153">
        <v>0</v>
      </c>
      <c r="I18" s="1475">
        <f t="shared" si="1"/>
        <v>0</v>
      </c>
      <c r="J18" s="153">
        <v>0</v>
      </c>
      <c r="K18" s="1475">
        <f t="shared" si="2"/>
        <v>0</v>
      </c>
      <c r="L18" s="153">
        <v>0</v>
      </c>
      <c r="M18" s="153">
        <v>0</v>
      </c>
    </row>
    <row r="19" spans="1:14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23819</v>
      </c>
      <c r="E19" s="137">
        <f>SUM(E20:E25)</f>
        <v>24503</v>
      </c>
      <c r="F19" s="137">
        <f>SUM(F20+F24+F25)</f>
        <v>0</v>
      </c>
      <c r="G19" s="2446">
        <f t="shared" si="0"/>
        <v>0</v>
      </c>
      <c r="H19" s="137">
        <f>SUM(H20+H24+H25)</f>
        <v>0</v>
      </c>
      <c r="I19" s="1484">
        <f t="shared" si="1"/>
        <v>0</v>
      </c>
      <c r="J19" s="137">
        <f>SUM(J20+J24+J25)</f>
        <v>0</v>
      </c>
      <c r="K19" s="1484">
        <f t="shared" si="2"/>
        <v>0</v>
      </c>
      <c r="L19" s="137">
        <f>SUM(L20+L24+L25)</f>
        <v>0</v>
      </c>
      <c r="M19" s="137">
        <f>SUM(M20:M25)</f>
        <v>0</v>
      </c>
    </row>
    <row r="20" spans="1:14" s="145" customFormat="1" ht="32.25" customHeight="1" x14ac:dyDescent="0.2">
      <c r="A20" s="142"/>
      <c r="B20" s="143" t="s">
        <v>5</v>
      </c>
      <c r="C20" s="251" t="s">
        <v>420</v>
      </c>
      <c r="D20" s="144">
        <v>23819</v>
      </c>
      <c r="E20" s="144">
        <v>24503</v>
      </c>
      <c r="F20" s="144">
        <f>SUM(F21:F23)</f>
        <v>0</v>
      </c>
      <c r="G20" s="2692">
        <f t="shared" si="0"/>
        <v>0</v>
      </c>
      <c r="H20" s="144">
        <f>SUM(H21:H23)</f>
        <v>0</v>
      </c>
      <c r="I20" s="1502">
        <f t="shared" si="1"/>
        <v>0</v>
      </c>
      <c r="J20" s="144">
        <f>SUM(J21:J23)</f>
        <v>0</v>
      </c>
      <c r="K20" s="1502">
        <f t="shared" si="2"/>
        <v>0</v>
      </c>
      <c r="L20" s="144">
        <f>SUM(L21:L23)</f>
        <v>0</v>
      </c>
      <c r="M20" s="144">
        <v>0</v>
      </c>
      <c r="N20" s="205"/>
    </row>
    <row r="21" spans="1:14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2458">
        <f t="shared" si="0"/>
        <v>0</v>
      </c>
      <c r="H21" s="144">
        <v>0</v>
      </c>
      <c r="I21" s="1503">
        <f t="shared" si="1"/>
        <v>0</v>
      </c>
      <c r="J21" s="144">
        <v>0</v>
      </c>
      <c r="K21" s="1503">
        <f t="shared" si="2"/>
        <v>0</v>
      </c>
      <c r="L21" s="144">
        <v>0</v>
      </c>
      <c r="M21" s="144">
        <v>0</v>
      </c>
      <c r="N21" s="205"/>
    </row>
    <row r="22" spans="1:14" s="145" customFormat="1" ht="15" customHeight="1" x14ac:dyDescent="0.2">
      <c r="A22" s="142"/>
      <c r="B22" s="143" t="s">
        <v>360</v>
      </c>
      <c r="C22" s="55" t="s">
        <v>1429</v>
      </c>
      <c r="D22" s="144"/>
      <c r="E22" s="144"/>
      <c r="F22" s="144">
        <v>0</v>
      </c>
      <c r="G22" s="2693">
        <f t="shared" si="0"/>
        <v>0</v>
      </c>
      <c r="H22" s="144">
        <v>0</v>
      </c>
      <c r="I22" s="1504">
        <f t="shared" si="1"/>
        <v>0</v>
      </c>
      <c r="J22" s="144">
        <v>0</v>
      </c>
      <c r="K22" s="1504">
        <f t="shared" si="2"/>
        <v>0</v>
      </c>
      <c r="L22" s="144">
        <v>0</v>
      </c>
      <c r="M22" s="144">
        <v>0</v>
      </c>
      <c r="N22" s="205"/>
    </row>
    <row r="23" spans="1:14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2458">
        <f t="shared" si="0"/>
        <v>0</v>
      </c>
      <c r="H23" s="144">
        <v>0</v>
      </c>
      <c r="I23" s="1503">
        <f t="shared" si="1"/>
        <v>0</v>
      </c>
      <c r="J23" s="144">
        <v>0</v>
      </c>
      <c r="K23" s="1503">
        <f t="shared" si="2"/>
        <v>0</v>
      </c>
      <c r="L23" s="144">
        <v>0</v>
      </c>
      <c r="M23" s="144">
        <v>0</v>
      </c>
      <c r="N23" s="205"/>
    </row>
    <row r="24" spans="1:14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2693">
        <f t="shared" si="0"/>
        <v>0</v>
      </c>
      <c r="H24" s="144">
        <v>0</v>
      </c>
      <c r="I24" s="1504">
        <f t="shared" si="1"/>
        <v>0</v>
      </c>
      <c r="J24" s="144">
        <v>0</v>
      </c>
      <c r="K24" s="1504">
        <f t="shared" si="2"/>
        <v>0</v>
      </c>
      <c r="L24" s="144">
        <v>0</v>
      </c>
      <c r="M24" s="144">
        <v>0</v>
      </c>
      <c r="N24" s="205"/>
    </row>
    <row r="25" spans="1:14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2694">
        <f t="shared" si="0"/>
        <v>0</v>
      </c>
      <c r="H25" s="144">
        <v>0</v>
      </c>
      <c r="I25" s="1475">
        <f t="shared" si="1"/>
        <v>0</v>
      </c>
      <c r="J25" s="144">
        <v>0</v>
      </c>
      <c r="K25" s="1475">
        <f t="shared" si="2"/>
        <v>0</v>
      </c>
      <c r="L25" s="144">
        <v>0</v>
      </c>
      <c r="M25" s="144">
        <v>0</v>
      </c>
      <c r="N25" s="205"/>
    </row>
    <row r="26" spans="1:14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137">
        <v>0</v>
      </c>
      <c r="G26" s="2446">
        <f t="shared" si="0"/>
        <v>0</v>
      </c>
      <c r="H26" s="137">
        <v>0</v>
      </c>
      <c r="I26" s="1484">
        <f t="shared" si="1"/>
        <v>0</v>
      </c>
      <c r="J26" s="137">
        <v>0</v>
      </c>
      <c r="K26" s="1484">
        <f t="shared" si="2"/>
        <v>0</v>
      </c>
      <c r="L26" s="137">
        <v>0</v>
      </c>
      <c r="M26" s="137">
        <v>0</v>
      </c>
      <c r="N26" s="205"/>
    </row>
    <row r="27" spans="1:14" s="145" customFormat="1" ht="15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2446">
        <f t="shared" si="0"/>
        <v>0</v>
      </c>
      <c r="H27" s="147">
        <v>0</v>
      </c>
      <c r="I27" s="1484">
        <f t="shared" si="1"/>
        <v>0</v>
      </c>
      <c r="J27" s="147">
        <v>0</v>
      </c>
      <c r="K27" s="1484">
        <f t="shared" si="2"/>
        <v>0</v>
      </c>
      <c r="L27" s="147">
        <v>0</v>
      </c>
      <c r="M27" s="147">
        <v>0</v>
      </c>
      <c r="N27" s="205"/>
    </row>
    <row r="28" spans="1:14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v>0</v>
      </c>
      <c r="G28" s="2446">
        <f t="shared" si="0"/>
        <v>0</v>
      </c>
      <c r="H28" s="155">
        <v>0</v>
      </c>
      <c r="I28" s="1484">
        <f t="shared" si="1"/>
        <v>0</v>
      </c>
      <c r="J28" s="155">
        <v>0</v>
      </c>
      <c r="K28" s="1484">
        <f t="shared" si="2"/>
        <v>0</v>
      </c>
      <c r="L28" s="155">
        <v>0</v>
      </c>
      <c r="M28" s="155">
        <v>0</v>
      </c>
      <c r="N28" s="205"/>
    </row>
    <row r="29" spans="1:14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2692">
        <f t="shared" si="0"/>
        <v>0</v>
      </c>
      <c r="H29" s="144">
        <v>0</v>
      </c>
      <c r="I29" s="1502">
        <f t="shared" si="1"/>
        <v>0</v>
      </c>
      <c r="J29" s="144">
        <v>0</v>
      </c>
      <c r="K29" s="1502">
        <f t="shared" si="2"/>
        <v>0</v>
      </c>
      <c r="L29" s="144">
        <v>0</v>
      </c>
      <c r="M29" s="144">
        <v>0</v>
      </c>
      <c r="N29" s="205"/>
    </row>
    <row r="30" spans="1:14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2458">
        <f t="shared" si="0"/>
        <v>0</v>
      </c>
      <c r="H30" s="144">
        <v>0</v>
      </c>
      <c r="I30" s="1503">
        <f t="shared" si="1"/>
        <v>0</v>
      </c>
      <c r="J30" s="144">
        <v>0</v>
      </c>
      <c r="K30" s="1503">
        <f t="shared" si="2"/>
        <v>0</v>
      </c>
      <c r="L30" s="144">
        <v>0</v>
      </c>
      <c r="M30" s="144">
        <v>0</v>
      </c>
      <c r="N30" s="205"/>
    </row>
    <row r="31" spans="1:14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2695">
        <f t="shared" si="0"/>
        <v>0</v>
      </c>
      <c r="H31" s="144">
        <v>0</v>
      </c>
      <c r="I31" s="1505">
        <f t="shared" si="1"/>
        <v>0</v>
      </c>
      <c r="J31" s="144">
        <v>0</v>
      </c>
      <c r="K31" s="1505">
        <f t="shared" si="2"/>
        <v>0</v>
      </c>
      <c r="L31" s="144">
        <v>0</v>
      </c>
      <c r="M31" s="144">
        <v>0</v>
      </c>
      <c r="N31" s="205"/>
    </row>
    <row r="32" spans="1:14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2446">
        <f t="shared" si="0"/>
        <v>0</v>
      </c>
      <c r="H32" s="155">
        <v>0</v>
      </c>
      <c r="I32" s="1484">
        <f t="shared" si="1"/>
        <v>0</v>
      </c>
      <c r="J32" s="155">
        <v>0</v>
      </c>
      <c r="K32" s="1484">
        <f t="shared" si="2"/>
        <v>0</v>
      </c>
      <c r="L32" s="155">
        <v>0</v>
      </c>
      <c r="M32" s="155">
        <v>0</v>
      </c>
      <c r="N32" s="248"/>
    </row>
    <row r="33" spans="1:15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97</v>
      </c>
      <c r="F33" s="285">
        <f>+F34+F35</f>
        <v>0</v>
      </c>
      <c r="G33" s="2446">
        <f t="shared" si="0"/>
        <v>0</v>
      </c>
      <c r="H33" s="285">
        <f>+H34+H35</f>
        <v>0</v>
      </c>
      <c r="I33" s="1484">
        <f t="shared" si="1"/>
        <v>0</v>
      </c>
      <c r="J33" s="285">
        <f>+J34+J35</f>
        <v>0</v>
      </c>
      <c r="K33" s="1484">
        <f t="shared" si="2"/>
        <v>0</v>
      </c>
      <c r="L33" s="285">
        <f>+L34+L35</f>
        <v>0</v>
      </c>
      <c r="M33" s="285">
        <f>+M34+M35</f>
        <v>0</v>
      </c>
      <c r="N33" s="248"/>
    </row>
    <row r="34" spans="1:15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97</v>
      </c>
      <c r="F34" s="306"/>
      <c r="G34" s="2446">
        <f t="shared" si="0"/>
        <v>0</v>
      </c>
      <c r="H34" s="306"/>
      <c r="I34" s="1484">
        <f t="shared" si="1"/>
        <v>0</v>
      </c>
      <c r="J34" s="306"/>
      <c r="K34" s="1484">
        <f t="shared" si="2"/>
        <v>0</v>
      </c>
      <c r="L34" s="306"/>
      <c r="M34" s="306"/>
      <c r="N34" s="248"/>
    </row>
    <row r="35" spans="1:15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446">
        <f t="shared" si="0"/>
        <v>0</v>
      </c>
      <c r="H35" s="294">
        <v>0</v>
      </c>
      <c r="I35" s="1484">
        <f t="shared" si="1"/>
        <v>0</v>
      </c>
      <c r="J35" s="294">
        <v>0</v>
      </c>
      <c r="K35" s="1484">
        <f t="shared" si="2"/>
        <v>0</v>
      </c>
      <c r="L35" s="294">
        <v>0</v>
      </c>
      <c r="M35" s="294">
        <v>0</v>
      </c>
      <c r="N35" s="248"/>
    </row>
    <row r="36" spans="1:15" s="141" customFormat="1" ht="29.25" thickBot="1" x14ac:dyDescent="0.25">
      <c r="A36" s="134" t="s">
        <v>67</v>
      </c>
      <c r="B36" s="254"/>
      <c r="C36" s="170" t="s">
        <v>429</v>
      </c>
      <c r="D36" s="320"/>
      <c r="E36" s="320"/>
      <c r="F36" s="155">
        <v>0</v>
      </c>
      <c r="G36" s="2446">
        <f t="shared" si="0"/>
        <v>0</v>
      </c>
      <c r="H36" s="155">
        <v>0</v>
      </c>
      <c r="I36" s="1484">
        <f t="shared" si="1"/>
        <v>0</v>
      </c>
      <c r="J36" s="155">
        <v>0</v>
      </c>
      <c r="K36" s="1484">
        <f t="shared" si="2"/>
        <v>0</v>
      </c>
      <c r="L36" s="155">
        <v>0</v>
      </c>
      <c r="M36" s="155">
        <v>0</v>
      </c>
      <c r="N36" s="248"/>
    </row>
    <row r="37" spans="1:15" s="141" customFormat="1" ht="30.75" thickBot="1" x14ac:dyDescent="0.25">
      <c r="A37" s="146"/>
      <c r="B37" s="255" t="s">
        <v>47</v>
      </c>
      <c r="C37" s="251" t="s">
        <v>430</v>
      </c>
      <c r="D37" s="320"/>
      <c r="E37" s="320"/>
      <c r="F37" s="144">
        <v>0</v>
      </c>
      <c r="G37" s="2446">
        <f t="shared" si="0"/>
        <v>0</v>
      </c>
      <c r="H37" s="144">
        <v>0</v>
      </c>
      <c r="I37" s="1484">
        <f t="shared" si="1"/>
        <v>0</v>
      </c>
      <c r="J37" s="144">
        <v>0</v>
      </c>
      <c r="K37" s="1484">
        <f t="shared" si="2"/>
        <v>0</v>
      </c>
      <c r="L37" s="144">
        <v>0</v>
      </c>
      <c r="M37" s="144">
        <v>0</v>
      </c>
      <c r="N37" s="248"/>
    </row>
    <row r="38" spans="1:15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v>0</v>
      </c>
      <c r="G38" s="2446">
        <f t="shared" si="0"/>
        <v>0</v>
      </c>
      <c r="H38" s="155">
        <v>0</v>
      </c>
      <c r="I38" s="1484">
        <f t="shared" si="1"/>
        <v>0</v>
      </c>
      <c r="J38" s="155">
        <v>0</v>
      </c>
      <c r="K38" s="1484">
        <f t="shared" si="2"/>
        <v>0</v>
      </c>
      <c r="L38" s="155">
        <v>0</v>
      </c>
      <c r="M38" s="155">
        <v>0</v>
      </c>
      <c r="N38" s="248"/>
    </row>
    <row r="39" spans="1:15" s="141" customFormat="1" ht="30.75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2446">
        <f t="shared" si="0"/>
        <v>0</v>
      </c>
      <c r="H39" s="320">
        <v>0</v>
      </c>
      <c r="I39" s="1484">
        <f t="shared" si="1"/>
        <v>0</v>
      </c>
      <c r="J39" s="320">
        <v>0</v>
      </c>
      <c r="K39" s="1484">
        <f t="shared" si="2"/>
        <v>0</v>
      </c>
      <c r="L39" s="320">
        <v>0</v>
      </c>
      <c r="M39" s="320">
        <v>0</v>
      </c>
      <c r="N39" s="248"/>
    </row>
    <row r="40" spans="1:15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321">
        <f>SUM(F41:F43)</f>
        <v>0</v>
      </c>
      <c r="G40" s="2446">
        <f t="shared" si="0"/>
        <v>0</v>
      </c>
      <c r="H40" s="321">
        <f>SUM(H41:H43)</f>
        <v>0</v>
      </c>
      <c r="I40" s="1484">
        <f t="shared" si="1"/>
        <v>0</v>
      </c>
      <c r="J40" s="321">
        <f>SUM(J41:J43)</f>
        <v>0</v>
      </c>
      <c r="K40" s="1484">
        <f t="shared" si="2"/>
        <v>0</v>
      </c>
      <c r="L40" s="321">
        <f>SUM(L41:L43)</f>
        <v>0</v>
      </c>
      <c r="M40" s="321">
        <f>SUM(M41:M43)</f>
        <v>0</v>
      </c>
      <c r="N40" s="248"/>
    </row>
    <row r="41" spans="1:15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>
        <v>0</v>
      </c>
      <c r="G41" s="2692">
        <f t="shared" si="0"/>
        <v>0</v>
      </c>
      <c r="H41" s="144">
        <v>0</v>
      </c>
      <c r="I41" s="1502">
        <f t="shared" si="1"/>
        <v>0</v>
      </c>
      <c r="J41" s="144">
        <v>0</v>
      </c>
      <c r="K41" s="1502">
        <f t="shared" si="2"/>
        <v>0</v>
      </c>
      <c r="L41" s="144">
        <v>0</v>
      </c>
      <c r="M41" s="144">
        <v>0</v>
      </c>
      <c r="N41" s="248"/>
    </row>
    <row r="42" spans="1:15" s="141" customFormat="1" ht="15" customHeight="1" thickBot="1" x14ac:dyDescent="0.25">
      <c r="A42" s="146"/>
      <c r="B42" s="253" t="s">
        <v>83</v>
      </c>
      <c r="C42" s="55" t="s">
        <v>435</v>
      </c>
      <c r="D42" s="320"/>
      <c r="E42" s="320"/>
      <c r="F42" s="144">
        <v>0</v>
      </c>
      <c r="G42" s="2458">
        <f t="shared" si="0"/>
        <v>0</v>
      </c>
      <c r="H42" s="144">
        <v>0</v>
      </c>
      <c r="I42" s="1503">
        <f t="shared" si="1"/>
        <v>0</v>
      </c>
      <c r="J42" s="144">
        <v>0</v>
      </c>
      <c r="K42" s="1503">
        <f t="shared" si="2"/>
        <v>0</v>
      </c>
      <c r="L42" s="144">
        <v>0</v>
      </c>
      <c r="M42" s="144">
        <v>0</v>
      </c>
      <c r="N42" s="248"/>
    </row>
    <row r="43" spans="1:15" s="145" customFormat="1" ht="15" customHeight="1" thickBot="1" x14ac:dyDescent="0.25">
      <c r="A43" s="178"/>
      <c r="B43" s="253" t="s">
        <v>85</v>
      </c>
      <c r="C43" s="55" t="s">
        <v>1433</v>
      </c>
      <c r="D43" s="155">
        <v>26907</v>
      </c>
      <c r="E43" s="155">
        <v>27958</v>
      </c>
      <c r="F43" s="144"/>
      <c r="G43" s="2695">
        <f t="shared" si="0"/>
        <v>0</v>
      </c>
      <c r="H43" s="144"/>
      <c r="I43" s="1505">
        <f t="shared" si="1"/>
        <v>0</v>
      </c>
      <c r="J43" s="144"/>
      <c r="K43" s="1505">
        <f t="shared" si="2"/>
        <v>0</v>
      </c>
      <c r="L43" s="144"/>
      <c r="M43" s="144"/>
      <c r="N43" s="205"/>
      <c r="O43" s="205">
        <f>SUM(F61-F45)</f>
        <v>0</v>
      </c>
    </row>
    <row r="44" spans="1:15" s="145" customFormat="1" ht="12.75" hidden="1" customHeight="1" x14ac:dyDescent="0.25">
      <c r="A44" s="258"/>
      <c r="B44" s="256"/>
      <c r="C44" s="170" t="s">
        <v>458</v>
      </c>
      <c r="D44" s="155"/>
      <c r="E44" s="155"/>
      <c r="F44" s="155"/>
      <c r="G44" s="2446">
        <f t="shared" si="0"/>
        <v>0</v>
      </c>
      <c r="H44" s="155"/>
      <c r="I44" s="1484">
        <f t="shared" si="1"/>
        <v>0</v>
      </c>
      <c r="J44" s="155"/>
      <c r="K44" s="1484">
        <f t="shared" si="2"/>
        <v>0</v>
      </c>
      <c r="L44" s="155"/>
      <c r="M44" s="155"/>
    </row>
    <row r="45" spans="1:15" s="145" customFormat="1" ht="15" customHeight="1" thickBot="1" x14ac:dyDescent="0.25">
      <c r="A45" s="192" t="s">
        <v>99</v>
      </c>
      <c r="B45" s="160"/>
      <c r="C45" s="274" t="s">
        <v>441</v>
      </c>
      <c r="D45" s="162">
        <f>SUM(D8,D19,D28,D32,D33,D43)</f>
        <v>57643</v>
      </c>
      <c r="E45" s="162">
        <f>SUM(E8,E19,E28,E32,E33,E43)</f>
        <v>59475</v>
      </c>
      <c r="F45" s="162">
        <f>SUM(F8,F19,F28,F32,F33,F36,F38,F40)</f>
        <v>0</v>
      </c>
      <c r="G45" s="2446">
        <f t="shared" si="0"/>
        <v>0</v>
      </c>
      <c r="H45" s="162">
        <f>SUM(H8,H19,H28,H32,H33,H36,H38,H40)</f>
        <v>0</v>
      </c>
      <c r="I45" s="1484">
        <f t="shared" si="1"/>
        <v>0</v>
      </c>
      <c r="J45" s="162">
        <f>SUM(J8,J19,J28,J32,J33,J36,J38,J40)</f>
        <v>0</v>
      </c>
      <c r="K45" s="1484">
        <f t="shared" si="2"/>
        <v>0</v>
      </c>
      <c r="L45" s="162">
        <f>SUM(L8,L19,L28,L32,L33,L36,L38,L40)</f>
        <v>0</v>
      </c>
      <c r="M45" s="162">
        <f>SUM(M8,M19,M28,M32,M33,M36,M38,M40)</f>
        <v>0</v>
      </c>
      <c r="N45" s="205"/>
    </row>
    <row r="46" spans="1:15" s="145" customFormat="1" ht="15" customHeight="1" thickBot="1" x14ac:dyDescent="0.25">
      <c r="A46" s="2098"/>
      <c r="B46" s="266"/>
      <c r="C46" s="275"/>
      <c r="D46" s="286"/>
      <c r="E46" s="286"/>
      <c r="F46" s="2163"/>
      <c r="G46" s="1683"/>
      <c r="H46" s="1443"/>
      <c r="I46" s="1443"/>
      <c r="J46" s="1443"/>
      <c r="K46" s="1443"/>
      <c r="L46" s="1443"/>
      <c r="M46" s="1458"/>
    </row>
    <row r="47" spans="1:15" s="305" customFormat="1" ht="15" customHeight="1" thickBot="1" x14ac:dyDescent="0.25">
      <c r="A47" s="192"/>
      <c r="B47" s="160"/>
      <c r="C47" s="282" t="s">
        <v>231</v>
      </c>
      <c r="D47" s="162"/>
      <c r="E47" s="162"/>
      <c r="F47" s="162"/>
      <c r="G47" s="2446"/>
      <c r="H47" s="162"/>
      <c r="I47" s="1373"/>
      <c r="J47" s="162"/>
      <c r="K47" s="1373"/>
      <c r="L47" s="162"/>
      <c r="M47" s="162"/>
    </row>
    <row r="48" spans="1:15" s="141" customFormat="1" ht="15" customHeight="1" thickBot="1" x14ac:dyDescent="0.25">
      <c r="A48" s="134" t="s">
        <v>3</v>
      </c>
      <c r="B48" s="170"/>
      <c r="C48" s="170" t="s">
        <v>442</v>
      </c>
      <c r="D48" s="137">
        <f>SUM(D49:D53)</f>
        <v>57643</v>
      </c>
      <c r="E48" s="137">
        <f>SUM(E49:E53)</f>
        <v>59475</v>
      </c>
      <c r="F48" s="137">
        <f>SUM(F49:F53)</f>
        <v>0</v>
      </c>
      <c r="G48" s="2696">
        <f t="shared" ref="G48:G57" si="3">SUM(H48-F48)</f>
        <v>0</v>
      </c>
      <c r="H48" s="137">
        <f>SUM(H49:H53)</f>
        <v>0</v>
      </c>
      <c r="I48" s="1482">
        <f t="shared" ref="I48:I57" si="4">SUM(J48-H48)</f>
        <v>0</v>
      </c>
      <c r="J48" s="137">
        <f>SUM(J49:J53)</f>
        <v>0</v>
      </c>
      <c r="K48" s="1482">
        <f t="shared" ref="K48:K57" si="5">SUM(L48-J48)</f>
        <v>0</v>
      </c>
      <c r="L48" s="137">
        <f>SUM(L49:L53)</f>
        <v>0</v>
      </c>
      <c r="M48" s="137">
        <f>SUM(M49:M53)</f>
        <v>0</v>
      </c>
    </row>
    <row r="49" spans="1:13" s="145" customFormat="1" ht="15" customHeight="1" x14ac:dyDescent="0.2">
      <c r="A49" s="173"/>
      <c r="B49" s="267" t="s">
        <v>152</v>
      </c>
      <c r="C49" s="251" t="s">
        <v>153</v>
      </c>
      <c r="D49" s="175">
        <v>32955</v>
      </c>
      <c r="E49" s="175">
        <v>34286</v>
      </c>
      <c r="F49" s="175">
        <v>0</v>
      </c>
      <c r="G49" s="2692">
        <f t="shared" si="3"/>
        <v>0</v>
      </c>
      <c r="H49" s="175">
        <v>0</v>
      </c>
      <c r="I49" s="1502">
        <f t="shared" si="4"/>
        <v>0</v>
      </c>
      <c r="J49" s="175">
        <v>0</v>
      </c>
      <c r="K49" s="1502">
        <f t="shared" si="5"/>
        <v>0</v>
      </c>
      <c r="L49" s="175">
        <v>0</v>
      </c>
      <c r="M49" s="175">
        <v>0</v>
      </c>
    </row>
    <row r="50" spans="1:13" s="145" customFormat="1" ht="15" customHeight="1" x14ac:dyDescent="0.2">
      <c r="A50" s="142"/>
      <c r="B50" s="253" t="s">
        <v>154</v>
      </c>
      <c r="C50" s="55" t="s">
        <v>155</v>
      </c>
      <c r="D50" s="144">
        <v>8632</v>
      </c>
      <c r="E50" s="144">
        <v>8991</v>
      </c>
      <c r="F50" s="144">
        <v>0</v>
      </c>
      <c r="G50" s="2458">
        <f t="shared" si="3"/>
        <v>0</v>
      </c>
      <c r="H50" s="144">
        <v>0</v>
      </c>
      <c r="I50" s="1503">
        <f t="shared" si="4"/>
        <v>0</v>
      </c>
      <c r="J50" s="144">
        <v>0</v>
      </c>
      <c r="K50" s="1503">
        <f t="shared" si="5"/>
        <v>0</v>
      </c>
      <c r="L50" s="144">
        <v>0</v>
      </c>
      <c r="M50" s="144">
        <v>0</v>
      </c>
    </row>
    <row r="51" spans="1:13" s="145" customFormat="1" ht="15" customHeight="1" x14ac:dyDescent="0.2">
      <c r="A51" s="142"/>
      <c r="B51" s="253" t="s">
        <v>156</v>
      </c>
      <c r="C51" s="55" t="s">
        <v>157</v>
      </c>
      <c r="D51" s="144">
        <v>16056</v>
      </c>
      <c r="E51" s="144">
        <v>16198</v>
      </c>
      <c r="F51" s="144">
        <v>0</v>
      </c>
      <c r="G51" s="2693">
        <f t="shared" si="3"/>
        <v>0</v>
      </c>
      <c r="H51" s="144">
        <v>0</v>
      </c>
      <c r="I51" s="1504">
        <f t="shared" si="4"/>
        <v>0</v>
      </c>
      <c r="J51" s="144">
        <v>0</v>
      </c>
      <c r="K51" s="1504">
        <f t="shared" si="5"/>
        <v>0</v>
      </c>
      <c r="L51" s="144">
        <v>0</v>
      </c>
      <c r="M51" s="144">
        <v>0</v>
      </c>
    </row>
    <row r="52" spans="1:13" s="145" customFormat="1" ht="15" customHeight="1" x14ac:dyDescent="0.2">
      <c r="A52" s="142"/>
      <c r="B52" s="253" t="s">
        <v>158</v>
      </c>
      <c r="C52" s="55" t="s">
        <v>159</v>
      </c>
      <c r="D52" s="144"/>
      <c r="E52" s="144"/>
      <c r="F52" s="144">
        <v>0</v>
      </c>
      <c r="G52" s="2458">
        <f t="shared" si="3"/>
        <v>0</v>
      </c>
      <c r="H52" s="144">
        <v>0</v>
      </c>
      <c r="I52" s="1503">
        <f t="shared" si="4"/>
        <v>0</v>
      </c>
      <c r="J52" s="144">
        <v>0</v>
      </c>
      <c r="K52" s="1503">
        <f t="shared" si="5"/>
        <v>0</v>
      </c>
      <c r="L52" s="144">
        <v>0</v>
      </c>
      <c r="M52" s="144">
        <v>0</v>
      </c>
    </row>
    <row r="53" spans="1:13" s="145" customFormat="1" ht="15" customHeight="1" thickBot="1" x14ac:dyDescent="0.25">
      <c r="A53" s="142"/>
      <c r="B53" s="253" t="s">
        <v>375</v>
      </c>
      <c r="C53" s="55" t="s">
        <v>161</v>
      </c>
      <c r="D53" s="144">
        <v>0</v>
      </c>
      <c r="E53" s="144">
        <v>0</v>
      </c>
      <c r="F53" s="144">
        <v>0</v>
      </c>
      <c r="G53" s="2695">
        <f t="shared" si="3"/>
        <v>0</v>
      </c>
      <c r="H53" s="144">
        <v>0</v>
      </c>
      <c r="I53" s="1505">
        <f t="shared" si="4"/>
        <v>0</v>
      </c>
      <c r="J53" s="144">
        <v>0</v>
      </c>
      <c r="K53" s="1505">
        <f t="shared" si="5"/>
        <v>0</v>
      </c>
      <c r="L53" s="144">
        <v>0</v>
      </c>
      <c r="M53" s="144">
        <v>0</v>
      </c>
    </row>
    <row r="54" spans="1:13" s="145" customFormat="1" ht="15" customHeight="1" thickBot="1" x14ac:dyDescent="0.25">
      <c r="A54" s="134" t="s">
        <v>17</v>
      </c>
      <c r="B54" s="170"/>
      <c r="C54" s="170" t="s">
        <v>443</v>
      </c>
      <c r="D54" s="137">
        <f>SUM(D55:D58)</f>
        <v>0</v>
      </c>
      <c r="E54" s="137">
        <f>SUM(E55:E58)</f>
        <v>0</v>
      </c>
      <c r="F54" s="137">
        <f>SUM(F55:F58)</f>
        <v>0</v>
      </c>
      <c r="G54" s="2696">
        <f t="shared" si="3"/>
        <v>0</v>
      </c>
      <c r="H54" s="137">
        <f>SUM(H55:H58)</f>
        <v>0</v>
      </c>
      <c r="I54" s="1482">
        <f t="shared" si="4"/>
        <v>0</v>
      </c>
      <c r="J54" s="137">
        <f>SUM(J55:J58)</f>
        <v>0</v>
      </c>
      <c r="K54" s="1482">
        <f t="shared" si="5"/>
        <v>0</v>
      </c>
      <c r="L54" s="137">
        <f>SUM(L55:L58)</f>
        <v>0</v>
      </c>
      <c r="M54" s="137">
        <f>SUM(M55:M58)</f>
        <v>0</v>
      </c>
    </row>
    <row r="55" spans="1:13" s="141" customFormat="1" ht="15" customHeight="1" x14ac:dyDescent="0.2">
      <c r="A55" s="173"/>
      <c r="B55" s="267" t="s">
        <v>5</v>
      </c>
      <c r="C55" s="251" t="s">
        <v>183</v>
      </c>
      <c r="D55" s="175">
        <v>0</v>
      </c>
      <c r="E55" s="175">
        <v>0</v>
      </c>
      <c r="F55" s="175">
        <v>0</v>
      </c>
      <c r="G55" s="2692">
        <f t="shared" si="3"/>
        <v>0</v>
      </c>
      <c r="H55" s="175">
        <v>0</v>
      </c>
      <c r="I55" s="1502">
        <f t="shared" si="4"/>
        <v>0</v>
      </c>
      <c r="J55" s="175">
        <v>0</v>
      </c>
      <c r="K55" s="1502">
        <f t="shared" si="5"/>
        <v>0</v>
      </c>
      <c r="L55" s="175">
        <v>0</v>
      </c>
      <c r="M55" s="175">
        <v>0</v>
      </c>
    </row>
    <row r="56" spans="1:13" s="145" customFormat="1" ht="15" customHeight="1" x14ac:dyDescent="0.2">
      <c r="A56" s="142"/>
      <c r="B56" s="253" t="s">
        <v>7</v>
      </c>
      <c r="C56" s="55" t="s">
        <v>185</v>
      </c>
      <c r="D56" s="144">
        <v>0</v>
      </c>
      <c r="E56" s="144">
        <v>0</v>
      </c>
      <c r="F56" s="144">
        <v>0</v>
      </c>
      <c r="G56" s="2458">
        <f t="shared" si="3"/>
        <v>0</v>
      </c>
      <c r="H56" s="144">
        <v>0</v>
      </c>
      <c r="I56" s="1503">
        <f t="shared" si="4"/>
        <v>0</v>
      </c>
      <c r="J56" s="144">
        <v>0</v>
      </c>
      <c r="K56" s="1503">
        <f t="shared" si="5"/>
        <v>0</v>
      </c>
      <c r="L56" s="144">
        <v>0</v>
      </c>
      <c r="M56" s="144">
        <v>0</v>
      </c>
    </row>
    <row r="57" spans="1:13" s="145" customFormat="1" ht="15.75" thickBot="1" x14ac:dyDescent="0.25">
      <c r="A57" s="142"/>
      <c r="B57" s="253" t="s">
        <v>9</v>
      </c>
      <c r="C57" s="55" t="s">
        <v>444</v>
      </c>
      <c r="D57" s="144">
        <v>0</v>
      </c>
      <c r="E57" s="144">
        <v>0</v>
      </c>
      <c r="F57" s="144">
        <v>0</v>
      </c>
      <c r="G57" s="2695">
        <f t="shared" si="3"/>
        <v>0</v>
      </c>
      <c r="H57" s="144">
        <v>0</v>
      </c>
      <c r="I57" s="1505">
        <f t="shared" si="4"/>
        <v>0</v>
      </c>
      <c r="J57" s="144">
        <v>0</v>
      </c>
      <c r="K57" s="1505">
        <f t="shared" si="5"/>
        <v>0</v>
      </c>
      <c r="L57" s="144">
        <v>0</v>
      </c>
      <c r="M57" s="144">
        <v>0</v>
      </c>
    </row>
    <row r="58" spans="1:13" s="145" customFormat="1" ht="12.75" hidden="1" customHeight="1" x14ac:dyDescent="0.2">
      <c r="A58" s="142"/>
      <c r="B58" s="176" t="s">
        <v>189</v>
      </c>
      <c r="C58" s="55" t="s">
        <v>448</v>
      </c>
      <c r="D58" s="144">
        <v>0</v>
      </c>
      <c r="E58" s="144">
        <v>0</v>
      </c>
      <c r="F58" s="144">
        <v>0</v>
      </c>
      <c r="G58" s="1415"/>
      <c r="H58" s="144">
        <v>0</v>
      </c>
      <c r="I58" s="1376"/>
      <c r="J58" s="144">
        <v>0</v>
      </c>
      <c r="K58" s="1376"/>
      <c r="L58" s="144">
        <v>0</v>
      </c>
      <c r="M58" s="144">
        <v>0</v>
      </c>
    </row>
    <row r="59" spans="1:13" s="145" customFormat="1" ht="12.75" hidden="1" customHeight="1" x14ac:dyDescent="0.2">
      <c r="A59" s="134" t="s">
        <v>31</v>
      </c>
      <c r="B59" s="170"/>
      <c r="C59" s="171" t="s">
        <v>445</v>
      </c>
      <c r="D59" s="155">
        <v>0</v>
      </c>
      <c r="E59" s="155">
        <v>0</v>
      </c>
      <c r="F59" s="155">
        <v>0</v>
      </c>
      <c r="G59" s="1381"/>
      <c r="H59" s="155">
        <v>0</v>
      </c>
      <c r="I59" s="1380"/>
      <c r="J59" s="155">
        <v>0</v>
      </c>
      <c r="K59" s="1380"/>
      <c r="L59" s="155">
        <v>0</v>
      </c>
      <c r="M59" s="155">
        <v>0</v>
      </c>
    </row>
    <row r="60" spans="1:13" s="145" customFormat="1" ht="12.75" hidden="1" customHeight="1" x14ac:dyDescent="0.2">
      <c r="A60" s="134"/>
      <c r="B60" s="170"/>
      <c r="C60" s="171" t="s">
        <v>459</v>
      </c>
      <c r="D60" s="155"/>
      <c r="E60" s="155"/>
      <c r="F60" s="155"/>
      <c r="G60" s="1381"/>
      <c r="H60" s="155"/>
      <c r="I60" s="1380"/>
      <c r="J60" s="155"/>
      <c r="K60" s="1380"/>
      <c r="L60" s="155"/>
      <c r="M60" s="155"/>
    </row>
    <row r="61" spans="1:13" s="145" customFormat="1" ht="15" customHeight="1" thickBot="1" x14ac:dyDescent="0.25">
      <c r="A61" s="192" t="s">
        <v>31</v>
      </c>
      <c r="B61" s="160"/>
      <c r="C61" s="274" t="s">
        <v>465</v>
      </c>
      <c r="D61" s="162">
        <f>+D48+D54+D59</f>
        <v>57643</v>
      </c>
      <c r="E61" s="162">
        <f>+E48+E54+E59</f>
        <v>59475</v>
      </c>
      <c r="F61" s="162">
        <f>+F48+F54+F59+F60</f>
        <v>0</v>
      </c>
      <c r="G61" s="2696">
        <f>SUM(H61-F61)</f>
        <v>0</v>
      </c>
      <c r="H61" s="162">
        <f>+H48+H54+H59+H60</f>
        <v>0</v>
      </c>
      <c r="I61" s="1482">
        <f>SUM(J61-H61)</f>
        <v>0</v>
      </c>
      <c r="J61" s="162">
        <f>+J48+J54+J59+J60</f>
        <v>0</v>
      </c>
      <c r="K61" s="1482">
        <f>SUM(L61-J61)</f>
        <v>0</v>
      </c>
      <c r="L61" s="162">
        <f>+L48+L54+L59+L60</f>
        <v>0</v>
      </c>
      <c r="M61" s="162">
        <f>+M48+M54+M59+M60</f>
        <v>0</v>
      </c>
    </row>
    <row r="62" spans="1:13" s="145" customFormat="1" ht="15" customHeight="1" thickBot="1" x14ac:dyDescent="0.25">
      <c r="A62" s="1303"/>
      <c r="B62" s="886"/>
      <c r="C62" s="886"/>
      <c r="D62" s="886"/>
      <c r="E62" s="886"/>
      <c r="F62" s="2100"/>
      <c r="G62" s="1550"/>
      <c r="H62" s="1550"/>
      <c r="I62" s="1550"/>
      <c r="J62" s="1550"/>
      <c r="K62" s="1550"/>
      <c r="L62" s="1550"/>
      <c r="M62" s="1304"/>
    </row>
    <row r="63" spans="1:13" s="145" customFormat="1" ht="15" customHeight="1" thickBot="1" x14ac:dyDescent="0.25">
      <c r="A63" s="276" t="s">
        <v>324</v>
      </c>
      <c r="B63" s="277"/>
      <c r="C63" s="278"/>
      <c r="D63" s="200">
        <v>21</v>
      </c>
      <c r="E63" s="200">
        <v>21</v>
      </c>
      <c r="F63" s="200"/>
      <c r="G63" s="1559"/>
      <c r="H63" s="200"/>
      <c r="I63" s="1388"/>
      <c r="J63" s="200"/>
      <c r="K63" s="1388"/>
      <c r="L63" s="200"/>
      <c r="M63" s="200"/>
    </row>
    <row r="64" spans="1:13" s="145" customFormat="1" ht="15" customHeight="1" thickBot="1" x14ac:dyDescent="0.25">
      <c r="A64" s="276" t="s">
        <v>325</v>
      </c>
      <c r="B64" s="277"/>
      <c r="C64" s="278"/>
      <c r="D64" s="279"/>
      <c r="E64" s="279"/>
      <c r="F64" s="279"/>
      <c r="G64" s="1560"/>
      <c r="H64" s="279"/>
      <c r="I64" s="1389"/>
      <c r="J64" s="279"/>
      <c r="K64" s="1389"/>
      <c r="L64" s="279"/>
      <c r="M64" s="279"/>
    </row>
  </sheetData>
  <mergeCells count="14">
    <mergeCell ref="D4:F4"/>
    <mergeCell ref="A5:B5"/>
    <mergeCell ref="A2:B2"/>
    <mergeCell ref="D2:D3"/>
    <mergeCell ref="F2:F3"/>
    <mergeCell ref="A3:B3"/>
    <mergeCell ref="I2:I3"/>
    <mergeCell ref="J2:J3"/>
    <mergeCell ref="K2:K3"/>
    <mergeCell ref="L2:L3"/>
    <mergeCell ref="C1:M1"/>
    <mergeCell ref="H2:H3"/>
    <mergeCell ref="M2:M3"/>
    <mergeCell ref="G2:G3"/>
  </mergeCells>
  <printOptions horizontalCentered="1"/>
  <pageMargins left="0.23622047244094491" right="0.27559055118110237" top="0.39370078740157483" bottom="0.35433070866141736" header="0.51181102362204722" footer="0.15748031496062992"/>
  <pageSetup paperSize="9" scale="76" firstPageNumber="71" orientation="portrait" useFirstPageNumber="1" r:id="rId1"/>
  <headerFooter>
    <oddFooter>&amp;C- &amp;P -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64"/>
  <sheetViews>
    <sheetView view="pageBreakPreview" topLeftCell="A36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2.1640625" style="115" customWidth="1"/>
    <col min="4" max="5" width="9.33203125" style="115" hidden="1" customWidth="1"/>
    <col min="6" max="6" width="11.1640625" style="115" customWidth="1"/>
    <col min="7" max="7" width="13.33203125" style="1390" hidden="1" customWidth="1"/>
    <col min="8" max="8" width="12" style="115" hidden="1" customWidth="1"/>
    <col min="9" max="9" width="11.1640625" style="1390" hidden="1" customWidth="1"/>
    <col min="10" max="10" width="13.5" style="115" customWidth="1"/>
    <col min="11" max="11" width="13.33203125" style="1390" customWidth="1"/>
    <col min="12" max="12" width="14.1640625" style="115" customWidth="1"/>
    <col min="13" max="13" width="14.332031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739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476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204" t="s">
        <v>480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33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6917</v>
      </c>
      <c r="E8" s="137">
        <f>SUM(E9:E18)</f>
        <v>6917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50"/>
      <c r="K9" s="1375"/>
      <c r="L9" s="150"/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/>
      <c r="E10" s="144"/>
      <c r="F10" s="144">
        <v>0</v>
      </c>
      <c r="G10" s="1415"/>
      <c r="H10" s="144">
        <v>0</v>
      </c>
      <c r="I10" s="1376"/>
      <c r="J10" s="144"/>
      <c r="K10" s="1376"/>
      <c r="L10" s="144"/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2500</v>
      </c>
      <c r="E11" s="144">
        <v>2500</v>
      </c>
      <c r="F11" s="144">
        <v>0</v>
      </c>
      <c r="G11" s="1415"/>
      <c r="H11" s="144">
        <v>0</v>
      </c>
      <c r="I11" s="1376"/>
      <c r="J11" s="144"/>
      <c r="K11" s="1376"/>
      <c r="L11" s="144"/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>
        <v>2571</v>
      </c>
      <c r="E12" s="144">
        <v>2571</v>
      </c>
      <c r="F12" s="144">
        <v>0</v>
      </c>
      <c r="G12" s="1415"/>
      <c r="H12" s="144">
        <v>0</v>
      </c>
      <c r="I12" s="1376"/>
      <c r="J12" s="144"/>
      <c r="K12" s="1376"/>
      <c r="L12" s="144"/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907</v>
      </c>
      <c r="E13" s="144">
        <v>907</v>
      </c>
      <c r="F13" s="144">
        <v>0</v>
      </c>
      <c r="G13" s="1415"/>
      <c r="H13" s="144">
        <v>0</v>
      </c>
      <c r="I13" s="1376"/>
      <c r="J13" s="144"/>
      <c r="K13" s="1376"/>
      <c r="L13" s="144"/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939</v>
      </c>
      <c r="E14" s="147">
        <v>939</v>
      </c>
      <c r="F14" s="144">
        <v>0</v>
      </c>
      <c r="G14" s="1415"/>
      <c r="H14" s="144">
        <v>0</v>
      </c>
      <c r="I14" s="1376"/>
      <c r="J14" s="144"/>
      <c r="K14" s="1376"/>
      <c r="L14" s="144"/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7"/>
      <c r="K15" s="1377"/>
      <c r="L15" s="147"/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/>
      <c r="F16" s="144">
        <v>0</v>
      </c>
      <c r="G16" s="1415"/>
      <c r="H16" s="144">
        <v>0</v>
      </c>
      <c r="I16" s="1376"/>
      <c r="J16" s="144"/>
      <c r="K16" s="1376"/>
      <c r="L16" s="144"/>
      <c r="M16" s="144">
        <v>0</v>
      </c>
    </row>
    <row r="17" spans="1:14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/>
      <c r="K17" s="1378"/>
      <c r="L17" s="153"/>
      <c r="M17" s="153">
        <v>0</v>
      </c>
    </row>
    <row r="18" spans="1:14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53"/>
      <c r="K18" s="1378"/>
      <c r="L18" s="153"/>
      <c r="M18" s="153">
        <v>0</v>
      </c>
    </row>
    <row r="19" spans="1:14" s="141" customFormat="1" ht="29.25" thickBot="1" x14ac:dyDescent="0.25">
      <c r="A19" s="134" t="s">
        <v>17</v>
      </c>
      <c r="B19" s="148"/>
      <c r="C19" s="247" t="s">
        <v>419</v>
      </c>
      <c r="D19" s="137">
        <f>SUM(D20:D25)</f>
        <v>23819</v>
      </c>
      <c r="E19" s="137">
        <f>SUM(E20:E25)</f>
        <v>24503</v>
      </c>
      <c r="F19" s="137">
        <f>SUM(F20+F24+F25)</f>
        <v>0</v>
      </c>
      <c r="G19" s="1382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137">
        <f>SUM(M20:M25)</f>
        <v>0</v>
      </c>
    </row>
    <row r="20" spans="1:14" s="145" customFormat="1" ht="30" x14ac:dyDescent="0.2">
      <c r="A20" s="142"/>
      <c r="B20" s="143" t="s">
        <v>5</v>
      </c>
      <c r="C20" s="251" t="s">
        <v>420</v>
      </c>
      <c r="D20" s="144">
        <v>23819</v>
      </c>
      <c r="E20" s="144">
        <v>24503</v>
      </c>
      <c r="F20" s="144">
        <f>SUM(F21:F23)</f>
        <v>0</v>
      </c>
      <c r="G20" s="1415"/>
      <c r="H20" s="144">
        <f>SUM(H21:H23)</f>
        <v>0</v>
      </c>
      <c r="I20" s="1376"/>
      <c r="J20" s="144">
        <f>SUM(J21:J23)</f>
        <v>0</v>
      </c>
      <c r="K20" s="1376"/>
      <c r="L20" s="144">
        <f>SUM(L21:L23)</f>
        <v>0</v>
      </c>
      <c r="M20" s="144">
        <v>0</v>
      </c>
      <c r="N20" s="205"/>
    </row>
    <row r="21" spans="1:14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0</v>
      </c>
      <c r="F21" s="144">
        <v>0</v>
      </c>
      <c r="G21" s="1415"/>
      <c r="H21" s="144">
        <v>0</v>
      </c>
      <c r="I21" s="1376"/>
      <c r="J21" s="144"/>
      <c r="K21" s="1376"/>
      <c r="L21" s="144"/>
      <c r="M21" s="144">
        <v>0</v>
      </c>
      <c r="N21" s="205"/>
    </row>
    <row r="22" spans="1:14" s="145" customFormat="1" ht="15" customHeight="1" x14ac:dyDescent="0.2">
      <c r="A22" s="142"/>
      <c r="B22" s="143" t="s">
        <v>360</v>
      </c>
      <c r="C22" s="55" t="s">
        <v>1430</v>
      </c>
      <c r="D22" s="144"/>
      <c r="E22" s="144"/>
      <c r="F22" s="144">
        <v>0</v>
      </c>
      <c r="G22" s="1415"/>
      <c r="H22" s="144">
        <v>0</v>
      </c>
      <c r="I22" s="1376"/>
      <c r="J22" s="144"/>
      <c r="K22" s="1376"/>
      <c r="L22" s="144"/>
      <c r="M22" s="144">
        <v>0</v>
      </c>
      <c r="N22" s="205"/>
    </row>
    <row r="23" spans="1:14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/>
      <c r="K23" s="1376"/>
      <c r="L23" s="144"/>
      <c r="M23" s="144">
        <v>0</v>
      </c>
      <c r="N23" s="205"/>
    </row>
    <row r="24" spans="1:14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44"/>
      <c r="K24" s="1376"/>
      <c r="L24" s="144"/>
      <c r="M24" s="144">
        <v>0</v>
      </c>
      <c r="N24" s="205"/>
    </row>
    <row r="25" spans="1:14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/>
      <c r="K25" s="1376"/>
      <c r="L25" s="144"/>
      <c r="M25" s="144">
        <v>0</v>
      </c>
      <c r="N25" s="205"/>
    </row>
    <row r="26" spans="1:14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155">
        <f>SUM(F27)</f>
        <v>0</v>
      </c>
      <c r="G26" s="1381"/>
      <c r="H26" s="155">
        <f>SUM(H27)</f>
        <v>0</v>
      </c>
      <c r="I26" s="1380"/>
      <c r="J26" s="155">
        <f>SUM(J27)</f>
        <v>0</v>
      </c>
      <c r="K26" s="1380"/>
      <c r="L26" s="155">
        <f>SUM(L27)</f>
        <v>0</v>
      </c>
      <c r="M26" s="155">
        <v>0</v>
      </c>
      <c r="N26" s="205"/>
    </row>
    <row r="27" spans="1:14" s="145" customFormat="1" ht="15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1519"/>
      <c r="H27" s="147">
        <v>0</v>
      </c>
      <c r="I27" s="1377"/>
      <c r="J27" s="147"/>
      <c r="K27" s="1377"/>
      <c r="L27" s="147"/>
      <c r="M27" s="147">
        <v>0</v>
      </c>
      <c r="N27" s="205"/>
    </row>
    <row r="28" spans="1:14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1381"/>
      <c r="H28" s="155">
        <f>SUM(H29:H31)</f>
        <v>0</v>
      </c>
      <c r="I28" s="1380"/>
      <c r="J28" s="155">
        <f>SUM(J29:J31)</f>
        <v>0</v>
      </c>
      <c r="K28" s="1380"/>
      <c r="L28" s="155">
        <f>SUM(L29:L31)</f>
        <v>0</v>
      </c>
      <c r="M28" s="155">
        <v>0</v>
      </c>
      <c r="N28" s="205"/>
    </row>
    <row r="29" spans="1:14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1415"/>
      <c r="H29" s="144">
        <v>0</v>
      </c>
      <c r="I29" s="1376"/>
      <c r="J29" s="144"/>
      <c r="K29" s="1376"/>
      <c r="L29" s="144"/>
      <c r="M29" s="144">
        <v>0</v>
      </c>
      <c r="N29" s="205"/>
    </row>
    <row r="30" spans="1:14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1415"/>
      <c r="H30" s="144">
        <v>0</v>
      </c>
      <c r="I30" s="1376"/>
      <c r="J30" s="144"/>
      <c r="K30" s="1376"/>
      <c r="L30" s="144"/>
      <c r="M30" s="144">
        <v>0</v>
      </c>
      <c r="N30" s="205"/>
    </row>
    <row r="31" spans="1:14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1415"/>
      <c r="H31" s="144">
        <v>0</v>
      </c>
      <c r="I31" s="1376"/>
      <c r="J31" s="144"/>
      <c r="K31" s="1376"/>
      <c r="L31" s="144"/>
      <c r="M31" s="144">
        <v>0</v>
      </c>
      <c r="N31" s="205"/>
    </row>
    <row r="32" spans="1:14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0"/>
      <c r="J32" s="155"/>
      <c r="K32" s="1380"/>
      <c r="L32" s="155"/>
      <c r="M32" s="155">
        <v>0</v>
      </c>
      <c r="N32" s="248"/>
    </row>
    <row r="33" spans="1:15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97</v>
      </c>
      <c r="F33" s="285">
        <f>+F34+F35</f>
        <v>0</v>
      </c>
      <c r="G33" s="1382"/>
      <c r="H33" s="285">
        <f>+H34+H35</f>
        <v>0</v>
      </c>
      <c r="I33" s="1382"/>
      <c r="J33" s="285"/>
      <c r="K33" s="1382"/>
      <c r="L33" s="285"/>
      <c r="M33" s="285">
        <f>+M34+M35</f>
        <v>0</v>
      </c>
      <c r="N33" s="248"/>
    </row>
    <row r="34" spans="1:15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97</v>
      </c>
      <c r="F34" s="306"/>
      <c r="G34" s="1383"/>
      <c r="H34" s="306"/>
      <c r="I34" s="1383"/>
      <c r="J34" s="306"/>
      <c r="K34" s="1383"/>
      <c r="L34" s="306"/>
      <c r="M34" s="306"/>
      <c r="N34" s="248"/>
    </row>
    <row r="35" spans="1:15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294"/>
      <c r="K35" s="1384"/>
      <c r="L35" s="294"/>
      <c r="M35" s="294">
        <v>0</v>
      </c>
      <c r="N35" s="248"/>
    </row>
    <row r="36" spans="1:15" s="141" customFormat="1" ht="29.25" thickBot="1" x14ac:dyDescent="0.25">
      <c r="A36" s="134" t="s">
        <v>67</v>
      </c>
      <c r="B36" s="254"/>
      <c r="C36" s="170" t="s">
        <v>429</v>
      </c>
      <c r="D36" s="320"/>
      <c r="E36" s="320"/>
      <c r="F36" s="155">
        <f>SUM(F37)</f>
        <v>0</v>
      </c>
      <c r="G36" s="1381"/>
      <c r="H36" s="155">
        <f>SUM(H37)</f>
        <v>0</v>
      </c>
      <c r="I36" s="1380"/>
      <c r="J36" s="155">
        <f>SUM(J37)</f>
        <v>0</v>
      </c>
      <c r="K36" s="1380"/>
      <c r="L36" s="155">
        <f>SUM(L37)</f>
        <v>0</v>
      </c>
      <c r="M36" s="155">
        <v>0</v>
      </c>
      <c r="N36" s="248"/>
    </row>
    <row r="37" spans="1:15" s="141" customFormat="1" ht="30.75" thickBot="1" x14ac:dyDescent="0.25">
      <c r="A37" s="146"/>
      <c r="B37" s="255" t="s">
        <v>47</v>
      </c>
      <c r="C37" s="251" t="s">
        <v>430</v>
      </c>
      <c r="D37" s="320"/>
      <c r="E37" s="320"/>
      <c r="F37" s="144">
        <v>0</v>
      </c>
      <c r="G37" s="1415"/>
      <c r="H37" s="144">
        <v>0</v>
      </c>
      <c r="I37" s="1376"/>
      <c r="J37" s="144"/>
      <c r="K37" s="1376"/>
      <c r="L37" s="144"/>
      <c r="M37" s="144">
        <v>0</v>
      </c>
      <c r="N37" s="248"/>
    </row>
    <row r="38" spans="1:15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f>SUM(F39)</f>
        <v>0</v>
      </c>
      <c r="G38" s="1381"/>
      <c r="H38" s="155">
        <f>SUM(H39)</f>
        <v>0</v>
      </c>
      <c r="I38" s="1380"/>
      <c r="J38" s="155">
        <f>SUM(J39)</f>
        <v>0</v>
      </c>
      <c r="K38" s="1380"/>
      <c r="L38" s="155">
        <f>SUM(L39)</f>
        <v>0</v>
      </c>
      <c r="M38" s="155">
        <v>0</v>
      </c>
      <c r="N38" s="248"/>
    </row>
    <row r="39" spans="1:15" s="141" customFormat="1" ht="30.75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2682"/>
      <c r="H39" s="320">
        <v>0</v>
      </c>
      <c r="I39" s="1474"/>
      <c r="J39" s="320"/>
      <c r="K39" s="1474"/>
      <c r="L39" s="320"/>
      <c r="M39" s="320">
        <v>0</v>
      </c>
      <c r="N39" s="248"/>
    </row>
    <row r="40" spans="1:15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321">
        <f>SUM(F41:F43)</f>
        <v>0</v>
      </c>
      <c r="G40" s="2691"/>
      <c r="H40" s="321">
        <f>SUM(H41:H43)</f>
        <v>0</v>
      </c>
      <c r="I40" s="1393"/>
      <c r="J40" s="321">
        <f>SUM(J41:J43)</f>
        <v>0</v>
      </c>
      <c r="K40" s="1393"/>
      <c r="L40" s="321">
        <f>SUM(L41:L43)</f>
        <v>0</v>
      </c>
      <c r="M40" s="321">
        <f>SUM(M41:M43)</f>
        <v>0</v>
      </c>
      <c r="N40" s="248"/>
    </row>
    <row r="41" spans="1:15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>
        <v>0</v>
      </c>
      <c r="G41" s="1415"/>
      <c r="H41" s="144">
        <v>0</v>
      </c>
      <c r="I41" s="1376"/>
      <c r="J41" s="144">
        <v>0</v>
      </c>
      <c r="K41" s="1376"/>
      <c r="L41" s="144">
        <v>0</v>
      </c>
      <c r="M41" s="144">
        <v>0</v>
      </c>
      <c r="N41" s="248"/>
    </row>
    <row r="42" spans="1:15" s="141" customFormat="1" ht="15" customHeight="1" thickBot="1" x14ac:dyDescent="0.25">
      <c r="A42" s="146"/>
      <c r="B42" s="2736" t="s">
        <v>83</v>
      </c>
      <c r="C42" s="1155" t="s">
        <v>435</v>
      </c>
      <c r="D42" s="1296"/>
      <c r="E42" s="1296"/>
      <c r="F42" s="1313">
        <v>0</v>
      </c>
      <c r="G42" s="1415"/>
      <c r="H42" s="144">
        <v>0</v>
      </c>
      <c r="I42" s="1376"/>
      <c r="J42" s="144">
        <v>0</v>
      </c>
      <c r="K42" s="1376"/>
      <c r="L42" s="144">
        <v>0</v>
      </c>
      <c r="M42" s="144">
        <v>0</v>
      </c>
      <c r="N42" s="248"/>
    </row>
    <row r="43" spans="1:15" s="145" customFormat="1" ht="15" customHeight="1" thickBot="1" x14ac:dyDescent="0.25">
      <c r="A43" s="178"/>
      <c r="B43" s="2736" t="s">
        <v>85</v>
      </c>
      <c r="C43" s="1155" t="s">
        <v>1434</v>
      </c>
      <c r="D43" s="445">
        <v>26907</v>
      </c>
      <c r="E43" s="445">
        <v>27958</v>
      </c>
      <c r="F43" s="1313">
        <v>0</v>
      </c>
      <c r="G43" s="1415"/>
      <c r="H43" s="144">
        <v>0</v>
      </c>
      <c r="I43" s="1376"/>
      <c r="J43" s="144">
        <v>0</v>
      </c>
      <c r="K43" s="1376"/>
      <c r="L43" s="144">
        <v>0</v>
      </c>
      <c r="M43" s="144">
        <v>0</v>
      </c>
      <c r="N43" s="205"/>
      <c r="O43" s="205">
        <f>SUM(F61-F45)</f>
        <v>0</v>
      </c>
    </row>
    <row r="44" spans="1:15" s="145" customFormat="1" ht="12.75" hidden="1" customHeight="1" x14ac:dyDescent="0.25">
      <c r="A44" s="258"/>
      <c r="B44" s="256"/>
      <c r="C44" s="170" t="s">
        <v>458</v>
      </c>
      <c r="D44" s="155"/>
      <c r="E44" s="155"/>
      <c r="F44" s="155"/>
      <c r="G44" s="1381"/>
      <c r="H44" s="155"/>
      <c r="I44" s="1380"/>
      <c r="J44" s="155"/>
      <c r="K44" s="1380"/>
      <c r="L44" s="155"/>
      <c r="M44" s="155"/>
    </row>
    <row r="45" spans="1:15" s="145" customFormat="1" ht="15" customHeight="1" thickBot="1" x14ac:dyDescent="0.25">
      <c r="A45" s="192" t="s">
        <v>99</v>
      </c>
      <c r="B45" s="160"/>
      <c r="C45" s="274" t="s">
        <v>441</v>
      </c>
      <c r="D45" s="162">
        <f>SUM(D8,D19,D28,D32,D33,D43)</f>
        <v>57643</v>
      </c>
      <c r="E45" s="162">
        <f>SUM(E8,E19,E28,E32,E33,E43)</f>
        <v>59475</v>
      </c>
      <c r="F45" s="162">
        <f>SUM(F8,F19,F28,F32,F33,F36,F38,F40)</f>
        <v>0</v>
      </c>
      <c r="G45" s="1437"/>
      <c r="H45" s="162">
        <f>SUM(H8,H19,H28,H32,H33,H36,H38,H40)</f>
        <v>0</v>
      </c>
      <c r="I45" s="1373"/>
      <c r="J45" s="162">
        <f>SUM(J8,J19,J28,J32,J33,J36,J38,J40)</f>
        <v>0</v>
      </c>
      <c r="K45" s="1373"/>
      <c r="L45" s="162">
        <f>SUM(L8,L19,L28,L32,L33,L36,L38,L40)</f>
        <v>0</v>
      </c>
      <c r="M45" s="162">
        <f>SUM(M8,M19,M28,M32,M33,M36,M38,M40)</f>
        <v>0</v>
      </c>
      <c r="N45" s="205"/>
    </row>
    <row r="46" spans="1:15" s="145" customFormat="1" ht="15" customHeight="1" thickBot="1" x14ac:dyDescent="0.25">
      <c r="A46" s="2098"/>
      <c r="B46" s="266"/>
      <c r="C46" s="275"/>
      <c r="D46" s="286"/>
      <c r="E46" s="286"/>
      <c r="F46" s="2163"/>
      <c r="G46" s="1443"/>
      <c r="H46" s="1443"/>
      <c r="I46" s="1443"/>
      <c r="J46" s="1443"/>
      <c r="K46" s="1443"/>
      <c r="L46" s="1443"/>
      <c r="M46" s="1458"/>
    </row>
    <row r="47" spans="1:15" s="305" customFormat="1" ht="15" customHeight="1" thickBot="1" x14ac:dyDescent="0.25">
      <c r="A47" s="192"/>
      <c r="B47" s="160"/>
      <c r="C47" s="282" t="s">
        <v>231</v>
      </c>
      <c r="D47" s="162"/>
      <c r="E47" s="162"/>
      <c r="F47" s="162"/>
      <c r="G47" s="1437"/>
      <c r="H47" s="162"/>
      <c r="I47" s="1373"/>
      <c r="J47" s="162"/>
      <c r="K47" s="1373"/>
      <c r="L47" s="162"/>
      <c r="M47" s="162"/>
    </row>
    <row r="48" spans="1:15" s="141" customFormat="1" ht="15" customHeight="1" thickBot="1" x14ac:dyDescent="0.25">
      <c r="A48" s="134" t="s">
        <v>3</v>
      </c>
      <c r="B48" s="170"/>
      <c r="C48" s="170" t="s">
        <v>442</v>
      </c>
      <c r="D48" s="137">
        <f>SUM(D49:D53)</f>
        <v>57643</v>
      </c>
      <c r="E48" s="137">
        <f>SUM(E49:E53)</f>
        <v>59475</v>
      </c>
      <c r="F48" s="137">
        <f>SUM(F49:F53)</f>
        <v>0</v>
      </c>
      <c r="G48" s="1382"/>
      <c r="H48" s="137">
        <f>SUM(H49:H53)</f>
        <v>0</v>
      </c>
      <c r="I48" s="1374"/>
      <c r="J48" s="137">
        <f>SUM(J49:J53)</f>
        <v>0</v>
      </c>
      <c r="K48" s="1374"/>
      <c r="L48" s="137">
        <f>SUM(L49:L53)</f>
        <v>0</v>
      </c>
      <c r="M48" s="137">
        <f>SUM(M49:M53)</f>
        <v>0</v>
      </c>
    </row>
    <row r="49" spans="1:13" s="145" customFormat="1" ht="15" customHeight="1" x14ac:dyDescent="0.2">
      <c r="A49" s="173"/>
      <c r="B49" s="267" t="s">
        <v>152</v>
      </c>
      <c r="C49" s="251" t="s">
        <v>153</v>
      </c>
      <c r="D49" s="175">
        <v>32955</v>
      </c>
      <c r="E49" s="175">
        <v>34286</v>
      </c>
      <c r="F49" s="175">
        <v>0</v>
      </c>
      <c r="G49" s="1432"/>
      <c r="H49" s="175">
        <v>0</v>
      </c>
      <c r="I49" s="1386"/>
      <c r="J49" s="175">
        <v>0</v>
      </c>
      <c r="K49" s="1386"/>
      <c r="L49" s="175">
        <v>0</v>
      </c>
      <c r="M49" s="175">
        <v>0</v>
      </c>
    </row>
    <row r="50" spans="1:13" s="145" customFormat="1" ht="15" customHeight="1" x14ac:dyDescent="0.2">
      <c r="A50" s="142"/>
      <c r="B50" s="253" t="s">
        <v>154</v>
      </c>
      <c r="C50" s="55" t="s">
        <v>155</v>
      </c>
      <c r="D50" s="144">
        <v>8632</v>
      </c>
      <c r="E50" s="144">
        <v>8991</v>
      </c>
      <c r="F50" s="144">
        <v>0</v>
      </c>
      <c r="G50" s="1415"/>
      <c r="H50" s="144">
        <v>0</v>
      </c>
      <c r="I50" s="1376"/>
      <c r="J50" s="144">
        <v>0</v>
      </c>
      <c r="K50" s="1376"/>
      <c r="L50" s="144">
        <v>0</v>
      </c>
      <c r="M50" s="144">
        <v>0</v>
      </c>
    </row>
    <row r="51" spans="1:13" s="145" customFormat="1" ht="15" customHeight="1" x14ac:dyDescent="0.2">
      <c r="A51" s="142"/>
      <c r="B51" s="253" t="s">
        <v>156</v>
      </c>
      <c r="C51" s="55" t="s">
        <v>157</v>
      </c>
      <c r="D51" s="144">
        <v>16056</v>
      </c>
      <c r="E51" s="144">
        <v>16198</v>
      </c>
      <c r="F51" s="144">
        <v>0</v>
      </c>
      <c r="G51" s="1415"/>
      <c r="H51" s="144">
        <v>0</v>
      </c>
      <c r="I51" s="1376"/>
      <c r="J51" s="144">
        <v>0</v>
      </c>
      <c r="K51" s="1376"/>
      <c r="L51" s="144">
        <v>0</v>
      </c>
      <c r="M51" s="144">
        <v>0</v>
      </c>
    </row>
    <row r="52" spans="1:13" s="145" customFormat="1" ht="15" customHeight="1" x14ac:dyDescent="0.2">
      <c r="A52" s="142"/>
      <c r="B52" s="253" t="s">
        <v>158</v>
      </c>
      <c r="C52" s="55" t="s">
        <v>159</v>
      </c>
      <c r="D52" s="144"/>
      <c r="E52" s="144"/>
      <c r="F52" s="144">
        <v>0</v>
      </c>
      <c r="G52" s="1415"/>
      <c r="H52" s="144">
        <v>0</v>
      </c>
      <c r="I52" s="1376"/>
      <c r="J52" s="144">
        <v>0</v>
      </c>
      <c r="K52" s="1376"/>
      <c r="L52" s="144">
        <v>0</v>
      </c>
      <c r="M52" s="144">
        <v>0</v>
      </c>
    </row>
    <row r="53" spans="1:13" s="145" customFormat="1" ht="15" customHeight="1" thickBot="1" x14ac:dyDescent="0.25">
      <c r="A53" s="142"/>
      <c r="B53" s="253" t="s">
        <v>375</v>
      </c>
      <c r="C53" s="55" t="s">
        <v>161</v>
      </c>
      <c r="D53" s="144">
        <v>0</v>
      </c>
      <c r="E53" s="144">
        <v>0</v>
      </c>
      <c r="F53" s="144">
        <v>0</v>
      </c>
      <c r="G53" s="1415"/>
      <c r="H53" s="144">
        <v>0</v>
      </c>
      <c r="I53" s="1376"/>
      <c r="J53" s="144">
        <v>0</v>
      </c>
      <c r="K53" s="1376"/>
      <c r="L53" s="144">
        <v>0</v>
      </c>
      <c r="M53" s="144">
        <v>0</v>
      </c>
    </row>
    <row r="54" spans="1:13" s="145" customFormat="1" ht="15" customHeight="1" thickBot="1" x14ac:dyDescent="0.25">
      <c r="A54" s="134" t="s">
        <v>17</v>
      </c>
      <c r="B54" s="170"/>
      <c r="C54" s="170" t="s">
        <v>443</v>
      </c>
      <c r="D54" s="137">
        <f>SUM(D55:D58)</f>
        <v>0</v>
      </c>
      <c r="E54" s="137">
        <f>SUM(E55:E58)</f>
        <v>0</v>
      </c>
      <c r="F54" s="137">
        <f>SUM(F55:F58)</f>
        <v>0</v>
      </c>
      <c r="G54" s="1382"/>
      <c r="H54" s="137">
        <f>SUM(H55:H58)</f>
        <v>0</v>
      </c>
      <c r="I54" s="1374"/>
      <c r="J54" s="137">
        <f>SUM(J55:J58)</f>
        <v>0</v>
      </c>
      <c r="K54" s="1374"/>
      <c r="L54" s="137">
        <f>SUM(L55:L58)</f>
        <v>0</v>
      </c>
      <c r="M54" s="137">
        <f>SUM(M55:M58)</f>
        <v>0</v>
      </c>
    </row>
    <row r="55" spans="1:13" s="141" customFormat="1" ht="15" customHeight="1" x14ac:dyDescent="0.2">
      <c r="A55" s="173"/>
      <c r="B55" s="267" t="s">
        <v>5</v>
      </c>
      <c r="C55" s="251" t="s">
        <v>183</v>
      </c>
      <c r="D55" s="175">
        <v>0</v>
      </c>
      <c r="E55" s="175">
        <v>0</v>
      </c>
      <c r="F55" s="175">
        <v>0</v>
      </c>
      <c r="G55" s="1432"/>
      <c r="H55" s="175">
        <v>0</v>
      </c>
      <c r="I55" s="1386"/>
      <c r="J55" s="175">
        <v>0</v>
      </c>
      <c r="K55" s="1386"/>
      <c r="L55" s="175">
        <v>0</v>
      </c>
      <c r="M55" s="175">
        <v>0</v>
      </c>
    </row>
    <row r="56" spans="1:13" s="145" customFormat="1" ht="15" customHeight="1" x14ac:dyDescent="0.2">
      <c r="A56" s="142"/>
      <c r="B56" s="253" t="s">
        <v>7</v>
      </c>
      <c r="C56" s="55" t="s">
        <v>185</v>
      </c>
      <c r="D56" s="144">
        <v>0</v>
      </c>
      <c r="E56" s="144">
        <v>0</v>
      </c>
      <c r="F56" s="144">
        <v>0</v>
      </c>
      <c r="G56" s="1415"/>
      <c r="H56" s="144">
        <v>0</v>
      </c>
      <c r="I56" s="1376"/>
      <c r="J56" s="144">
        <v>0</v>
      </c>
      <c r="K56" s="1376"/>
      <c r="L56" s="144">
        <v>0</v>
      </c>
      <c r="M56" s="144">
        <v>0</v>
      </c>
    </row>
    <row r="57" spans="1:13" s="145" customFormat="1" ht="15.75" thickBot="1" x14ac:dyDescent="0.25">
      <c r="A57" s="142"/>
      <c r="B57" s="253" t="s">
        <v>9</v>
      </c>
      <c r="C57" s="55" t="s">
        <v>444</v>
      </c>
      <c r="D57" s="144">
        <v>0</v>
      </c>
      <c r="E57" s="144">
        <v>0</v>
      </c>
      <c r="F57" s="144">
        <v>0</v>
      </c>
      <c r="G57" s="1415"/>
      <c r="H57" s="144">
        <v>0</v>
      </c>
      <c r="I57" s="1376"/>
      <c r="J57" s="144">
        <v>0</v>
      </c>
      <c r="K57" s="1376"/>
      <c r="L57" s="144">
        <v>0</v>
      </c>
      <c r="M57" s="144">
        <v>0</v>
      </c>
    </row>
    <row r="58" spans="1:13" s="145" customFormat="1" ht="12.75" hidden="1" customHeight="1" x14ac:dyDescent="0.2">
      <c r="A58" s="142"/>
      <c r="B58" s="176" t="s">
        <v>189</v>
      </c>
      <c r="C58" s="55" t="s">
        <v>448</v>
      </c>
      <c r="D58" s="144">
        <v>0</v>
      </c>
      <c r="E58" s="144">
        <v>0</v>
      </c>
      <c r="F58" s="144">
        <v>0</v>
      </c>
      <c r="G58" s="1415"/>
      <c r="H58" s="144">
        <v>0</v>
      </c>
      <c r="I58" s="1376"/>
      <c r="J58" s="144">
        <v>0</v>
      </c>
      <c r="K58" s="1376"/>
      <c r="L58" s="144">
        <v>0</v>
      </c>
      <c r="M58" s="144">
        <v>0</v>
      </c>
    </row>
    <row r="59" spans="1:13" s="145" customFormat="1" ht="12.75" hidden="1" customHeight="1" x14ac:dyDescent="0.2">
      <c r="A59" s="134" t="s">
        <v>31</v>
      </c>
      <c r="B59" s="170"/>
      <c r="C59" s="171" t="s">
        <v>445</v>
      </c>
      <c r="D59" s="155">
        <v>0</v>
      </c>
      <c r="E59" s="155">
        <v>0</v>
      </c>
      <c r="F59" s="155">
        <v>0</v>
      </c>
      <c r="G59" s="1381"/>
      <c r="H59" s="155">
        <v>0</v>
      </c>
      <c r="I59" s="1380"/>
      <c r="J59" s="155">
        <v>0</v>
      </c>
      <c r="K59" s="1380"/>
      <c r="L59" s="155">
        <v>0</v>
      </c>
      <c r="M59" s="155">
        <v>0</v>
      </c>
    </row>
    <row r="60" spans="1:13" s="145" customFormat="1" ht="12.75" hidden="1" customHeight="1" x14ac:dyDescent="0.2">
      <c r="A60" s="134"/>
      <c r="B60" s="170"/>
      <c r="C60" s="171" t="s">
        <v>459</v>
      </c>
      <c r="D60" s="155"/>
      <c r="E60" s="155"/>
      <c r="F60" s="155"/>
      <c r="G60" s="1381"/>
      <c r="H60" s="155"/>
      <c r="I60" s="1380"/>
      <c r="J60" s="155"/>
      <c r="K60" s="1380"/>
      <c r="L60" s="155"/>
      <c r="M60" s="155"/>
    </row>
    <row r="61" spans="1:13" s="145" customFormat="1" ht="15" customHeight="1" thickBot="1" x14ac:dyDescent="0.25">
      <c r="A61" s="192" t="s">
        <v>31</v>
      </c>
      <c r="B61" s="160"/>
      <c r="C61" s="274" t="s">
        <v>465</v>
      </c>
      <c r="D61" s="162">
        <f>+D48+D54+D59</f>
        <v>57643</v>
      </c>
      <c r="E61" s="162">
        <f>+E48+E54+E59</f>
        <v>59475</v>
      </c>
      <c r="F61" s="162">
        <f>+F48+F54+F59+F60</f>
        <v>0</v>
      </c>
      <c r="G61" s="1437"/>
      <c r="H61" s="162">
        <f>+H48+H54+H59+H60</f>
        <v>0</v>
      </c>
      <c r="I61" s="1373"/>
      <c r="J61" s="162">
        <f>+J48+J54+J59+J60</f>
        <v>0</v>
      </c>
      <c r="K61" s="1373"/>
      <c r="L61" s="162">
        <f>+L48+L54+L59+L60</f>
        <v>0</v>
      </c>
      <c r="M61" s="162">
        <f>+M48+M54+M59+M60</f>
        <v>0</v>
      </c>
    </row>
    <row r="62" spans="1:13" s="145" customFormat="1" ht="15" customHeight="1" thickBot="1" x14ac:dyDescent="0.25">
      <c r="A62" s="1303"/>
      <c r="B62" s="886"/>
      <c r="C62" s="886"/>
      <c r="D62" s="886"/>
      <c r="E62" s="886"/>
      <c r="F62" s="2100"/>
      <c r="G62" s="1550"/>
      <c r="H62" s="1550"/>
      <c r="I62" s="1550"/>
      <c r="J62" s="1550"/>
      <c r="K62" s="1550"/>
      <c r="L62" s="1550"/>
      <c r="M62" s="1304"/>
    </row>
    <row r="63" spans="1:13" s="145" customFormat="1" ht="15" customHeight="1" thickBot="1" x14ac:dyDescent="0.25">
      <c r="A63" s="276" t="s">
        <v>324</v>
      </c>
      <c r="B63" s="277"/>
      <c r="C63" s="278"/>
      <c r="D63" s="200">
        <v>21</v>
      </c>
      <c r="E63" s="200">
        <v>21</v>
      </c>
      <c r="F63" s="200"/>
      <c r="G63" s="1559"/>
      <c r="H63" s="200"/>
      <c r="I63" s="1388"/>
      <c r="J63" s="200"/>
      <c r="K63" s="1388"/>
      <c r="L63" s="200"/>
      <c r="M63" s="200"/>
    </row>
    <row r="64" spans="1:13" s="145" customFormat="1" ht="15" customHeight="1" thickBot="1" x14ac:dyDescent="0.25">
      <c r="A64" s="276" t="s">
        <v>325</v>
      </c>
      <c r="B64" s="277"/>
      <c r="C64" s="278"/>
      <c r="D64" s="279"/>
      <c r="E64" s="279"/>
      <c r="F64" s="279"/>
      <c r="G64" s="1560"/>
      <c r="H64" s="279"/>
      <c r="I64" s="1389"/>
      <c r="J64" s="279"/>
      <c r="K64" s="1389"/>
      <c r="L64" s="279"/>
      <c r="M64" s="279"/>
    </row>
  </sheetData>
  <mergeCells count="14">
    <mergeCell ref="D4:F4"/>
    <mergeCell ref="A5:B5"/>
    <mergeCell ref="A2:B2"/>
    <mergeCell ref="D2:D3"/>
    <mergeCell ref="F2:F3"/>
    <mergeCell ref="A3:B3"/>
    <mergeCell ref="I2:I3"/>
    <mergeCell ref="J2:J3"/>
    <mergeCell ref="K2:K3"/>
    <mergeCell ref="L2:L3"/>
    <mergeCell ref="C1:M1"/>
    <mergeCell ref="H2:H3"/>
    <mergeCell ref="M2:M3"/>
    <mergeCell ref="G2:G3"/>
  </mergeCells>
  <printOptions horizontalCentered="1"/>
  <pageMargins left="0.23622047244094491" right="0.27559055118110237" top="0.39370078740157483" bottom="0.35433070866141736" header="0.51181102362204722" footer="0.15748031496062992"/>
  <pageSetup paperSize="9" scale="75" firstPageNumber="72" orientation="portrait" useFirstPageNumber="1" r:id="rId1"/>
  <headerFooter>
    <oddFooter>&amp;C- &amp;P -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M176"/>
  <sheetViews>
    <sheetView view="pageBreakPreview" topLeftCell="A19" zoomScale="90" zoomScaleNormal="80" zoomScaleSheetLayoutView="90" workbookViewId="0">
      <selection activeCell="AH11" sqref="AH11"/>
    </sheetView>
  </sheetViews>
  <sheetFormatPr defaultColWidth="9.33203125" defaultRowHeight="15" x14ac:dyDescent="0.25"/>
  <cols>
    <col min="1" max="1" width="15.33203125" style="621" customWidth="1"/>
    <col min="2" max="2" width="18" style="621" customWidth="1"/>
    <col min="3" max="4" width="13.83203125" style="621" hidden="1" customWidth="1"/>
    <col min="5" max="6" width="14" style="621" hidden="1" customWidth="1"/>
    <col min="7" max="7" width="14" style="621" customWidth="1"/>
    <col min="8" max="8" width="14" style="621" hidden="1" customWidth="1"/>
    <col min="9" max="9" width="14" style="621" customWidth="1"/>
    <col min="10" max="10" width="15" style="621" customWidth="1"/>
    <col min="11" max="12" width="13.6640625" style="621" hidden="1" customWidth="1"/>
    <col min="13" max="14" width="13.33203125" style="621" hidden="1" customWidth="1"/>
    <col min="15" max="15" width="13.33203125" style="621" customWidth="1"/>
    <col min="16" max="16" width="13.33203125" style="621" hidden="1" customWidth="1"/>
    <col min="17" max="17" width="13.33203125" style="621" customWidth="1"/>
    <col min="18" max="18" width="14.33203125" style="621" customWidth="1"/>
    <col min="19" max="20" width="15.5" style="621" hidden="1" customWidth="1"/>
    <col min="21" max="22" width="13.5" style="621" hidden="1" customWidth="1"/>
    <col min="23" max="23" width="13.5" style="621" customWidth="1"/>
    <col min="24" max="24" width="13.5" style="621" hidden="1" customWidth="1"/>
    <col min="25" max="25" width="13.5" style="621" customWidth="1"/>
    <col min="26" max="26" width="14.33203125" style="621" customWidth="1"/>
    <col min="27" max="28" width="13.83203125" style="619" hidden="1" customWidth="1"/>
    <col min="29" max="30" width="15.5" style="619" hidden="1" customWidth="1"/>
    <col min="31" max="31" width="15.5" style="619" customWidth="1"/>
    <col min="32" max="32" width="15.5" style="619" hidden="1" customWidth="1"/>
    <col min="33" max="33" width="15.5" style="619" customWidth="1"/>
    <col min="34" max="34" width="13.83203125" style="619" customWidth="1"/>
    <col min="35" max="35" width="18.5" style="619" customWidth="1"/>
    <col min="36" max="36" width="14.5" style="619" customWidth="1"/>
    <col min="37" max="37" width="13" style="619" customWidth="1"/>
    <col min="38" max="16384" width="9.33203125" style="619"/>
  </cols>
  <sheetData>
    <row r="1" spans="1:39" ht="26.25" customHeight="1" thickTop="1" x14ac:dyDescent="0.3">
      <c r="A1" s="4536" t="s">
        <v>846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2689"/>
      <c r="AJ1" s="1214"/>
      <c r="AK1" s="1214"/>
      <c r="AL1" s="952"/>
      <c r="AM1" s="952"/>
    </row>
    <row r="2" spans="1:39" ht="26.25" customHeight="1" x14ac:dyDescent="0.3">
      <c r="A2" s="4536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536"/>
      <c r="AI2" s="2690"/>
      <c r="AJ2" s="1214"/>
      <c r="AK2" s="1214"/>
      <c r="AL2" s="952"/>
      <c r="AM2" s="952"/>
    </row>
    <row r="3" spans="1:39" ht="21.75" customHeight="1" thickBot="1" x14ac:dyDescent="0.3">
      <c r="A3" s="2709"/>
      <c r="B3" s="2709"/>
      <c r="C3" s="2709"/>
      <c r="D3" s="2709"/>
      <c r="E3" s="2709"/>
      <c r="F3" s="2709"/>
      <c r="G3" s="2709"/>
      <c r="H3" s="2709"/>
      <c r="I3" s="2709"/>
      <c r="J3" s="2709"/>
      <c r="K3" s="2709"/>
      <c r="L3" s="2709"/>
      <c r="M3" s="2709"/>
      <c r="N3" s="2709"/>
      <c r="O3" s="2709"/>
      <c r="P3" s="2709"/>
      <c r="Q3" s="2709"/>
      <c r="R3" s="2709"/>
      <c r="S3" s="2709"/>
      <c r="T3" s="2709"/>
      <c r="U3" s="2709"/>
      <c r="V3" s="2709"/>
      <c r="W3" s="2709"/>
      <c r="X3" s="2709"/>
      <c r="Y3" s="2709"/>
      <c r="Z3" s="2709"/>
      <c r="AA3" s="2709"/>
      <c r="AB3" s="2709"/>
      <c r="AC3" s="2709"/>
      <c r="AD3" s="2709"/>
      <c r="AE3" s="2709"/>
      <c r="AF3" s="2709"/>
      <c r="AG3" s="2709"/>
      <c r="AH3" s="2709"/>
      <c r="AI3" s="2245"/>
      <c r="AJ3" s="1040"/>
      <c r="AK3" s="1040"/>
      <c r="AL3" s="952"/>
      <c r="AM3" s="952"/>
    </row>
    <row r="4" spans="1:39" ht="29.25" customHeight="1" thickTop="1" thickBot="1" x14ac:dyDescent="0.3">
      <c r="A4" s="4533" t="s">
        <v>230</v>
      </c>
      <c r="B4" s="4534"/>
      <c r="C4" s="4534"/>
      <c r="D4" s="4534"/>
      <c r="E4" s="4534"/>
      <c r="F4" s="4534"/>
      <c r="G4" s="4534"/>
      <c r="H4" s="4534"/>
      <c r="I4" s="4534"/>
      <c r="J4" s="4534"/>
      <c r="K4" s="4534"/>
      <c r="L4" s="4534"/>
      <c r="M4" s="4534"/>
      <c r="N4" s="4534"/>
      <c r="O4" s="4534"/>
      <c r="P4" s="4534"/>
      <c r="Q4" s="4534"/>
      <c r="R4" s="4534"/>
      <c r="S4" s="4534"/>
      <c r="T4" s="4534"/>
      <c r="U4" s="4534"/>
      <c r="V4" s="4534"/>
      <c r="W4" s="4534"/>
      <c r="X4" s="4534"/>
      <c r="Y4" s="4534"/>
      <c r="Z4" s="4534"/>
      <c r="AA4" s="4534"/>
      <c r="AB4" s="4534"/>
      <c r="AC4" s="4534"/>
      <c r="AD4" s="4534"/>
      <c r="AE4" s="4534"/>
      <c r="AF4" s="4534"/>
      <c r="AG4" s="4534"/>
      <c r="AH4" s="4535"/>
      <c r="AI4" s="1213"/>
      <c r="AJ4" s="1212"/>
      <c r="AK4" s="1213"/>
      <c r="AL4" s="952"/>
      <c r="AM4" s="952"/>
    </row>
    <row r="5" spans="1:39" ht="66.75" customHeight="1" thickTop="1" thickBot="1" x14ac:dyDescent="0.3">
      <c r="A5" s="4537"/>
      <c r="B5" s="4538"/>
      <c r="C5" s="4541" t="s">
        <v>869</v>
      </c>
      <c r="D5" s="4542"/>
      <c r="E5" s="4542"/>
      <c r="F5" s="4542"/>
      <c r="G5" s="4542"/>
      <c r="H5" s="4542"/>
      <c r="I5" s="4542"/>
      <c r="J5" s="4545"/>
      <c r="K5" s="4541" t="s">
        <v>933</v>
      </c>
      <c r="L5" s="4542"/>
      <c r="M5" s="4542"/>
      <c r="N5" s="4542"/>
      <c r="O5" s="4542"/>
      <c r="P5" s="4542"/>
      <c r="Q5" s="4542"/>
      <c r="R5" s="4545"/>
      <c r="S5" s="4541" t="s">
        <v>963</v>
      </c>
      <c r="T5" s="4542"/>
      <c r="U5" s="4542"/>
      <c r="V5" s="4542"/>
      <c r="W5" s="4542"/>
      <c r="X5" s="4542"/>
      <c r="Y5" s="4542"/>
      <c r="Z5" s="4545"/>
      <c r="AA5" s="4541" t="s">
        <v>1694</v>
      </c>
      <c r="AB5" s="4542"/>
      <c r="AC5" s="4561"/>
      <c r="AD5" s="4561"/>
      <c r="AE5" s="4561"/>
      <c r="AF5" s="4561"/>
      <c r="AG5" s="4561"/>
      <c r="AH5" s="4562"/>
      <c r="AI5" s="2687"/>
      <c r="AK5" s="3141"/>
      <c r="AL5" s="952"/>
      <c r="AM5" s="952"/>
    </row>
    <row r="6" spans="1:39" ht="46.5" customHeight="1" thickTop="1" thickBot="1" x14ac:dyDescent="0.3">
      <c r="A6" s="4539"/>
      <c r="B6" s="4540"/>
      <c r="C6" s="958" t="s">
        <v>867</v>
      </c>
      <c r="D6" s="1028"/>
      <c r="E6" s="959" t="s">
        <v>1070</v>
      </c>
      <c r="F6" s="959"/>
      <c r="G6" s="959" t="s">
        <v>1071</v>
      </c>
      <c r="H6" s="959"/>
      <c r="I6" s="959" t="s">
        <v>1072</v>
      </c>
      <c r="J6" s="959" t="s">
        <v>289</v>
      </c>
      <c r="K6" s="958" t="s">
        <v>867</v>
      </c>
      <c r="L6" s="1028"/>
      <c r="M6" s="959" t="s">
        <v>1070</v>
      </c>
      <c r="N6" s="959"/>
      <c r="O6" s="959" t="s">
        <v>1071</v>
      </c>
      <c r="P6" s="959"/>
      <c r="Q6" s="959" t="s">
        <v>1072</v>
      </c>
      <c r="R6" s="958" t="s">
        <v>289</v>
      </c>
      <c r="S6" s="2074" t="s">
        <v>867</v>
      </c>
      <c r="T6" s="1028"/>
      <c r="U6" s="959" t="s">
        <v>1070</v>
      </c>
      <c r="V6" s="959"/>
      <c r="W6" s="959" t="s">
        <v>1071</v>
      </c>
      <c r="X6" s="959"/>
      <c r="Y6" s="959" t="s">
        <v>1072</v>
      </c>
      <c r="Z6" s="959" t="s">
        <v>289</v>
      </c>
      <c r="AA6" s="958" t="s">
        <v>867</v>
      </c>
      <c r="AB6" s="1028"/>
      <c r="AC6" s="959" t="s">
        <v>1070</v>
      </c>
      <c r="AD6" s="959"/>
      <c r="AE6" s="959" t="s">
        <v>1071</v>
      </c>
      <c r="AF6" s="959"/>
      <c r="AG6" s="959" t="s">
        <v>1072</v>
      </c>
      <c r="AH6" s="1027" t="s">
        <v>289</v>
      </c>
      <c r="AI6" s="2688" t="s">
        <v>867</v>
      </c>
      <c r="AJ6" s="1028" t="s">
        <v>868</v>
      </c>
      <c r="AK6" s="1027" t="s">
        <v>999</v>
      </c>
      <c r="AL6" s="952"/>
      <c r="AM6" s="952"/>
    </row>
    <row r="7" spans="1:39" ht="20.25" customHeight="1" thickTop="1" x14ac:dyDescent="0.25">
      <c r="A7" s="4527" t="s">
        <v>837</v>
      </c>
      <c r="B7" s="4555"/>
      <c r="C7" s="1059">
        <f>SUM(K7+S7+AA7+AI7)</f>
        <v>6342642</v>
      </c>
      <c r="D7" s="1051"/>
      <c r="E7" s="1044">
        <f>SUM(M7+U7+AC7+AJ7)</f>
        <v>6342642</v>
      </c>
      <c r="F7" s="1045"/>
      <c r="G7" s="1044">
        <f>SUM(O7+W7+AE7+AL7)</f>
        <v>6342642</v>
      </c>
      <c r="H7" s="1045"/>
      <c r="I7" s="2326">
        <f>SUM(Q7+Y7+AG7)</f>
        <v>8026511</v>
      </c>
      <c r="J7" s="1043">
        <f>SUM(R7+Z7+AH7+AK7)</f>
        <v>8026511</v>
      </c>
      <c r="K7" s="1046">
        <v>4000000</v>
      </c>
      <c r="L7" s="1044"/>
      <c r="M7" s="1044">
        <v>4000000</v>
      </c>
      <c r="N7" s="1044"/>
      <c r="O7" s="1044">
        <v>4000000</v>
      </c>
      <c r="P7" s="1044"/>
      <c r="Q7" s="1044">
        <v>5522969</v>
      </c>
      <c r="R7" s="1045">
        <v>5522969</v>
      </c>
      <c r="S7" s="1046">
        <v>835406</v>
      </c>
      <c r="T7" s="1044"/>
      <c r="U7" s="1044">
        <v>835406</v>
      </c>
      <c r="V7" s="1044"/>
      <c r="W7" s="1044">
        <v>835406</v>
      </c>
      <c r="X7" s="1044"/>
      <c r="Y7" s="1044">
        <v>1215013</v>
      </c>
      <c r="Z7" s="1045">
        <v>1215013</v>
      </c>
      <c r="AA7" s="1046">
        <v>1507236</v>
      </c>
      <c r="AB7" s="1044"/>
      <c r="AC7" s="1044">
        <v>1507236</v>
      </c>
      <c r="AD7" s="1044"/>
      <c r="AE7" s="1044">
        <v>1507236</v>
      </c>
      <c r="AF7" s="1044"/>
      <c r="AG7" s="1044">
        <v>1288529</v>
      </c>
      <c r="AH7" s="2085">
        <v>1288529</v>
      </c>
      <c r="AI7" s="2241"/>
      <c r="AJ7" s="1047">
        <v>0</v>
      </c>
      <c r="AK7" s="1048">
        <v>0</v>
      </c>
      <c r="AL7" s="952"/>
      <c r="AM7" s="952"/>
    </row>
    <row r="8" spans="1:39" ht="20.25" customHeight="1" x14ac:dyDescent="0.25">
      <c r="A8" s="4529" t="s">
        <v>838</v>
      </c>
      <c r="B8" s="4559"/>
      <c r="C8" s="1064">
        <f>SUM(K8+S8+AA8+AI8)</f>
        <v>77511999</v>
      </c>
      <c r="D8" s="1124"/>
      <c r="E8" s="964">
        <f>SUM(E9:E10)</f>
        <v>81851549</v>
      </c>
      <c r="F8" s="968"/>
      <c r="G8" s="964">
        <f>SUM(G9:G10)</f>
        <v>83474518</v>
      </c>
      <c r="H8" s="968"/>
      <c r="I8" s="2315">
        <f>SUM(Q8+Y8+AG8)</f>
        <v>77500576</v>
      </c>
      <c r="J8" s="1128">
        <f>SUM(R8+Z8+AH8+AK8)</f>
        <v>77500576</v>
      </c>
      <c r="K8" s="969">
        <f>SUM(K9:K10)</f>
        <v>65266233</v>
      </c>
      <c r="L8" s="964"/>
      <c r="M8" s="964">
        <f>SUM(M9:M10)</f>
        <v>68971490</v>
      </c>
      <c r="N8" s="964"/>
      <c r="O8" s="964">
        <f>SUM(O9:O10)</f>
        <v>70305212</v>
      </c>
      <c r="P8" s="964"/>
      <c r="Q8" s="964">
        <f>SUM(Q9:Q10)</f>
        <v>66175422</v>
      </c>
      <c r="R8" s="1108">
        <f>SUM(R9:R10)</f>
        <v>66490394</v>
      </c>
      <c r="S8" s="969">
        <f>SUM(S9:S10)</f>
        <v>10596751</v>
      </c>
      <c r="T8" s="964"/>
      <c r="U8" s="964">
        <f>SUM(U9:U10)</f>
        <v>11174829</v>
      </c>
      <c r="V8" s="964"/>
      <c r="W8" s="964">
        <f>SUM(W9:W10)</f>
        <v>11464076</v>
      </c>
      <c r="X8" s="964"/>
      <c r="Y8" s="964">
        <f>SUM(Y9:Y10)</f>
        <v>10435264</v>
      </c>
      <c r="Z8" s="1108">
        <f>SUM(Z9:Z10)</f>
        <v>10381528</v>
      </c>
      <c r="AA8" s="969">
        <f>SUM(AA9:AA10)</f>
        <v>1649015</v>
      </c>
      <c r="AB8" s="964"/>
      <c r="AC8" s="964">
        <f>SUM(AC9:AC10)</f>
        <v>1705230</v>
      </c>
      <c r="AD8" s="964"/>
      <c r="AE8" s="964">
        <f>SUM(AE9:AE10)</f>
        <v>1705230</v>
      </c>
      <c r="AF8" s="964"/>
      <c r="AG8" s="964">
        <f>SUM(AG9:AG10)</f>
        <v>889890</v>
      </c>
      <c r="AH8" s="974">
        <f>SUM(AH9:AH10)</f>
        <v>628654</v>
      </c>
      <c r="AI8" s="1309"/>
      <c r="AJ8" s="963">
        <f>SUM(AJ9:AJ10)</f>
        <v>0</v>
      </c>
      <c r="AK8" s="1053">
        <f>SUM(AK9:AK10)</f>
        <v>0</v>
      </c>
      <c r="AL8" s="952"/>
      <c r="AM8" s="952"/>
    </row>
    <row r="9" spans="1:39" ht="20.25" customHeight="1" x14ac:dyDescent="0.25">
      <c r="A9" s="4531" t="s">
        <v>839</v>
      </c>
      <c r="B9" s="4552"/>
      <c r="C9" s="1064">
        <f>SUM(K9+S9+AA9+AI9)</f>
        <v>35960200</v>
      </c>
      <c r="D9" s="1124"/>
      <c r="E9" s="964">
        <f>SUM(M9+U9+AC9+AJ9)</f>
        <v>36831352</v>
      </c>
      <c r="F9" s="968"/>
      <c r="G9" s="964">
        <f>SUM(O9+W9+AE9+AL9)</f>
        <v>43659397</v>
      </c>
      <c r="H9" s="968"/>
      <c r="I9" s="2327">
        <f>SUM(Q9+Y9+AG9)</f>
        <v>46294928</v>
      </c>
      <c r="J9" s="1128">
        <f>SUM(R9+Z9+AH9+AK9)</f>
        <v>46294928</v>
      </c>
      <c r="K9" s="969">
        <v>29560200</v>
      </c>
      <c r="L9" s="964"/>
      <c r="M9" s="964">
        <v>30061634</v>
      </c>
      <c r="N9" s="964"/>
      <c r="O9" s="964">
        <v>36702009</v>
      </c>
      <c r="P9" s="964"/>
      <c r="Q9" s="964">
        <v>39285544</v>
      </c>
      <c r="R9" s="968">
        <v>39285544</v>
      </c>
      <c r="S9" s="969">
        <v>6400000</v>
      </c>
      <c r="T9" s="964"/>
      <c r="U9" s="964">
        <v>6769718</v>
      </c>
      <c r="V9" s="964"/>
      <c r="W9" s="964">
        <v>6957388</v>
      </c>
      <c r="X9" s="964"/>
      <c r="Y9" s="964">
        <v>7009384</v>
      </c>
      <c r="Z9" s="968">
        <v>7009384</v>
      </c>
      <c r="AA9" s="969"/>
      <c r="AB9" s="964"/>
      <c r="AC9" s="964"/>
      <c r="AD9" s="964"/>
      <c r="AE9" s="964"/>
      <c r="AF9" s="964"/>
      <c r="AG9" s="964"/>
      <c r="AH9" s="974"/>
      <c r="AI9" s="2242"/>
      <c r="AJ9" s="971"/>
      <c r="AK9" s="966"/>
      <c r="AL9" s="952"/>
      <c r="AM9" s="952"/>
    </row>
    <row r="10" spans="1:39" ht="20.25" customHeight="1" x14ac:dyDescent="0.25">
      <c r="A10" s="4531" t="s">
        <v>840</v>
      </c>
      <c r="B10" s="4552"/>
      <c r="C10" s="1064">
        <f>SUM(K10+S10+AA10+AI10)</f>
        <v>41551799</v>
      </c>
      <c r="D10" s="1124"/>
      <c r="E10" s="964">
        <f>SUM(M10+U10+AC10+AJ10)</f>
        <v>45020197</v>
      </c>
      <c r="F10" s="968"/>
      <c r="G10" s="964">
        <f>SUM(O10+W10+AE10+AL10)</f>
        <v>39815121</v>
      </c>
      <c r="H10" s="968"/>
      <c r="I10" s="2316">
        <f>SUM(Q10+Y10+AG10)</f>
        <v>31205648</v>
      </c>
      <c r="J10" s="1128">
        <f>SUM(R10+Z10+AH10+AK10)</f>
        <v>31205648</v>
      </c>
      <c r="K10" s="969">
        <v>35706033</v>
      </c>
      <c r="L10" s="964"/>
      <c r="M10" s="972">
        <v>38909856</v>
      </c>
      <c r="N10" s="972"/>
      <c r="O10" s="972">
        <v>33603203</v>
      </c>
      <c r="P10" s="972"/>
      <c r="Q10" s="972">
        <v>26889878</v>
      </c>
      <c r="R10" s="1067">
        <v>27204850</v>
      </c>
      <c r="S10" s="969">
        <v>4196751</v>
      </c>
      <c r="T10" s="964"/>
      <c r="U10" s="964">
        <v>4405111</v>
      </c>
      <c r="V10" s="964"/>
      <c r="W10" s="972">
        <v>4506688</v>
      </c>
      <c r="X10" s="964"/>
      <c r="Y10" s="972">
        <v>3425880</v>
      </c>
      <c r="Z10" s="968">
        <v>3372144</v>
      </c>
      <c r="AA10" s="969">
        <v>1649015</v>
      </c>
      <c r="AB10" s="964"/>
      <c r="AC10" s="964">
        <v>1705230</v>
      </c>
      <c r="AD10" s="964"/>
      <c r="AE10" s="972">
        <v>1705230</v>
      </c>
      <c r="AF10" s="964"/>
      <c r="AG10" s="972">
        <v>889890</v>
      </c>
      <c r="AH10" s="974">
        <v>628654</v>
      </c>
      <c r="AI10" s="1309"/>
      <c r="AJ10" s="963">
        <v>0</v>
      </c>
      <c r="AK10" s="974"/>
      <c r="AL10" s="952"/>
      <c r="AM10" s="952"/>
    </row>
    <row r="11" spans="1:39" s="659" customFormat="1" ht="24.75" customHeight="1" thickBot="1" x14ac:dyDescent="0.3">
      <c r="A11" s="4598" t="s">
        <v>299</v>
      </c>
      <c r="B11" s="4599"/>
      <c r="C11" s="1078">
        <f>SUM(K11+S11+AA11+AI11)</f>
        <v>83854641</v>
      </c>
      <c r="D11" s="1082"/>
      <c r="E11" s="1079">
        <f>SUM(M11+U11+AC11+AJ11)</f>
        <v>88194191</v>
      </c>
      <c r="F11" s="1079">
        <f>SUM(N11+V11+AD11+AK11)</f>
        <v>0</v>
      </c>
      <c r="G11" s="1079">
        <f>SUM(O11+W11+AE11+AL11)</f>
        <v>89817160</v>
      </c>
      <c r="H11" s="2239"/>
      <c r="I11" s="2325">
        <f>SUM(Q11+Y11+AG11)</f>
        <v>85527087</v>
      </c>
      <c r="J11" s="2237">
        <f>SUM(R11+Z11+AH11+AK11)</f>
        <v>85527087</v>
      </c>
      <c r="K11" s="1078">
        <f>SUM(K7+K9+K10)</f>
        <v>69266233</v>
      </c>
      <c r="L11" s="1079"/>
      <c r="M11" s="985">
        <f>SUM(M7+M9+M10)</f>
        <v>72971490</v>
      </c>
      <c r="N11" s="985"/>
      <c r="O11" s="985">
        <f>SUM(O7+O9+O10)</f>
        <v>74305212</v>
      </c>
      <c r="P11" s="985"/>
      <c r="Q11" s="985">
        <f>SUM(Q7+Q9+Q10)</f>
        <v>71698391</v>
      </c>
      <c r="R11" s="2239">
        <f>SUM(R7+R9+R10)</f>
        <v>72013363</v>
      </c>
      <c r="S11" s="1078">
        <f>SUM(S7+S9+S10)</f>
        <v>11432157</v>
      </c>
      <c r="T11" s="1079"/>
      <c r="U11" s="985">
        <f>SUM(U7+U9+U10)</f>
        <v>12010235</v>
      </c>
      <c r="V11" s="985"/>
      <c r="W11" s="985">
        <f>SUM(W7+W9+W10)</f>
        <v>12299482</v>
      </c>
      <c r="X11" s="985"/>
      <c r="Y11" s="985">
        <f>SUM(Y7+Y9+Y10)</f>
        <v>11650277</v>
      </c>
      <c r="Z11" s="2239">
        <f>SUM(Z7+Z9+Z10)</f>
        <v>11596541</v>
      </c>
      <c r="AA11" s="1078">
        <f>SUM(AA7+AA9+AA10)</f>
        <v>3156251</v>
      </c>
      <c r="AB11" s="1079"/>
      <c r="AC11" s="1079">
        <f>SUM(AC7+AC9+AC10)</f>
        <v>3212466</v>
      </c>
      <c r="AD11" s="1079"/>
      <c r="AE11" s="985">
        <f>SUM(AE7+AE9+AE10)</f>
        <v>3212466</v>
      </c>
      <c r="AF11" s="1079"/>
      <c r="AG11" s="985">
        <f>SUM(AG7+AG9+AG10)</f>
        <v>2178419</v>
      </c>
      <c r="AH11" s="1083">
        <f>SUM(AH7+AH9+AH10)</f>
        <v>1917183</v>
      </c>
      <c r="AI11" s="1121">
        <f>SUM(AI7+AI9+AI10)</f>
        <v>0</v>
      </c>
      <c r="AJ11" s="1082">
        <f>SUM(AJ7+AJ9+AJ10)</f>
        <v>0</v>
      </c>
      <c r="AK11" s="1083">
        <f>SUM(AK7+AK9+AK10)</f>
        <v>0</v>
      </c>
      <c r="AL11" s="1084"/>
      <c r="AM11" s="1084"/>
    </row>
    <row r="12" spans="1:39" ht="33" customHeight="1" thickTop="1" thickBot="1" x14ac:dyDescent="0.3">
      <c r="A12" s="2148"/>
      <c r="B12" s="953"/>
      <c r="C12" s="953"/>
      <c r="D12" s="953"/>
      <c r="E12" s="953"/>
      <c r="F12" s="953"/>
      <c r="G12" s="953"/>
      <c r="H12" s="953"/>
      <c r="I12" s="953"/>
      <c r="J12" s="953"/>
      <c r="K12" s="953"/>
      <c r="L12" s="953"/>
      <c r="M12" s="953"/>
      <c r="N12" s="953"/>
      <c r="O12" s="953"/>
      <c r="P12" s="953"/>
      <c r="Q12" s="953"/>
      <c r="R12" s="953"/>
      <c r="S12" s="953"/>
      <c r="T12" s="953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  <c r="AF12" s="953"/>
      <c r="AG12" s="953"/>
      <c r="AH12" s="1222"/>
      <c r="AI12" s="1222"/>
      <c r="AJ12" s="953"/>
      <c r="AK12" s="1024"/>
      <c r="AL12" s="952"/>
      <c r="AM12" s="952"/>
    </row>
    <row r="13" spans="1:39" ht="32.25" customHeight="1" thickTop="1" thickBot="1" x14ac:dyDescent="0.3">
      <c r="A13" s="4533" t="s">
        <v>841</v>
      </c>
      <c r="B13" s="4534"/>
      <c r="C13" s="4534"/>
      <c r="D13" s="4534"/>
      <c r="E13" s="4534"/>
      <c r="F13" s="4534"/>
      <c r="G13" s="4534"/>
      <c r="H13" s="4534"/>
      <c r="I13" s="4534"/>
      <c r="J13" s="4534"/>
      <c r="K13" s="4534"/>
      <c r="L13" s="4534"/>
      <c r="M13" s="4534"/>
      <c r="N13" s="4534"/>
      <c r="O13" s="4534"/>
      <c r="P13" s="4534"/>
      <c r="Q13" s="4534"/>
      <c r="R13" s="4534"/>
      <c r="S13" s="4534"/>
      <c r="T13" s="4534"/>
      <c r="U13" s="4534"/>
      <c r="V13" s="4534"/>
      <c r="W13" s="4534"/>
      <c r="X13" s="4534"/>
      <c r="Y13" s="4534"/>
      <c r="Z13" s="4534"/>
      <c r="AA13" s="4534"/>
      <c r="AB13" s="4534"/>
      <c r="AC13" s="4534"/>
      <c r="AD13" s="4534"/>
      <c r="AE13" s="4534"/>
      <c r="AF13" s="4534"/>
      <c r="AG13" s="4534"/>
      <c r="AH13" s="4535"/>
      <c r="AI13" s="2269"/>
      <c r="AJ13" s="1216"/>
      <c r="AK13" s="1217"/>
      <c r="AL13" s="952"/>
      <c r="AM13" s="952"/>
    </row>
    <row r="14" spans="1:39" ht="20.25" customHeight="1" thickTop="1" x14ac:dyDescent="0.25">
      <c r="A14" s="4527" t="s">
        <v>842</v>
      </c>
      <c r="B14" s="4555"/>
      <c r="C14" s="997">
        <f>SUM(K14+S14+AA14+AI14)</f>
        <v>58854440</v>
      </c>
      <c r="D14" s="996"/>
      <c r="E14" s="994">
        <f>SUM(M14+U14+AC14+AJ14)</f>
        <v>62276493</v>
      </c>
      <c r="F14" s="1034"/>
      <c r="G14" s="994">
        <f>SUM(O14+W14+AE14+AL14)</f>
        <v>63634626</v>
      </c>
      <c r="H14" s="1034"/>
      <c r="I14" s="2320">
        <f>SUM(Q14+Y14+AG14+AN14)</f>
        <v>61569478</v>
      </c>
      <c r="J14" s="2318">
        <f>SUM(R14+Z14+AH14+AK14)</f>
        <v>61569478</v>
      </c>
      <c r="K14" s="997">
        <v>51750340</v>
      </c>
      <c r="L14" s="994"/>
      <c r="M14" s="994">
        <v>54843819</v>
      </c>
      <c r="N14" s="994"/>
      <c r="O14" s="994">
        <v>55959903</v>
      </c>
      <c r="P14" s="994"/>
      <c r="Q14" s="994">
        <v>54540220</v>
      </c>
      <c r="R14" s="995">
        <v>54540220</v>
      </c>
      <c r="S14" s="997">
        <v>5791780</v>
      </c>
      <c r="T14" s="996"/>
      <c r="U14" s="994">
        <v>6120354</v>
      </c>
      <c r="V14" s="1034"/>
      <c r="W14" s="1034">
        <v>6362403</v>
      </c>
      <c r="X14" s="1034"/>
      <c r="Y14" s="1034">
        <v>6446765</v>
      </c>
      <c r="Z14" s="1034">
        <v>6446765</v>
      </c>
      <c r="AA14" s="997">
        <v>1312320</v>
      </c>
      <c r="AB14" s="994"/>
      <c r="AC14" s="994">
        <v>1312320</v>
      </c>
      <c r="AD14" s="994"/>
      <c r="AE14" s="994">
        <v>1312320</v>
      </c>
      <c r="AF14" s="994"/>
      <c r="AG14" s="994">
        <v>582493</v>
      </c>
      <c r="AH14" s="1251">
        <v>582493</v>
      </c>
      <c r="AI14" s="2243"/>
      <c r="AJ14" s="1087">
        <v>0</v>
      </c>
      <c r="AK14" s="1088"/>
      <c r="AL14" s="952"/>
      <c r="AM14" s="952"/>
    </row>
    <row r="15" spans="1:39" ht="20.25" customHeight="1" x14ac:dyDescent="0.25">
      <c r="A15" s="4531" t="s">
        <v>843</v>
      </c>
      <c r="B15" s="4552"/>
      <c r="C15" s="969">
        <f>SUM(K15+S15+AA15+AI15)</f>
        <v>12020585</v>
      </c>
      <c r="D15" s="963"/>
      <c r="E15" s="964">
        <f>SUM(M15+U15+AC15+AJ15)</f>
        <v>12690866</v>
      </c>
      <c r="F15" s="968"/>
      <c r="G15" s="964">
        <f>SUM(O15+W15+AE15+AL15)</f>
        <v>12955702</v>
      </c>
      <c r="H15" s="968"/>
      <c r="I15" s="2316">
        <f>SUM(Q15+Y15+AG15+AN15)</f>
        <v>12766281</v>
      </c>
      <c r="J15" s="1050">
        <f>SUM(R15+Z15+AH15+AK15)</f>
        <v>12718576</v>
      </c>
      <c r="K15" s="969">
        <v>10548203</v>
      </c>
      <c r="L15" s="964"/>
      <c r="M15" s="1035">
        <v>11157180</v>
      </c>
      <c r="N15" s="1035"/>
      <c r="O15" s="1035">
        <v>11374820</v>
      </c>
      <c r="P15" s="1035"/>
      <c r="Q15" s="1035">
        <v>11223916</v>
      </c>
      <c r="R15" s="970">
        <v>11223916</v>
      </c>
      <c r="S15" s="969">
        <v>1185471</v>
      </c>
      <c r="T15" s="963"/>
      <c r="U15" s="1035">
        <v>1246775</v>
      </c>
      <c r="V15" s="1065"/>
      <c r="W15" s="1065">
        <v>1293971</v>
      </c>
      <c r="X15" s="1065"/>
      <c r="Y15" s="1065">
        <v>1381077</v>
      </c>
      <c r="Z15" s="968">
        <v>1381077</v>
      </c>
      <c r="AA15" s="969">
        <v>286911</v>
      </c>
      <c r="AB15" s="964"/>
      <c r="AC15" s="1035">
        <v>286911</v>
      </c>
      <c r="AD15" s="1035"/>
      <c r="AE15" s="1035">
        <v>286911</v>
      </c>
      <c r="AF15" s="1035"/>
      <c r="AG15" s="1035">
        <v>161288</v>
      </c>
      <c r="AH15" s="974">
        <v>113583</v>
      </c>
      <c r="AI15" s="2244"/>
      <c r="AJ15" s="1036">
        <v>0</v>
      </c>
      <c r="AK15" s="1053"/>
      <c r="AL15" s="952"/>
      <c r="AM15" s="952"/>
    </row>
    <row r="16" spans="1:39" ht="20.25" customHeight="1" x14ac:dyDescent="0.25">
      <c r="A16" s="4546" t="s">
        <v>844</v>
      </c>
      <c r="B16" s="4547"/>
      <c r="C16" s="969">
        <f>SUM(K16+S16+AA16+AI16)</f>
        <v>12789116</v>
      </c>
      <c r="D16" s="963"/>
      <c r="E16" s="964">
        <f>SUM(M16+U16+AC16+AJ16)</f>
        <v>13036332</v>
      </c>
      <c r="F16" s="968"/>
      <c r="G16" s="964">
        <f>SUM(O16+W16+AE16+AL16)</f>
        <v>13036332</v>
      </c>
      <c r="H16" s="968"/>
      <c r="I16" s="2316">
        <f>SUM(Q16+Y16+AG16+AN16)</f>
        <v>10986783</v>
      </c>
      <c r="J16" s="1050">
        <f>SUM(R16+Z16+AH16+AK16)</f>
        <v>10594655</v>
      </c>
      <c r="K16" s="969">
        <v>6916890</v>
      </c>
      <c r="L16" s="964"/>
      <c r="M16" s="1035">
        <v>6919691</v>
      </c>
      <c r="N16" s="1035"/>
      <c r="O16" s="1035">
        <v>6919689</v>
      </c>
      <c r="P16" s="1035"/>
      <c r="Q16" s="1035">
        <v>5729710</v>
      </c>
      <c r="R16" s="970">
        <v>5604849</v>
      </c>
      <c r="S16" s="969">
        <v>4315206</v>
      </c>
      <c r="T16" s="963"/>
      <c r="U16" s="1035">
        <v>4503406</v>
      </c>
      <c r="V16" s="1065"/>
      <c r="W16" s="1065">
        <v>4503408</v>
      </c>
      <c r="X16" s="1065"/>
      <c r="Y16" s="1065">
        <v>3822435</v>
      </c>
      <c r="Z16" s="968">
        <v>3768699</v>
      </c>
      <c r="AA16" s="969">
        <v>1557020</v>
      </c>
      <c r="AB16" s="964"/>
      <c r="AC16" s="1035">
        <v>1613235</v>
      </c>
      <c r="AD16" s="1035"/>
      <c r="AE16" s="1035">
        <v>1613235</v>
      </c>
      <c r="AF16" s="1035"/>
      <c r="AG16" s="1035">
        <v>1434638</v>
      </c>
      <c r="AH16" s="974">
        <v>1221107</v>
      </c>
      <c r="AI16" s="2244"/>
      <c r="AJ16" s="1036">
        <v>0</v>
      </c>
      <c r="AK16" s="1053">
        <v>0</v>
      </c>
      <c r="AL16" s="952"/>
      <c r="AM16" s="952"/>
    </row>
    <row r="17" spans="1:39" ht="20.25" customHeight="1" x14ac:dyDescent="0.25">
      <c r="A17" s="4546" t="s">
        <v>886</v>
      </c>
      <c r="B17" s="4547"/>
      <c r="C17" s="969">
        <f>SUM(K17+S17+AA17+AI17)</f>
        <v>0</v>
      </c>
      <c r="D17" s="963"/>
      <c r="E17" s="964">
        <f>SUM(M17+U17+AC17+AJ17)</f>
        <v>0</v>
      </c>
      <c r="F17" s="968"/>
      <c r="G17" s="964">
        <f>SUM(O17+W17+AE17+AL17)</f>
        <v>0</v>
      </c>
      <c r="H17" s="968"/>
      <c r="I17" s="2316">
        <f>SUM(Q17+Y17+AG17+AN17)</f>
        <v>0</v>
      </c>
      <c r="J17" s="1050">
        <f>SUM(R17+Z17+AH17+AK17)</f>
        <v>0</v>
      </c>
      <c r="K17" s="969"/>
      <c r="L17" s="964"/>
      <c r="M17" s="1035"/>
      <c r="N17" s="1035"/>
      <c r="O17" s="1035"/>
      <c r="P17" s="1035"/>
      <c r="Q17" s="1035"/>
      <c r="R17" s="970"/>
      <c r="S17" s="969"/>
      <c r="T17" s="963"/>
      <c r="U17" s="1035"/>
      <c r="V17" s="1065"/>
      <c r="W17" s="1065"/>
      <c r="X17" s="1065"/>
      <c r="Y17" s="1065"/>
      <c r="Z17" s="968"/>
      <c r="AA17" s="969"/>
      <c r="AB17" s="964"/>
      <c r="AC17" s="1035"/>
      <c r="AD17" s="1035"/>
      <c r="AE17" s="1035"/>
      <c r="AF17" s="1035"/>
      <c r="AG17" s="1035"/>
      <c r="AH17" s="974"/>
      <c r="AI17" s="2244"/>
      <c r="AJ17" s="1036"/>
      <c r="AK17" s="1053"/>
      <c r="AL17" s="952"/>
      <c r="AM17" s="952"/>
    </row>
    <row r="18" spans="1:39" ht="20.25" customHeight="1" x14ac:dyDescent="0.25">
      <c r="A18" s="4546" t="s">
        <v>887</v>
      </c>
      <c r="B18" s="4547"/>
      <c r="C18" s="969">
        <f>SUM(K18+S18+AA18+AI18)</f>
        <v>190500</v>
      </c>
      <c r="D18" s="963"/>
      <c r="E18" s="964">
        <f>SUM(M18+U18+AC18+AJ18)</f>
        <v>190500</v>
      </c>
      <c r="F18" s="968"/>
      <c r="G18" s="964">
        <f>SUM(O18+W18+AE18+AL18)</f>
        <v>190500</v>
      </c>
      <c r="H18" s="968"/>
      <c r="I18" s="2316">
        <f>SUM(Q18+Y18+AG18+AN18)</f>
        <v>204545</v>
      </c>
      <c r="J18" s="1050">
        <f>SUM(R18+Z18+AH18+AK18)</f>
        <v>204545</v>
      </c>
      <c r="K18" s="969">
        <v>50800</v>
      </c>
      <c r="L18" s="964"/>
      <c r="M18" s="1035">
        <v>50800</v>
      </c>
      <c r="N18" s="1035"/>
      <c r="O18" s="1035">
        <v>50800</v>
      </c>
      <c r="P18" s="1035"/>
      <c r="Q18" s="1035">
        <v>204545</v>
      </c>
      <c r="R18" s="1089">
        <v>204545</v>
      </c>
      <c r="S18" s="969">
        <v>139700</v>
      </c>
      <c r="T18" s="963"/>
      <c r="U18" s="1035">
        <v>139700</v>
      </c>
      <c r="V18" s="1065"/>
      <c r="W18" s="1065">
        <v>139700</v>
      </c>
      <c r="X18" s="1065"/>
      <c r="Y18" s="1065"/>
      <c r="Z18" s="968"/>
      <c r="AA18" s="969"/>
      <c r="AB18" s="964"/>
      <c r="AC18" s="1035"/>
      <c r="AD18" s="1035"/>
      <c r="AE18" s="1035"/>
      <c r="AF18" s="1035"/>
      <c r="AG18" s="1035"/>
      <c r="AH18" s="974"/>
      <c r="AI18" s="2244"/>
      <c r="AJ18" s="1036"/>
      <c r="AK18" s="1053"/>
      <c r="AL18" s="952"/>
      <c r="AM18" s="952"/>
    </row>
    <row r="19" spans="1:39" s="659" customFormat="1" ht="24.75" customHeight="1" thickBot="1" x14ac:dyDescent="0.3">
      <c r="A19" s="4598" t="s">
        <v>517</v>
      </c>
      <c r="B19" s="4599"/>
      <c r="C19" s="1078">
        <f t="shared" ref="C19:AH19" si="0">SUM(C14:C18)</f>
        <v>83854641</v>
      </c>
      <c r="D19" s="1082"/>
      <c r="E19" s="1079">
        <f t="shared" si="0"/>
        <v>88194191</v>
      </c>
      <c r="F19" s="2239"/>
      <c r="G19" s="1079">
        <f>SUM(G14:G18)</f>
        <v>89817160</v>
      </c>
      <c r="H19" s="2239"/>
      <c r="I19" s="2325">
        <f>SUM(I14:I18)</f>
        <v>85527087</v>
      </c>
      <c r="J19" s="2237">
        <f t="shared" si="0"/>
        <v>85087254</v>
      </c>
      <c r="K19" s="1078">
        <f>SUM(K14:K18)</f>
        <v>69266233</v>
      </c>
      <c r="L19" s="1079"/>
      <c r="M19" s="985">
        <f t="shared" si="0"/>
        <v>72971490</v>
      </c>
      <c r="N19" s="985">
        <f t="shared" si="0"/>
        <v>0</v>
      </c>
      <c r="O19" s="985">
        <f t="shared" si="0"/>
        <v>74305212</v>
      </c>
      <c r="P19" s="985">
        <f t="shared" si="0"/>
        <v>0</v>
      </c>
      <c r="Q19" s="985">
        <f t="shared" si="0"/>
        <v>71698391</v>
      </c>
      <c r="R19" s="1080">
        <f t="shared" si="0"/>
        <v>71573530</v>
      </c>
      <c r="S19" s="1078">
        <f t="shared" si="0"/>
        <v>11432157</v>
      </c>
      <c r="T19" s="1078">
        <f t="shared" si="0"/>
        <v>0</v>
      </c>
      <c r="U19" s="985">
        <f t="shared" si="0"/>
        <v>12010235</v>
      </c>
      <c r="V19" s="985">
        <f t="shared" si="0"/>
        <v>0</v>
      </c>
      <c r="W19" s="985">
        <f t="shared" si="0"/>
        <v>12299482</v>
      </c>
      <c r="X19" s="985">
        <f t="shared" si="0"/>
        <v>0</v>
      </c>
      <c r="Y19" s="985">
        <f t="shared" si="0"/>
        <v>11650277</v>
      </c>
      <c r="Z19" s="2239">
        <f t="shared" si="0"/>
        <v>11596541</v>
      </c>
      <c r="AA19" s="1078">
        <f>SUM(AA14:AA18)</f>
        <v>3156251</v>
      </c>
      <c r="AB19" s="1078">
        <f>SUM(AB14:AB18)</f>
        <v>0</v>
      </c>
      <c r="AC19" s="1079">
        <f t="shared" si="0"/>
        <v>3212466</v>
      </c>
      <c r="AD19" s="1079">
        <f t="shared" si="0"/>
        <v>0</v>
      </c>
      <c r="AE19" s="1079">
        <f t="shared" si="0"/>
        <v>3212466</v>
      </c>
      <c r="AF19" s="1079">
        <f t="shared" si="0"/>
        <v>0</v>
      </c>
      <c r="AG19" s="1079">
        <f t="shared" si="0"/>
        <v>2178419</v>
      </c>
      <c r="AH19" s="1083">
        <f t="shared" si="0"/>
        <v>1917183</v>
      </c>
      <c r="AI19" s="1117"/>
      <c r="AJ19" s="1003">
        <f>SUM(AJ14:AJ18)</f>
        <v>0</v>
      </c>
      <c r="AK19" s="1083">
        <f>SUM(AK14:AK18)</f>
        <v>0</v>
      </c>
      <c r="AL19" s="1084"/>
      <c r="AM19" s="1084"/>
    </row>
    <row r="20" spans="1:39" ht="15.75" thickTop="1" x14ac:dyDescent="0.25">
      <c r="A20" s="992"/>
      <c r="B20" s="992"/>
      <c r="C20" s="992"/>
      <c r="D20" s="992"/>
      <c r="E20" s="992"/>
      <c r="F20" s="992"/>
      <c r="G20" s="992"/>
      <c r="H20" s="992"/>
      <c r="I20" s="992"/>
      <c r="J20" s="992"/>
      <c r="K20" s="992"/>
      <c r="L20" s="992"/>
      <c r="M20" s="992"/>
      <c r="N20" s="992"/>
      <c r="O20" s="992"/>
      <c r="P20" s="992"/>
      <c r="Q20" s="992"/>
      <c r="R20" s="992"/>
      <c r="S20" s="992"/>
      <c r="T20" s="992"/>
      <c r="U20" s="992"/>
      <c r="V20" s="992"/>
      <c r="W20" s="992"/>
      <c r="X20" s="992"/>
      <c r="Y20" s="992"/>
      <c r="Z20" s="992"/>
      <c r="AA20" s="952"/>
      <c r="AB20" s="952"/>
      <c r="AC20" s="952"/>
      <c r="AD20" s="952"/>
      <c r="AE20" s="952"/>
      <c r="AF20" s="952"/>
      <c r="AG20" s="952"/>
      <c r="AH20" s="952"/>
      <c r="AI20" s="952"/>
      <c r="AJ20" s="952"/>
      <c r="AK20" s="952"/>
      <c r="AL20" s="952"/>
      <c r="AM20" s="952"/>
    </row>
    <row r="21" spans="1:39" x14ac:dyDescent="0.25">
      <c r="A21" s="992"/>
      <c r="B21" s="992"/>
      <c r="C21" s="992"/>
      <c r="D21" s="992"/>
      <c r="E21" s="992"/>
      <c r="F21" s="992"/>
      <c r="G21" s="992"/>
      <c r="H21" s="992"/>
      <c r="I21" s="992"/>
      <c r="J21" s="992"/>
      <c r="K21" s="992"/>
      <c r="L21" s="992"/>
      <c r="M21" s="992"/>
      <c r="N21" s="992"/>
      <c r="O21" s="992"/>
      <c r="P21" s="992"/>
      <c r="Q21" s="992"/>
      <c r="R21" s="992"/>
      <c r="S21" s="992"/>
      <c r="T21" s="992"/>
      <c r="U21" s="992"/>
      <c r="V21" s="992"/>
      <c r="W21" s="992"/>
      <c r="X21" s="992"/>
      <c r="Y21" s="992"/>
      <c r="Z21" s="99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</row>
    <row r="22" spans="1:39" x14ac:dyDescent="0.25">
      <c r="A22" s="992"/>
      <c r="B22" s="992"/>
      <c r="C22" s="992"/>
      <c r="D22" s="992"/>
      <c r="E22" s="992"/>
      <c r="F22" s="992"/>
      <c r="G22" s="992"/>
      <c r="H22" s="992"/>
      <c r="I22" s="992"/>
      <c r="J22" s="992"/>
      <c r="K22" s="992"/>
      <c r="L22" s="992"/>
      <c r="M22" s="992"/>
      <c r="N22" s="992"/>
      <c r="O22" s="992"/>
      <c r="P22" s="992"/>
      <c r="Q22" s="992"/>
      <c r="R22" s="992"/>
      <c r="S22" s="992"/>
      <c r="T22" s="992"/>
      <c r="U22" s="992"/>
      <c r="V22" s="992"/>
      <c r="W22" s="992"/>
      <c r="X22" s="992"/>
      <c r="Y22" s="992"/>
      <c r="Z22" s="992"/>
      <c r="AA22" s="952"/>
      <c r="AB22" s="952"/>
      <c r="AC22" s="952"/>
      <c r="AD22" s="952"/>
      <c r="AE22" s="952"/>
      <c r="AF22" s="952"/>
      <c r="AG22" s="952"/>
      <c r="AH22" s="952"/>
      <c r="AI22" s="952"/>
      <c r="AJ22" s="952"/>
      <c r="AK22" s="952"/>
      <c r="AL22" s="952"/>
      <c r="AM22" s="952"/>
    </row>
    <row r="23" spans="1:39" ht="15.75" x14ac:dyDescent="0.25">
      <c r="A23" s="4558" t="s">
        <v>901</v>
      </c>
      <c r="B23" s="4558"/>
      <c r="C23" s="1008"/>
      <c r="D23" s="1008"/>
      <c r="E23" s="1008"/>
      <c r="F23" s="1008"/>
      <c r="G23" s="1008"/>
      <c r="H23" s="1008"/>
      <c r="I23" s="1008"/>
      <c r="J23" s="1008"/>
      <c r="K23" s="992"/>
      <c r="L23" s="992"/>
      <c r="M23" s="992"/>
      <c r="N23" s="992"/>
      <c r="O23" s="992"/>
      <c r="P23" s="992"/>
      <c r="Q23" s="992"/>
      <c r="R23" s="992"/>
      <c r="S23" s="992"/>
      <c r="T23" s="992"/>
      <c r="U23" s="992"/>
      <c r="V23" s="992"/>
      <c r="W23" s="992"/>
      <c r="X23" s="992"/>
      <c r="Y23" s="992"/>
      <c r="Z23" s="992"/>
      <c r="AA23" s="952"/>
      <c r="AB23" s="952"/>
      <c r="AC23" s="952"/>
      <c r="AD23" s="952"/>
      <c r="AE23" s="952"/>
      <c r="AF23" s="952"/>
      <c r="AG23" s="952"/>
      <c r="AH23" s="952"/>
      <c r="AI23" s="952"/>
      <c r="AJ23" s="952"/>
      <c r="AK23" s="952"/>
      <c r="AL23" s="952"/>
      <c r="AM23" s="952"/>
    </row>
    <row r="24" spans="1:39" x14ac:dyDescent="0.25">
      <c r="A24" s="992"/>
      <c r="B24" s="992"/>
      <c r="C24" s="992"/>
      <c r="D24" s="992"/>
      <c r="E24" s="992"/>
      <c r="F24" s="992"/>
      <c r="G24" s="992"/>
      <c r="H24" s="992"/>
      <c r="I24" s="992"/>
      <c r="J24" s="992"/>
      <c r="K24" s="992"/>
      <c r="L24" s="992"/>
      <c r="M24" s="992"/>
      <c r="N24" s="992"/>
      <c r="O24" s="992"/>
      <c r="P24" s="992"/>
      <c r="Q24" s="992"/>
      <c r="R24" s="992"/>
      <c r="S24" s="992"/>
      <c r="T24" s="992"/>
      <c r="U24" s="992"/>
      <c r="V24" s="992"/>
      <c r="W24" s="992"/>
      <c r="X24" s="992"/>
      <c r="Y24" s="992"/>
      <c r="Z24" s="992"/>
      <c r="AA24" s="952"/>
      <c r="AB24" s="952"/>
      <c r="AC24" s="952"/>
      <c r="AD24" s="952"/>
      <c r="AE24" s="952"/>
      <c r="AF24" s="952"/>
      <c r="AG24" s="952"/>
      <c r="AH24" s="952"/>
      <c r="AI24" s="952"/>
      <c r="AJ24" s="952"/>
      <c r="AK24" s="952"/>
      <c r="AL24" s="952"/>
      <c r="AM24" s="952"/>
    </row>
    <row r="25" spans="1:39" ht="15.75" x14ac:dyDescent="0.25">
      <c r="A25" s="4548" t="s">
        <v>786</v>
      </c>
      <c r="B25" s="4548"/>
      <c r="C25" s="1007">
        <f>SUM('5.6. sz. mell'!F8)</f>
        <v>6342642</v>
      </c>
      <c r="D25" s="1007">
        <f>SUM('5.6. sz. mell'!G8)</f>
        <v>0</v>
      </c>
      <c r="E25" s="1007">
        <f>SUM('5.6. sz. mell'!H8)</f>
        <v>6342642</v>
      </c>
      <c r="F25" s="1007">
        <f>SUM('5.6. sz. mell'!I8)</f>
        <v>1683869</v>
      </c>
      <c r="G25" s="1007">
        <f>SUM('5.6. sz. mell'!J8)</f>
        <v>8026511</v>
      </c>
      <c r="H25" s="1007">
        <f>SUM('5.6. sz. mell'!K8)</f>
        <v>0</v>
      </c>
      <c r="I25" s="1007">
        <f>SUM('5.6. sz. mell'!L8)</f>
        <v>8026511</v>
      </c>
      <c r="J25" s="1007">
        <f>SUM('5.6. sz. mell'!M8)</f>
        <v>8026511</v>
      </c>
      <c r="K25" s="992"/>
      <c r="L25" s="992"/>
      <c r="M25" s="4548" t="s">
        <v>236</v>
      </c>
      <c r="N25" s="4548"/>
      <c r="O25" s="4548"/>
      <c r="P25" s="4548"/>
      <c r="Q25" s="4548"/>
      <c r="R25" s="4548"/>
      <c r="S25" s="1010">
        <f>SUM('5.6. sz. mell'!F51)</f>
        <v>58854440</v>
      </c>
      <c r="T25" s="1010">
        <f>SUM('5.6. sz. mell'!G51)</f>
        <v>3422053</v>
      </c>
      <c r="U25" s="1010">
        <f>SUM('5.6. sz. mell'!H51)</f>
        <v>62276493</v>
      </c>
      <c r="V25" s="1010">
        <f>SUM('5.6. sz. mell'!I51)</f>
        <v>-707015</v>
      </c>
      <c r="W25" s="1010">
        <f>SUM('5.6. sz. mell'!J51)</f>
        <v>61569478</v>
      </c>
      <c r="X25" s="1010">
        <f>SUM('5.6. sz. mell'!K51)</f>
        <v>0</v>
      </c>
      <c r="Y25" s="1010">
        <f>SUM('5.6. sz. mell'!L51)</f>
        <v>61569478</v>
      </c>
      <c r="Z25" s="1010">
        <f>SUM('5.6. sz. mell'!M51)</f>
        <v>61569478</v>
      </c>
      <c r="AA25" s="952"/>
      <c r="AB25" s="952"/>
      <c r="AC25" s="952"/>
      <c r="AD25" s="952"/>
      <c r="AE25" s="952"/>
      <c r="AF25" s="952"/>
      <c r="AG25" s="952"/>
      <c r="AH25" s="952"/>
      <c r="AI25" s="952"/>
      <c r="AJ25" s="952"/>
      <c r="AK25" s="952"/>
      <c r="AL25" s="952"/>
      <c r="AM25" s="952"/>
    </row>
    <row r="26" spans="1:39" ht="15.75" x14ac:dyDescent="0.25">
      <c r="A26" s="1006" t="s">
        <v>893</v>
      </c>
      <c r="B26" s="1006"/>
      <c r="C26" s="1011">
        <f>SUM(C25-C7)</f>
        <v>0</v>
      </c>
      <c r="D26" s="1011"/>
      <c r="E26" s="1011">
        <f>SUM(E25-E7)</f>
        <v>0</v>
      </c>
      <c r="F26" s="1011"/>
      <c r="G26" s="1011">
        <f>SUM(G25-G7)</f>
        <v>1683869</v>
      </c>
      <c r="H26" s="1011"/>
      <c r="I26" s="1011">
        <f>SUM(I25-I7)</f>
        <v>0</v>
      </c>
      <c r="J26" s="1011">
        <f>SUM(J25-J7)</f>
        <v>0</v>
      </c>
      <c r="K26" s="992"/>
      <c r="L26" s="992"/>
      <c r="M26" s="1006" t="s">
        <v>893</v>
      </c>
      <c r="N26" s="1006"/>
      <c r="O26" s="1006"/>
      <c r="P26" s="1006"/>
      <c r="Q26" s="1006"/>
      <c r="R26" s="992"/>
      <c r="S26" s="1012">
        <f>SUM(S25-C14)</f>
        <v>0</v>
      </c>
      <c r="T26" s="1012"/>
      <c r="U26" s="1012">
        <f>SUM(U25-E14)</f>
        <v>0</v>
      </c>
      <c r="V26" s="1012"/>
      <c r="W26" s="1012">
        <f>SUM(W25-G14)</f>
        <v>-2065148</v>
      </c>
      <c r="X26" s="1012"/>
      <c r="Y26" s="1012">
        <f>SUM(Y25-I14)</f>
        <v>0</v>
      </c>
      <c r="Z26" s="1012">
        <f>SUM(Z25-J14)</f>
        <v>0</v>
      </c>
      <c r="AA26" s="952"/>
      <c r="AB26" s="952"/>
      <c r="AC26" s="952"/>
      <c r="AD26" s="952"/>
      <c r="AE26" s="952"/>
      <c r="AF26" s="952"/>
      <c r="AG26" s="952"/>
      <c r="AH26" s="952"/>
      <c r="AI26" s="952"/>
      <c r="AJ26" s="952"/>
      <c r="AK26" s="952"/>
      <c r="AL26" s="952"/>
      <c r="AM26" s="952"/>
    </row>
    <row r="27" spans="1:39" ht="15.75" x14ac:dyDescent="0.25">
      <c r="A27" s="1008"/>
      <c r="B27" s="1008"/>
      <c r="C27" s="992"/>
      <c r="D27" s="992"/>
      <c r="E27" s="992"/>
      <c r="F27" s="992"/>
      <c r="G27" s="992"/>
      <c r="H27" s="992"/>
      <c r="I27" s="992"/>
      <c r="J27" s="992"/>
      <c r="K27" s="992"/>
      <c r="L27" s="992"/>
      <c r="M27" s="992"/>
      <c r="N27" s="992"/>
      <c r="O27" s="992"/>
      <c r="P27" s="992"/>
      <c r="Q27" s="992"/>
      <c r="R27" s="992"/>
      <c r="S27" s="1008"/>
      <c r="T27" s="1008"/>
      <c r="U27" s="1008"/>
      <c r="V27" s="1008"/>
      <c r="W27" s="1008"/>
      <c r="X27" s="1008"/>
      <c r="Y27" s="1008"/>
      <c r="Z27" s="1008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</row>
    <row r="28" spans="1:39" ht="15.75" x14ac:dyDescent="0.25">
      <c r="A28" s="4548" t="s">
        <v>892</v>
      </c>
      <c r="B28" s="4548"/>
      <c r="C28" s="1007">
        <f>SUM('5.6. sz. mell'!F40)</f>
        <v>77511999</v>
      </c>
      <c r="D28" s="1007"/>
      <c r="E28" s="1007">
        <f>SUM('5.6. sz. mell'!H40)</f>
        <v>81851549</v>
      </c>
      <c r="F28" s="1007">
        <f>SUM('5.6. sz. mell'!I40)</f>
        <v>-4350973</v>
      </c>
      <c r="G28" s="1007">
        <f>SUM('5.6. sz. mell'!J40)</f>
        <v>77500576</v>
      </c>
      <c r="H28" s="1007">
        <f>SUM('5.6. sz. mell'!K40)</f>
        <v>0</v>
      </c>
      <c r="I28" s="1007">
        <f>SUM('5.6. sz. mell'!L40)</f>
        <v>77500576</v>
      </c>
      <c r="J28" s="1007">
        <f>SUM('5.6. sz. mell'!M40)</f>
        <v>77500576</v>
      </c>
      <c r="K28" s="992"/>
      <c r="L28" s="992"/>
      <c r="M28" s="4548" t="s">
        <v>895</v>
      </c>
      <c r="N28" s="4548"/>
      <c r="O28" s="4548"/>
      <c r="P28" s="4548"/>
      <c r="Q28" s="4548"/>
      <c r="R28" s="4548"/>
      <c r="S28" s="1010">
        <f>SUM('5.6. sz. mell'!F52)</f>
        <v>12020585</v>
      </c>
      <c r="T28" s="1010">
        <f>SUM('5.6. sz. mell'!G52)</f>
        <v>670281</v>
      </c>
      <c r="U28" s="1010">
        <f>SUM('5.6. sz. mell'!H52)</f>
        <v>12690866</v>
      </c>
      <c r="V28" s="1010">
        <f>SUM('5.6. sz. mell'!I52)</f>
        <v>75415</v>
      </c>
      <c r="W28" s="1010">
        <f>SUM('5.6. sz. mell'!J52)</f>
        <v>12766281</v>
      </c>
      <c r="X28" s="1010">
        <f>SUM('5.6. sz. mell'!K52)</f>
        <v>0</v>
      </c>
      <c r="Y28" s="1010">
        <f>SUM('5.6. sz. mell'!L52)</f>
        <v>12766281</v>
      </c>
      <c r="Z28" s="1010">
        <f>SUM('5.6. sz. mell'!M52)</f>
        <v>12718576</v>
      </c>
      <c r="AA28" s="952"/>
      <c r="AB28" s="952"/>
      <c r="AC28" s="952"/>
      <c r="AD28" s="952"/>
      <c r="AE28" s="952"/>
      <c r="AF28" s="952"/>
      <c r="AG28" s="952"/>
      <c r="AH28" s="952"/>
      <c r="AI28" s="952"/>
      <c r="AJ28" s="952"/>
      <c r="AK28" s="952"/>
      <c r="AL28" s="952"/>
      <c r="AM28" s="952"/>
    </row>
    <row r="29" spans="1:39" ht="15.75" x14ac:dyDescent="0.25">
      <c r="A29" s="1006" t="s">
        <v>893</v>
      </c>
      <c r="B29" s="1008"/>
      <c r="C29" s="1011">
        <f>SUM(C28-C8)</f>
        <v>0</v>
      </c>
      <c r="D29" s="1011"/>
      <c r="E29" s="1011">
        <f>SUM(E28-E8)</f>
        <v>0</v>
      </c>
      <c r="F29" s="1011"/>
      <c r="G29" s="1011">
        <f>SUM(G28-G8)</f>
        <v>-5973942</v>
      </c>
      <c r="H29" s="1011"/>
      <c r="I29" s="1011">
        <f>SUM(I28-I8)</f>
        <v>0</v>
      </c>
      <c r="J29" s="1011">
        <f>SUM(J28-J8)</f>
        <v>0</v>
      </c>
      <c r="K29" s="992"/>
      <c r="L29" s="992"/>
      <c r="M29" s="1006" t="s">
        <v>893</v>
      </c>
      <c r="N29" s="1006"/>
      <c r="O29" s="1006"/>
      <c r="P29" s="1006"/>
      <c r="Q29" s="1006"/>
      <c r="R29" s="992"/>
      <c r="S29" s="1012">
        <f>SUM(S28-C15)</f>
        <v>0</v>
      </c>
      <c r="T29" s="1012"/>
      <c r="U29" s="1012">
        <f>SUM(U28-E15)</f>
        <v>0</v>
      </c>
      <c r="V29" s="1012"/>
      <c r="W29" s="1012">
        <f>SUM(W28-G15)</f>
        <v>-189421</v>
      </c>
      <c r="X29" s="1012"/>
      <c r="Y29" s="1012">
        <f>SUM(Y28-I15)</f>
        <v>0</v>
      </c>
      <c r="Z29" s="1012">
        <f>SUM(Z28-J15)</f>
        <v>0</v>
      </c>
      <c r="AA29" s="952"/>
      <c r="AB29" s="952"/>
      <c r="AC29" s="952"/>
      <c r="AD29" s="952"/>
      <c r="AE29" s="952"/>
      <c r="AF29" s="952"/>
      <c r="AG29" s="952"/>
      <c r="AH29" s="952"/>
      <c r="AI29" s="952"/>
      <c r="AJ29" s="952"/>
      <c r="AK29" s="952"/>
      <c r="AL29" s="952"/>
      <c r="AM29" s="952"/>
    </row>
    <row r="30" spans="1:39" ht="15.75" x14ac:dyDescent="0.25">
      <c r="A30" s="1008"/>
      <c r="B30" s="1008"/>
      <c r="C30" s="992"/>
      <c r="D30" s="992"/>
      <c r="E30" s="992"/>
      <c r="F30" s="992"/>
      <c r="G30" s="992"/>
      <c r="H30" s="992"/>
      <c r="I30" s="992"/>
      <c r="J30" s="992"/>
      <c r="K30" s="992"/>
      <c r="L30" s="992"/>
      <c r="M30" s="992"/>
      <c r="N30" s="992"/>
      <c r="O30" s="992"/>
      <c r="P30" s="992"/>
      <c r="Q30" s="992"/>
      <c r="R30" s="992"/>
      <c r="S30" s="1008"/>
      <c r="T30" s="1008"/>
      <c r="U30" s="1008"/>
      <c r="V30" s="1008"/>
      <c r="W30" s="1008"/>
      <c r="X30" s="1008"/>
      <c r="Y30" s="1008"/>
      <c r="Z30" s="1008"/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</row>
    <row r="31" spans="1:39" ht="15.75" x14ac:dyDescent="0.25">
      <c r="A31" s="4548" t="s">
        <v>891</v>
      </c>
      <c r="B31" s="4548"/>
      <c r="C31" s="1007">
        <f>SUM('5.6. sz. mell'!F44)</f>
        <v>35960200</v>
      </c>
      <c r="D31" s="1007">
        <f>SUM('5.6. sz. mell'!G44)</f>
        <v>871152</v>
      </c>
      <c r="E31" s="1007">
        <f>SUM('5.6. sz. mell'!H44)</f>
        <v>36831352</v>
      </c>
      <c r="F31" s="1007">
        <f>SUM('5.6. sz. mell'!I44)</f>
        <v>9463576</v>
      </c>
      <c r="G31" s="1007">
        <f>SUM('5.6. sz. mell'!J44)</f>
        <v>46294928</v>
      </c>
      <c r="H31" s="1007">
        <f>SUM('5.6. sz. mell'!K44)</f>
        <v>0</v>
      </c>
      <c r="I31" s="1007">
        <f>SUM('5.6. sz. mell'!L44)</f>
        <v>46294928</v>
      </c>
      <c r="J31" s="1007">
        <f>SUM('5.6. sz. mell'!M44)</f>
        <v>46294928</v>
      </c>
      <c r="K31" s="992"/>
      <c r="L31" s="992"/>
      <c r="M31" s="4549" t="s">
        <v>896</v>
      </c>
      <c r="N31" s="4549"/>
      <c r="O31" s="4549"/>
      <c r="P31" s="4549"/>
      <c r="Q31" s="4549"/>
      <c r="R31" s="4549"/>
      <c r="S31" s="1010">
        <f>SUM('5.6. sz. mell'!F53)</f>
        <v>12789116</v>
      </c>
      <c r="T31" s="1010"/>
      <c r="U31" s="1010">
        <f>SUM('5.6. sz. mell'!H53)</f>
        <v>13036332</v>
      </c>
      <c r="V31" s="1010">
        <f>SUM('5.6. sz. mell'!I53)</f>
        <v>-2049549</v>
      </c>
      <c r="W31" s="1010">
        <f>SUM('5.6. sz. mell'!J53)</f>
        <v>10986783</v>
      </c>
      <c r="X31" s="1010">
        <f>SUM('5.6. sz. mell'!K53)</f>
        <v>0</v>
      </c>
      <c r="Y31" s="1010">
        <f>SUM('5.6. sz. mell'!L53)</f>
        <v>10986783</v>
      </c>
      <c r="Z31" s="1010">
        <f>SUM('5.6. sz. mell'!M53)</f>
        <v>10594655</v>
      </c>
      <c r="AA31" s="952"/>
      <c r="AB31" s="952"/>
      <c r="AC31" s="952"/>
      <c r="AD31" s="952"/>
      <c r="AE31" s="952"/>
      <c r="AF31" s="952"/>
      <c r="AG31" s="952"/>
      <c r="AH31" s="952"/>
      <c r="AI31" s="952"/>
      <c r="AJ31" s="952"/>
      <c r="AK31" s="952"/>
      <c r="AL31" s="952"/>
      <c r="AM31" s="952"/>
    </row>
    <row r="32" spans="1:39" ht="15.75" x14ac:dyDescent="0.25">
      <c r="A32" s="1006" t="s">
        <v>893</v>
      </c>
      <c r="B32" s="1008"/>
      <c r="C32" s="1011">
        <f>SUM(C31-C9)</f>
        <v>0</v>
      </c>
      <c r="D32" s="1011"/>
      <c r="E32" s="1011">
        <f>SUM(E31-E9)</f>
        <v>0</v>
      </c>
      <c r="F32" s="1011"/>
      <c r="G32" s="1011">
        <f>SUM(G31-G9)</f>
        <v>2635531</v>
      </c>
      <c r="H32" s="1011"/>
      <c r="I32" s="1011">
        <f>SUM(I31-I9)</f>
        <v>0</v>
      </c>
      <c r="J32" s="1011">
        <f>SUM(J31-J9)</f>
        <v>0</v>
      </c>
      <c r="K32" s="992"/>
      <c r="L32" s="992"/>
      <c r="M32" s="1006" t="s">
        <v>893</v>
      </c>
      <c r="N32" s="1006"/>
      <c r="O32" s="1006"/>
      <c r="P32" s="1006"/>
      <c r="Q32" s="1006"/>
      <c r="R32" s="992"/>
      <c r="S32" s="1012">
        <f>SUM(S31-C16)</f>
        <v>0</v>
      </c>
      <c r="T32" s="1012"/>
      <c r="U32" s="1012">
        <f>SUM(U31-E16)</f>
        <v>0</v>
      </c>
      <c r="V32" s="1012"/>
      <c r="W32" s="1012">
        <f>SUM(W31-G16)</f>
        <v>-2049549</v>
      </c>
      <c r="X32" s="1012"/>
      <c r="Y32" s="1012">
        <f>SUM(Y31-I16)</f>
        <v>0</v>
      </c>
      <c r="Z32" s="1012">
        <f>SUM(Z31-J16)</f>
        <v>0</v>
      </c>
      <c r="AA32" s="952"/>
      <c r="AB32" s="952"/>
      <c r="AC32" s="952"/>
      <c r="AD32" s="952"/>
      <c r="AE32" s="952"/>
      <c r="AF32" s="952"/>
      <c r="AG32" s="952"/>
      <c r="AH32" s="952"/>
      <c r="AI32" s="952"/>
      <c r="AJ32" s="952"/>
      <c r="AK32" s="952"/>
      <c r="AL32" s="952"/>
      <c r="AM32" s="952"/>
    </row>
    <row r="33" spans="1:39" ht="15.75" x14ac:dyDescent="0.25">
      <c r="A33" s="1008"/>
      <c r="B33" s="1008"/>
      <c r="C33" s="992"/>
      <c r="D33" s="992"/>
      <c r="E33" s="992"/>
      <c r="F33" s="992"/>
      <c r="G33" s="992"/>
      <c r="H33" s="992"/>
      <c r="I33" s="992"/>
      <c r="J33" s="992"/>
      <c r="K33" s="992"/>
      <c r="L33" s="992"/>
      <c r="M33" s="992"/>
      <c r="N33" s="992"/>
      <c r="O33" s="992"/>
      <c r="P33" s="992"/>
      <c r="Q33" s="992"/>
      <c r="R33" s="992"/>
      <c r="S33" s="1008"/>
      <c r="T33" s="1008"/>
      <c r="U33" s="1008"/>
      <c r="V33" s="1008"/>
      <c r="W33" s="1008"/>
      <c r="X33" s="1008"/>
      <c r="Y33" s="1008"/>
      <c r="Z33" s="1008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</row>
    <row r="34" spans="1:39" ht="15.75" x14ac:dyDescent="0.25">
      <c r="A34" s="4548" t="s">
        <v>890</v>
      </c>
      <c r="B34" s="4548"/>
      <c r="C34" s="1007">
        <f>SUM('5.6. sz. mell'!F45+'5.6. sz. mell'!F41)</f>
        <v>41551799</v>
      </c>
      <c r="D34" s="1007">
        <f>SUM('5.6. sz. mell'!G45+'5.6. sz. mell'!G41)</f>
        <v>3468398</v>
      </c>
      <c r="E34" s="1007">
        <f>SUM('5.6. sz. mell'!H45+'5.6. sz. mell'!H41)</f>
        <v>45020197</v>
      </c>
      <c r="F34" s="1007">
        <f>SUM('5.6. sz. mell'!I45+'5.6. sz. mell'!I41)</f>
        <v>-13814549</v>
      </c>
      <c r="G34" s="1007">
        <f>SUM('5.6. sz. mell'!J45+'5.6. sz. mell'!J41)</f>
        <v>31205648</v>
      </c>
      <c r="H34" s="1007">
        <f>SUM('5.6. sz. mell'!K45+'5.6. sz. mell'!K41)</f>
        <v>0</v>
      </c>
      <c r="I34" s="1007">
        <f>SUM('5.6. sz. mell'!L45+'5.6. sz. mell'!L41)</f>
        <v>31205648</v>
      </c>
      <c r="J34" s="1007">
        <f>SUM('5.6. sz. mell'!M45+'5.6. sz. mell'!M41)</f>
        <v>31205648</v>
      </c>
      <c r="K34" s="992"/>
      <c r="L34" s="992"/>
      <c r="M34" s="4549" t="s">
        <v>897</v>
      </c>
      <c r="N34" s="4549"/>
      <c r="O34" s="4549"/>
      <c r="P34" s="4549"/>
      <c r="Q34" s="4549"/>
      <c r="R34" s="4549"/>
      <c r="S34" s="1010">
        <f>SUM('5.6. sz. mell'!F55)</f>
        <v>0</v>
      </c>
      <c r="T34" s="1010"/>
      <c r="U34" s="1010">
        <f>SUM('5.6. sz. mell'!H55)</f>
        <v>0</v>
      </c>
      <c r="V34" s="1010"/>
      <c r="W34" s="1010">
        <f>SUM('5.6. sz. mell'!L55)</f>
        <v>0</v>
      </c>
      <c r="X34" s="1010"/>
      <c r="Y34" s="1010">
        <f>SUM('5.6. sz. mell'!N55)</f>
        <v>0</v>
      </c>
      <c r="Z34" s="1010">
        <f>SUM('5.6. sz. mell'!M55)</f>
        <v>0</v>
      </c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</row>
    <row r="35" spans="1:39" ht="15.75" x14ac:dyDescent="0.25">
      <c r="A35" s="1006" t="s">
        <v>893</v>
      </c>
      <c r="B35" s="1008"/>
      <c r="C35" s="1011">
        <f>SUM(C34-C10)</f>
        <v>0</v>
      </c>
      <c r="D35" s="1011"/>
      <c r="E35" s="1011">
        <f>SUM(E34-E10)</f>
        <v>0</v>
      </c>
      <c r="F35" s="1011"/>
      <c r="G35" s="1011">
        <f>SUM(G34-G10)</f>
        <v>-8609473</v>
      </c>
      <c r="H35" s="1011"/>
      <c r="I35" s="1011">
        <f>SUM(I34-I10)</f>
        <v>0</v>
      </c>
      <c r="J35" s="1011">
        <f>SUM(J34-J10)</f>
        <v>0</v>
      </c>
      <c r="K35" s="992"/>
      <c r="L35" s="992"/>
      <c r="M35" s="1006" t="s">
        <v>893</v>
      </c>
      <c r="N35" s="1006"/>
      <c r="O35" s="1006"/>
      <c r="P35" s="1006"/>
      <c r="Q35" s="1006"/>
      <c r="R35" s="992"/>
      <c r="S35" s="1012">
        <f>SUM(S34-C17)</f>
        <v>0</v>
      </c>
      <c r="T35" s="1012"/>
      <c r="U35" s="1012">
        <f>SUM(U34-E17)</f>
        <v>0</v>
      </c>
      <c r="V35" s="1012"/>
      <c r="W35" s="1012">
        <f>SUM(W34-G17)</f>
        <v>0</v>
      </c>
      <c r="X35" s="1012"/>
      <c r="Y35" s="1012">
        <f>SUM(Y34-I17)</f>
        <v>0</v>
      </c>
      <c r="Z35" s="1012">
        <f>SUM(Z34-J17)</f>
        <v>0</v>
      </c>
      <c r="AA35" s="952"/>
      <c r="AB35" s="952"/>
      <c r="AC35" s="952"/>
      <c r="AD35" s="952"/>
      <c r="AE35" s="952"/>
      <c r="AF35" s="952"/>
      <c r="AG35" s="952"/>
      <c r="AH35" s="952"/>
      <c r="AI35" s="952"/>
      <c r="AJ35" s="952"/>
      <c r="AK35" s="952"/>
      <c r="AL35" s="952"/>
      <c r="AM35" s="952"/>
    </row>
    <row r="36" spans="1:39" ht="16.5" thickBot="1" x14ac:dyDescent="0.3">
      <c r="A36" s="992"/>
      <c r="B36" s="992"/>
      <c r="C36" s="992"/>
      <c r="D36" s="992"/>
      <c r="E36" s="992"/>
      <c r="F36" s="992"/>
      <c r="G36" s="992"/>
      <c r="H36" s="992"/>
      <c r="I36" s="992"/>
      <c r="J36" s="992"/>
      <c r="K36" s="992"/>
      <c r="L36" s="992"/>
      <c r="M36" s="992"/>
      <c r="N36" s="992"/>
      <c r="O36" s="992"/>
      <c r="P36" s="992"/>
      <c r="Q36" s="992"/>
      <c r="R36" s="992"/>
      <c r="S36" s="1008"/>
      <c r="T36" s="1008"/>
      <c r="U36" s="1008"/>
      <c r="V36" s="1008"/>
      <c r="W36" s="1008"/>
      <c r="X36" s="1008"/>
      <c r="Y36" s="1008"/>
      <c r="Z36" s="1008"/>
      <c r="AA36" s="952"/>
      <c r="AB36" s="952"/>
      <c r="AC36" s="952"/>
      <c r="AD36" s="952"/>
      <c r="AE36" s="952"/>
      <c r="AF36" s="952"/>
      <c r="AG36" s="952"/>
      <c r="AH36" s="952"/>
      <c r="AI36" s="952"/>
      <c r="AJ36" s="952"/>
      <c r="AK36" s="952"/>
      <c r="AL36" s="952"/>
      <c r="AM36" s="952"/>
    </row>
    <row r="37" spans="1:39" ht="16.5" thickTop="1" x14ac:dyDescent="0.25">
      <c r="A37" s="4556" t="s">
        <v>889</v>
      </c>
      <c r="B37" s="4557"/>
      <c r="C37" s="1015">
        <f>SUM('5.6. sz. mell'!F47)</f>
        <v>83854641</v>
      </c>
      <c r="D37" s="1015"/>
      <c r="E37" s="1015">
        <f>SUM('5.6. sz. mell'!H47)</f>
        <v>88194191</v>
      </c>
      <c r="F37" s="1015">
        <f>SUM('5.6. sz. mell'!I47)</f>
        <v>-2667104</v>
      </c>
      <c r="G37" s="1015">
        <f>SUM('5.6. sz. mell'!J47)</f>
        <v>85527087</v>
      </c>
      <c r="H37" s="1015">
        <f>SUM('5.6. sz. mell'!K47)</f>
        <v>0</v>
      </c>
      <c r="I37" s="1015">
        <f>SUM('5.6. sz. mell'!L47)</f>
        <v>85527087</v>
      </c>
      <c r="J37" s="1016">
        <f>SUM('5.6. sz. mell'!M47)</f>
        <v>85527087</v>
      </c>
      <c r="K37" s="992"/>
      <c r="L37" s="992"/>
      <c r="M37" s="4549" t="s">
        <v>898</v>
      </c>
      <c r="N37" s="4549"/>
      <c r="O37" s="4549"/>
      <c r="P37" s="4549"/>
      <c r="Q37" s="4549"/>
      <c r="R37" s="4549"/>
      <c r="S37" s="1010">
        <f>SUM('5.6. sz. mell'!F57)</f>
        <v>190500</v>
      </c>
      <c r="T37" s="1010">
        <f>SUM('5.6. sz. mell'!G57)</f>
        <v>0</v>
      </c>
      <c r="U37" s="1010">
        <f>SUM('5.6. sz. mell'!H57)</f>
        <v>190500</v>
      </c>
      <c r="V37" s="1010">
        <f>SUM('5.6. sz. mell'!I57)</f>
        <v>14045</v>
      </c>
      <c r="W37" s="1010">
        <f>SUM('5.6. sz. mell'!J57)</f>
        <v>204545</v>
      </c>
      <c r="X37" s="1010">
        <f>SUM('5.6. sz. mell'!K57)</f>
        <v>0</v>
      </c>
      <c r="Y37" s="1010">
        <f>SUM('5.6. sz. mell'!L57)</f>
        <v>204545</v>
      </c>
      <c r="Z37" s="1010">
        <f>SUM('5.6. sz. mell'!M57)</f>
        <v>204545</v>
      </c>
      <c r="AA37" s="952"/>
      <c r="AB37" s="952"/>
      <c r="AC37" s="952"/>
      <c r="AD37" s="952"/>
      <c r="AE37" s="952"/>
      <c r="AF37" s="952"/>
      <c r="AG37" s="952"/>
      <c r="AH37" s="952"/>
      <c r="AI37" s="952"/>
      <c r="AJ37" s="952"/>
      <c r="AK37" s="952"/>
      <c r="AL37" s="952"/>
      <c r="AM37" s="952"/>
    </row>
    <row r="38" spans="1:39" ht="16.5" thickBot="1" x14ac:dyDescent="0.3">
      <c r="A38" s="1020" t="s">
        <v>961</v>
      </c>
      <c r="B38" s="1021"/>
      <c r="C38" s="1077">
        <f>SUM(C37-C11)</f>
        <v>0</v>
      </c>
      <c r="D38" s="1077"/>
      <c r="E38" s="1077">
        <f>SUM(E37-E11)</f>
        <v>0</v>
      </c>
      <c r="F38" s="1077"/>
      <c r="G38" s="1077">
        <f>SUM(G37-G11)</f>
        <v>-4290073</v>
      </c>
      <c r="H38" s="1077"/>
      <c r="I38" s="1077">
        <f>SUM(I37-I11)</f>
        <v>0</v>
      </c>
      <c r="J38" s="1092">
        <f>SUM(J37-J11)</f>
        <v>0</v>
      </c>
      <c r="K38" s="992"/>
      <c r="L38" s="992"/>
      <c r="M38" s="1006" t="s">
        <v>893</v>
      </c>
      <c r="N38" s="1006"/>
      <c r="O38" s="1006"/>
      <c r="P38" s="1006"/>
      <c r="Q38" s="1006"/>
      <c r="R38" s="992"/>
      <c r="S38" s="1012">
        <f>SUM(S37-C18)</f>
        <v>0</v>
      </c>
      <c r="T38" s="1012"/>
      <c r="U38" s="1012">
        <f>SUM(U37-E18)</f>
        <v>0</v>
      </c>
      <c r="V38" s="1012"/>
      <c r="W38" s="1012">
        <f>SUM(W37-G18)</f>
        <v>14045</v>
      </c>
      <c r="X38" s="1012"/>
      <c r="Y38" s="1012">
        <f>SUM(Y37-I18)</f>
        <v>0</v>
      </c>
      <c r="Z38" s="1012">
        <f>SUM(Z37-J18)</f>
        <v>0</v>
      </c>
      <c r="AA38" s="952"/>
      <c r="AB38" s="952"/>
      <c r="AC38" s="952"/>
      <c r="AD38" s="952"/>
      <c r="AE38" s="952"/>
      <c r="AF38" s="952"/>
      <c r="AG38" s="952"/>
      <c r="AH38" s="952"/>
      <c r="AI38" s="952"/>
      <c r="AJ38" s="952"/>
      <c r="AK38" s="952"/>
      <c r="AL38" s="952"/>
      <c r="AM38" s="952"/>
    </row>
    <row r="39" spans="1:39" ht="17.25" thickTop="1" thickBot="1" x14ac:dyDescent="0.3">
      <c r="A39" s="992"/>
      <c r="B39" s="992"/>
      <c r="C39" s="992"/>
      <c r="D39" s="992"/>
      <c r="E39" s="992"/>
      <c r="F39" s="992"/>
      <c r="G39" s="992"/>
      <c r="H39" s="992"/>
      <c r="I39" s="992"/>
      <c r="J39" s="992"/>
      <c r="K39" s="992"/>
      <c r="L39" s="992"/>
      <c r="M39" s="992"/>
      <c r="N39" s="992"/>
      <c r="O39" s="992"/>
      <c r="P39" s="992"/>
      <c r="Q39" s="992"/>
      <c r="R39" s="992"/>
      <c r="S39" s="1008"/>
      <c r="T39" s="1008"/>
      <c r="U39" s="1008"/>
      <c r="V39" s="1008"/>
      <c r="W39" s="1008"/>
      <c r="X39" s="1008"/>
      <c r="Y39" s="1008"/>
      <c r="Z39" s="1008"/>
      <c r="AA39" s="952"/>
      <c r="AB39" s="952"/>
      <c r="AC39" s="952"/>
      <c r="AD39" s="952"/>
      <c r="AE39" s="952"/>
      <c r="AF39" s="952"/>
      <c r="AG39" s="952"/>
      <c r="AH39" s="952"/>
      <c r="AI39" s="952"/>
      <c r="AJ39" s="952"/>
      <c r="AK39" s="952"/>
      <c r="AL39" s="952"/>
      <c r="AM39" s="952"/>
    </row>
    <row r="40" spans="1:39" ht="16.5" thickTop="1" x14ac:dyDescent="0.25">
      <c r="A40" s="992"/>
      <c r="B40" s="992"/>
      <c r="C40" s="992"/>
      <c r="D40" s="992"/>
      <c r="E40" s="992"/>
      <c r="F40" s="992"/>
      <c r="G40" s="992"/>
      <c r="H40" s="992"/>
      <c r="I40" s="992"/>
      <c r="J40" s="992"/>
      <c r="K40" s="992"/>
      <c r="L40" s="992"/>
      <c r="M40" s="1014" t="s">
        <v>899</v>
      </c>
      <c r="N40" s="2214"/>
      <c r="O40" s="4556" t="s">
        <v>889</v>
      </c>
      <c r="P40" s="4557"/>
      <c r="Q40" s="4468"/>
      <c r="R40" s="1017"/>
      <c r="S40" s="1018">
        <f>SUM('5.6. sz. mell'!F63)</f>
        <v>83854641</v>
      </c>
      <c r="T40" s="1018">
        <f>SUM('5.6. sz. mell'!G63)</f>
        <v>4339550</v>
      </c>
      <c r="U40" s="1018">
        <f>SUM('5.6. sz. mell'!H63)</f>
        <v>88194191</v>
      </c>
      <c r="V40" s="1018">
        <f>SUM('5.6. sz. mell'!I63)</f>
        <v>-2667104</v>
      </c>
      <c r="W40" s="1018">
        <f>SUM('5.6. sz. mell'!J63)</f>
        <v>85527087</v>
      </c>
      <c r="X40" s="1018">
        <f>SUM('5.6. sz. mell'!K63)</f>
        <v>0</v>
      </c>
      <c r="Y40" s="1018">
        <f>SUM('5.6. sz. mell'!L63)</f>
        <v>85527087</v>
      </c>
      <c r="Z40" s="1019">
        <f>SUM('5.6. sz. mell'!M63)</f>
        <v>85087254</v>
      </c>
      <c r="AA40" s="952"/>
      <c r="AB40" s="952"/>
      <c r="AC40" s="952"/>
      <c r="AD40" s="952"/>
      <c r="AE40" s="952"/>
      <c r="AF40" s="952"/>
      <c r="AG40" s="952"/>
      <c r="AH40" s="952"/>
      <c r="AI40" s="952"/>
      <c r="AJ40" s="952"/>
      <c r="AK40" s="952"/>
      <c r="AL40" s="952"/>
      <c r="AM40" s="952"/>
    </row>
    <row r="41" spans="1:39" ht="16.5" thickBot="1" x14ac:dyDescent="0.3">
      <c r="A41" s="992"/>
      <c r="B41" s="992"/>
      <c r="C41" s="992"/>
      <c r="D41" s="992"/>
      <c r="E41" s="992"/>
      <c r="F41" s="992"/>
      <c r="G41" s="992"/>
      <c r="H41" s="992"/>
      <c r="I41" s="992"/>
      <c r="J41" s="992"/>
      <c r="K41" s="992"/>
      <c r="L41" s="992"/>
      <c r="M41" s="1020" t="s">
        <v>893</v>
      </c>
      <c r="N41" s="2222"/>
      <c r="O41" s="1020" t="s">
        <v>961</v>
      </c>
      <c r="P41" s="1021"/>
      <c r="Q41" s="2222"/>
      <c r="R41" s="1024"/>
      <c r="S41" s="1025">
        <f>SUM(S40-C19)</f>
        <v>0</v>
      </c>
      <c r="T41" s="1025"/>
      <c r="U41" s="1025">
        <f>SUM(U40-E19)</f>
        <v>0</v>
      </c>
      <c r="V41" s="1025"/>
      <c r="W41" s="1025">
        <f>SUM(W40-G19)</f>
        <v>-4290073</v>
      </c>
      <c r="X41" s="1025"/>
      <c r="Y41" s="1025">
        <f>SUM(Y40-I19)</f>
        <v>0</v>
      </c>
      <c r="Z41" s="1026">
        <f>SUM(Z40-J19)</f>
        <v>0</v>
      </c>
      <c r="AA41" s="952"/>
      <c r="AB41" s="952"/>
      <c r="AC41" s="952"/>
      <c r="AD41" s="952"/>
      <c r="AE41" s="952"/>
      <c r="AF41" s="952"/>
      <c r="AG41" s="952"/>
      <c r="AH41" s="952"/>
      <c r="AI41" s="952"/>
      <c r="AJ41" s="952"/>
      <c r="AK41" s="952"/>
      <c r="AL41" s="952"/>
      <c r="AM41" s="952"/>
    </row>
    <row r="42" spans="1:39" ht="15.75" thickTop="1" x14ac:dyDescent="0.25">
      <c r="A42" s="992"/>
      <c r="B42" s="992"/>
      <c r="C42" s="992"/>
      <c r="D42" s="992"/>
      <c r="E42" s="992"/>
      <c r="F42" s="992"/>
      <c r="G42" s="992"/>
      <c r="H42" s="992"/>
      <c r="I42" s="992"/>
      <c r="J42" s="992"/>
      <c r="K42" s="992"/>
      <c r="L42" s="992"/>
      <c r="M42" s="992"/>
      <c r="N42" s="992"/>
      <c r="O42" s="992"/>
      <c r="P42" s="992"/>
      <c r="Q42" s="992"/>
      <c r="R42" s="992"/>
      <c r="S42" s="992"/>
      <c r="T42" s="992"/>
      <c r="U42" s="992"/>
      <c r="V42" s="992"/>
      <c r="W42" s="992"/>
      <c r="X42" s="992"/>
      <c r="Y42" s="992"/>
      <c r="Z42" s="992"/>
      <c r="AA42" s="952"/>
      <c r="AB42" s="952"/>
      <c r="AC42" s="952"/>
      <c r="AD42" s="952"/>
      <c r="AE42" s="952"/>
      <c r="AF42" s="952"/>
      <c r="AG42" s="952"/>
      <c r="AH42" s="952"/>
      <c r="AI42" s="952"/>
      <c r="AJ42" s="952"/>
      <c r="AK42" s="952"/>
      <c r="AL42" s="952"/>
      <c r="AM42" s="952"/>
    </row>
    <row r="43" spans="1:39" x14ac:dyDescent="0.25">
      <c r="A43" s="992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992"/>
      <c r="N43" s="992"/>
      <c r="O43" s="992"/>
      <c r="P43" s="992"/>
      <c r="Q43" s="992"/>
      <c r="R43" s="992"/>
      <c r="S43" s="992"/>
      <c r="T43" s="992"/>
      <c r="U43" s="992"/>
      <c r="V43" s="992"/>
      <c r="W43" s="992"/>
      <c r="X43" s="992"/>
      <c r="Y43" s="992"/>
      <c r="Z43" s="992"/>
      <c r="AA43" s="952"/>
      <c r="AB43" s="952"/>
      <c r="AC43" s="952"/>
      <c r="AD43" s="952"/>
      <c r="AE43" s="952"/>
      <c r="AF43" s="952"/>
      <c r="AG43" s="952"/>
      <c r="AH43" s="952"/>
      <c r="AI43" s="952"/>
      <c r="AJ43" s="952"/>
      <c r="AK43" s="952"/>
      <c r="AL43" s="952"/>
      <c r="AM43" s="952"/>
    </row>
    <row r="44" spans="1:39" x14ac:dyDescent="0.25">
      <c r="A44" s="992"/>
      <c r="B44" s="992"/>
      <c r="C44" s="992"/>
      <c r="D44" s="992"/>
      <c r="E44" s="992"/>
      <c r="F44" s="992"/>
      <c r="G44" s="992"/>
      <c r="H44" s="992"/>
      <c r="I44" s="992"/>
      <c r="J44" s="992"/>
      <c r="K44" s="992"/>
      <c r="L44" s="992"/>
      <c r="M44" s="992"/>
      <c r="N44" s="992"/>
      <c r="O44" s="992"/>
      <c r="P44" s="992"/>
      <c r="Q44" s="992"/>
      <c r="R44" s="992"/>
      <c r="S44" s="992"/>
      <c r="T44" s="992"/>
      <c r="U44" s="992"/>
      <c r="V44" s="992"/>
      <c r="W44" s="992"/>
      <c r="X44" s="992"/>
      <c r="Y44" s="992"/>
      <c r="Z44" s="992"/>
      <c r="AA44" s="952"/>
      <c r="AB44" s="952"/>
      <c r="AC44" s="952"/>
      <c r="AD44" s="952"/>
      <c r="AE44" s="952"/>
      <c r="AF44" s="952"/>
      <c r="AG44" s="952"/>
      <c r="AH44" s="952"/>
      <c r="AI44" s="952"/>
      <c r="AJ44" s="952"/>
      <c r="AK44" s="952"/>
      <c r="AL44" s="952"/>
      <c r="AM44" s="952"/>
    </row>
    <row r="45" spans="1:39" x14ac:dyDescent="0.25">
      <c r="A45" s="992"/>
      <c r="B45" s="992"/>
      <c r="C45" s="992"/>
      <c r="D45" s="992"/>
      <c r="E45" s="992"/>
      <c r="F45" s="992"/>
      <c r="G45" s="992"/>
      <c r="H45" s="992"/>
      <c r="I45" s="992"/>
      <c r="J45" s="992"/>
      <c r="K45" s="992"/>
      <c r="L45" s="992"/>
      <c r="M45" s="992"/>
      <c r="N45" s="992"/>
      <c r="O45" s="992"/>
      <c r="P45" s="992"/>
      <c r="Q45" s="992"/>
      <c r="R45" s="992"/>
      <c r="S45" s="992"/>
      <c r="T45" s="992"/>
      <c r="U45" s="992"/>
      <c r="V45" s="992"/>
      <c r="W45" s="992"/>
      <c r="X45" s="992"/>
      <c r="Y45" s="992"/>
      <c r="Z45" s="992"/>
      <c r="AA45" s="952"/>
      <c r="AB45" s="952"/>
      <c r="AC45" s="952"/>
      <c r="AD45" s="952"/>
      <c r="AE45" s="952"/>
      <c r="AF45" s="952"/>
      <c r="AG45" s="952"/>
      <c r="AH45" s="952"/>
      <c r="AI45" s="952"/>
      <c r="AJ45" s="952"/>
      <c r="AK45" s="952"/>
      <c r="AL45" s="952"/>
      <c r="AM45" s="952"/>
    </row>
    <row r="46" spans="1:39" x14ac:dyDescent="0.25">
      <c r="A46" s="624"/>
      <c r="B46" s="624"/>
      <c r="C46" s="624"/>
      <c r="D46" s="624"/>
      <c r="E46" s="624"/>
      <c r="F46" s="624"/>
      <c r="G46" s="624"/>
      <c r="H46" s="624"/>
      <c r="I46" s="624"/>
      <c r="J46" s="624"/>
      <c r="K46" s="624"/>
      <c r="L46" s="624"/>
      <c r="M46" s="624"/>
      <c r="N46" s="624"/>
      <c r="O46" s="624"/>
      <c r="P46" s="624"/>
      <c r="Q46" s="624"/>
      <c r="R46" s="624"/>
      <c r="S46" s="624"/>
      <c r="T46" s="624"/>
      <c r="U46" s="624"/>
      <c r="V46" s="624"/>
      <c r="W46" s="624"/>
      <c r="X46" s="624"/>
      <c r="Y46" s="624"/>
      <c r="Z46" s="624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/>
      <c r="AK46" s="658"/>
    </row>
    <row r="47" spans="1:39" x14ac:dyDescent="0.25">
      <c r="A47" s="624"/>
      <c r="B47" s="624"/>
      <c r="C47" s="624"/>
      <c r="D47" s="624"/>
      <c r="E47" s="624"/>
      <c r="F47" s="624"/>
      <c r="G47" s="624"/>
      <c r="H47" s="624"/>
      <c r="I47" s="624"/>
      <c r="J47" s="624"/>
      <c r="K47" s="624"/>
      <c r="L47" s="624"/>
      <c r="M47" s="624"/>
      <c r="N47" s="624"/>
      <c r="O47" s="624"/>
      <c r="P47" s="624"/>
      <c r="Q47" s="624"/>
      <c r="R47" s="624"/>
      <c r="S47" s="624"/>
      <c r="T47" s="624"/>
      <c r="U47" s="624"/>
      <c r="V47" s="624"/>
      <c r="W47" s="624"/>
      <c r="X47" s="624"/>
      <c r="Y47" s="624"/>
      <c r="Z47" s="624"/>
      <c r="AA47" s="658"/>
      <c r="AB47" s="658"/>
      <c r="AC47" s="658"/>
      <c r="AD47" s="658"/>
      <c r="AE47" s="658"/>
      <c r="AF47" s="658"/>
      <c r="AG47" s="658"/>
      <c r="AH47" s="658"/>
      <c r="AI47" s="658"/>
      <c r="AJ47" s="658"/>
      <c r="AK47" s="658"/>
    </row>
    <row r="48" spans="1:39" x14ac:dyDescent="0.25">
      <c r="A48" s="624"/>
      <c r="B48" s="624"/>
      <c r="C48" s="624"/>
      <c r="D48" s="624"/>
      <c r="E48" s="624"/>
      <c r="F48" s="624"/>
      <c r="G48" s="624"/>
      <c r="H48" s="624"/>
      <c r="I48" s="624"/>
      <c r="J48" s="624"/>
      <c r="K48" s="624"/>
      <c r="L48" s="624"/>
      <c r="M48" s="624"/>
      <c r="N48" s="624"/>
      <c r="O48" s="624"/>
      <c r="P48" s="624"/>
      <c r="Q48" s="624"/>
      <c r="R48" s="624"/>
      <c r="S48" s="624"/>
      <c r="T48" s="624"/>
      <c r="U48" s="624"/>
      <c r="V48" s="624"/>
      <c r="W48" s="624"/>
      <c r="X48" s="624"/>
      <c r="Y48" s="624"/>
      <c r="Z48" s="624"/>
      <c r="AA48" s="658"/>
      <c r="AB48" s="658"/>
      <c r="AC48" s="658"/>
      <c r="AD48" s="658"/>
      <c r="AE48" s="658"/>
      <c r="AF48" s="658"/>
      <c r="AG48" s="658"/>
      <c r="AH48" s="658"/>
      <c r="AI48" s="658"/>
      <c r="AJ48" s="658"/>
      <c r="AK48" s="658"/>
    </row>
    <row r="49" spans="1:37" x14ac:dyDescent="0.25">
      <c r="A49" s="624"/>
      <c r="B49" s="624"/>
      <c r="C49" s="624"/>
      <c r="D49" s="624"/>
      <c r="E49" s="624"/>
      <c r="F49" s="624"/>
      <c r="G49" s="624"/>
      <c r="H49" s="624"/>
      <c r="I49" s="624"/>
      <c r="J49" s="624"/>
      <c r="K49" s="624"/>
      <c r="L49" s="624"/>
      <c r="M49" s="624"/>
      <c r="N49" s="624"/>
      <c r="O49" s="624"/>
      <c r="P49" s="624"/>
      <c r="Q49" s="624"/>
      <c r="R49" s="624"/>
      <c r="S49" s="624"/>
      <c r="T49" s="624"/>
      <c r="U49" s="624"/>
      <c r="V49" s="624"/>
      <c r="W49" s="624"/>
      <c r="X49" s="624"/>
      <c r="Y49" s="624"/>
      <c r="Z49" s="624"/>
      <c r="AA49" s="658"/>
      <c r="AB49" s="658"/>
      <c r="AC49" s="658"/>
      <c r="AD49" s="658"/>
      <c r="AE49" s="658"/>
      <c r="AF49" s="658"/>
      <c r="AG49" s="658"/>
      <c r="AH49" s="658"/>
      <c r="AI49" s="658"/>
      <c r="AJ49" s="658"/>
      <c r="AK49" s="658"/>
    </row>
    <row r="50" spans="1:37" x14ac:dyDescent="0.25">
      <c r="A50" s="624"/>
      <c r="B50" s="624"/>
      <c r="C50" s="624"/>
      <c r="D50" s="624"/>
      <c r="E50" s="624"/>
      <c r="F50" s="624"/>
      <c r="G50" s="624"/>
      <c r="H50" s="624"/>
      <c r="I50" s="624"/>
      <c r="J50" s="624"/>
      <c r="K50" s="624"/>
      <c r="L50" s="624"/>
      <c r="M50" s="624"/>
      <c r="N50" s="624"/>
      <c r="O50" s="624"/>
      <c r="P50" s="624"/>
      <c r="Q50" s="624"/>
      <c r="R50" s="624"/>
      <c r="S50" s="624"/>
      <c r="T50" s="624"/>
      <c r="U50" s="624"/>
      <c r="V50" s="624"/>
      <c r="W50" s="624"/>
      <c r="X50" s="624"/>
      <c r="Y50" s="624"/>
      <c r="Z50" s="624"/>
      <c r="AA50" s="658"/>
      <c r="AB50" s="658"/>
      <c r="AC50" s="658"/>
      <c r="AD50" s="658"/>
      <c r="AE50" s="658"/>
      <c r="AF50" s="658"/>
      <c r="AG50" s="658"/>
      <c r="AH50" s="658"/>
      <c r="AI50" s="658"/>
      <c r="AJ50" s="658"/>
      <c r="AK50" s="658"/>
    </row>
    <row r="51" spans="1:37" x14ac:dyDescent="0.25">
      <c r="A51" s="624"/>
      <c r="B51" s="624"/>
      <c r="C51" s="624"/>
      <c r="D51" s="624"/>
      <c r="E51" s="624"/>
      <c r="F51" s="624"/>
      <c r="G51" s="624"/>
      <c r="H51" s="624"/>
      <c r="I51" s="624"/>
      <c r="J51" s="624"/>
      <c r="K51" s="624"/>
      <c r="L51" s="624"/>
      <c r="M51" s="624"/>
      <c r="N51" s="624"/>
      <c r="O51" s="624"/>
      <c r="P51" s="624"/>
      <c r="Q51" s="624"/>
      <c r="R51" s="624"/>
      <c r="S51" s="624"/>
      <c r="T51" s="624"/>
      <c r="U51" s="624"/>
      <c r="V51" s="624"/>
      <c r="W51" s="624"/>
      <c r="X51" s="624"/>
      <c r="Y51" s="624"/>
      <c r="Z51" s="624"/>
      <c r="AA51" s="658"/>
      <c r="AB51" s="658"/>
      <c r="AC51" s="658"/>
      <c r="AD51" s="658"/>
      <c r="AE51" s="658"/>
      <c r="AF51" s="658"/>
      <c r="AG51" s="658"/>
      <c r="AH51" s="658"/>
      <c r="AI51" s="658"/>
      <c r="AJ51" s="658"/>
      <c r="AK51" s="658"/>
    </row>
    <row r="52" spans="1:37" x14ac:dyDescent="0.25">
      <c r="A52" s="624"/>
      <c r="B52" s="624"/>
      <c r="C52" s="624"/>
      <c r="D52" s="624"/>
      <c r="E52" s="624"/>
      <c r="F52" s="624"/>
      <c r="G52" s="624"/>
      <c r="H52" s="624"/>
      <c r="I52" s="624"/>
      <c r="J52" s="624"/>
      <c r="K52" s="624"/>
      <c r="L52" s="624"/>
      <c r="M52" s="624"/>
      <c r="N52" s="624"/>
      <c r="O52" s="624"/>
      <c r="P52" s="624"/>
      <c r="Q52" s="624"/>
      <c r="R52" s="624"/>
      <c r="S52" s="624"/>
      <c r="T52" s="624"/>
      <c r="U52" s="624"/>
      <c r="V52" s="624"/>
      <c r="W52" s="624"/>
      <c r="X52" s="624"/>
      <c r="Y52" s="624"/>
      <c r="Z52" s="624"/>
      <c r="AA52" s="658"/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</row>
    <row r="53" spans="1:37" x14ac:dyDescent="0.25">
      <c r="A53" s="624"/>
      <c r="B53" s="624"/>
      <c r="C53" s="624"/>
      <c r="D53" s="624"/>
      <c r="E53" s="624"/>
      <c r="F53" s="624"/>
      <c r="G53" s="624"/>
      <c r="H53" s="624"/>
      <c r="I53" s="624"/>
      <c r="J53" s="624"/>
      <c r="K53" s="624"/>
      <c r="L53" s="624"/>
      <c r="M53" s="624"/>
      <c r="N53" s="624"/>
      <c r="O53" s="624"/>
      <c r="P53" s="624"/>
      <c r="Q53" s="624"/>
      <c r="R53" s="624"/>
      <c r="S53" s="624"/>
      <c r="T53" s="624"/>
      <c r="U53" s="624"/>
      <c r="V53" s="624"/>
      <c r="W53" s="624"/>
      <c r="X53" s="624"/>
      <c r="Y53" s="624"/>
      <c r="Z53" s="624"/>
      <c r="AA53" s="658"/>
      <c r="AB53" s="658"/>
      <c r="AC53" s="658"/>
      <c r="AD53" s="658"/>
      <c r="AE53" s="658"/>
      <c r="AF53" s="658"/>
      <c r="AG53" s="658"/>
      <c r="AH53" s="658"/>
      <c r="AI53" s="658"/>
      <c r="AJ53" s="658"/>
      <c r="AK53" s="658"/>
    </row>
    <row r="54" spans="1:37" x14ac:dyDescent="0.25">
      <c r="A54" s="624"/>
      <c r="B54" s="624"/>
      <c r="C54" s="624"/>
      <c r="D54" s="624"/>
      <c r="E54" s="624"/>
      <c r="F54" s="624"/>
      <c r="G54" s="624"/>
      <c r="H54" s="624"/>
      <c r="I54" s="624"/>
      <c r="J54" s="624"/>
      <c r="K54" s="624"/>
      <c r="L54" s="624"/>
      <c r="M54" s="624"/>
      <c r="N54" s="624"/>
      <c r="O54" s="624"/>
      <c r="P54" s="624"/>
      <c r="Q54" s="624"/>
      <c r="R54" s="624"/>
      <c r="S54" s="624"/>
      <c r="T54" s="624"/>
      <c r="U54" s="624"/>
      <c r="V54" s="624"/>
      <c r="W54" s="624"/>
      <c r="X54" s="624"/>
      <c r="Y54" s="624"/>
      <c r="Z54" s="624"/>
      <c r="AA54" s="658"/>
      <c r="AB54" s="658"/>
      <c r="AC54" s="658"/>
      <c r="AD54" s="658"/>
      <c r="AE54" s="658"/>
      <c r="AF54" s="658"/>
      <c r="AG54" s="658"/>
      <c r="AH54" s="658"/>
      <c r="AI54" s="658"/>
      <c r="AJ54" s="658"/>
      <c r="AK54" s="658"/>
    </row>
    <row r="55" spans="1:37" x14ac:dyDescent="0.25">
      <c r="A55" s="624"/>
      <c r="B55" s="624"/>
      <c r="C55" s="624"/>
      <c r="D55" s="624"/>
      <c r="E55" s="624"/>
      <c r="F55" s="624"/>
      <c r="G55" s="624"/>
      <c r="H55" s="624"/>
      <c r="I55" s="624"/>
      <c r="J55" s="624"/>
      <c r="K55" s="624"/>
      <c r="L55" s="624"/>
      <c r="M55" s="624"/>
      <c r="N55" s="624"/>
      <c r="O55" s="624"/>
      <c r="P55" s="624"/>
      <c r="Q55" s="624"/>
      <c r="R55" s="624"/>
      <c r="S55" s="624"/>
      <c r="T55" s="624"/>
      <c r="U55" s="624"/>
      <c r="V55" s="624"/>
      <c r="W55" s="624"/>
      <c r="X55" s="624"/>
      <c r="Y55" s="624"/>
      <c r="Z55" s="624"/>
      <c r="AA55" s="658"/>
      <c r="AB55" s="658"/>
      <c r="AC55" s="658"/>
      <c r="AD55" s="658"/>
      <c r="AE55" s="658"/>
      <c r="AF55" s="658"/>
      <c r="AG55" s="658"/>
      <c r="AH55" s="658"/>
      <c r="AI55" s="658"/>
      <c r="AJ55" s="658"/>
      <c r="AK55" s="658"/>
    </row>
    <row r="56" spans="1:37" x14ac:dyDescent="0.25">
      <c r="A56" s="624"/>
      <c r="B56" s="624"/>
      <c r="C56" s="624"/>
      <c r="D56" s="624"/>
      <c r="E56" s="624"/>
      <c r="F56" s="624"/>
      <c r="G56" s="624"/>
      <c r="H56" s="624"/>
      <c r="I56" s="624"/>
      <c r="J56" s="624"/>
      <c r="K56" s="624"/>
      <c r="L56" s="624"/>
      <c r="M56" s="624"/>
      <c r="N56" s="624"/>
      <c r="O56" s="624"/>
      <c r="P56" s="624"/>
      <c r="Q56" s="624"/>
      <c r="R56" s="624"/>
      <c r="S56" s="624"/>
      <c r="T56" s="624"/>
      <c r="U56" s="624"/>
      <c r="V56" s="624"/>
      <c r="W56" s="624"/>
      <c r="X56" s="624"/>
      <c r="Y56" s="624"/>
      <c r="Z56" s="624"/>
      <c r="AA56" s="658"/>
      <c r="AB56" s="658"/>
      <c r="AC56" s="658"/>
      <c r="AD56" s="658"/>
      <c r="AE56" s="658"/>
      <c r="AF56" s="658"/>
      <c r="AG56" s="658"/>
      <c r="AH56" s="658"/>
      <c r="AI56" s="658"/>
      <c r="AJ56" s="658"/>
      <c r="AK56" s="658"/>
    </row>
    <row r="57" spans="1:37" x14ac:dyDescent="0.25">
      <c r="A57" s="624"/>
      <c r="B57" s="624"/>
      <c r="C57" s="624"/>
      <c r="D57" s="624"/>
      <c r="E57" s="624"/>
      <c r="F57" s="624"/>
      <c r="G57" s="624"/>
      <c r="H57" s="624"/>
      <c r="I57" s="624"/>
      <c r="J57" s="624"/>
      <c r="K57" s="624"/>
      <c r="L57" s="624"/>
      <c r="M57" s="624"/>
      <c r="N57" s="624"/>
      <c r="O57" s="624"/>
      <c r="P57" s="624"/>
      <c r="Q57" s="624"/>
      <c r="R57" s="624"/>
      <c r="S57" s="624"/>
      <c r="T57" s="624"/>
      <c r="U57" s="624"/>
      <c r="V57" s="624"/>
      <c r="W57" s="624"/>
      <c r="X57" s="624"/>
      <c r="Y57" s="624"/>
      <c r="Z57" s="624"/>
      <c r="AA57" s="658"/>
      <c r="AB57" s="658"/>
      <c r="AC57" s="658"/>
      <c r="AD57" s="658"/>
      <c r="AE57" s="658"/>
      <c r="AF57" s="658"/>
      <c r="AG57" s="658"/>
      <c r="AH57" s="658"/>
      <c r="AI57" s="658"/>
      <c r="AJ57" s="658"/>
      <c r="AK57" s="658"/>
    </row>
    <row r="58" spans="1:37" x14ac:dyDescent="0.25">
      <c r="A58" s="624"/>
      <c r="B58" s="624"/>
      <c r="C58" s="624"/>
      <c r="D58" s="624"/>
      <c r="E58" s="624"/>
      <c r="F58" s="624"/>
      <c r="G58" s="624"/>
      <c r="H58" s="624"/>
      <c r="I58" s="624"/>
      <c r="J58" s="624"/>
      <c r="K58" s="624"/>
      <c r="L58" s="624"/>
      <c r="M58" s="624"/>
      <c r="N58" s="624"/>
      <c r="O58" s="624"/>
      <c r="P58" s="624"/>
      <c r="Q58" s="624"/>
      <c r="R58" s="624"/>
      <c r="S58" s="624"/>
      <c r="T58" s="624"/>
      <c r="U58" s="624"/>
      <c r="V58" s="624"/>
      <c r="W58" s="624"/>
      <c r="X58" s="624"/>
      <c r="Y58" s="624"/>
      <c r="Z58" s="624"/>
      <c r="AA58" s="658"/>
      <c r="AB58" s="658"/>
      <c r="AC58" s="658"/>
      <c r="AD58" s="658"/>
      <c r="AE58" s="658"/>
      <c r="AF58" s="658"/>
      <c r="AG58" s="658"/>
      <c r="AH58" s="658"/>
      <c r="AI58" s="658"/>
      <c r="AJ58" s="658"/>
      <c r="AK58" s="658"/>
    </row>
    <row r="59" spans="1:37" x14ac:dyDescent="0.25">
      <c r="A59" s="624"/>
      <c r="B59" s="624"/>
      <c r="C59" s="624"/>
      <c r="D59" s="624"/>
      <c r="E59" s="624"/>
      <c r="F59" s="624"/>
      <c r="G59" s="624"/>
      <c r="H59" s="624"/>
      <c r="I59" s="624"/>
      <c r="J59" s="624"/>
      <c r="K59" s="624"/>
      <c r="L59" s="624"/>
      <c r="M59" s="624"/>
      <c r="N59" s="624"/>
      <c r="O59" s="624"/>
      <c r="P59" s="624"/>
      <c r="Q59" s="624"/>
      <c r="R59" s="624"/>
      <c r="S59" s="624"/>
      <c r="T59" s="624"/>
      <c r="U59" s="624"/>
      <c r="V59" s="624"/>
      <c r="W59" s="624"/>
      <c r="X59" s="624"/>
      <c r="Y59" s="624"/>
      <c r="Z59" s="624"/>
      <c r="AA59" s="658"/>
      <c r="AB59" s="658"/>
      <c r="AC59" s="658"/>
      <c r="AD59" s="658"/>
      <c r="AE59" s="658"/>
      <c r="AF59" s="658"/>
      <c r="AG59" s="658"/>
      <c r="AH59" s="658"/>
      <c r="AI59" s="658"/>
      <c r="AJ59" s="658"/>
      <c r="AK59" s="658"/>
    </row>
    <row r="60" spans="1:37" x14ac:dyDescent="0.25">
      <c r="A60" s="624"/>
      <c r="B60" s="624"/>
      <c r="C60" s="624"/>
      <c r="D60" s="624"/>
      <c r="E60" s="624"/>
      <c r="F60" s="624"/>
      <c r="G60" s="624"/>
      <c r="H60" s="624"/>
      <c r="I60" s="624"/>
      <c r="J60" s="624"/>
      <c r="K60" s="624"/>
      <c r="L60" s="624"/>
      <c r="M60" s="624"/>
      <c r="N60" s="624"/>
      <c r="O60" s="624"/>
      <c r="P60" s="624"/>
      <c r="Q60" s="624"/>
      <c r="R60" s="624"/>
      <c r="S60" s="624"/>
      <c r="T60" s="624"/>
      <c r="U60" s="624"/>
      <c r="V60" s="624"/>
      <c r="W60" s="624"/>
      <c r="X60" s="624"/>
      <c r="Y60" s="624"/>
      <c r="Z60" s="624"/>
      <c r="AA60" s="658"/>
      <c r="AB60" s="658"/>
      <c r="AC60" s="658"/>
      <c r="AD60" s="658"/>
      <c r="AE60" s="658"/>
      <c r="AF60" s="658"/>
      <c r="AG60" s="658"/>
      <c r="AH60" s="658"/>
      <c r="AI60" s="658"/>
      <c r="AJ60" s="658"/>
      <c r="AK60" s="658"/>
    </row>
    <row r="61" spans="1:37" x14ac:dyDescent="0.25">
      <c r="A61" s="624"/>
      <c r="B61" s="624"/>
      <c r="C61" s="624"/>
      <c r="D61" s="624"/>
      <c r="E61" s="624"/>
      <c r="F61" s="624"/>
      <c r="G61" s="624"/>
      <c r="H61" s="624"/>
      <c r="I61" s="624"/>
      <c r="J61" s="624"/>
      <c r="K61" s="624"/>
      <c r="L61" s="624"/>
      <c r="M61" s="624"/>
      <c r="N61" s="624"/>
      <c r="O61" s="624"/>
      <c r="P61" s="624"/>
      <c r="Q61" s="624"/>
      <c r="R61" s="624"/>
      <c r="S61" s="624"/>
      <c r="T61" s="624"/>
      <c r="U61" s="624"/>
      <c r="V61" s="624"/>
      <c r="W61" s="624"/>
      <c r="X61" s="624"/>
      <c r="Y61" s="624"/>
      <c r="Z61" s="624"/>
      <c r="AA61" s="658"/>
      <c r="AB61" s="658"/>
      <c r="AC61" s="658"/>
      <c r="AD61" s="658"/>
      <c r="AE61" s="658"/>
      <c r="AF61" s="658"/>
      <c r="AG61" s="658"/>
      <c r="AH61" s="658"/>
      <c r="AI61" s="658"/>
      <c r="AJ61" s="658"/>
      <c r="AK61" s="658"/>
    </row>
    <row r="62" spans="1:37" x14ac:dyDescent="0.25">
      <c r="A62" s="624"/>
      <c r="B62" s="624"/>
      <c r="C62" s="624"/>
      <c r="D62" s="624"/>
      <c r="E62" s="624"/>
      <c r="F62" s="624"/>
      <c r="G62" s="624"/>
      <c r="H62" s="624"/>
      <c r="I62" s="624"/>
      <c r="J62" s="624"/>
      <c r="K62" s="624"/>
      <c r="L62" s="624"/>
      <c r="M62" s="624"/>
      <c r="N62" s="624"/>
      <c r="O62" s="624"/>
      <c r="P62" s="624"/>
      <c r="Q62" s="624"/>
      <c r="R62" s="624"/>
      <c r="S62" s="624"/>
      <c r="T62" s="624"/>
      <c r="U62" s="624"/>
      <c r="V62" s="624"/>
      <c r="W62" s="624"/>
      <c r="X62" s="624"/>
      <c r="Y62" s="624"/>
      <c r="Z62" s="624"/>
      <c r="AA62" s="658"/>
      <c r="AB62" s="658"/>
      <c r="AC62" s="658"/>
      <c r="AD62" s="658"/>
      <c r="AE62" s="658"/>
      <c r="AF62" s="658"/>
      <c r="AG62" s="658"/>
      <c r="AH62" s="658"/>
      <c r="AI62" s="658"/>
      <c r="AJ62" s="658"/>
      <c r="AK62" s="658"/>
    </row>
    <row r="63" spans="1:37" x14ac:dyDescent="0.25">
      <c r="A63" s="624"/>
      <c r="B63" s="624"/>
      <c r="C63" s="624"/>
      <c r="D63" s="624"/>
      <c r="E63" s="624"/>
      <c r="F63" s="624"/>
      <c r="G63" s="624"/>
      <c r="H63" s="624"/>
      <c r="I63" s="624"/>
      <c r="J63" s="624"/>
      <c r="K63" s="624"/>
      <c r="L63" s="624"/>
      <c r="M63" s="624"/>
      <c r="N63" s="624"/>
      <c r="O63" s="624"/>
      <c r="P63" s="624"/>
      <c r="Q63" s="624"/>
      <c r="R63" s="624"/>
      <c r="S63" s="624"/>
      <c r="T63" s="624"/>
      <c r="U63" s="624"/>
      <c r="V63" s="624"/>
      <c r="W63" s="624"/>
      <c r="X63" s="624"/>
      <c r="Y63" s="624"/>
      <c r="Z63" s="624"/>
      <c r="AA63" s="658"/>
      <c r="AB63" s="658"/>
      <c r="AC63" s="658"/>
      <c r="AD63" s="658"/>
      <c r="AE63" s="658"/>
      <c r="AF63" s="658"/>
      <c r="AG63" s="658"/>
      <c r="AH63" s="658"/>
      <c r="AI63" s="658"/>
      <c r="AJ63" s="658"/>
      <c r="AK63" s="658"/>
    </row>
    <row r="64" spans="1:37" x14ac:dyDescent="0.25">
      <c r="A64" s="624"/>
      <c r="B64" s="624"/>
      <c r="C64" s="624"/>
      <c r="D64" s="624"/>
      <c r="E64" s="624"/>
      <c r="F64" s="624"/>
      <c r="G64" s="624"/>
      <c r="H64" s="624"/>
      <c r="I64" s="624"/>
      <c r="J64" s="624"/>
      <c r="K64" s="624"/>
      <c r="L64" s="624"/>
      <c r="M64" s="624"/>
      <c r="N64" s="624"/>
      <c r="O64" s="624"/>
      <c r="P64" s="624"/>
      <c r="Q64" s="624"/>
      <c r="R64" s="624"/>
      <c r="S64" s="624"/>
      <c r="T64" s="624"/>
      <c r="U64" s="624"/>
      <c r="V64" s="624"/>
      <c r="W64" s="624"/>
      <c r="X64" s="624"/>
      <c r="Y64" s="624"/>
      <c r="Z64" s="624"/>
      <c r="AA64" s="658"/>
      <c r="AB64" s="658"/>
      <c r="AC64" s="658"/>
      <c r="AD64" s="658"/>
      <c r="AE64" s="658"/>
      <c r="AF64" s="658"/>
      <c r="AG64" s="658"/>
      <c r="AH64" s="658"/>
      <c r="AI64" s="658"/>
      <c r="AJ64" s="658"/>
      <c r="AK64" s="658"/>
    </row>
    <row r="65" spans="1:37" x14ac:dyDescent="0.25">
      <c r="A65" s="624"/>
      <c r="B65" s="624"/>
      <c r="C65" s="624"/>
      <c r="D65" s="624"/>
      <c r="E65" s="624"/>
      <c r="F65" s="624"/>
      <c r="G65" s="624"/>
      <c r="H65" s="624"/>
      <c r="I65" s="624"/>
      <c r="J65" s="624"/>
      <c r="K65" s="624"/>
      <c r="L65" s="624"/>
      <c r="M65" s="624"/>
      <c r="N65" s="624"/>
      <c r="O65" s="624"/>
      <c r="P65" s="624"/>
      <c r="Q65" s="624"/>
      <c r="R65" s="624"/>
      <c r="S65" s="624"/>
      <c r="T65" s="624"/>
      <c r="U65" s="624"/>
      <c r="V65" s="624"/>
      <c r="W65" s="624"/>
      <c r="X65" s="624"/>
      <c r="Y65" s="624"/>
      <c r="Z65" s="624"/>
      <c r="AA65" s="658"/>
      <c r="AB65" s="658"/>
      <c r="AC65" s="658"/>
      <c r="AD65" s="658"/>
      <c r="AE65" s="658"/>
      <c r="AF65" s="658"/>
      <c r="AG65" s="658"/>
      <c r="AH65" s="658"/>
      <c r="AI65" s="658"/>
      <c r="AJ65" s="658"/>
      <c r="AK65" s="658"/>
    </row>
    <row r="66" spans="1:37" x14ac:dyDescent="0.25">
      <c r="A66" s="624"/>
      <c r="B66" s="624"/>
      <c r="C66" s="624"/>
      <c r="D66" s="624"/>
      <c r="E66" s="624"/>
      <c r="F66" s="624"/>
      <c r="G66" s="624"/>
      <c r="H66" s="624"/>
      <c r="I66" s="624"/>
      <c r="J66" s="624"/>
      <c r="K66" s="624"/>
      <c r="L66" s="624"/>
      <c r="M66" s="624"/>
      <c r="N66" s="624"/>
      <c r="O66" s="624"/>
      <c r="P66" s="624"/>
      <c r="Q66" s="624"/>
      <c r="R66" s="624"/>
      <c r="S66" s="624"/>
      <c r="T66" s="624"/>
      <c r="U66" s="624"/>
      <c r="V66" s="624"/>
      <c r="W66" s="624"/>
      <c r="X66" s="624"/>
      <c r="Y66" s="624"/>
      <c r="Z66" s="624"/>
      <c r="AA66" s="658"/>
      <c r="AB66" s="658"/>
      <c r="AC66" s="658"/>
      <c r="AD66" s="658"/>
      <c r="AE66" s="658"/>
      <c r="AF66" s="658"/>
      <c r="AG66" s="658"/>
      <c r="AH66" s="658"/>
      <c r="AI66" s="658"/>
      <c r="AJ66" s="658"/>
      <c r="AK66" s="658"/>
    </row>
    <row r="67" spans="1:37" x14ac:dyDescent="0.25">
      <c r="A67" s="624"/>
      <c r="B67" s="624"/>
      <c r="C67" s="624"/>
      <c r="D67" s="624"/>
      <c r="E67" s="624"/>
      <c r="F67" s="624"/>
      <c r="G67" s="624"/>
      <c r="H67" s="624"/>
      <c r="I67" s="624"/>
      <c r="J67" s="624"/>
      <c r="K67" s="624"/>
      <c r="L67" s="624"/>
      <c r="M67" s="624"/>
      <c r="N67" s="624"/>
      <c r="O67" s="624"/>
      <c r="P67" s="624"/>
      <c r="Q67" s="624"/>
      <c r="R67" s="624"/>
      <c r="S67" s="624"/>
      <c r="T67" s="624"/>
      <c r="U67" s="624"/>
      <c r="V67" s="624"/>
      <c r="W67" s="624"/>
      <c r="X67" s="624"/>
      <c r="Y67" s="624"/>
      <c r="Z67" s="624"/>
      <c r="AA67" s="658"/>
      <c r="AB67" s="658"/>
      <c r="AC67" s="658"/>
      <c r="AD67" s="658"/>
      <c r="AE67" s="658"/>
      <c r="AF67" s="658"/>
      <c r="AG67" s="658"/>
      <c r="AH67" s="658"/>
      <c r="AI67" s="658"/>
      <c r="AJ67" s="658"/>
      <c r="AK67" s="658"/>
    </row>
    <row r="68" spans="1:37" x14ac:dyDescent="0.25">
      <c r="A68" s="624"/>
      <c r="B68" s="624"/>
      <c r="C68" s="624"/>
      <c r="D68" s="624"/>
      <c r="E68" s="624"/>
      <c r="F68" s="624"/>
      <c r="G68" s="624"/>
      <c r="H68" s="624"/>
      <c r="I68" s="624"/>
      <c r="J68" s="624"/>
      <c r="K68" s="624"/>
      <c r="L68" s="624"/>
      <c r="M68" s="624"/>
      <c r="N68" s="624"/>
      <c r="O68" s="624"/>
      <c r="P68" s="624"/>
      <c r="Q68" s="624"/>
      <c r="R68" s="624"/>
      <c r="S68" s="624"/>
      <c r="T68" s="624"/>
      <c r="U68" s="624"/>
      <c r="V68" s="624"/>
      <c r="W68" s="624"/>
      <c r="X68" s="624"/>
      <c r="Y68" s="624"/>
      <c r="Z68" s="624"/>
      <c r="AA68" s="658"/>
      <c r="AB68" s="658"/>
      <c r="AC68" s="658"/>
      <c r="AD68" s="658"/>
      <c r="AE68" s="658"/>
      <c r="AF68" s="658"/>
      <c r="AG68" s="658"/>
      <c r="AH68" s="658"/>
      <c r="AI68" s="658"/>
      <c r="AJ68" s="658"/>
      <c r="AK68" s="658"/>
    </row>
    <row r="69" spans="1:37" x14ac:dyDescent="0.25">
      <c r="A69" s="624"/>
      <c r="B69" s="624"/>
      <c r="C69" s="624"/>
      <c r="D69" s="624"/>
      <c r="E69" s="624"/>
      <c r="F69" s="624"/>
      <c r="G69" s="624"/>
      <c r="H69" s="624"/>
      <c r="I69" s="624"/>
      <c r="J69" s="624"/>
      <c r="K69" s="624"/>
      <c r="L69" s="624"/>
      <c r="M69" s="624"/>
      <c r="N69" s="624"/>
      <c r="O69" s="624"/>
      <c r="P69" s="624"/>
      <c r="Q69" s="624"/>
      <c r="R69" s="624"/>
      <c r="S69" s="624"/>
      <c r="T69" s="624"/>
      <c r="U69" s="624"/>
      <c r="V69" s="624"/>
      <c r="W69" s="624"/>
      <c r="X69" s="624"/>
      <c r="Y69" s="624"/>
      <c r="Z69" s="624"/>
      <c r="AA69" s="658"/>
      <c r="AB69" s="658"/>
      <c r="AC69" s="658"/>
      <c r="AD69" s="658"/>
      <c r="AE69" s="658"/>
      <c r="AF69" s="658"/>
      <c r="AG69" s="658"/>
      <c r="AH69" s="658"/>
      <c r="AI69" s="658"/>
      <c r="AJ69" s="658"/>
      <c r="AK69" s="658"/>
    </row>
    <row r="70" spans="1:37" x14ac:dyDescent="0.25">
      <c r="A70" s="624"/>
      <c r="B70" s="624"/>
      <c r="C70" s="624"/>
      <c r="D70" s="624"/>
      <c r="E70" s="624"/>
      <c r="F70" s="624"/>
      <c r="G70" s="624"/>
      <c r="H70" s="624"/>
      <c r="I70" s="624"/>
      <c r="J70" s="624"/>
      <c r="K70" s="624"/>
      <c r="L70" s="624"/>
      <c r="M70" s="624"/>
      <c r="N70" s="624"/>
      <c r="O70" s="624"/>
      <c r="P70" s="624"/>
      <c r="Q70" s="624"/>
      <c r="R70" s="624"/>
      <c r="S70" s="624"/>
      <c r="T70" s="624"/>
      <c r="U70" s="624"/>
      <c r="V70" s="624"/>
      <c r="W70" s="624"/>
      <c r="X70" s="624"/>
      <c r="Y70" s="624"/>
      <c r="Z70" s="624"/>
      <c r="AA70" s="658"/>
      <c r="AB70" s="658"/>
      <c r="AC70" s="658"/>
      <c r="AD70" s="658"/>
      <c r="AE70" s="658"/>
      <c r="AF70" s="658"/>
      <c r="AG70" s="658"/>
      <c r="AH70" s="658"/>
      <c r="AI70" s="658"/>
      <c r="AJ70" s="658"/>
      <c r="AK70" s="658"/>
    </row>
    <row r="71" spans="1:37" x14ac:dyDescent="0.25">
      <c r="A71" s="624"/>
      <c r="B71" s="624"/>
      <c r="C71" s="624"/>
      <c r="D71" s="624"/>
      <c r="E71" s="624"/>
      <c r="F71" s="624"/>
      <c r="G71" s="624"/>
      <c r="H71" s="624"/>
      <c r="I71" s="624"/>
      <c r="J71" s="624"/>
      <c r="K71" s="624"/>
      <c r="L71" s="624"/>
      <c r="M71" s="624"/>
      <c r="N71" s="624"/>
      <c r="O71" s="624"/>
      <c r="P71" s="624"/>
      <c r="Q71" s="624"/>
      <c r="R71" s="624"/>
      <c r="S71" s="624"/>
      <c r="T71" s="624"/>
      <c r="U71" s="624"/>
      <c r="V71" s="624"/>
      <c r="W71" s="624"/>
      <c r="X71" s="624"/>
      <c r="Y71" s="624"/>
      <c r="Z71" s="624"/>
      <c r="AA71" s="658"/>
      <c r="AB71" s="658"/>
      <c r="AC71" s="658"/>
      <c r="AD71" s="658"/>
      <c r="AE71" s="658"/>
      <c r="AF71" s="658"/>
      <c r="AG71" s="658"/>
      <c r="AH71" s="658"/>
      <c r="AI71" s="658"/>
      <c r="AJ71" s="658"/>
      <c r="AK71" s="658"/>
    </row>
    <row r="72" spans="1:37" x14ac:dyDescent="0.25">
      <c r="A72" s="624"/>
      <c r="B72" s="624"/>
      <c r="C72" s="624"/>
      <c r="D72" s="624"/>
      <c r="E72" s="624"/>
      <c r="F72" s="624"/>
      <c r="G72" s="624"/>
      <c r="H72" s="624"/>
      <c r="I72" s="624"/>
      <c r="J72" s="624"/>
      <c r="K72" s="624"/>
      <c r="L72" s="624"/>
      <c r="M72" s="624"/>
      <c r="N72" s="624"/>
      <c r="O72" s="624"/>
      <c r="P72" s="624"/>
      <c r="Q72" s="624"/>
      <c r="R72" s="624"/>
      <c r="S72" s="624"/>
      <c r="T72" s="624"/>
      <c r="U72" s="624"/>
      <c r="V72" s="624"/>
      <c r="W72" s="624"/>
      <c r="X72" s="624"/>
      <c r="Y72" s="624"/>
      <c r="Z72" s="624"/>
      <c r="AA72" s="658"/>
      <c r="AB72" s="658"/>
      <c r="AC72" s="658"/>
      <c r="AD72" s="658"/>
      <c r="AE72" s="658"/>
      <c r="AF72" s="658"/>
      <c r="AG72" s="658"/>
      <c r="AH72" s="658"/>
      <c r="AI72" s="658"/>
      <c r="AJ72" s="658"/>
      <c r="AK72" s="658"/>
    </row>
    <row r="73" spans="1:37" x14ac:dyDescent="0.25">
      <c r="A73" s="624"/>
      <c r="B73" s="624"/>
      <c r="C73" s="624"/>
      <c r="D73" s="624"/>
      <c r="E73" s="624"/>
      <c r="F73" s="624"/>
      <c r="G73" s="624"/>
      <c r="H73" s="624"/>
      <c r="I73" s="624"/>
      <c r="J73" s="624"/>
      <c r="K73" s="624"/>
      <c r="L73" s="624"/>
      <c r="M73" s="624"/>
      <c r="N73" s="624"/>
      <c r="O73" s="624"/>
      <c r="P73" s="624"/>
      <c r="Q73" s="624"/>
      <c r="R73" s="624"/>
      <c r="S73" s="624"/>
      <c r="T73" s="624"/>
      <c r="U73" s="624"/>
      <c r="V73" s="624"/>
      <c r="W73" s="624"/>
      <c r="X73" s="624"/>
      <c r="Y73" s="624"/>
      <c r="Z73" s="624"/>
      <c r="AA73" s="658"/>
      <c r="AB73" s="658"/>
      <c r="AC73" s="658"/>
      <c r="AD73" s="658"/>
      <c r="AE73" s="658"/>
      <c r="AF73" s="658"/>
      <c r="AG73" s="658"/>
      <c r="AH73" s="658"/>
      <c r="AI73" s="658"/>
      <c r="AJ73" s="658"/>
      <c r="AK73" s="658"/>
    </row>
    <row r="74" spans="1:37" x14ac:dyDescent="0.25">
      <c r="A74" s="624"/>
      <c r="B74" s="624"/>
      <c r="C74" s="624"/>
      <c r="D74" s="624"/>
      <c r="E74" s="624"/>
      <c r="F74" s="624"/>
      <c r="G74" s="624"/>
      <c r="H74" s="624"/>
      <c r="I74" s="624"/>
      <c r="J74" s="624"/>
      <c r="K74" s="624"/>
      <c r="L74" s="624"/>
      <c r="M74" s="624"/>
      <c r="N74" s="624"/>
      <c r="O74" s="624"/>
      <c r="P74" s="624"/>
      <c r="Q74" s="624"/>
      <c r="R74" s="624"/>
      <c r="S74" s="624"/>
      <c r="T74" s="624"/>
      <c r="U74" s="624"/>
      <c r="V74" s="624"/>
      <c r="W74" s="624"/>
      <c r="X74" s="624"/>
      <c r="Y74" s="624"/>
      <c r="Z74" s="624"/>
      <c r="AA74" s="658"/>
      <c r="AB74" s="658"/>
      <c r="AC74" s="658"/>
      <c r="AD74" s="658"/>
      <c r="AE74" s="658"/>
      <c r="AF74" s="658"/>
      <c r="AG74" s="658"/>
      <c r="AH74" s="658"/>
      <c r="AI74" s="658"/>
      <c r="AJ74" s="658"/>
      <c r="AK74" s="658"/>
    </row>
    <row r="75" spans="1:37" x14ac:dyDescent="0.25">
      <c r="A75" s="624"/>
      <c r="B75" s="624"/>
      <c r="C75" s="624"/>
      <c r="D75" s="624"/>
      <c r="E75" s="624"/>
      <c r="F75" s="624"/>
      <c r="G75" s="624"/>
      <c r="H75" s="624"/>
      <c r="I75" s="624"/>
      <c r="J75" s="624"/>
      <c r="K75" s="624"/>
      <c r="L75" s="624"/>
      <c r="M75" s="624"/>
      <c r="N75" s="624"/>
      <c r="O75" s="624"/>
      <c r="P75" s="624"/>
      <c r="Q75" s="624"/>
      <c r="R75" s="624"/>
      <c r="S75" s="624"/>
      <c r="T75" s="624"/>
      <c r="U75" s="624"/>
      <c r="V75" s="624"/>
      <c r="W75" s="624"/>
      <c r="X75" s="624"/>
      <c r="Y75" s="624"/>
      <c r="Z75" s="624"/>
      <c r="AA75" s="658"/>
      <c r="AB75" s="658"/>
      <c r="AC75" s="658"/>
      <c r="AD75" s="658"/>
      <c r="AE75" s="658"/>
      <c r="AF75" s="658"/>
      <c r="AG75" s="658"/>
      <c r="AH75" s="658"/>
      <c r="AI75" s="658"/>
      <c r="AJ75" s="658"/>
      <c r="AK75" s="658"/>
    </row>
    <row r="76" spans="1:37" x14ac:dyDescent="0.25">
      <c r="A76" s="624"/>
      <c r="B76" s="624"/>
      <c r="C76" s="624"/>
      <c r="D76" s="624"/>
      <c r="E76" s="624"/>
      <c r="F76" s="624"/>
      <c r="G76" s="624"/>
      <c r="H76" s="624"/>
      <c r="I76" s="624"/>
      <c r="J76" s="624"/>
      <c r="K76" s="624"/>
      <c r="L76" s="624"/>
      <c r="M76" s="624"/>
      <c r="N76" s="624"/>
      <c r="O76" s="624"/>
      <c r="P76" s="624"/>
      <c r="Q76" s="624"/>
      <c r="R76" s="624"/>
      <c r="S76" s="624"/>
      <c r="T76" s="624"/>
      <c r="U76" s="624"/>
      <c r="V76" s="624"/>
      <c r="W76" s="624"/>
      <c r="X76" s="624"/>
      <c r="Y76" s="624"/>
      <c r="Z76" s="624"/>
      <c r="AA76" s="658"/>
      <c r="AB76" s="658"/>
      <c r="AC76" s="658"/>
      <c r="AD76" s="658"/>
      <c r="AE76" s="658"/>
      <c r="AF76" s="658"/>
      <c r="AG76" s="658"/>
      <c r="AH76" s="658"/>
      <c r="AI76" s="658"/>
      <c r="AJ76" s="658"/>
      <c r="AK76" s="658"/>
    </row>
    <row r="77" spans="1:37" x14ac:dyDescent="0.25">
      <c r="A77" s="624"/>
      <c r="B77" s="624"/>
      <c r="C77" s="624"/>
      <c r="D77" s="624"/>
      <c r="E77" s="624"/>
      <c r="F77" s="624"/>
      <c r="G77" s="624"/>
      <c r="H77" s="624"/>
      <c r="I77" s="624"/>
      <c r="J77" s="624"/>
      <c r="K77" s="624"/>
      <c r="L77" s="624"/>
      <c r="M77" s="624"/>
      <c r="N77" s="624"/>
      <c r="O77" s="624"/>
      <c r="P77" s="624"/>
      <c r="Q77" s="624"/>
      <c r="R77" s="624"/>
      <c r="S77" s="624"/>
      <c r="T77" s="624"/>
      <c r="U77" s="624"/>
      <c r="V77" s="624"/>
      <c r="W77" s="624"/>
      <c r="X77" s="624"/>
      <c r="Y77" s="624"/>
      <c r="Z77" s="624"/>
      <c r="AA77" s="658"/>
      <c r="AB77" s="658"/>
      <c r="AC77" s="658"/>
      <c r="AD77" s="658"/>
      <c r="AE77" s="658"/>
      <c r="AF77" s="658"/>
      <c r="AG77" s="658"/>
      <c r="AH77" s="658"/>
      <c r="AI77" s="658"/>
      <c r="AJ77" s="658"/>
      <c r="AK77" s="658"/>
    </row>
    <row r="78" spans="1:37" x14ac:dyDescent="0.25">
      <c r="A78" s="624"/>
      <c r="B78" s="624"/>
      <c r="C78" s="624"/>
      <c r="D78" s="624"/>
      <c r="E78" s="624"/>
      <c r="F78" s="624"/>
      <c r="G78" s="624"/>
      <c r="H78" s="624"/>
      <c r="I78" s="624"/>
      <c r="J78" s="624"/>
      <c r="K78" s="624"/>
      <c r="L78" s="624"/>
      <c r="M78" s="624"/>
      <c r="N78" s="624"/>
      <c r="O78" s="624"/>
      <c r="P78" s="624"/>
      <c r="Q78" s="624"/>
      <c r="R78" s="624"/>
      <c r="S78" s="624"/>
      <c r="T78" s="624"/>
      <c r="U78" s="624"/>
      <c r="V78" s="624"/>
      <c r="W78" s="624"/>
      <c r="X78" s="624"/>
      <c r="Y78" s="624"/>
      <c r="Z78" s="624"/>
      <c r="AA78" s="658"/>
      <c r="AB78" s="658"/>
      <c r="AC78" s="658"/>
      <c r="AD78" s="658"/>
      <c r="AE78" s="658"/>
      <c r="AF78" s="658"/>
      <c r="AG78" s="658"/>
      <c r="AH78" s="658"/>
      <c r="AI78" s="658"/>
      <c r="AJ78" s="658"/>
      <c r="AK78" s="658"/>
    </row>
    <row r="79" spans="1:37" x14ac:dyDescent="0.25">
      <c r="A79" s="624"/>
      <c r="B79" s="624"/>
      <c r="C79" s="624"/>
      <c r="D79" s="624"/>
      <c r="E79" s="624"/>
      <c r="F79" s="624"/>
      <c r="G79" s="624"/>
      <c r="H79" s="624"/>
      <c r="I79" s="624"/>
      <c r="J79" s="624"/>
      <c r="K79" s="624"/>
      <c r="L79" s="624"/>
      <c r="M79" s="624"/>
      <c r="N79" s="624"/>
      <c r="O79" s="624"/>
      <c r="P79" s="624"/>
      <c r="Q79" s="624"/>
      <c r="R79" s="624"/>
      <c r="S79" s="624"/>
      <c r="T79" s="624"/>
      <c r="U79" s="624"/>
      <c r="V79" s="624"/>
      <c r="W79" s="624"/>
      <c r="X79" s="624"/>
      <c r="Y79" s="624"/>
      <c r="Z79" s="624"/>
      <c r="AA79" s="658"/>
      <c r="AB79" s="658"/>
      <c r="AC79" s="658"/>
      <c r="AD79" s="658"/>
      <c r="AE79" s="658"/>
      <c r="AF79" s="658"/>
      <c r="AG79" s="658"/>
      <c r="AH79" s="658"/>
      <c r="AI79" s="658"/>
      <c r="AJ79" s="658"/>
      <c r="AK79" s="658"/>
    </row>
    <row r="80" spans="1:37" x14ac:dyDescent="0.25">
      <c r="A80" s="624"/>
      <c r="B80" s="624"/>
      <c r="C80" s="624"/>
      <c r="D80" s="624"/>
      <c r="E80" s="624"/>
      <c r="F80" s="624"/>
      <c r="G80" s="624"/>
      <c r="H80" s="624"/>
      <c r="I80" s="624"/>
      <c r="J80" s="624"/>
      <c r="K80" s="624"/>
      <c r="L80" s="624"/>
      <c r="M80" s="624"/>
      <c r="N80" s="624"/>
      <c r="O80" s="624"/>
      <c r="P80" s="624"/>
      <c r="Q80" s="624"/>
      <c r="R80" s="624"/>
      <c r="S80" s="624"/>
      <c r="T80" s="624"/>
      <c r="U80" s="624"/>
      <c r="V80" s="624"/>
      <c r="W80" s="624"/>
      <c r="X80" s="624"/>
      <c r="Y80" s="624"/>
      <c r="Z80" s="624"/>
      <c r="AA80" s="658"/>
      <c r="AB80" s="658"/>
      <c r="AC80" s="658"/>
      <c r="AD80" s="658"/>
      <c r="AE80" s="658"/>
      <c r="AF80" s="658"/>
      <c r="AG80" s="658"/>
      <c r="AH80" s="658"/>
      <c r="AI80" s="658"/>
      <c r="AJ80" s="658"/>
      <c r="AK80" s="658"/>
    </row>
    <row r="81" spans="1:37" x14ac:dyDescent="0.25">
      <c r="A81" s="624"/>
      <c r="B81" s="624"/>
      <c r="C81" s="624"/>
      <c r="D81" s="624"/>
      <c r="E81" s="624"/>
      <c r="F81" s="624"/>
      <c r="G81" s="624"/>
      <c r="H81" s="624"/>
      <c r="I81" s="624"/>
      <c r="J81" s="624"/>
      <c r="K81" s="624"/>
      <c r="L81" s="624"/>
      <c r="M81" s="624"/>
      <c r="N81" s="624"/>
      <c r="O81" s="624"/>
      <c r="P81" s="624"/>
      <c r="Q81" s="624"/>
      <c r="R81" s="624"/>
      <c r="S81" s="624"/>
      <c r="T81" s="624"/>
      <c r="U81" s="624"/>
      <c r="V81" s="624"/>
      <c r="W81" s="624"/>
      <c r="X81" s="624"/>
      <c r="Y81" s="624"/>
      <c r="Z81" s="624"/>
      <c r="AA81" s="658"/>
      <c r="AB81" s="658"/>
      <c r="AC81" s="658"/>
      <c r="AD81" s="658"/>
      <c r="AE81" s="658"/>
      <c r="AF81" s="658"/>
      <c r="AG81" s="658"/>
      <c r="AH81" s="658"/>
      <c r="AI81" s="658"/>
      <c r="AJ81" s="658"/>
      <c r="AK81" s="658"/>
    </row>
    <row r="82" spans="1:37" x14ac:dyDescent="0.25">
      <c r="A82" s="624"/>
      <c r="B82" s="624"/>
      <c r="C82" s="624"/>
      <c r="D82" s="624"/>
      <c r="E82" s="624"/>
      <c r="F82" s="624"/>
      <c r="G82" s="624"/>
      <c r="H82" s="624"/>
      <c r="I82" s="624"/>
      <c r="J82" s="624"/>
      <c r="K82" s="624"/>
      <c r="L82" s="624"/>
      <c r="M82" s="624"/>
      <c r="N82" s="624"/>
      <c r="O82" s="624"/>
      <c r="P82" s="624"/>
      <c r="Q82" s="624"/>
      <c r="R82" s="624"/>
      <c r="S82" s="624"/>
      <c r="T82" s="624"/>
      <c r="U82" s="624"/>
      <c r="V82" s="624"/>
      <c r="W82" s="624"/>
      <c r="X82" s="624"/>
      <c r="Y82" s="624"/>
      <c r="Z82" s="624"/>
      <c r="AA82" s="658"/>
      <c r="AB82" s="658"/>
      <c r="AC82" s="658"/>
      <c r="AD82" s="658"/>
      <c r="AE82" s="658"/>
      <c r="AF82" s="658"/>
      <c r="AG82" s="658"/>
      <c r="AH82" s="658"/>
      <c r="AI82" s="658"/>
      <c r="AJ82" s="658"/>
      <c r="AK82" s="658"/>
    </row>
    <row r="83" spans="1:37" x14ac:dyDescent="0.25">
      <c r="A83" s="624"/>
      <c r="B83" s="624"/>
      <c r="C83" s="624"/>
      <c r="D83" s="624"/>
      <c r="E83" s="624"/>
      <c r="F83" s="624"/>
      <c r="G83" s="624"/>
      <c r="H83" s="624"/>
      <c r="I83" s="624"/>
      <c r="J83" s="624"/>
      <c r="K83" s="624"/>
      <c r="L83" s="624"/>
      <c r="M83" s="624"/>
      <c r="N83" s="624"/>
      <c r="O83" s="624"/>
      <c r="P83" s="624"/>
      <c r="Q83" s="624"/>
      <c r="R83" s="624"/>
      <c r="S83" s="624"/>
      <c r="T83" s="624"/>
      <c r="U83" s="624"/>
      <c r="V83" s="624"/>
      <c r="W83" s="624"/>
      <c r="X83" s="624"/>
      <c r="Y83" s="624"/>
      <c r="Z83" s="624"/>
      <c r="AA83" s="658"/>
      <c r="AB83" s="658"/>
      <c r="AC83" s="658"/>
      <c r="AD83" s="658"/>
      <c r="AE83" s="658"/>
      <c r="AF83" s="658"/>
      <c r="AG83" s="658"/>
      <c r="AH83" s="658"/>
      <c r="AI83" s="658"/>
      <c r="AJ83" s="658"/>
      <c r="AK83" s="658"/>
    </row>
    <row r="84" spans="1:37" x14ac:dyDescent="0.25">
      <c r="A84" s="624"/>
      <c r="B84" s="624"/>
      <c r="C84" s="624"/>
      <c r="D84" s="624"/>
      <c r="E84" s="624"/>
      <c r="F84" s="624"/>
      <c r="G84" s="624"/>
      <c r="H84" s="624"/>
      <c r="I84" s="624"/>
      <c r="J84" s="624"/>
      <c r="K84" s="624"/>
      <c r="L84" s="624"/>
      <c r="M84" s="624"/>
      <c r="N84" s="624"/>
      <c r="O84" s="624"/>
      <c r="P84" s="624"/>
      <c r="Q84" s="624"/>
      <c r="R84" s="624"/>
      <c r="S84" s="624"/>
      <c r="T84" s="624"/>
      <c r="U84" s="624"/>
      <c r="V84" s="624"/>
      <c r="W84" s="624"/>
      <c r="X84" s="624"/>
      <c r="Y84" s="624"/>
      <c r="Z84" s="624"/>
      <c r="AA84" s="658"/>
      <c r="AB84" s="658"/>
      <c r="AC84" s="658"/>
      <c r="AD84" s="658"/>
      <c r="AE84" s="658"/>
      <c r="AF84" s="658"/>
      <c r="AG84" s="658"/>
      <c r="AH84" s="658"/>
      <c r="AI84" s="658"/>
      <c r="AJ84" s="658"/>
      <c r="AK84" s="658"/>
    </row>
    <row r="85" spans="1:37" x14ac:dyDescent="0.25">
      <c r="A85" s="624"/>
      <c r="B85" s="624"/>
      <c r="C85" s="624"/>
      <c r="D85" s="624"/>
      <c r="E85" s="624"/>
      <c r="F85" s="624"/>
      <c r="G85" s="624"/>
      <c r="H85" s="624"/>
      <c r="I85" s="624"/>
      <c r="J85" s="624"/>
      <c r="K85" s="624"/>
      <c r="L85" s="624"/>
      <c r="M85" s="624"/>
      <c r="N85" s="624"/>
      <c r="O85" s="624"/>
      <c r="P85" s="624"/>
      <c r="Q85" s="624"/>
      <c r="R85" s="624"/>
      <c r="S85" s="624"/>
      <c r="T85" s="624"/>
      <c r="U85" s="624"/>
      <c r="V85" s="624"/>
      <c r="W85" s="624"/>
      <c r="X85" s="624"/>
      <c r="Y85" s="624"/>
      <c r="Z85" s="624"/>
      <c r="AA85" s="658"/>
      <c r="AB85" s="658"/>
      <c r="AC85" s="658"/>
      <c r="AD85" s="658"/>
      <c r="AE85" s="658"/>
      <c r="AF85" s="658"/>
      <c r="AG85" s="658"/>
      <c r="AH85" s="658"/>
      <c r="AI85" s="658"/>
      <c r="AJ85" s="658"/>
      <c r="AK85" s="658"/>
    </row>
    <row r="86" spans="1:37" x14ac:dyDescent="0.25">
      <c r="A86" s="624"/>
      <c r="B86" s="624"/>
      <c r="C86" s="624"/>
      <c r="D86" s="624"/>
      <c r="E86" s="624"/>
      <c r="F86" s="624"/>
      <c r="G86" s="624"/>
      <c r="H86" s="624"/>
      <c r="I86" s="624"/>
      <c r="J86" s="624"/>
      <c r="K86" s="624"/>
      <c r="L86" s="624"/>
      <c r="M86" s="624"/>
      <c r="N86" s="624"/>
      <c r="O86" s="624"/>
      <c r="P86" s="624"/>
      <c r="Q86" s="624"/>
      <c r="R86" s="624"/>
      <c r="S86" s="624"/>
      <c r="T86" s="624"/>
      <c r="U86" s="624"/>
      <c r="V86" s="624"/>
      <c r="W86" s="624"/>
      <c r="X86" s="624"/>
      <c r="Y86" s="624"/>
      <c r="Z86" s="624"/>
      <c r="AA86" s="658"/>
      <c r="AB86" s="658"/>
      <c r="AC86" s="658"/>
      <c r="AD86" s="658"/>
      <c r="AE86" s="658"/>
      <c r="AF86" s="658"/>
      <c r="AG86" s="658"/>
      <c r="AH86" s="658"/>
      <c r="AI86" s="658"/>
      <c r="AJ86" s="658"/>
      <c r="AK86" s="658"/>
    </row>
    <row r="87" spans="1:37" x14ac:dyDescent="0.25">
      <c r="A87" s="624"/>
      <c r="B87" s="624"/>
      <c r="C87" s="624"/>
      <c r="D87" s="624"/>
      <c r="E87" s="624"/>
      <c r="F87" s="624"/>
      <c r="G87" s="624"/>
      <c r="H87" s="624"/>
      <c r="I87" s="624"/>
      <c r="J87" s="624"/>
      <c r="K87" s="624"/>
      <c r="L87" s="624"/>
      <c r="M87" s="624"/>
      <c r="N87" s="624"/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58"/>
      <c r="AB87" s="658"/>
      <c r="AC87" s="658"/>
      <c r="AD87" s="658"/>
      <c r="AE87" s="658"/>
      <c r="AF87" s="658"/>
      <c r="AG87" s="658"/>
      <c r="AH87" s="658"/>
      <c r="AI87" s="658"/>
      <c r="AJ87" s="658"/>
      <c r="AK87" s="658"/>
    </row>
    <row r="88" spans="1:37" x14ac:dyDescent="0.25">
      <c r="A88" s="624"/>
      <c r="B88" s="624"/>
      <c r="C88" s="624"/>
      <c r="D88" s="624"/>
      <c r="E88" s="624"/>
      <c r="F88" s="624"/>
      <c r="G88" s="624"/>
      <c r="H88" s="624"/>
      <c r="I88" s="624"/>
      <c r="J88" s="624"/>
      <c r="K88" s="624"/>
      <c r="L88" s="624"/>
      <c r="M88" s="624"/>
      <c r="N88" s="624"/>
      <c r="O88" s="624"/>
      <c r="P88" s="624"/>
      <c r="Q88" s="624"/>
      <c r="R88" s="624"/>
      <c r="S88" s="624"/>
      <c r="T88" s="624"/>
      <c r="U88" s="624"/>
      <c r="V88" s="624"/>
      <c r="W88" s="624"/>
      <c r="X88" s="624"/>
      <c r="Y88" s="624"/>
      <c r="Z88" s="624"/>
      <c r="AA88" s="658"/>
      <c r="AB88" s="658"/>
      <c r="AC88" s="658"/>
      <c r="AD88" s="658"/>
      <c r="AE88" s="658"/>
      <c r="AF88" s="658"/>
      <c r="AG88" s="658"/>
      <c r="AH88" s="658"/>
      <c r="AI88" s="658"/>
      <c r="AJ88" s="658"/>
      <c r="AK88" s="658"/>
    </row>
    <row r="89" spans="1:37" x14ac:dyDescent="0.25">
      <c r="A89" s="624"/>
      <c r="B89" s="624"/>
      <c r="C89" s="624"/>
      <c r="D89" s="624"/>
      <c r="E89" s="624"/>
      <c r="F89" s="624"/>
      <c r="G89" s="624"/>
      <c r="H89" s="624"/>
      <c r="I89" s="624"/>
      <c r="J89" s="624"/>
      <c r="K89" s="624"/>
      <c r="L89" s="624"/>
      <c r="M89" s="624"/>
      <c r="N89" s="624"/>
      <c r="O89" s="624"/>
      <c r="P89" s="624"/>
      <c r="Q89" s="624"/>
      <c r="R89" s="624"/>
      <c r="S89" s="624"/>
      <c r="T89" s="624"/>
      <c r="U89" s="624"/>
      <c r="V89" s="624"/>
      <c r="W89" s="624"/>
      <c r="X89" s="624"/>
      <c r="Y89" s="624"/>
      <c r="Z89" s="624"/>
      <c r="AA89" s="658"/>
      <c r="AB89" s="658"/>
      <c r="AC89" s="658"/>
      <c r="AD89" s="658"/>
      <c r="AE89" s="658"/>
      <c r="AF89" s="658"/>
      <c r="AG89" s="658"/>
      <c r="AH89" s="658"/>
      <c r="AI89" s="658"/>
      <c r="AJ89" s="658"/>
      <c r="AK89" s="658"/>
    </row>
    <row r="90" spans="1:37" x14ac:dyDescent="0.25">
      <c r="A90" s="624"/>
      <c r="B90" s="624"/>
      <c r="C90" s="624"/>
      <c r="D90" s="624"/>
      <c r="E90" s="624"/>
      <c r="F90" s="624"/>
      <c r="G90" s="624"/>
      <c r="H90" s="624"/>
      <c r="I90" s="624"/>
      <c r="J90" s="624"/>
      <c r="K90" s="624"/>
      <c r="L90" s="624"/>
      <c r="M90" s="624"/>
      <c r="N90" s="624"/>
      <c r="O90" s="624"/>
      <c r="P90" s="624"/>
      <c r="Q90" s="624"/>
      <c r="R90" s="624"/>
      <c r="S90" s="624"/>
      <c r="T90" s="624"/>
      <c r="U90" s="624"/>
      <c r="V90" s="624"/>
      <c r="W90" s="624"/>
      <c r="X90" s="624"/>
      <c r="Y90" s="624"/>
      <c r="Z90" s="624"/>
      <c r="AA90" s="658"/>
      <c r="AB90" s="658"/>
      <c r="AC90" s="658"/>
      <c r="AD90" s="658"/>
      <c r="AE90" s="658"/>
      <c r="AF90" s="658"/>
      <c r="AG90" s="658"/>
      <c r="AH90" s="658"/>
      <c r="AI90" s="658"/>
      <c r="AJ90" s="658"/>
      <c r="AK90" s="658"/>
    </row>
    <row r="91" spans="1:37" x14ac:dyDescent="0.25">
      <c r="A91" s="624"/>
      <c r="B91" s="624"/>
      <c r="C91" s="624"/>
      <c r="D91" s="624"/>
      <c r="E91" s="624"/>
      <c r="F91" s="624"/>
      <c r="G91" s="624"/>
      <c r="H91" s="624"/>
      <c r="I91" s="624"/>
      <c r="J91" s="624"/>
      <c r="K91" s="624"/>
      <c r="L91" s="624"/>
      <c r="M91" s="624"/>
      <c r="N91" s="624"/>
      <c r="O91" s="624"/>
      <c r="P91" s="624"/>
      <c r="Q91" s="624"/>
      <c r="R91" s="624"/>
      <c r="S91" s="624"/>
      <c r="T91" s="624"/>
      <c r="U91" s="624"/>
      <c r="V91" s="624"/>
      <c r="W91" s="624"/>
      <c r="X91" s="624"/>
      <c r="Y91" s="624"/>
      <c r="Z91" s="624"/>
      <c r="AA91" s="658"/>
      <c r="AB91" s="658"/>
      <c r="AC91" s="658"/>
      <c r="AD91" s="658"/>
      <c r="AE91" s="658"/>
      <c r="AF91" s="658"/>
      <c r="AG91" s="658"/>
      <c r="AH91" s="658"/>
      <c r="AI91" s="658"/>
      <c r="AJ91" s="658"/>
      <c r="AK91" s="658"/>
    </row>
    <row r="92" spans="1:37" x14ac:dyDescent="0.25">
      <c r="A92" s="624"/>
      <c r="B92" s="624"/>
      <c r="C92" s="624"/>
      <c r="D92" s="624"/>
      <c r="E92" s="624"/>
      <c r="F92" s="624"/>
      <c r="G92" s="624"/>
      <c r="H92" s="624"/>
      <c r="I92" s="624"/>
      <c r="J92" s="624"/>
      <c r="K92" s="624"/>
      <c r="L92" s="624"/>
      <c r="M92" s="624"/>
      <c r="N92" s="624"/>
      <c r="O92" s="624"/>
      <c r="P92" s="624"/>
      <c r="Q92" s="624"/>
      <c r="R92" s="624"/>
      <c r="S92" s="624"/>
      <c r="T92" s="624"/>
      <c r="U92" s="624"/>
      <c r="V92" s="624"/>
      <c r="W92" s="624"/>
      <c r="X92" s="624"/>
      <c r="Y92" s="624"/>
      <c r="Z92" s="624"/>
      <c r="AA92" s="658"/>
      <c r="AB92" s="658"/>
      <c r="AC92" s="658"/>
      <c r="AD92" s="658"/>
      <c r="AE92" s="658"/>
      <c r="AF92" s="658"/>
      <c r="AG92" s="658"/>
      <c r="AH92" s="658"/>
      <c r="AI92" s="658"/>
      <c r="AJ92" s="658"/>
      <c r="AK92" s="658"/>
    </row>
    <row r="93" spans="1:37" x14ac:dyDescent="0.25">
      <c r="A93" s="624"/>
      <c r="B93" s="624"/>
      <c r="C93" s="624"/>
      <c r="D93" s="624"/>
      <c r="E93" s="624"/>
      <c r="F93" s="624"/>
      <c r="G93" s="624"/>
      <c r="H93" s="624"/>
      <c r="I93" s="624"/>
      <c r="J93" s="624"/>
      <c r="K93" s="624"/>
      <c r="L93" s="624"/>
      <c r="M93" s="624"/>
      <c r="N93" s="624"/>
      <c r="O93" s="624"/>
      <c r="P93" s="624"/>
      <c r="Q93" s="624"/>
      <c r="R93" s="624"/>
      <c r="S93" s="624"/>
      <c r="T93" s="624"/>
      <c r="U93" s="624"/>
      <c r="V93" s="624"/>
      <c r="W93" s="624"/>
      <c r="X93" s="624"/>
      <c r="Y93" s="624"/>
      <c r="Z93" s="624"/>
      <c r="AA93" s="658"/>
      <c r="AB93" s="658"/>
      <c r="AC93" s="658"/>
      <c r="AD93" s="658"/>
      <c r="AE93" s="658"/>
      <c r="AF93" s="658"/>
      <c r="AG93" s="658"/>
      <c r="AH93" s="658"/>
      <c r="AI93" s="658"/>
      <c r="AJ93" s="658"/>
      <c r="AK93" s="658"/>
    </row>
    <row r="94" spans="1:37" x14ac:dyDescent="0.25">
      <c r="A94" s="624"/>
      <c r="B94" s="624"/>
      <c r="C94" s="624"/>
      <c r="D94" s="624"/>
      <c r="E94" s="624"/>
      <c r="F94" s="624"/>
      <c r="G94" s="624"/>
      <c r="H94" s="624"/>
      <c r="I94" s="624"/>
      <c r="J94" s="624"/>
      <c r="K94" s="624"/>
      <c r="L94" s="624"/>
      <c r="M94" s="624"/>
      <c r="N94" s="624"/>
      <c r="O94" s="624"/>
      <c r="P94" s="624"/>
      <c r="Q94" s="624"/>
      <c r="R94" s="624"/>
      <c r="S94" s="624"/>
      <c r="T94" s="624"/>
      <c r="U94" s="624"/>
      <c r="V94" s="624"/>
      <c r="W94" s="624"/>
      <c r="X94" s="624"/>
      <c r="Y94" s="624"/>
      <c r="Z94" s="624"/>
      <c r="AA94" s="658"/>
      <c r="AB94" s="658"/>
      <c r="AC94" s="658"/>
      <c r="AD94" s="658"/>
      <c r="AE94" s="658"/>
      <c r="AF94" s="658"/>
      <c r="AG94" s="658"/>
      <c r="AH94" s="658"/>
      <c r="AI94" s="658"/>
      <c r="AJ94" s="658"/>
      <c r="AK94" s="658"/>
    </row>
    <row r="95" spans="1:37" x14ac:dyDescent="0.25">
      <c r="A95" s="624"/>
      <c r="B95" s="624"/>
      <c r="C95" s="624"/>
      <c r="D95" s="624"/>
      <c r="E95" s="624"/>
      <c r="F95" s="624"/>
      <c r="G95" s="624"/>
      <c r="H95" s="624"/>
      <c r="I95" s="624"/>
      <c r="J95" s="624"/>
      <c r="K95" s="624"/>
      <c r="L95" s="624"/>
      <c r="M95" s="624"/>
      <c r="N95" s="624"/>
      <c r="O95" s="624"/>
      <c r="P95" s="624"/>
      <c r="Q95" s="624"/>
      <c r="R95" s="624"/>
      <c r="S95" s="624"/>
      <c r="T95" s="624"/>
      <c r="U95" s="624"/>
      <c r="V95" s="624"/>
      <c r="W95" s="624"/>
      <c r="X95" s="624"/>
      <c r="Y95" s="624"/>
      <c r="Z95" s="624"/>
      <c r="AA95" s="658"/>
      <c r="AB95" s="658"/>
      <c r="AC95" s="658"/>
      <c r="AD95" s="658"/>
      <c r="AE95" s="658"/>
      <c r="AF95" s="658"/>
      <c r="AG95" s="658"/>
      <c r="AH95" s="658"/>
      <c r="AI95" s="658"/>
      <c r="AJ95" s="658"/>
      <c r="AK95" s="658"/>
    </row>
    <row r="96" spans="1:37" x14ac:dyDescent="0.25">
      <c r="A96" s="624"/>
      <c r="B96" s="624"/>
      <c r="C96" s="624"/>
      <c r="D96" s="624"/>
      <c r="E96" s="624"/>
      <c r="F96" s="624"/>
      <c r="G96" s="624"/>
      <c r="H96" s="624"/>
      <c r="I96" s="624"/>
      <c r="J96" s="624"/>
      <c r="K96" s="624"/>
      <c r="L96" s="624"/>
      <c r="M96" s="624"/>
      <c r="N96" s="624"/>
      <c r="O96" s="624"/>
      <c r="P96" s="624"/>
      <c r="Q96" s="624"/>
      <c r="R96" s="624"/>
      <c r="S96" s="624"/>
      <c r="T96" s="624"/>
      <c r="U96" s="624"/>
      <c r="V96" s="624"/>
      <c r="W96" s="624"/>
      <c r="X96" s="624"/>
      <c r="Y96" s="624"/>
      <c r="Z96" s="624"/>
      <c r="AA96" s="658"/>
      <c r="AB96" s="658"/>
      <c r="AC96" s="658"/>
      <c r="AD96" s="658"/>
      <c r="AE96" s="658"/>
      <c r="AF96" s="658"/>
      <c r="AG96" s="658"/>
      <c r="AH96" s="658"/>
      <c r="AI96" s="658"/>
      <c r="AJ96" s="658"/>
      <c r="AK96" s="658"/>
    </row>
    <row r="97" spans="1:37" x14ac:dyDescent="0.25">
      <c r="A97" s="624"/>
      <c r="B97" s="624"/>
      <c r="C97" s="624"/>
      <c r="D97" s="624"/>
      <c r="E97" s="624"/>
      <c r="F97" s="624"/>
      <c r="G97" s="624"/>
      <c r="H97" s="624"/>
      <c r="I97" s="624"/>
      <c r="J97" s="624"/>
      <c r="K97" s="624"/>
      <c r="L97" s="624"/>
      <c r="M97" s="624"/>
      <c r="N97" s="624"/>
      <c r="O97" s="624"/>
      <c r="P97" s="624"/>
      <c r="Q97" s="624"/>
      <c r="R97" s="624"/>
      <c r="S97" s="624"/>
      <c r="T97" s="624"/>
      <c r="U97" s="624"/>
      <c r="V97" s="624"/>
      <c r="W97" s="624"/>
      <c r="X97" s="624"/>
      <c r="Y97" s="624"/>
      <c r="Z97" s="624"/>
      <c r="AA97" s="658"/>
      <c r="AB97" s="658"/>
      <c r="AC97" s="658"/>
      <c r="AD97" s="658"/>
      <c r="AE97" s="658"/>
      <c r="AF97" s="658"/>
      <c r="AG97" s="658"/>
      <c r="AH97" s="658"/>
      <c r="AI97" s="658"/>
      <c r="AJ97" s="658"/>
      <c r="AK97" s="658"/>
    </row>
    <row r="98" spans="1:37" x14ac:dyDescent="0.25">
      <c r="A98" s="624"/>
      <c r="B98" s="624"/>
      <c r="C98" s="624"/>
      <c r="D98" s="624"/>
      <c r="E98" s="624"/>
      <c r="F98" s="624"/>
      <c r="G98" s="624"/>
      <c r="H98" s="624"/>
      <c r="I98" s="624"/>
      <c r="J98" s="624"/>
      <c r="K98" s="624"/>
      <c r="L98" s="624"/>
      <c r="M98" s="624"/>
      <c r="N98" s="624"/>
      <c r="O98" s="624"/>
      <c r="P98" s="624"/>
      <c r="Q98" s="624"/>
      <c r="R98" s="624"/>
      <c r="S98" s="624"/>
      <c r="T98" s="624"/>
      <c r="U98" s="624"/>
      <c r="V98" s="624"/>
      <c r="W98" s="624"/>
      <c r="X98" s="624"/>
      <c r="Y98" s="624"/>
      <c r="Z98" s="624"/>
      <c r="AA98" s="658"/>
      <c r="AB98" s="658"/>
      <c r="AC98" s="658"/>
      <c r="AD98" s="658"/>
      <c r="AE98" s="658"/>
      <c r="AF98" s="658"/>
      <c r="AG98" s="658"/>
      <c r="AH98" s="658"/>
      <c r="AI98" s="658"/>
      <c r="AJ98" s="658"/>
      <c r="AK98" s="658"/>
    </row>
    <row r="99" spans="1:37" x14ac:dyDescent="0.25">
      <c r="A99" s="624"/>
      <c r="B99" s="624"/>
      <c r="C99" s="624"/>
      <c r="D99" s="624"/>
      <c r="E99" s="624"/>
      <c r="F99" s="624"/>
      <c r="G99" s="624"/>
      <c r="H99" s="624"/>
      <c r="I99" s="624"/>
      <c r="J99" s="624"/>
      <c r="K99" s="624"/>
      <c r="L99" s="624"/>
      <c r="M99" s="624"/>
      <c r="N99" s="624"/>
      <c r="O99" s="624"/>
      <c r="P99" s="624"/>
      <c r="Q99" s="624"/>
      <c r="R99" s="624"/>
      <c r="S99" s="624"/>
      <c r="T99" s="624"/>
      <c r="U99" s="624"/>
      <c r="V99" s="624"/>
      <c r="W99" s="624"/>
      <c r="X99" s="624"/>
      <c r="Y99" s="624"/>
      <c r="Z99" s="624"/>
      <c r="AA99" s="658"/>
      <c r="AB99" s="658"/>
      <c r="AC99" s="658"/>
      <c r="AD99" s="658"/>
      <c r="AE99" s="658"/>
      <c r="AF99" s="658"/>
      <c r="AG99" s="658"/>
      <c r="AH99" s="658"/>
      <c r="AI99" s="658"/>
      <c r="AJ99" s="658"/>
      <c r="AK99" s="658"/>
    </row>
    <row r="100" spans="1:37" x14ac:dyDescent="0.25">
      <c r="A100" s="624"/>
      <c r="B100" s="624"/>
      <c r="C100" s="624"/>
      <c r="D100" s="624"/>
      <c r="E100" s="624"/>
      <c r="F100" s="624"/>
      <c r="G100" s="624"/>
      <c r="H100" s="624"/>
      <c r="I100" s="624"/>
      <c r="J100" s="624"/>
      <c r="K100" s="624"/>
      <c r="L100" s="624"/>
      <c r="M100" s="624"/>
      <c r="N100" s="624"/>
      <c r="O100" s="624"/>
      <c r="P100" s="624"/>
      <c r="Q100" s="624"/>
      <c r="R100" s="624"/>
      <c r="S100" s="624"/>
      <c r="T100" s="624"/>
      <c r="U100" s="624"/>
      <c r="V100" s="624"/>
      <c r="W100" s="624"/>
      <c r="X100" s="624"/>
      <c r="Y100" s="624"/>
      <c r="Z100" s="624"/>
      <c r="AA100" s="658"/>
      <c r="AB100" s="658"/>
      <c r="AC100" s="658"/>
      <c r="AD100" s="658"/>
      <c r="AE100" s="658"/>
      <c r="AF100" s="658"/>
      <c r="AG100" s="658"/>
      <c r="AH100" s="658"/>
      <c r="AI100" s="658"/>
      <c r="AJ100" s="658"/>
      <c r="AK100" s="658"/>
    </row>
    <row r="101" spans="1:37" x14ac:dyDescent="0.25">
      <c r="A101" s="624"/>
      <c r="B101" s="624"/>
      <c r="C101" s="624"/>
      <c r="D101" s="624"/>
      <c r="E101" s="624"/>
      <c r="F101" s="624"/>
      <c r="G101" s="624"/>
      <c r="H101" s="624"/>
      <c r="I101" s="624"/>
      <c r="J101" s="624"/>
      <c r="K101" s="624"/>
      <c r="L101" s="624"/>
      <c r="M101" s="624"/>
      <c r="N101" s="624"/>
      <c r="O101" s="624"/>
      <c r="P101" s="624"/>
      <c r="Q101" s="624"/>
      <c r="R101" s="624"/>
      <c r="S101" s="624"/>
      <c r="T101" s="624"/>
      <c r="U101" s="624"/>
      <c r="V101" s="624"/>
      <c r="W101" s="624"/>
      <c r="X101" s="624"/>
      <c r="Y101" s="624"/>
      <c r="Z101" s="624"/>
      <c r="AA101" s="658"/>
      <c r="AB101" s="658"/>
      <c r="AC101" s="658"/>
      <c r="AD101" s="658"/>
      <c r="AE101" s="658"/>
      <c r="AF101" s="658"/>
      <c r="AG101" s="658"/>
      <c r="AH101" s="658"/>
      <c r="AI101" s="658"/>
      <c r="AJ101" s="658"/>
      <c r="AK101" s="658"/>
    </row>
    <row r="102" spans="1:37" x14ac:dyDescent="0.25">
      <c r="A102" s="624"/>
      <c r="B102" s="624"/>
      <c r="C102" s="624"/>
      <c r="D102" s="624"/>
      <c r="E102" s="624"/>
      <c r="F102" s="624"/>
      <c r="G102" s="624"/>
      <c r="H102" s="624"/>
      <c r="I102" s="624"/>
      <c r="J102" s="624"/>
      <c r="K102" s="624"/>
      <c r="L102" s="624"/>
      <c r="M102" s="624"/>
      <c r="N102" s="624"/>
      <c r="O102" s="624"/>
      <c r="P102" s="624"/>
      <c r="Q102" s="624"/>
      <c r="R102" s="624"/>
      <c r="S102" s="624"/>
      <c r="T102" s="624"/>
      <c r="U102" s="624"/>
      <c r="V102" s="624"/>
      <c r="W102" s="624"/>
      <c r="X102" s="624"/>
      <c r="Y102" s="624"/>
      <c r="Z102" s="624"/>
      <c r="AA102" s="658"/>
      <c r="AB102" s="658"/>
      <c r="AC102" s="658"/>
      <c r="AD102" s="658"/>
      <c r="AE102" s="658"/>
      <c r="AF102" s="658"/>
      <c r="AG102" s="658"/>
      <c r="AH102" s="658"/>
      <c r="AI102" s="658"/>
      <c r="AJ102" s="658"/>
      <c r="AK102" s="658"/>
    </row>
    <row r="103" spans="1:37" x14ac:dyDescent="0.25">
      <c r="A103" s="624"/>
      <c r="B103" s="624"/>
      <c r="C103" s="624"/>
      <c r="D103" s="624"/>
      <c r="E103" s="624"/>
      <c r="F103" s="624"/>
      <c r="G103" s="624"/>
      <c r="H103" s="624"/>
      <c r="I103" s="624"/>
      <c r="J103" s="624"/>
      <c r="K103" s="624"/>
      <c r="L103" s="624"/>
      <c r="M103" s="624"/>
      <c r="N103" s="624"/>
      <c r="O103" s="624"/>
      <c r="P103" s="624"/>
      <c r="Q103" s="624"/>
      <c r="R103" s="624"/>
      <c r="S103" s="624"/>
      <c r="T103" s="624"/>
      <c r="U103" s="624"/>
      <c r="V103" s="624"/>
      <c r="W103" s="624"/>
      <c r="X103" s="624"/>
      <c r="Y103" s="624"/>
      <c r="Z103" s="624"/>
      <c r="AA103" s="658"/>
      <c r="AB103" s="658"/>
      <c r="AC103" s="658"/>
      <c r="AD103" s="658"/>
      <c r="AE103" s="658"/>
      <c r="AF103" s="658"/>
      <c r="AG103" s="658"/>
      <c r="AH103" s="658"/>
      <c r="AI103" s="658"/>
      <c r="AJ103" s="658"/>
      <c r="AK103" s="658"/>
    </row>
    <row r="104" spans="1:37" x14ac:dyDescent="0.25">
      <c r="A104" s="624"/>
      <c r="B104" s="624"/>
      <c r="C104" s="624"/>
      <c r="D104" s="624"/>
      <c r="E104" s="624"/>
      <c r="F104" s="624"/>
      <c r="G104" s="624"/>
      <c r="H104" s="624"/>
      <c r="I104" s="624"/>
      <c r="J104" s="624"/>
      <c r="K104" s="624"/>
      <c r="L104" s="624"/>
      <c r="M104" s="624"/>
      <c r="N104" s="624"/>
      <c r="O104" s="624"/>
      <c r="P104" s="624"/>
      <c r="Q104" s="624"/>
      <c r="R104" s="624"/>
      <c r="S104" s="624"/>
      <c r="T104" s="624"/>
      <c r="U104" s="624"/>
      <c r="V104" s="624"/>
      <c r="W104" s="624"/>
      <c r="X104" s="624"/>
      <c r="Y104" s="624"/>
      <c r="Z104" s="624"/>
      <c r="AA104" s="658"/>
      <c r="AB104" s="658"/>
      <c r="AC104" s="658"/>
      <c r="AD104" s="658"/>
      <c r="AE104" s="658"/>
      <c r="AF104" s="658"/>
      <c r="AG104" s="658"/>
      <c r="AH104" s="658"/>
      <c r="AI104" s="658"/>
      <c r="AJ104" s="658"/>
      <c r="AK104" s="658"/>
    </row>
    <row r="105" spans="1:37" x14ac:dyDescent="0.25">
      <c r="A105" s="624"/>
      <c r="B105" s="624"/>
      <c r="C105" s="624"/>
      <c r="D105" s="624"/>
      <c r="E105" s="624"/>
      <c r="F105" s="624"/>
      <c r="G105" s="624"/>
      <c r="H105" s="624"/>
      <c r="I105" s="624"/>
      <c r="J105" s="624"/>
      <c r="K105" s="624"/>
      <c r="L105" s="624"/>
      <c r="M105" s="624"/>
      <c r="N105" s="624"/>
      <c r="O105" s="624"/>
      <c r="P105" s="624"/>
      <c r="Q105" s="624"/>
      <c r="R105" s="624"/>
      <c r="S105" s="624"/>
      <c r="T105" s="624"/>
      <c r="U105" s="624"/>
      <c r="V105" s="624"/>
      <c r="W105" s="624"/>
      <c r="X105" s="624"/>
      <c r="Y105" s="624"/>
      <c r="Z105" s="624"/>
      <c r="AA105" s="658"/>
      <c r="AB105" s="658"/>
      <c r="AC105" s="658"/>
      <c r="AD105" s="658"/>
      <c r="AE105" s="658"/>
      <c r="AF105" s="658"/>
      <c r="AG105" s="658"/>
      <c r="AH105" s="658"/>
      <c r="AI105" s="658"/>
      <c r="AJ105" s="658"/>
      <c r="AK105" s="658"/>
    </row>
    <row r="106" spans="1:37" x14ac:dyDescent="0.25">
      <c r="A106" s="624"/>
      <c r="B106" s="624"/>
      <c r="C106" s="624"/>
      <c r="D106" s="624"/>
      <c r="E106" s="624"/>
      <c r="F106" s="624"/>
      <c r="G106" s="624"/>
      <c r="H106" s="624"/>
      <c r="I106" s="624"/>
      <c r="J106" s="624"/>
      <c r="K106" s="624"/>
      <c r="L106" s="624"/>
      <c r="M106" s="624"/>
      <c r="N106" s="624"/>
      <c r="O106" s="624"/>
      <c r="P106" s="624"/>
      <c r="Q106" s="624"/>
      <c r="R106" s="624"/>
      <c r="S106" s="624"/>
      <c r="T106" s="624"/>
      <c r="U106" s="624"/>
      <c r="V106" s="624"/>
      <c r="W106" s="624"/>
      <c r="X106" s="624"/>
      <c r="Y106" s="624"/>
      <c r="Z106" s="624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58"/>
      <c r="AK106" s="658"/>
    </row>
    <row r="107" spans="1:37" x14ac:dyDescent="0.25">
      <c r="A107" s="624"/>
      <c r="B107" s="624"/>
      <c r="C107" s="624"/>
      <c r="D107" s="624"/>
      <c r="E107" s="624"/>
      <c r="F107" s="624"/>
      <c r="G107" s="624"/>
      <c r="H107" s="624"/>
      <c r="I107" s="624"/>
      <c r="J107" s="624"/>
      <c r="K107" s="624"/>
      <c r="L107" s="624"/>
      <c r="M107" s="624"/>
      <c r="N107" s="624"/>
      <c r="O107" s="624"/>
      <c r="P107" s="624"/>
      <c r="Q107" s="624"/>
      <c r="R107" s="624"/>
      <c r="S107" s="624"/>
      <c r="T107" s="624"/>
      <c r="U107" s="624"/>
      <c r="V107" s="624"/>
      <c r="W107" s="624"/>
      <c r="X107" s="624"/>
      <c r="Y107" s="624"/>
      <c r="Z107" s="624"/>
      <c r="AA107" s="658"/>
      <c r="AB107" s="658"/>
      <c r="AC107" s="658"/>
      <c r="AD107" s="658"/>
      <c r="AE107" s="658"/>
      <c r="AF107" s="658"/>
      <c r="AG107" s="658"/>
      <c r="AH107" s="658"/>
      <c r="AI107" s="658"/>
      <c r="AJ107" s="658"/>
      <c r="AK107" s="658"/>
    </row>
    <row r="108" spans="1:37" x14ac:dyDescent="0.25">
      <c r="A108" s="624"/>
      <c r="B108" s="624"/>
      <c r="C108" s="624"/>
      <c r="D108" s="624"/>
      <c r="E108" s="624"/>
      <c r="F108" s="624"/>
      <c r="G108" s="624"/>
      <c r="H108" s="624"/>
      <c r="I108" s="624"/>
      <c r="J108" s="624"/>
      <c r="K108" s="624"/>
      <c r="L108" s="624"/>
      <c r="M108" s="624"/>
      <c r="N108" s="624"/>
      <c r="O108" s="624"/>
      <c r="P108" s="624"/>
      <c r="Q108" s="624"/>
      <c r="R108" s="624"/>
      <c r="S108" s="624"/>
      <c r="T108" s="624"/>
      <c r="U108" s="624"/>
      <c r="V108" s="624"/>
      <c r="W108" s="624"/>
      <c r="X108" s="624"/>
      <c r="Y108" s="624"/>
      <c r="Z108" s="624"/>
      <c r="AA108" s="658"/>
      <c r="AB108" s="658"/>
      <c r="AC108" s="658"/>
      <c r="AD108" s="658"/>
      <c r="AE108" s="658"/>
      <c r="AF108" s="658"/>
      <c r="AG108" s="658"/>
      <c r="AH108" s="658"/>
      <c r="AI108" s="658"/>
      <c r="AJ108" s="658"/>
      <c r="AK108" s="658"/>
    </row>
    <row r="109" spans="1:37" x14ac:dyDescent="0.25">
      <c r="A109" s="624"/>
      <c r="B109" s="624"/>
      <c r="C109" s="624"/>
      <c r="D109" s="624"/>
      <c r="E109" s="624"/>
      <c r="F109" s="624"/>
      <c r="G109" s="624"/>
      <c r="H109" s="624"/>
      <c r="I109" s="624"/>
      <c r="J109" s="624"/>
      <c r="K109" s="624"/>
      <c r="L109" s="624"/>
      <c r="M109" s="624"/>
      <c r="N109" s="624"/>
      <c r="O109" s="624"/>
      <c r="P109" s="624"/>
      <c r="Q109" s="624"/>
      <c r="R109" s="624"/>
      <c r="S109" s="624"/>
      <c r="T109" s="624"/>
      <c r="U109" s="624"/>
      <c r="V109" s="624"/>
      <c r="W109" s="624"/>
      <c r="X109" s="624"/>
      <c r="Y109" s="624"/>
      <c r="Z109" s="624"/>
      <c r="AA109" s="658"/>
      <c r="AB109" s="658"/>
      <c r="AC109" s="658"/>
      <c r="AD109" s="658"/>
      <c r="AE109" s="658"/>
      <c r="AF109" s="658"/>
      <c r="AG109" s="658"/>
      <c r="AH109" s="658"/>
      <c r="AI109" s="658"/>
      <c r="AJ109" s="658"/>
      <c r="AK109" s="658"/>
    </row>
    <row r="110" spans="1:37" x14ac:dyDescent="0.25">
      <c r="A110" s="624"/>
      <c r="B110" s="624"/>
      <c r="C110" s="624"/>
      <c r="D110" s="624"/>
      <c r="E110" s="624"/>
      <c r="F110" s="624"/>
      <c r="G110" s="624"/>
      <c r="H110" s="624"/>
      <c r="I110" s="624"/>
      <c r="J110" s="624"/>
      <c r="K110" s="624"/>
      <c r="L110" s="624"/>
      <c r="M110" s="624"/>
      <c r="N110" s="624"/>
      <c r="O110" s="624"/>
      <c r="P110" s="624"/>
      <c r="Q110" s="624"/>
      <c r="R110" s="624"/>
      <c r="S110" s="624"/>
      <c r="T110" s="624"/>
      <c r="U110" s="624"/>
      <c r="V110" s="624"/>
      <c r="W110" s="624"/>
      <c r="X110" s="624"/>
      <c r="Y110" s="624"/>
      <c r="Z110" s="624"/>
      <c r="AA110" s="658"/>
      <c r="AB110" s="658"/>
      <c r="AC110" s="658"/>
      <c r="AD110" s="658"/>
      <c r="AE110" s="658"/>
      <c r="AF110" s="658"/>
      <c r="AG110" s="658"/>
      <c r="AH110" s="658"/>
      <c r="AI110" s="658"/>
      <c r="AJ110" s="658"/>
      <c r="AK110" s="658"/>
    </row>
    <row r="111" spans="1:37" x14ac:dyDescent="0.25">
      <c r="A111" s="624"/>
      <c r="B111" s="624"/>
      <c r="C111" s="624"/>
      <c r="D111" s="624"/>
      <c r="E111" s="624"/>
      <c r="F111" s="624"/>
      <c r="G111" s="624"/>
      <c r="H111" s="624"/>
      <c r="I111" s="624"/>
      <c r="J111" s="624"/>
      <c r="K111" s="624"/>
      <c r="L111" s="624"/>
      <c r="M111" s="624"/>
      <c r="N111" s="624"/>
      <c r="O111" s="624"/>
      <c r="P111" s="624"/>
      <c r="Q111" s="624"/>
      <c r="R111" s="624"/>
      <c r="S111" s="624"/>
      <c r="T111" s="624"/>
      <c r="U111" s="624"/>
      <c r="V111" s="624"/>
      <c r="W111" s="624"/>
      <c r="X111" s="624"/>
      <c r="Y111" s="624"/>
      <c r="Z111" s="624"/>
      <c r="AA111" s="658"/>
      <c r="AB111" s="658"/>
      <c r="AC111" s="658"/>
      <c r="AD111" s="658"/>
      <c r="AE111" s="658"/>
      <c r="AF111" s="658"/>
      <c r="AG111" s="658"/>
      <c r="AH111" s="658"/>
      <c r="AI111" s="658"/>
      <c r="AJ111" s="658"/>
      <c r="AK111" s="658"/>
    </row>
    <row r="112" spans="1:37" x14ac:dyDescent="0.25">
      <c r="A112" s="624"/>
      <c r="B112" s="624"/>
      <c r="C112" s="624"/>
      <c r="D112" s="624"/>
      <c r="E112" s="624"/>
      <c r="F112" s="624"/>
      <c r="G112" s="624"/>
      <c r="H112" s="624"/>
      <c r="I112" s="624"/>
      <c r="J112" s="624"/>
      <c r="K112" s="624"/>
      <c r="L112" s="624"/>
      <c r="M112" s="624"/>
      <c r="N112" s="624"/>
      <c r="O112" s="624"/>
      <c r="P112" s="624"/>
      <c r="Q112" s="624"/>
      <c r="R112" s="624"/>
      <c r="S112" s="624"/>
      <c r="T112" s="624"/>
      <c r="U112" s="624"/>
      <c r="V112" s="624"/>
      <c r="W112" s="624"/>
      <c r="X112" s="624"/>
      <c r="Y112" s="624"/>
      <c r="Z112" s="624"/>
      <c r="AA112" s="658"/>
      <c r="AB112" s="658"/>
      <c r="AC112" s="658"/>
      <c r="AD112" s="658"/>
      <c r="AE112" s="658"/>
      <c r="AF112" s="658"/>
      <c r="AG112" s="658"/>
      <c r="AH112" s="658"/>
      <c r="AI112" s="658"/>
      <c r="AJ112" s="658"/>
      <c r="AK112" s="658"/>
    </row>
    <row r="113" spans="1:37" x14ac:dyDescent="0.25">
      <c r="A113" s="624"/>
      <c r="B113" s="624"/>
      <c r="C113" s="624"/>
      <c r="D113" s="624"/>
      <c r="E113" s="624"/>
      <c r="F113" s="624"/>
      <c r="G113" s="624"/>
      <c r="H113" s="624"/>
      <c r="I113" s="624"/>
      <c r="J113" s="624"/>
      <c r="K113" s="624"/>
      <c r="L113" s="624"/>
      <c r="M113" s="624"/>
      <c r="N113" s="624"/>
      <c r="O113" s="624"/>
      <c r="P113" s="624"/>
      <c r="Q113" s="624"/>
      <c r="R113" s="624"/>
      <c r="S113" s="624"/>
      <c r="T113" s="624"/>
      <c r="U113" s="624"/>
      <c r="V113" s="624"/>
      <c r="W113" s="624"/>
      <c r="X113" s="624"/>
      <c r="Y113" s="624"/>
      <c r="Z113" s="624"/>
      <c r="AA113" s="658"/>
      <c r="AB113" s="658"/>
      <c r="AC113" s="658"/>
      <c r="AD113" s="658"/>
      <c r="AE113" s="658"/>
      <c r="AF113" s="658"/>
      <c r="AG113" s="658"/>
      <c r="AH113" s="658"/>
      <c r="AI113" s="658"/>
      <c r="AJ113" s="658"/>
      <c r="AK113" s="658"/>
    </row>
    <row r="114" spans="1:37" x14ac:dyDescent="0.25">
      <c r="A114" s="624"/>
      <c r="B114" s="624"/>
      <c r="C114" s="624"/>
      <c r="D114" s="624"/>
      <c r="E114" s="624"/>
      <c r="F114" s="624"/>
      <c r="G114" s="624"/>
      <c r="H114" s="624"/>
      <c r="I114" s="624"/>
      <c r="J114" s="624"/>
      <c r="K114" s="624"/>
      <c r="L114" s="624"/>
      <c r="M114" s="624"/>
      <c r="N114" s="624"/>
      <c r="O114" s="624"/>
      <c r="P114" s="624"/>
      <c r="Q114" s="624"/>
      <c r="R114" s="624"/>
      <c r="S114" s="624"/>
      <c r="T114" s="624"/>
      <c r="U114" s="624"/>
      <c r="V114" s="624"/>
      <c r="W114" s="624"/>
      <c r="X114" s="624"/>
      <c r="Y114" s="624"/>
      <c r="Z114" s="624"/>
      <c r="AA114" s="658"/>
      <c r="AB114" s="658"/>
      <c r="AC114" s="658"/>
      <c r="AD114" s="658"/>
      <c r="AE114" s="658"/>
      <c r="AF114" s="658"/>
      <c r="AG114" s="658"/>
      <c r="AH114" s="658"/>
      <c r="AI114" s="658"/>
      <c r="AJ114" s="658"/>
      <c r="AK114" s="658"/>
    </row>
    <row r="115" spans="1:37" x14ac:dyDescent="0.25">
      <c r="A115" s="624"/>
      <c r="B115" s="624"/>
      <c r="C115" s="624"/>
      <c r="D115" s="624"/>
      <c r="E115" s="624"/>
      <c r="F115" s="624"/>
      <c r="G115" s="624"/>
      <c r="H115" s="624"/>
      <c r="I115" s="624"/>
      <c r="J115" s="624"/>
      <c r="K115" s="624"/>
      <c r="L115" s="624"/>
      <c r="M115" s="624"/>
      <c r="N115" s="624"/>
      <c r="O115" s="624"/>
      <c r="P115" s="624"/>
      <c r="Q115" s="624"/>
      <c r="R115" s="624"/>
      <c r="S115" s="624"/>
      <c r="T115" s="624"/>
      <c r="U115" s="624"/>
      <c r="V115" s="624"/>
      <c r="W115" s="624"/>
      <c r="X115" s="624"/>
      <c r="Y115" s="624"/>
      <c r="Z115" s="624"/>
      <c r="AA115" s="658"/>
      <c r="AB115" s="658"/>
      <c r="AC115" s="658"/>
      <c r="AD115" s="658"/>
      <c r="AE115" s="658"/>
      <c r="AF115" s="658"/>
      <c r="AG115" s="658"/>
      <c r="AH115" s="658"/>
      <c r="AI115" s="658"/>
      <c r="AJ115" s="658"/>
      <c r="AK115" s="658"/>
    </row>
    <row r="116" spans="1:37" x14ac:dyDescent="0.25">
      <c r="A116" s="624"/>
      <c r="B116" s="624"/>
      <c r="C116" s="624"/>
      <c r="D116" s="624"/>
      <c r="E116" s="624"/>
      <c r="F116" s="624"/>
      <c r="G116" s="624"/>
      <c r="H116" s="624"/>
      <c r="I116" s="624"/>
      <c r="J116" s="624"/>
      <c r="K116" s="624"/>
      <c r="L116" s="624"/>
      <c r="M116" s="624"/>
      <c r="N116" s="624"/>
      <c r="O116" s="624"/>
      <c r="P116" s="624"/>
      <c r="Q116" s="624"/>
      <c r="R116" s="624"/>
      <c r="S116" s="624"/>
      <c r="T116" s="624"/>
      <c r="U116" s="624"/>
      <c r="V116" s="624"/>
      <c r="W116" s="624"/>
      <c r="X116" s="624"/>
      <c r="Y116" s="624"/>
      <c r="Z116" s="624"/>
      <c r="AA116" s="658"/>
      <c r="AB116" s="658"/>
      <c r="AC116" s="658"/>
      <c r="AD116" s="658"/>
      <c r="AE116" s="658"/>
      <c r="AF116" s="658"/>
      <c r="AG116" s="658"/>
      <c r="AH116" s="658"/>
      <c r="AI116" s="658"/>
      <c r="AJ116" s="658"/>
      <c r="AK116" s="658"/>
    </row>
    <row r="117" spans="1:37" x14ac:dyDescent="0.25">
      <c r="A117" s="624"/>
      <c r="B117" s="624"/>
      <c r="C117" s="624"/>
      <c r="D117" s="624"/>
      <c r="E117" s="624"/>
      <c r="F117" s="624"/>
      <c r="G117" s="624"/>
      <c r="H117" s="624"/>
      <c r="I117" s="624"/>
      <c r="J117" s="624"/>
      <c r="K117" s="624"/>
      <c r="L117" s="624"/>
      <c r="M117" s="624"/>
      <c r="N117" s="624"/>
      <c r="O117" s="624"/>
      <c r="P117" s="624"/>
      <c r="Q117" s="624"/>
      <c r="R117" s="624"/>
      <c r="S117" s="624"/>
      <c r="T117" s="624"/>
      <c r="U117" s="624"/>
      <c r="V117" s="624"/>
      <c r="W117" s="624"/>
      <c r="X117" s="624"/>
      <c r="Y117" s="624"/>
      <c r="Z117" s="624"/>
      <c r="AA117" s="658"/>
      <c r="AB117" s="658"/>
      <c r="AC117" s="658"/>
      <c r="AD117" s="658"/>
      <c r="AE117" s="658"/>
      <c r="AF117" s="658"/>
      <c r="AG117" s="658"/>
      <c r="AH117" s="658"/>
      <c r="AI117" s="658"/>
      <c r="AJ117" s="658"/>
      <c r="AK117" s="658"/>
    </row>
    <row r="118" spans="1:37" x14ac:dyDescent="0.25">
      <c r="A118" s="624"/>
      <c r="B118" s="624"/>
      <c r="C118" s="624"/>
      <c r="D118" s="624"/>
      <c r="E118" s="624"/>
      <c r="F118" s="624"/>
      <c r="G118" s="624"/>
      <c r="H118" s="624"/>
      <c r="I118" s="624"/>
      <c r="J118" s="624"/>
      <c r="K118" s="624"/>
      <c r="L118" s="624"/>
      <c r="M118" s="624"/>
      <c r="N118" s="624"/>
      <c r="O118" s="624"/>
      <c r="P118" s="624"/>
      <c r="Q118" s="624"/>
      <c r="R118" s="624"/>
      <c r="S118" s="624"/>
      <c r="T118" s="624"/>
      <c r="U118" s="624"/>
      <c r="V118" s="624"/>
      <c r="W118" s="624"/>
      <c r="X118" s="624"/>
      <c r="Y118" s="624"/>
      <c r="Z118" s="624"/>
      <c r="AA118" s="658"/>
      <c r="AB118" s="658"/>
      <c r="AC118" s="658"/>
      <c r="AD118" s="658"/>
      <c r="AE118" s="658"/>
      <c r="AF118" s="658"/>
      <c r="AG118" s="658"/>
      <c r="AH118" s="658"/>
      <c r="AI118" s="658"/>
      <c r="AJ118" s="658"/>
      <c r="AK118" s="658"/>
    </row>
    <row r="119" spans="1:37" x14ac:dyDescent="0.25">
      <c r="A119" s="624"/>
      <c r="B119" s="624"/>
      <c r="C119" s="624"/>
      <c r="D119" s="624"/>
      <c r="E119" s="624"/>
      <c r="F119" s="624"/>
      <c r="G119" s="624"/>
      <c r="H119" s="624"/>
      <c r="I119" s="624"/>
      <c r="J119" s="624"/>
      <c r="K119" s="624"/>
      <c r="L119" s="624"/>
      <c r="M119" s="624"/>
      <c r="N119" s="624"/>
      <c r="O119" s="624"/>
      <c r="P119" s="624"/>
      <c r="Q119" s="624"/>
      <c r="R119" s="624"/>
      <c r="S119" s="624"/>
      <c r="T119" s="624"/>
      <c r="U119" s="624"/>
      <c r="V119" s="624"/>
      <c r="W119" s="624"/>
      <c r="X119" s="624"/>
      <c r="Y119" s="624"/>
      <c r="Z119" s="624"/>
      <c r="AA119" s="658"/>
      <c r="AB119" s="658"/>
      <c r="AC119" s="658"/>
      <c r="AD119" s="658"/>
      <c r="AE119" s="658"/>
      <c r="AF119" s="658"/>
      <c r="AG119" s="658"/>
      <c r="AH119" s="658"/>
      <c r="AI119" s="658"/>
      <c r="AJ119" s="658"/>
      <c r="AK119" s="658"/>
    </row>
    <row r="120" spans="1:37" x14ac:dyDescent="0.25">
      <c r="A120" s="624"/>
      <c r="B120" s="624"/>
      <c r="C120" s="624"/>
      <c r="D120" s="624"/>
      <c r="E120" s="624"/>
      <c r="F120" s="624"/>
      <c r="G120" s="624"/>
      <c r="H120" s="624"/>
      <c r="I120" s="624"/>
      <c r="J120" s="624"/>
      <c r="K120" s="624"/>
      <c r="L120" s="624"/>
      <c r="M120" s="624"/>
      <c r="N120" s="624"/>
      <c r="O120" s="624"/>
      <c r="P120" s="624"/>
      <c r="Q120" s="624"/>
      <c r="R120" s="624"/>
      <c r="S120" s="624"/>
      <c r="T120" s="624"/>
      <c r="U120" s="624"/>
      <c r="V120" s="624"/>
      <c r="W120" s="624"/>
      <c r="X120" s="624"/>
      <c r="Y120" s="624"/>
      <c r="Z120" s="624"/>
      <c r="AA120" s="658"/>
      <c r="AB120" s="658"/>
      <c r="AC120" s="658"/>
      <c r="AD120" s="658"/>
      <c r="AE120" s="658"/>
      <c r="AF120" s="658"/>
      <c r="AG120" s="658"/>
      <c r="AH120" s="658"/>
      <c r="AI120" s="658"/>
      <c r="AJ120" s="658"/>
      <c r="AK120" s="658"/>
    </row>
    <row r="121" spans="1:37" x14ac:dyDescent="0.25">
      <c r="A121" s="624"/>
      <c r="B121" s="624"/>
      <c r="C121" s="624"/>
      <c r="D121" s="624"/>
      <c r="E121" s="624"/>
      <c r="F121" s="624"/>
      <c r="G121" s="624"/>
      <c r="H121" s="624"/>
      <c r="I121" s="624"/>
      <c r="J121" s="624"/>
      <c r="K121" s="624"/>
      <c r="L121" s="624"/>
      <c r="M121" s="624"/>
      <c r="N121" s="624"/>
      <c r="O121" s="624"/>
      <c r="P121" s="624"/>
      <c r="Q121" s="624"/>
      <c r="R121" s="624"/>
      <c r="S121" s="624"/>
      <c r="T121" s="624"/>
      <c r="U121" s="624"/>
      <c r="V121" s="624"/>
      <c r="W121" s="624"/>
      <c r="X121" s="624"/>
      <c r="Y121" s="624"/>
      <c r="Z121" s="624"/>
      <c r="AA121" s="658"/>
      <c r="AB121" s="658"/>
      <c r="AC121" s="658"/>
      <c r="AD121" s="658"/>
      <c r="AE121" s="658"/>
      <c r="AF121" s="658"/>
      <c r="AG121" s="658"/>
      <c r="AH121" s="658"/>
      <c r="AI121" s="658"/>
      <c r="AJ121" s="658"/>
      <c r="AK121" s="658"/>
    </row>
    <row r="122" spans="1:37" x14ac:dyDescent="0.25">
      <c r="A122" s="624"/>
      <c r="B122" s="624"/>
      <c r="C122" s="624"/>
      <c r="D122" s="624"/>
      <c r="E122" s="624"/>
      <c r="F122" s="624"/>
      <c r="G122" s="624"/>
      <c r="H122" s="624"/>
      <c r="I122" s="624"/>
      <c r="J122" s="624"/>
      <c r="K122" s="624"/>
      <c r="L122" s="624"/>
      <c r="M122" s="624"/>
      <c r="N122" s="624"/>
      <c r="O122" s="624"/>
      <c r="P122" s="624"/>
      <c r="Q122" s="624"/>
      <c r="R122" s="624"/>
      <c r="S122" s="624"/>
      <c r="T122" s="624"/>
      <c r="U122" s="624"/>
      <c r="V122" s="624"/>
      <c r="W122" s="624"/>
      <c r="X122" s="624"/>
      <c r="Y122" s="624"/>
      <c r="Z122" s="624"/>
      <c r="AA122" s="658"/>
      <c r="AB122" s="658"/>
      <c r="AC122" s="658"/>
      <c r="AD122" s="658"/>
      <c r="AE122" s="658"/>
      <c r="AF122" s="658"/>
      <c r="AG122" s="658"/>
      <c r="AH122" s="658"/>
      <c r="AI122" s="658"/>
      <c r="AJ122" s="658"/>
      <c r="AK122" s="658"/>
    </row>
    <row r="123" spans="1:37" x14ac:dyDescent="0.25">
      <c r="A123" s="624"/>
      <c r="B123" s="624"/>
      <c r="C123" s="624"/>
      <c r="D123" s="624"/>
      <c r="E123" s="624"/>
      <c r="F123" s="624"/>
      <c r="G123" s="624"/>
      <c r="H123" s="624"/>
      <c r="I123" s="624"/>
      <c r="J123" s="624"/>
      <c r="K123" s="624"/>
      <c r="L123" s="624"/>
      <c r="M123" s="624"/>
      <c r="N123" s="624"/>
      <c r="O123" s="624"/>
      <c r="P123" s="624"/>
      <c r="Q123" s="624"/>
      <c r="R123" s="624"/>
      <c r="S123" s="624"/>
      <c r="T123" s="624"/>
      <c r="U123" s="624"/>
      <c r="V123" s="624"/>
      <c r="W123" s="624"/>
      <c r="X123" s="624"/>
      <c r="Y123" s="624"/>
      <c r="Z123" s="624"/>
      <c r="AA123" s="658"/>
      <c r="AB123" s="658"/>
      <c r="AC123" s="658"/>
      <c r="AD123" s="658"/>
      <c r="AE123" s="658"/>
      <c r="AF123" s="658"/>
      <c r="AG123" s="658"/>
      <c r="AH123" s="658"/>
      <c r="AI123" s="658"/>
      <c r="AJ123" s="658"/>
      <c r="AK123" s="658"/>
    </row>
    <row r="124" spans="1:37" x14ac:dyDescent="0.25">
      <c r="A124" s="624"/>
      <c r="B124" s="624"/>
      <c r="C124" s="624"/>
      <c r="D124" s="624"/>
      <c r="E124" s="624"/>
      <c r="F124" s="624"/>
      <c r="G124" s="624"/>
      <c r="H124" s="624"/>
      <c r="I124" s="624"/>
      <c r="J124" s="624"/>
      <c r="K124" s="624"/>
      <c r="L124" s="624"/>
      <c r="M124" s="624"/>
      <c r="N124" s="624"/>
      <c r="O124" s="624"/>
      <c r="P124" s="624"/>
      <c r="Q124" s="624"/>
      <c r="R124" s="624"/>
      <c r="S124" s="624"/>
      <c r="T124" s="624"/>
      <c r="U124" s="624"/>
      <c r="V124" s="624"/>
      <c r="W124" s="624"/>
      <c r="X124" s="624"/>
      <c r="Y124" s="624"/>
      <c r="Z124" s="624"/>
      <c r="AA124" s="658"/>
      <c r="AB124" s="658"/>
      <c r="AC124" s="658"/>
      <c r="AD124" s="658"/>
      <c r="AE124" s="658"/>
      <c r="AF124" s="658"/>
      <c r="AG124" s="658"/>
      <c r="AH124" s="658"/>
      <c r="AI124" s="658"/>
      <c r="AJ124" s="658"/>
      <c r="AK124" s="658"/>
    </row>
    <row r="125" spans="1:37" x14ac:dyDescent="0.25">
      <c r="A125" s="624"/>
      <c r="B125" s="624"/>
      <c r="C125" s="624"/>
      <c r="D125" s="624"/>
      <c r="E125" s="624"/>
      <c r="F125" s="624"/>
      <c r="G125" s="624"/>
      <c r="H125" s="624"/>
      <c r="I125" s="624"/>
      <c r="J125" s="624"/>
      <c r="K125" s="624"/>
      <c r="L125" s="624"/>
      <c r="M125" s="624"/>
      <c r="N125" s="624"/>
      <c r="O125" s="624"/>
      <c r="P125" s="624"/>
      <c r="Q125" s="624"/>
      <c r="R125" s="624"/>
      <c r="S125" s="624"/>
      <c r="T125" s="624"/>
      <c r="U125" s="624"/>
      <c r="V125" s="624"/>
      <c r="W125" s="624"/>
      <c r="X125" s="624"/>
      <c r="Y125" s="624"/>
      <c r="Z125" s="624"/>
      <c r="AA125" s="658"/>
      <c r="AB125" s="658"/>
      <c r="AC125" s="658"/>
      <c r="AD125" s="658"/>
      <c r="AE125" s="658"/>
      <c r="AF125" s="658"/>
      <c r="AG125" s="658"/>
      <c r="AH125" s="658"/>
      <c r="AI125" s="658"/>
      <c r="AJ125" s="658"/>
      <c r="AK125" s="658"/>
    </row>
    <row r="126" spans="1:37" x14ac:dyDescent="0.25">
      <c r="A126" s="624"/>
      <c r="B126" s="624"/>
      <c r="C126" s="624"/>
      <c r="D126" s="624"/>
      <c r="E126" s="624"/>
      <c r="F126" s="624"/>
      <c r="G126" s="624"/>
      <c r="H126" s="624"/>
      <c r="I126" s="624"/>
      <c r="J126" s="624"/>
      <c r="K126" s="624"/>
      <c r="L126" s="624"/>
      <c r="M126" s="624"/>
      <c r="N126" s="624"/>
      <c r="O126" s="624"/>
      <c r="P126" s="624"/>
      <c r="Q126" s="624"/>
      <c r="R126" s="624"/>
      <c r="S126" s="624"/>
      <c r="T126" s="624"/>
      <c r="U126" s="624"/>
      <c r="V126" s="624"/>
      <c r="W126" s="624"/>
      <c r="X126" s="624"/>
      <c r="Y126" s="624"/>
      <c r="Z126" s="624"/>
      <c r="AA126" s="658"/>
      <c r="AB126" s="658"/>
      <c r="AC126" s="658"/>
      <c r="AD126" s="658"/>
      <c r="AE126" s="658"/>
      <c r="AF126" s="658"/>
      <c r="AG126" s="658"/>
      <c r="AH126" s="658"/>
      <c r="AI126" s="658"/>
      <c r="AJ126" s="658"/>
      <c r="AK126" s="658"/>
    </row>
    <row r="127" spans="1:37" x14ac:dyDescent="0.25">
      <c r="A127" s="624"/>
      <c r="B127" s="624"/>
      <c r="C127" s="624"/>
      <c r="D127" s="624"/>
      <c r="E127" s="624"/>
      <c r="F127" s="624"/>
      <c r="G127" s="624"/>
      <c r="H127" s="624"/>
      <c r="I127" s="624"/>
      <c r="J127" s="624"/>
      <c r="K127" s="624"/>
      <c r="L127" s="624"/>
      <c r="M127" s="624"/>
      <c r="N127" s="624"/>
      <c r="O127" s="624"/>
      <c r="P127" s="624"/>
      <c r="Q127" s="624"/>
      <c r="R127" s="624"/>
      <c r="S127" s="624"/>
      <c r="T127" s="624"/>
      <c r="U127" s="624"/>
      <c r="V127" s="624"/>
      <c r="W127" s="624"/>
      <c r="X127" s="624"/>
      <c r="Y127" s="624"/>
      <c r="Z127" s="624"/>
      <c r="AA127" s="658"/>
      <c r="AB127" s="658"/>
      <c r="AC127" s="658"/>
      <c r="AD127" s="658"/>
      <c r="AE127" s="658"/>
      <c r="AF127" s="658"/>
      <c r="AG127" s="658"/>
      <c r="AH127" s="658"/>
      <c r="AI127" s="658"/>
      <c r="AJ127" s="658"/>
      <c r="AK127" s="658"/>
    </row>
    <row r="128" spans="1:37" x14ac:dyDescent="0.25">
      <c r="A128" s="624"/>
      <c r="B128" s="624"/>
      <c r="C128" s="624"/>
      <c r="D128" s="624"/>
      <c r="E128" s="624"/>
      <c r="F128" s="624"/>
      <c r="G128" s="624"/>
      <c r="H128" s="624"/>
      <c r="I128" s="624"/>
      <c r="J128" s="624"/>
      <c r="K128" s="624"/>
      <c r="L128" s="624"/>
      <c r="M128" s="624"/>
      <c r="N128" s="624"/>
      <c r="O128" s="624"/>
      <c r="P128" s="624"/>
      <c r="Q128" s="624"/>
      <c r="R128" s="624"/>
      <c r="S128" s="624"/>
      <c r="T128" s="624"/>
      <c r="U128" s="624"/>
      <c r="V128" s="624"/>
      <c r="W128" s="624"/>
      <c r="X128" s="624"/>
      <c r="Y128" s="624"/>
      <c r="Z128" s="624"/>
      <c r="AA128" s="658"/>
      <c r="AB128" s="658"/>
      <c r="AC128" s="658"/>
      <c r="AD128" s="658"/>
      <c r="AE128" s="658"/>
      <c r="AF128" s="658"/>
      <c r="AG128" s="658"/>
      <c r="AH128" s="658"/>
      <c r="AI128" s="658"/>
      <c r="AJ128" s="658"/>
      <c r="AK128" s="658"/>
    </row>
    <row r="129" spans="1:37" x14ac:dyDescent="0.25">
      <c r="A129" s="624"/>
      <c r="B129" s="624"/>
      <c r="C129" s="624"/>
      <c r="D129" s="624"/>
      <c r="E129" s="624"/>
      <c r="F129" s="624"/>
      <c r="G129" s="624"/>
      <c r="H129" s="624"/>
      <c r="I129" s="624"/>
      <c r="J129" s="624"/>
      <c r="K129" s="624"/>
      <c r="L129" s="624"/>
      <c r="M129" s="624"/>
      <c r="N129" s="624"/>
      <c r="O129" s="624"/>
      <c r="P129" s="624"/>
      <c r="Q129" s="624"/>
      <c r="R129" s="624"/>
      <c r="S129" s="624"/>
      <c r="T129" s="624"/>
      <c r="U129" s="624"/>
      <c r="V129" s="624"/>
      <c r="W129" s="624"/>
      <c r="X129" s="624"/>
      <c r="Y129" s="624"/>
      <c r="Z129" s="624"/>
      <c r="AA129" s="658"/>
      <c r="AB129" s="658"/>
      <c r="AC129" s="658"/>
      <c r="AD129" s="658"/>
      <c r="AE129" s="658"/>
      <c r="AF129" s="658"/>
      <c r="AG129" s="658"/>
      <c r="AH129" s="658"/>
      <c r="AI129" s="658"/>
      <c r="AJ129" s="658"/>
      <c r="AK129" s="658"/>
    </row>
    <row r="130" spans="1:37" x14ac:dyDescent="0.25">
      <c r="A130" s="624"/>
      <c r="B130" s="624"/>
      <c r="C130" s="624"/>
      <c r="D130" s="624"/>
      <c r="E130" s="624"/>
      <c r="F130" s="624"/>
      <c r="G130" s="624"/>
      <c r="H130" s="624"/>
      <c r="I130" s="624"/>
      <c r="J130" s="624"/>
      <c r="K130" s="624"/>
      <c r="L130" s="624"/>
      <c r="M130" s="624"/>
      <c r="N130" s="624"/>
      <c r="O130" s="624"/>
      <c r="P130" s="624"/>
      <c r="Q130" s="624"/>
      <c r="R130" s="624"/>
      <c r="S130" s="624"/>
      <c r="T130" s="624"/>
      <c r="U130" s="624"/>
      <c r="V130" s="624"/>
      <c r="W130" s="624"/>
      <c r="X130" s="624"/>
      <c r="Y130" s="624"/>
      <c r="Z130" s="624"/>
      <c r="AA130" s="658"/>
      <c r="AB130" s="658"/>
      <c r="AC130" s="658"/>
      <c r="AD130" s="658"/>
      <c r="AE130" s="658"/>
      <c r="AF130" s="658"/>
      <c r="AG130" s="658"/>
      <c r="AH130" s="658"/>
      <c r="AI130" s="658"/>
      <c r="AJ130" s="658"/>
      <c r="AK130" s="658"/>
    </row>
    <row r="131" spans="1:37" x14ac:dyDescent="0.25">
      <c r="A131" s="624"/>
      <c r="B131" s="624"/>
      <c r="C131" s="624"/>
      <c r="D131" s="624"/>
      <c r="E131" s="624"/>
      <c r="F131" s="624"/>
      <c r="G131" s="624"/>
      <c r="H131" s="624"/>
      <c r="I131" s="624"/>
      <c r="J131" s="624"/>
      <c r="K131" s="624"/>
      <c r="L131" s="624"/>
      <c r="M131" s="624"/>
      <c r="N131" s="624"/>
      <c r="O131" s="624"/>
      <c r="P131" s="624"/>
      <c r="Q131" s="624"/>
      <c r="R131" s="624"/>
      <c r="S131" s="624"/>
      <c r="T131" s="624"/>
      <c r="U131" s="624"/>
      <c r="V131" s="624"/>
      <c r="W131" s="624"/>
      <c r="X131" s="624"/>
      <c r="Y131" s="624"/>
      <c r="Z131" s="624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58"/>
      <c r="AK131" s="658"/>
    </row>
    <row r="132" spans="1:37" x14ac:dyDescent="0.25">
      <c r="A132" s="624"/>
      <c r="B132" s="624"/>
      <c r="C132" s="624"/>
      <c r="D132" s="624"/>
      <c r="E132" s="624"/>
      <c r="F132" s="624"/>
      <c r="G132" s="624"/>
      <c r="H132" s="624"/>
      <c r="I132" s="624"/>
      <c r="J132" s="624"/>
      <c r="K132" s="624"/>
      <c r="L132" s="624"/>
      <c r="M132" s="624"/>
      <c r="N132" s="624"/>
      <c r="O132" s="624"/>
      <c r="P132" s="624"/>
      <c r="Q132" s="624"/>
      <c r="R132" s="624"/>
      <c r="S132" s="624"/>
      <c r="T132" s="624"/>
      <c r="U132" s="624"/>
      <c r="V132" s="624"/>
      <c r="W132" s="624"/>
      <c r="X132" s="624"/>
      <c r="Y132" s="624"/>
      <c r="Z132" s="624"/>
      <c r="AA132" s="658"/>
      <c r="AB132" s="658"/>
      <c r="AC132" s="658"/>
      <c r="AD132" s="658"/>
      <c r="AE132" s="658"/>
      <c r="AF132" s="658"/>
      <c r="AG132" s="658"/>
      <c r="AH132" s="658"/>
      <c r="AI132" s="658"/>
      <c r="AJ132" s="658"/>
      <c r="AK132" s="658"/>
    </row>
    <row r="133" spans="1:37" x14ac:dyDescent="0.25">
      <c r="A133" s="624"/>
      <c r="B133" s="624"/>
      <c r="C133" s="624"/>
      <c r="D133" s="624"/>
      <c r="E133" s="624"/>
      <c r="F133" s="624"/>
      <c r="G133" s="624"/>
      <c r="H133" s="624"/>
      <c r="I133" s="624"/>
      <c r="J133" s="624"/>
      <c r="K133" s="624"/>
      <c r="L133" s="624"/>
      <c r="M133" s="624"/>
      <c r="N133" s="624"/>
      <c r="O133" s="624"/>
      <c r="P133" s="624"/>
      <c r="Q133" s="624"/>
      <c r="R133" s="624"/>
      <c r="S133" s="624"/>
      <c r="T133" s="624"/>
      <c r="U133" s="624"/>
      <c r="V133" s="624"/>
      <c r="W133" s="624"/>
      <c r="X133" s="624"/>
      <c r="Y133" s="624"/>
      <c r="Z133" s="624"/>
      <c r="AA133" s="658"/>
      <c r="AB133" s="658"/>
      <c r="AC133" s="658"/>
      <c r="AD133" s="658"/>
      <c r="AE133" s="658"/>
      <c r="AF133" s="658"/>
      <c r="AG133" s="658"/>
      <c r="AH133" s="658"/>
      <c r="AI133" s="658"/>
      <c r="AJ133" s="658"/>
      <c r="AK133" s="658"/>
    </row>
    <row r="134" spans="1:37" x14ac:dyDescent="0.25">
      <c r="A134" s="624"/>
      <c r="B134" s="624"/>
      <c r="C134" s="624"/>
      <c r="D134" s="624"/>
      <c r="E134" s="624"/>
      <c r="F134" s="624"/>
      <c r="G134" s="624"/>
      <c r="H134" s="624"/>
      <c r="I134" s="624"/>
      <c r="J134" s="624"/>
      <c r="K134" s="624"/>
      <c r="L134" s="624"/>
      <c r="M134" s="624"/>
      <c r="N134" s="624"/>
      <c r="O134" s="624"/>
      <c r="P134" s="624"/>
      <c r="Q134" s="624"/>
      <c r="R134" s="624"/>
      <c r="S134" s="624"/>
      <c r="T134" s="624"/>
      <c r="U134" s="624"/>
      <c r="V134" s="624"/>
      <c r="W134" s="624"/>
      <c r="X134" s="624"/>
      <c r="Y134" s="624"/>
      <c r="Z134" s="624"/>
      <c r="AA134" s="658"/>
      <c r="AB134" s="658"/>
      <c r="AC134" s="658"/>
      <c r="AD134" s="658"/>
      <c r="AE134" s="658"/>
      <c r="AF134" s="658"/>
      <c r="AG134" s="658"/>
      <c r="AH134" s="658"/>
      <c r="AI134" s="658"/>
      <c r="AJ134" s="658"/>
      <c r="AK134" s="658"/>
    </row>
    <row r="135" spans="1:37" x14ac:dyDescent="0.25">
      <c r="A135" s="624"/>
      <c r="B135" s="624"/>
      <c r="C135" s="624"/>
      <c r="D135" s="624"/>
      <c r="E135" s="624"/>
      <c r="F135" s="624"/>
      <c r="G135" s="624"/>
      <c r="H135" s="624"/>
      <c r="I135" s="624"/>
      <c r="J135" s="624"/>
      <c r="K135" s="624"/>
      <c r="L135" s="624"/>
      <c r="M135" s="624"/>
      <c r="N135" s="624"/>
      <c r="O135" s="624"/>
      <c r="P135" s="624"/>
      <c r="Q135" s="624"/>
      <c r="R135" s="624"/>
      <c r="S135" s="624"/>
      <c r="T135" s="624"/>
      <c r="U135" s="624"/>
      <c r="V135" s="624"/>
      <c r="W135" s="624"/>
      <c r="X135" s="624"/>
      <c r="Y135" s="624"/>
      <c r="Z135" s="624"/>
      <c r="AA135" s="658"/>
      <c r="AB135" s="658"/>
      <c r="AC135" s="658"/>
      <c r="AD135" s="658"/>
      <c r="AE135" s="658"/>
      <c r="AF135" s="658"/>
      <c r="AG135" s="658"/>
      <c r="AH135" s="658"/>
      <c r="AI135" s="658"/>
      <c r="AJ135" s="658"/>
      <c r="AK135" s="658"/>
    </row>
    <row r="136" spans="1:37" x14ac:dyDescent="0.25">
      <c r="A136" s="624"/>
      <c r="B136" s="624"/>
      <c r="C136" s="624"/>
      <c r="D136" s="624"/>
      <c r="E136" s="624"/>
      <c r="F136" s="624"/>
      <c r="G136" s="624"/>
      <c r="H136" s="624"/>
      <c r="I136" s="624"/>
      <c r="J136" s="624"/>
      <c r="K136" s="624"/>
      <c r="L136" s="624"/>
      <c r="M136" s="624"/>
      <c r="N136" s="624"/>
      <c r="O136" s="624"/>
      <c r="P136" s="624"/>
      <c r="Q136" s="624"/>
      <c r="R136" s="624"/>
      <c r="S136" s="624"/>
      <c r="T136" s="624"/>
      <c r="U136" s="624"/>
      <c r="V136" s="624"/>
      <c r="W136" s="624"/>
      <c r="X136" s="624"/>
      <c r="Y136" s="624"/>
      <c r="Z136" s="624"/>
      <c r="AA136" s="658"/>
      <c r="AB136" s="658"/>
      <c r="AC136" s="658"/>
      <c r="AD136" s="658"/>
      <c r="AE136" s="658"/>
      <c r="AF136" s="658"/>
      <c r="AG136" s="658"/>
      <c r="AH136" s="658"/>
      <c r="AI136" s="658"/>
      <c r="AJ136" s="658"/>
      <c r="AK136" s="658"/>
    </row>
    <row r="137" spans="1:37" x14ac:dyDescent="0.25">
      <c r="A137" s="624"/>
      <c r="B137" s="624"/>
      <c r="C137" s="624"/>
      <c r="D137" s="624"/>
      <c r="E137" s="624"/>
      <c r="F137" s="624"/>
      <c r="G137" s="624"/>
      <c r="H137" s="624"/>
      <c r="I137" s="624"/>
      <c r="J137" s="624"/>
      <c r="K137" s="624"/>
      <c r="L137" s="624"/>
      <c r="M137" s="624"/>
      <c r="N137" s="624"/>
      <c r="O137" s="624"/>
      <c r="P137" s="624"/>
      <c r="Q137" s="624"/>
      <c r="R137" s="624"/>
      <c r="S137" s="624"/>
      <c r="T137" s="624"/>
      <c r="U137" s="624"/>
      <c r="V137" s="624"/>
      <c r="W137" s="624"/>
      <c r="X137" s="624"/>
      <c r="Y137" s="624"/>
      <c r="Z137" s="624"/>
      <c r="AA137" s="658"/>
      <c r="AB137" s="658"/>
      <c r="AC137" s="658"/>
      <c r="AD137" s="658"/>
      <c r="AE137" s="658"/>
      <c r="AF137" s="658"/>
      <c r="AG137" s="658"/>
      <c r="AH137" s="658"/>
      <c r="AI137" s="658"/>
      <c r="AJ137" s="658"/>
      <c r="AK137" s="658"/>
    </row>
    <row r="138" spans="1:37" x14ac:dyDescent="0.25">
      <c r="A138" s="624"/>
      <c r="B138" s="624"/>
      <c r="C138" s="624"/>
      <c r="D138" s="624"/>
      <c r="E138" s="624"/>
      <c r="F138" s="624"/>
      <c r="G138" s="624"/>
      <c r="H138" s="624"/>
      <c r="I138" s="624"/>
      <c r="J138" s="624"/>
      <c r="K138" s="624"/>
      <c r="L138" s="624"/>
      <c r="M138" s="624"/>
      <c r="N138" s="624"/>
      <c r="O138" s="624"/>
      <c r="P138" s="624"/>
      <c r="Q138" s="624"/>
      <c r="R138" s="624"/>
      <c r="S138" s="624"/>
      <c r="T138" s="624"/>
      <c r="U138" s="624"/>
      <c r="V138" s="624"/>
      <c r="W138" s="624"/>
      <c r="X138" s="624"/>
      <c r="Y138" s="624"/>
      <c r="Z138" s="624"/>
      <c r="AA138" s="658"/>
      <c r="AB138" s="658"/>
      <c r="AC138" s="658"/>
      <c r="AD138" s="658"/>
      <c r="AE138" s="658"/>
      <c r="AF138" s="658"/>
      <c r="AG138" s="658"/>
      <c r="AH138" s="658"/>
      <c r="AI138" s="658"/>
      <c r="AJ138" s="658"/>
      <c r="AK138" s="658"/>
    </row>
    <row r="139" spans="1:37" x14ac:dyDescent="0.25">
      <c r="A139" s="624"/>
      <c r="B139" s="624"/>
      <c r="C139" s="624"/>
      <c r="D139" s="624"/>
      <c r="E139" s="624"/>
      <c r="F139" s="624"/>
      <c r="G139" s="624"/>
      <c r="H139" s="624"/>
      <c r="I139" s="624"/>
      <c r="J139" s="624"/>
      <c r="K139" s="624"/>
      <c r="L139" s="624"/>
      <c r="M139" s="624"/>
      <c r="N139" s="624"/>
      <c r="O139" s="624"/>
      <c r="P139" s="624"/>
      <c r="Q139" s="624"/>
      <c r="R139" s="624"/>
      <c r="S139" s="624"/>
      <c r="T139" s="624"/>
      <c r="U139" s="624"/>
      <c r="V139" s="624"/>
      <c r="W139" s="624"/>
      <c r="X139" s="624"/>
      <c r="Y139" s="624"/>
      <c r="Z139" s="624"/>
      <c r="AA139" s="658"/>
      <c r="AB139" s="658"/>
      <c r="AC139" s="658"/>
      <c r="AD139" s="658"/>
      <c r="AE139" s="658"/>
      <c r="AF139" s="658"/>
      <c r="AG139" s="658"/>
      <c r="AH139" s="658"/>
      <c r="AI139" s="658"/>
      <c r="AJ139" s="658"/>
      <c r="AK139" s="658"/>
    </row>
    <row r="140" spans="1:37" x14ac:dyDescent="0.25">
      <c r="A140" s="624"/>
      <c r="B140" s="624"/>
      <c r="C140" s="624"/>
      <c r="D140" s="624"/>
      <c r="E140" s="624"/>
      <c r="F140" s="624"/>
      <c r="G140" s="624"/>
      <c r="H140" s="624"/>
      <c r="I140" s="624"/>
      <c r="J140" s="624"/>
      <c r="K140" s="624"/>
      <c r="L140" s="624"/>
      <c r="M140" s="624"/>
      <c r="N140" s="624"/>
      <c r="O140" s="624"/>
      <c r="P140" s="624"/>
      <c r="Q140" s="624"/>
      <c r="R140" s="624"/>
      <c r="S140" s="624"/>
      <c r="T140" s="624"/>
      <c r="U140" s="624"/>
      <c r="V140" s="624"/>
      <c r="W140" s="624"/>
      <c r="X140" s="624"/>
      <c r="Y140" s="624"/>
      <c r="Z140" s="624"/>
      <c r="AA140" s="658"/>
      <c r="AB140" s="658"/>
      <c r="AC140" s="658"/>
      <c r="AD140" s="658"/>
      <c r="AE140" s="658"/>
      <c r="AF140" s="658"/>
      <c r="AG140" s="658"/>
      <c r="AH140" s="658"/>
      <c r="AI140" s="658"/>
      <c r="AJ140" s="658"/>
      <c r="AK140" s="658"/>
    </row>
    <row r="141" spans="1:37" x14ac:dyDescent="0.25">
      <c r="A141" s="624"/>
      <c r="B141" s="624"/>
      <c r="C141" s="624"/>
      <c r="D141" s="624"/>
      <c r="E141" s="624"/>
      <c r="F141" s="624"/>
      <c r="G141" s="624"/>
      <c r="H141" s="624"/>
      <c r="I141" s="624"/>
      <c r="J141" s="624"/>
      <c r="K141" s="624"/>
      <c r="L141" s="624"/>
      <c r="M141" s="624"/>
      <c r="N141" s="624"/>
      <c r="O141" s="624"/>
      <c r="P141" s="624"/>
      <c r="Q141" s="624"/>
      <c r="R141" s="624"/>
      <c r="S141" s="624"/>
      <c r="T141" s="624"/>
      <c r="U141" s="624"/>
      <c r="V141" s="624"/>
      <c r="W141" s="624"/>
      <c r="X141" s="624"/>
      <c r="Y141" s="624"/>
      <c r="Z141" s="624"/>
      <c r="AA141" s="658"/>
      <c r="AB141" s="658"/>
      <c r="AC141" s="658"/>
      <c r="AD141" s="658"/>
      <c r="AE141" s="658"/>
      <c r="AF141" s="658"/>
      <c r="AG141" s="658"/>
      <c r="AH141" s="658"/>
      <c r="AI141" s="658"/>
      <c r="AJ141" s="658"/>
      <c r="AK141" s="658"/>
    </row>
    <row r="142" spans="1:37" x14ac:dyDescent="0.25">
      <c r="A142" s="624"/>
      <c r="B142" s="624"/>
      <c r="C142" s="624"/>
      <c r="D142" s="624"/>
      <c r="E142" s="624"/>
      <c r="F142" s="624"/>
      <c r="G142" s="624"/>
      <c r="H142" s="624"/>
      <c r="I142" s="624"/>
      <c r="J142" s="624"/>
      <c r="K142" s="624"/>
      <c r="L142" s="624"/>
      <c r="M142" s="624"/>
      <c r="N142" s="624"/>
      <c r="O142" s="624"/>
      <c r="P142" s="624"/>
      <c r="Q142" s="624"/>
      <c r="R142" s="624"/>
      <c r="S142" s="624"/>
      <c r="T142" s="624"/>
      <c r="U142" s="624"/>
      <c r="V142" s="624"/>
      <c r="W142" s="624"/>
      <c r="X142" s="624"/>
      <c r="Y142" s="624"/>
      <c r="Z142" s="624"/>
      <c r="AA142" s="658"/>
      <c r="AB142" s="658"/>
      <c r="AC142" s="658"/>
      <c r="AD142" s="658"/>
      <c r="AE142" s="658"/>
      <c r="AF142" s="658"/>
      <c r="AG142" s="658"/>
      <c r="AH142" s="658"/>
      <c r="AI142" s="658"/>
      <c r="AJ142" s="658"/>
      <c r="AK142" s="658"/>
    </row>
    <row r="143" spans="1:37" x14ac:dyDescent="0.25">
      <c r="A143" s="624"/>
      <c r="B143" s="624"/>
      <c r="C143" s="624"/>
      <c r="D143" s="624"/>
      <c r="E143" s="624"/>
      <c r="F143" s="624"/>
      <c r="G143" s="624"/>
      <c r="H143" s="624"/>
      <c r="I143" s="624"/>
      <c r="J143" s="624"/>
      <c r="K143" s="624"/>
      <c r="L143" s="624"/>
      <c r="M143" s="624"/>
      <c r="N143" s="624"/>
      <c r="O143" s="624"/>
      <c r="P143" s="624"/>
      <c r="Q143" s="624"/>
      <c r="R143" s="624"/>
      <c r="S143" s="624"/>
      <c r="T143" s="624"/>
      <c r="U143" s="624"/>
      <c r="V143" s="624"/>
      <c r="W143" s="624"/>
      <c r="X143" s="624"/>
      <c r="Y143" s="624"/>
      <c r="Z143" s="624"/>
      <c r="AA143" s="658"/>
      <c r="AB143" s="658"/>
      <c r="AC143" s="658"/>
      <c r="AD143" s="658"/>
      <c r="AE143" s="658"/>
      <c r="AF143" s="658"/>
      <c r="AG143" s="658"/>
      <c r="AH143" s="658"/>
      <c r="AI143" s="658"/>
      <c r="AJ143" s="658"/>
      <c r="AK143" s="658"/>
    </row>
    <row r="144" spans="1:37" x14ac:dyDescent="0.25">
      <c r="A144" s="624"/>
      <c r="B144" s="624"/>
      <c r="C144" s="624"/>
      <c r="D144" s="624"/>
      <c r="E144" s="624"/>
      <c r="F144" s="624"/>
      <c r="G144" s="624"/>
      <c r="H144" s="624"/>
      <c r="I144" s="624"/>
      <c r="J144" s="624"/>
      <c r="K144" s="624"/>
      <c r="L144" s="624"/>
      <c r="M144" s="624"/>
      <c r="N144" s="624"/>
      <c r="O144" s="624"/>
      <c r="P144" s="624"/>
      <c r="Q144" s="624"/>
      <c r="R144" s="624"/>
      <c r="S144" s="624"/>
      <c r="T144" s="624"/>
      <c r="U144" s="624"/>
      <c r="V144" s="624"/>
      <c r="W144" s="624"/>
      <c r="X144" s="624"/>
      <c r="Y144" s="624"/>
      <c r="Z144" s="624"/>
      <c r="AA144" s="658"/>
      <c r="AB144" s="658"/>
      <c r="AC144" s="658"/>
      <c r="AD144" s="658"/>
      <c r="AE144" s="658"/>
      <c r="AF144" s="658"/>
      <c r="AG144" s="658"/>
      <c r="AH144" s="658"/>
      <c r="AI144" s="658"/>
      <c r="AJ144" s="658"/>
      <c r="AK144" s="658"/>
    </row>
    <row r="145" spans="1:37" x14ac:dyDescent="0.25">
      <c r="A145" s="624"/>
      <c r="B145" s="624"/>
      <c r="C145" s="624"/>
      <c r="D145" s="624"/>
      <c r="E145" s="624"/>
      <c r="F145" s="624"/>
      <c r="G145" s="624"/>
      <c r="H145" s="624"/>
      <c r="I145" s="624"/>
      <c r="J145" s="624"/>
      <c r="K145" s="624"/>
      <c r="L145" s="624"/>
      <c r="M145" s="624"/>
      <c r="N145" s="624"/>
      <c r="O145" s="624"/>
      <c r="P145" s="624"/>
      <c r="Q145" s="624"/>
      <c r="R145" s="624"/>
      <c r="S145" s="624"/>
      <c r="T145" s="624"/>
      <c r="U145" s="624"/>
      <c r="V145" s="624"/>
      <c r="W145" s="624"/>
      <c r="X145" s="624"/>
      <c r="Y145" s="624"/>
      <c r="Z145" s="624"/>
      <c r="AA145" s="658"/>
      <c r="AB145" s="658"/>
      <c r="AC145" s="658"/>
      <c r="AD145" s="658"/>
      <c r="AE145" s="658"/>
      <c r="AF145" s="658"/>
      <c r="AG145" s="658"/>
      <c r="AH145" s="658"/>
      <c r="AI145" s="658"/>
      <c r="AJ145" s="658"/>
      <c r="AK145" s="658"/>
    </row>
    <row r="146" spans="1:37" x14ac:dyDescent="0.25">
      <c r="A146" s="624"/>
      <c r="B146" s="624"/>
      <c r="C146" s="624"/>
      <c r="D146" s="624"/>
      <c r="E146" s="624"/>
      <c r="F146" s="624"/>
      <c r="G146" s="624"/>
      <c r="H146" s="624"/>
      <c r="I146" s="624"/>
      <c r="J146" s="624"/>
      <c r="K146" s="624"/>
      <c r="L146" s="624"/>
      <c r="M146" s="624"/>
      <c r="N146" s="624"/>
      <c r="O146" s="624"/>
      <c r="P146" s="624"/>
      <c r="Q146" s="624"/>
      <c r="R146" s="624"/>
      <c r="S146" s="624"/>
      <c r="T146" s="624"/>
      <c r="U146" s="624"/>
      <c r="V146" s="624"/>
      <c r="W146" s="624"/>
      <c r="X146" s="624"/>
      <c r="Y146" s="624"/>
      <c r="Z146" s="624"/>
      <c r="AA146" s="658"/>
      <c r="AB146" s="658"/>
      <c r="AC146" s="658"/>
      <c r="AD146" s="658"/>
      <c r="AE146" s="658"/>
      <c r="AF146" s="658"/>
      <c r="AG146" s="658"/>
      <c r="AH146" s="658"/>
      <c r="AI146" s="658"/>
      <c r="AJ146" s="658"/>
      <c r="AK146" s="658"/>
    </row>
    <row r="147" spans="1:37" x14ac:dyDescent="0.25">
      <c r="A147" s="624"/>
      <c r="B147" s="624"/>
      <c r="C147" s="624"/>
      <c r="D147" s="624"/>
      <c r="E147" s="624"/>
      <c r="F147" s="624"/>
      <c r="G147" s="624"/>
      <c r="H147" s="624"/>
      <c r="I147" s="624"/>
      <c r="J147" s="624"/>
      <c r="K147" s="624"/>
      <c r="L147" s="624"/>
      <c r="M147" s="624"/>
      <c r="N147" s="624"/>
      <c r="O147" s="624"/>
      <c r="P147" s="624"/>
      <c r="Q147" s="624"/>
      <c r="R147" s="624"/>
      <c r="S147" s="624"/>
      <c r="T147" s="624"/>
      <c r="U147" s="624"/>
      <c r="V147" s="624"/>
      <c r="W147" s="624"/>
      <c r="X147" s="624"/>
      <c r="Y147" s="624"/>
      <c r="Z147" s="624"/>
      <c r="AA147" s="658"/>
      <c r="AB147" s="658"/>
      <c r="AC147" s="658"/>
      <c r="AD147" s="658"/>
      <c r="AE147" s="658"/>
      <c r="AF147" s="658"/>
      <c r="AG147" s="658"/>
      <c r="AH147" s="658"/>
      <c r="AI147" s="658"/>
      <c r="AJ147" s="658"/>
      <c r="AK147" s="658"/>
    </row>
    <row r="148" spans="1:37" x14ac:dyDescent="0.25">
      <c r="A148" s="624"/>
      <c r="B148" s="624"/>
      <c r="C148" s="624"/>
      <c r="D148" s="624"/>
      <c r="E148" s="624"/>
      <c r="F148" s="624"/>
      <c r="G148" s="624"/>
      <c r="H148" s="624"/>
      <c r="I148" s="624"/>
      <c r="J148" s="624"/>
      <c r="K148" s="624"/>
      <c r="L148" s="624"/>
      <c r="M148" s="624"/>
      <c r="N148" s="624"/>
      <c r="O148" s="624"/>
      <c r="P148" s="624"/>
      <c r="Q148" s="624"/>
      <c r="R148" s="624"/>
      <c r="S148" s="624"/>
      <c r="T148" s="624"/>
      <c r="U148" s="624"/>
      <c r="V148" s="624"/>
      <c r="W148" s="624"/>
      <c r="X148" s="624"/>
      <c r="Y148" s="624"/>
      <c r="Z148" s="624"/>
      <c r="AA148" s="658"/>
      <c r="AB148" s="658"/>
      <c r="AC148" s="658"/>
      <c r="AD148" s="658"/>
      <c r="AE148" s="658"/>
      <c r="AF148" s="658"/>
      <c r="AG148" s="658"/>
      <c r="AH148" s="658"/>
      <c r="AI148" s="658"/>
      <c r="AJ148" s="658"/>
      <c r="AK148" s="658"/>
    </row>
    <row r="149" spans="1:37" x14ac:dyDescent="0.25">
      <c r="A149" s="624"/>
      <c r="B149" s="624"/>
      <c r="C149" s="624"/>
      <c r="D149" s="624"/>
      <c r="E149" s="624"/>
      <c r="F149" s="624"/>
      <c r="G149" s="624"/>
      <c r="H149" s="624"/>
      <c r="I149" s="624"/>
      <c r="J149" s="624"/>
      <c r="K149" s="624"/>
      <c r="L149" s="624"/>
      <c r="M149" s="624"/>
      <c r="N149" s="624"/>
      <c r="O149" s="624"/>
      <c r="P149" s="624"/>
      <c r="Q149" s="624"/>
      <c r="R149" s="624"/>
      <c r="S149" s="624"/>
      <c r="T149" s="624"/>
      <c r="U149" s="624"/>
      <c r="V149" s="624"/>
      <c r="W149" s="624"/>
      <c r="X149" s="624"/>
      <c r="Y149" s="624"/>
      <c r="Z149" s="624"/>
      <c r="AA149" s="658"/>
      <c r="AB149" s="658"/>
      <c r="AC149" s="658"/>
      <c r="AD149" s="658"/>
      <c r="AE149" s="658"/>
      <c r="AF149" s="658"/>
      <c r="AG149" s="658"/>
      <c r="AH149" s="658"/>
      <c r="AI149" s="658"/>
      <c r="AJ149" s="658"/>
      <c r="AK149" s="658"/>
    </row>
    <row r="150" spans="1:37" x14ac:dyDescent="0.25">
      <c r="A150" s="624"/>
      <c r="B150" s="624"/>
      <c r="C150" s="624"/>
      <c r="D150" s="624"/>
      <c r="E150" s="624"/>
      <c r="F150" s="624"/>
      <c r="G150" s="624"/>
      <c r="H150" s="624"/>
      <c r="I150" s="624"/>
      <c r="J150" s="624"/>
      <c r="K150" s="624"/>
      <c r="L150" s="624"/>
      <c r="M150" s="624"/>
      <c r="N150" s="624"/>
      <c r="O150" s="624"/>
      <c r="P150" s="624"/>
      <c r="Q150" s="624"/>
      <c r="R150" s="624"/>
      <c r="S150" s="624"/>
      <c r="T150" s="624"/>
      <c r="U150" s="624"/>
      <c r="V150" s="624"/>
      <c r="W150" s="624"/>
      <c r="X150" s="624"/>
      <c r="Y150" s="624"/>
      <c r="Z150" s="624"/>
      <c r="AA150" s="658"/>
      <c r="AB150" s="658"/>
      <c r="AC150" s="658"/>
      <c r="AD150" s="658"/>
      <c r="AE150" s="658"/>
      <c r="AF150" s="658"/>
      <c r="AG150" s="658"/>
      <c r="AH150" s="658"/>
      <c r="AI150" s="658"/>
      <c r="AJ150" s="658"/>
      <c r="AK150" s="658"/>
    </row>
    <row r="151" spans="1:37" x14ac:dyDescent="0.25">
      <c r="A151" s="624"/>
      <c r="B151" s="624"/>
      <c r="C151" s="624"/>
      <c r="D151" s="624"/>
      <c r="E151" s="624"/>
      <c r="F151" s="624"/>
      <c r="G151" s="624"/>
      <c r="H151" s="624"/>
      <c r="I151" s="624"/>
      <c r="J151" s="624"/>
      <c r="K151" s="624"/>
      <c r="L151" s="624"/>
      <c r="M151" s="624"/>
      <c r="N151" s="624"/>
      <c r="O151" s="624"/>
      <c r="P151" s="624"/>
      <c r="Q151" s="624"/>
      <c r="R151" s="624"/>
      <c r="S151" s="624"/>
      <c r="T151" s="624"/>
      <c r="U151" s="624"/>
      <c r="V151" s="624"/>
      <c r="W151" s="624"/>
      <c r="X151" s="624"/>
      <c r="Y151" s="624"/>
      <c r="Z151" s="624"/>
      <c r="AA151" s="658"/>
      <c r="AB151" s="658"/>
      <c r="AC151" s="658"/>
      <c r="AD151" s="658"/>
      <c r="AE151" s="658"/>
      <c r="AF151" s="658"/>
      <c r="AG151" s="658"/>
      <c r="AH151" s="658"/>
      <c r="AI151" s="658"/>
      <c r="AJ151" s="658"/>
      <c r="AK151" s="658"/>
    </row>
    <row r="152" spans="1:37" x14ac:dyDescent="0.25">
      <c r="A152" s="624"/>
      <c r="B152" s="624"/>
      <c r="C152" s="624"/>
      <c r="D152" s="624"/>
      <c r="E152" s="624"/>
      <c r="F152" s="624"/>
      <c r="G152" s="624"/>
      <c r="H152" s="624"/>
      <c r="I152" s="624"/>
      <c r="J152" s="624"/>
      <c r="K152" s="624"/>
      <c r="L152" s="624"/>
      <c r="M152" s="624"/>
      <c r="N152" s="624"/>
      <c r="O152" s="624"/>
      <c r="P152" s="624"/>
      <c r="Q152" s="624"/>
      <c r="R152" s="624"/>
      <c r="S152" s="624"/>
      <c r="T152" s="624"/>
      <c r="U152" s="624"/>
      <c r="V152" s="624"/>
      <c r="W152" s="624"/>
      <c r="X152" s="624"/>
      <c r="Y152" s="624"/>
      <c r="Z152" s="624"/>
      <c r="AA152" s="658"/>
      <c r="AB152" s="658"/>
      <c r="AC152" s="658"/>
      <c r="AD152" s="658"/>
      <c r="AE152" s="658"/>
      <c r="AF152" s="658"/>
      <c r="AG152" s="658"/>
      <c r="AH152" s="658"/>
      <c r="AI152" s="658"/>
      <c r="AJ152" s="658"/>
      <c r="AK152" s="658"/>
    </row>
    <row r="153" spans="1:37" x14ac:dyDescent="0.25">
      <c r="A153" s="624"/>
      <c r="B153" s="624"/>
      <c r="C153" s="624"/>
      <c r="D153" s="624"/>
      <c r="E153" s="624"/>
      <c r="F153" s="624"/>
      <c r="G153" s="624"/>
      <c r="H153" s="624"/>
      <c r="I153" s="624"/>
      <c r="J153" s="624"/>
      <c r="K153" s="624"/>
      <c r="L153" s="624"/>
      <c r="M153" s="624"/>
      <c r="N153" s="624"/>
      <c r="O153" s="624"/>
      <c r="P153" s="624"/>
      <c r="Q153" s="624"/>
      <c r="R153" s="624"/>
      <c r="S153" s="624"/>
      <c r="T153" s="624"/>
      <c r="U153" s="624"/>
      <c r="V153" s="624"/>
      <c r="W153" s="624"/>
      <c r="X153" s="624"/>
      <c r="Y153" s="624"/>
      <c r="Z153" s="624"/>
      <c r="AA153" s="658"/>
      <c r="AB153" s="658"/>
      <c r="AC153" s="658"/>
      <c r="AD153" s="658"/>
      <c r="AE153" s="658"/>
      <c r="AF153" s="658"/>
      <c r="AG153" s="658"/>
      <c r="AH153" s="658"/>
      <c r="AI153" s="658"/>
      <c r="AJ153" s="658"/>
      <c r="AK153" s="658"/>
    </row>
    <row r="154" spans="1:37" x14ac:dyDescent="0.25">
      <c r="A154" s="624"/>
      <c r="B154" s="624"/>
      <c r="C154" s="624"/>
      <c r="D154" s="624"/>
      <c r="E154" s="624"/>
      <c r="F154" s="624"/>
      <c r="G154" s="624"/>
      <c r="H154" s="624"/>
      <c r="I154" s="624"/>
      <c r="J154" s="624"/>
      <c r="K154" s="624"/>
      <c r="L154" s="624"/>
      <c r="M154" s="624"/>
      <c r="N154" s="624"/>
      <c r="O154" s="624"/>
      <c r="P154" s="624"/>
      <c r="Q154" s="624"/>
      <c r="R154" s="624"/>
      <c r="S154" s="624"/>
      <c r="T154" s="624"/>
      <c r="U154" s="624"/>
      <c r="V154" s="624"/>
      <c r="W154" s="624"/>
      <c r="X154" s="624"/>
      <c r="Y154" s="624"/>
      <c r="Z154" s="624"/>
      <c r="AA154" s="658"/>
      <c r="AB154" s="658"/>
      <c r="AC154" s="658"/>
      <c r="AD154" s="658"/>
      <c r="AE154" s="658"/>
      <c r="AF154" s="658"/>
      <c r="AG154" s="658"/>
      <c r="AH154" s="658"/>
      <c r="AI154" s="658"/>
      <c r="AJ154" s="658"/>
      <c r="AK154" s="658"/>
    </row>
    <row r="155" spans="1:37" x14ac:dyDescent="0.25">
      <c r="A155" s="624"/>
      <c r="B155" s="624"/>
      <c r="C155" s="624"/>
      <c r="D155" s="624"/>
      <c r="E155" s="624"/>
      <c r="F155" s="624"/>
      <c r="G155" s="624"/>
      <c r="H155" s="624"/>
      <c r="I155" s="624"/>
      <c r="J155" s="624"/>
      <c r="K155" s="624"/>
      <c r="L155" s="624"/>
      <c r="M155" s="624"/>
      <c r="N155" s="624"/>
      <c r="O155" s="624"/>
      <c r="P155" s="624"/>
      <c r="Q155" s="624"/>
      <c r="R155" s="624"/>
      <c r="S155" s="624"/>
      <c r="T155" s="624"/>
      <c r="U155" s="624"/>
      <c r="V155" s="624"/>
      <c r="W155" s="624"/>
      <c r="X155" s="624"/>
      <c r="Y155" s="624"/>
      <c r="Z155" s="624"/>
      <c r="AA155" s="658"/>
      <c r="AB155" s="658"/>
      <c r="AC155" s="658"/>
      <c r="AD155" s="658"/>
      <c r="AE155" s="658"/>
      <c r="AF155" s="658"/>
      <c r="AG155" s="658"/>
      <c r="AH155" s="658"/>
      <c r="AI155" s="658"/>
      <c r="AJ155" s="658"/>
      <c r="AK155" s="658"/>
    </row>
    <row r="156" spans="1:37" x14ac:dyDescent="0.25">
      <c r="A156" s="624"/>
      <c r="B156" s="624"/>
      <c r="C156" s="624"/>
      <c r="D156" s="624"/>
      <c r="E156" s="624"/>
      <c r="F156" s="624"/>
      <c r="G156" s="624"/>
      <c r="H156" s="624"/>
      <c r="I156" s="624"/>
      <c r="J156" s="624"/>
      <c r="K156" s="624"/>
      <c r="L156" s="624"/>
      <c r="M156" s="624"/>
      <c r="N156" s="624"/>
      <c r="O156" s="624"/>
      <c r="P156" s="624"/>
      <c r="Q156" s="624"/>
      <c r="R156" s="624"/>
      <c r="S156" s="624"/>
      <c r="T156" s="624"/>
      <c r="U156" s="624"/>
      <c r="V156" s="624"/>
      <c r="W156" s="624"/>
      <c r="X156" s="624"/>
      <c r="Y156" s="624"/>
      <c r="Z156" s="624"/>
      <c r="AA156" s="658"/>
      <c r="AB156" s="658"/>
      <c r="AC156" s="658"/>
      <c r="AD156" s="658"/>
      <c r="AE156" s="658"/>
      <c r="AF156" s="658"/>
      <c r="AG156" s="658"/>
      <c r="AH156" s="658"/>
      <c r="AI156" s="658"/>
      <c r="AJ156" s="658"/>
      <c r="AK156" s="658"/>
    </row>
    <row r="157" spans="1:37" x14ac:dyDescent="0.25">
      <c r="A157" s="624"/>
      <c r="B157" s="624"/>
      <c r="C157" s="624"/>
      <c r="D157" s="624"/>
      <c r="E157" s="624"/>
      <c r="F157" s="624"/>
      <c r="G157" s="624"/>
      <c r="H157" s="624"/>
      <c r="I157" s="624"/>
      <c r="J157" s="624"/>
      <c r="K157" s="624"/>
      <c r="L157" s="624"/>
      <c r="M157" s="624"/>
      <c r="N157" s="624"/>
      <c r="O157" s="624"/>
      <c r="P157" s="624"/>
      <c r="Q157" s="624"/>
      <c r="R157" s="624"/>
      <c r="S157" s="624"/>
      <c r="T157" s="624"/>
      <c r="U157" s="624"/>
      <c r="V157" s="624"/>
      <c r="W157" s="624"/>
      <c r="X157" s="624"/>
      <c r="Y157" s="624"/>
      <c r="Z157" s="624"/>
      <c r="AA157" s="658"/>
      <c r="AB157" s="658"/>
      <c r="AC157" s="658"/>
      <c r="AD157" s="658"/>
      <c r="AE157" s="658"/>
      <c r="AF157" s="658"/>
      <c r="AG157" s="658"/>
      <c r="AH157" s="658"/>
      <c r="AI157" s="658"/>
      <c r="AJ157" s="658"/>
      <c r="AK157" s="658"/>
    </row>
    <row r="158" spans="1:37" x14ac:dyDescent="0.25">
      <c r="A158" s="624"/>
      <c r="B158" s="624"/>
      <c r="C158" s="624"/>
      <c r="D158" s="624"/>
      <c r="E158" s="624"/>
      <c r="F158" s="624"/>
      <c r="G158" s="624"/>
      <c r="H158" s="624"/>
      <c r="I158" s="624"/>
      <c r="J158" s="624"/>
      <c r="K158" s="624"/>
      <c r="L158" s="624"/>
      <c r="M158" s="624"/>
      <c r="N158" s="624"/>
      <c r="O158" s="624"/>
      <c r="P158" s="624"/>
      <c r="Q158" s="624"/>
      <c r="R158" s="624"/>
      <c r="S158" s="624"/>
      <c r="T158" s="624"/>
      <c r="U158" s="624"/>
      <c r="V158" s="624"/>
      <c r="W158" s="624"/>
      <c r="X158" s="624"/>
      <c r="Y158" s="624"/>
      <c r="Z158" s="624"/>
      <c r="AA158" s="658"/>
      <c r="AB158" s="658"/>
      <c r="AC158" s="658"/>
      <c r="AD158" s="658"/>
      <c r="AE158" s="658"/>
      <c r="AF158" s="658"/>
      <c r="AG158" s="658"/>
      <c r="AH158" s="658"/>
      <c r="AI158" s="658"/>
      <c r="AJ158" s="658"/>
      <c r="AK158" s="658"/>
    </row>
    <row r="159" spans="1:37" x14ac:dyDescent="0.25">
      <c r="A159" s="624"/>
      <c r="B159" s="624"/>
      <c r="C159" s="624"/>
      <c r="D159" s="624"/>
      <c r="E159" s="624"/>
      <c r="F159" s="624"/>
      <c r="G159" s="624"/>
      <c r="H159" s="624"/>
      <c r="I159" s="624"/>
      <c r="J159" s="624"/>
      <c r="K159" s="624"/>
      <c r="L159" s="624"/>
      <c r="M159" s="624"/>
      <c r="N159" s="624"/>
      <c r="O159" s="624"/>
      <c r="P159" s="624"/>
      <c r="Q159" s="624"/>
      <c r="R159" s="624"/>
      <c r="S159" s="624"/>
      <c r="T159" s="624"/>
      <c r="U159" s="624"/>
      <c r="V159" s="624"/>
      <c r="W159" s="624"/>
      <c r="X159" s="624"/>
      <c r="Y159" s="624"/>
      <c r="Z159" s="624"/>
      <c r="AA159" s="658"/>
      <c r="AB159" s="658"/>
      <c r="AC159" s="658"/>
      <c r="AD159" s="658"/>
      <c r="AE159" s="658"/>
      <c r="AF159" s="658"/>
      <c r="AG159" s="658"/>
      <c r="AH159" s="658"/>
      <c r="AI159" s="658"/>
      <c r="AJ159" s="658"/>
      <c r="AK159" s="658"/>
    </row>
    <row r="160" spans="1:37" x14ac:dyDescent="0.25">
      <c r="A160" s="624"/>
      <c r="B160" s="624"/>
      <c r="C160" s="624"/>
      <c r="D160" s="624"/>
      <c r="E160" s="624"/>
      <c r="F160" s="624"/>
      <c r="G160" s="624"/>
      <c r="H160" s="624"/>
      <c r="I160" s="624"/>
      <c r="J160" s="624"/>
      <c r="K160" s="624"/>
      <c r="L160" s="624"/>
      <c r="M160" s="624"/>
      <c r="N160" s="624"/>
      <c r="O160" s="624"/>
      <c r="P160" s="624"/>
      <c r="Q160" s="624"/>
      <c r="R160" s="624"/>
      <c r="S160" s="624"/>
      <c r="T160" s="624"/>
      <c r="U160" s="624"/>
      <c r="V160" s="624"/>
      <c r="W160" s="624"/>
      <c r="X160" s="624"/>
      <c r="Y160" s="624"/>
      <c r="Z160" s="624"/>
      <c r="AA160" s="658"/>
      <c r="AB160" s="658"/>
      <c r="AC160" s="658"/>
      <c r="AD160" s="658"/>
      <c r="AE160" s="658"/>
      <c r="AF160" s="658"/>
      <c r="AG160" s="658"/>
      <c r="AH160" s="658"/>
      <c r="AI160" s="658"/>
      <c r="AJ160" s="658"/>
      <c r="AK160" s="658"/>
    </row>
    <row r="161" spans="1:37" x14ac:dyDescent="0.25">
      <c r="A161" s="624"/>
      <c r="B161" s="624"/>
      <c r="C161" s="624"/>
      <c r="D161" s="624"/>
      <c r="E161" s="624"/>
      <c r="F161" s="624"/>
      <c r="G161" s="624"/>
      <c r="H161" s="624"/>
      <c r="I161" s="624"/>
      <c r="J161" s="624"/>
      <c r="K161" s="624"/>
      <c r="L161" s="624"/>
      <c r="M161" s="624"/>
      <c r="N161" s="624"/>
      <c r="O161" s="624"/>
      <c r="P161" s="624"/>
      <c r="Q161" s="624"/>
      <c r="R161" s="624"/>
      <c r="S161" s="624"/>
      <c r="T161" s="624"/>
      <c r="U161" s="624"/>
      <c r="V161" s="624"/>
      <c r="W161" s="624"/>
      <c r="X161" s="624"/>
      <c r="Y161" s="624"/>
      <c r="Z161" s="624"/>
      <c r="AA161" s="658"/>
      <c r="AB161" s="658"/>
      <c r="AC161" s="658"/>
      <c r="AD161" s="658"/>
      <c r="AE161" s="658"/>
      <c r="AF161" s="658"/>
      <c r="AG161" s="658"/>
      <c r="AH161" s="658"/>
      <c r="AI161" s="658"/>
      <c r="AJ161" s="658"/>
      <c r="AK161" s="658"/>
    </row>
    <row r="162" spans="1:37" x14ac:dyDescent="0.25">
      <c r="A162" s="624"/>
      <c r="B162" s="624"/>
      <c r="C162" s="624"/>
      <c r="D162" s="624"/>
      <c r="E162" s="624"/>
      <c r="F162" s="624"/>
      <c r="G162" s="624"/>
      <c r="H162" s="624"/>
      <c r="I162" s="624"/>
      <c r="J162" s="624"/>
      <c r="K162" s="624"/>
      <c r="L162" s="624"/>
      <c r="M162" s="624"/>
      <c r="N162" s="624"/>
      <c r="O162" s="624"/>
      <c r="P162" s="624"/>
      <c r="Q162" s="624"/>
      <c r="R162" s="624"/>
      <c r="S162" s="624"/>
      <c r="T162" s="624"/>
      <c r="U162" s="624"/>
      <c r="V162" s="624"/>
      <c r="W162" s="624"/>
      <c r="X162" s="624"/>
      <c r="Y162" s="624"/>
      <c r="Z162" s="624"/>
      <c r="AA162" s="658"/>
      <c r="AB162" s="658"/>
      <c r="AC162" s="658"/>
      <c r="AD162" s="658"/>
      <c r="AE162" s="658"/>
      <c r="AF162" s="658"/>
      <c r="AG162" s="658"/>
      <c r="AH162" s="658"/>
      <c r="AI162" s="658"/>
      <c r="AJ162" s="658"/>
      <c r="AK162" s="658"/>
    </row>
    <row r="163" spans="1:37" x14ac:dyDescent="0.25">
      <c r="A163" s="624"/>
      <c r="B163" s="624"/>
      <c r="C163" s="624"/>
      <c r="D163" s="624"/>
      <c r="E163" s="624"/>
      <c r="F163" s="624"/>
      <c r="G163" s="624"/>
      <c r="H163" s="624"/>
      <c r="I163" s="624"/>
      <c r="J163" s="624"/>
      <c r="K163" s="624"/>
      <c r="L163" s="624"/>
      <c r="M163" s="624"/>
      <c r="N163" s="624"/>
      <c r="O163" s="624"/>
      <c r="P163" s="624"/>
      <c r="Q163" s="624"/>
      <c r="R163" s="624"/>
      <c r="S163" s="624"/>
      <c r="T163" s="624"/>
      <c r="U163" s="624"/>
      <c r="V163" s="624"/>
      <c r="W163" s="624"/>
      <c r="X163" s="624"/>
      <c r="Y163" s="624"/>
      <c r="Z163" s="624"/>
      <c r="AA163" s="658"/>
      <c r="AB163" s="658"/>
      <c r="AC163" s="658"/>
      <c r="AD163" s="658"/>
      <c r="AE163" s="658"/>
      <c r="AF163" s="658"/>
      <c r="AG163" s="658"/>
      <c r="AH163" s="658"/>
      <c r="AI163" s="658"/>
      <c r="AJ163" s="658"/>
      <c r="AK163" s="658"/>
    </row>
    <row r="164" spans="1:37" x14ac:dyDescent="0.25">
      <c r="A164" s="624"/>
      <c r="B164" s="624"/>
      <c r="C164" s="624"/>
      <c r="D164" s="624"/>
      <c r="E164" s="624"/>
      <c r="F164" s="624"/>
      <c r="G164" s="624"/>
      <c r="H164" s="624"/>
      <c r="I164" s="624"/>
      <c r="J164" s="624"/>
      <c r="K164" s="624"/>
      <c r="L164" s="624"/>
      <c r="M164" s="624"/>
      <c r="N164" s="624"/>
      <c r="O164" s="624"/>
      <c r="P164" s="624"/>
      <c r="Q164" s="624"/>
      <c r="R164" s="624"/>
      <c r="S164" s="624"/>
      <c r="T164" s="624"/>
      <c r="U164" s="624"/>
      <c r="V164" s="624"/>
      <c r="W164" s="624"/>
      <c r="X164" s="624"/>
      <c r="Y164" s="624"/>
      <c r="Z164" s="624"/>
      <c r="AA164" s="658"/>
      <c r="AB164" s="658"/>
      <c r="AC164" s="658"/>
      <c r="AD164" s="658"/>
      <c r="AE164" s="658"/>
      <c r="AF164" s="658"/>
      <c r="AG164" s="658"/>
      <c r="AH164" s="658"/>
      <c r="AI164" s="658"/>
      <c r="AJ164" s="658"/>
      <c r="AK164" s="658"/>
    </row>
    <row r="165" spans="1:37" x14ac:dyDescent="0.25">
      <c r="A165" s="624"/>
      <c r="B165" s="624"/>
      <c r="C165" s="624"/>
      <c r="D165" s="624"/>
      <c r="E165" s="624"/>
      <c r="F165" s="624"/>
      <c r="G165" s="624"/>
      <c r="H165" s="624"/>
      <c r="I165" s="624"/>
      <c r="J165" s="624"/>
      <c r="K165" s="624"/>
      <c r="L165" s="624"/>
      <c r="M165" s="624"/>
      <c r="N165" s="624"/>
      <c r="O165" s="624"/>
      <c r="P165" s="624"/>
      <c r="Q165" s="624"/>
      <c r="R165" s="624"/>
      <c r="S165" s="624"/>
      <c r="T165" s="624"/>
      <c r="U165" s="624"/>
      <c r="V165" s="624"/>
      <c r="W165" s="624"/>
      <c r="X165" s="624"/>
      <c r="Y165" s="624"/>
      <c r="Z165" s="624"/>
      <c r="AA165" s="658"/>
      <c r="AB165" s="658"/>
      <c r="AC165" s="658"/>
      <c r="AD165" s="658"/>
      <c r="AE165" s="658"/>
      <c r="AF165" s="658"/>
      <c r="AG165" s="658"/>
      <c r="AH165" s="658"/>
      <c r="AI165" s="658"/>
      <c r="AJ165" s="658"/>
      <c r="AK165" s="658"/>
    </row>
    <row r="166" spans="1:37" x14ac:dyDescent="0.25">
      <c r="A166" s="624"/>
      <c r="B166" s="624"/>
      <c r="C166" s="624"/>
      <c r="D166" s="624"/>
      <c r="E166" s="624"/>
      <c r="F166" s="624"/>
      <c r="G166" s="624"/>
      <c r="H166" s="624"/>
      <c r="I166" s="624"/>
      <c r="J166" s="624"/>
      <c r="K166" s="624"/>
      <c r="L166" s="624"/>
      <c r="M166" s="624"/>
      <c r="N166" s="624"/>
      <c r="O166" s="624"/>
      <c r="P166" s="624"/>
      <c r="Q166" s="624"/>
      <c r="R166" s="624"/>
      <c r="S166" s="624"/>
      <c r="T166" s="624"/>
      <c r="U166" s="624"/>
      <c r="V166" s="624"/>
      <c r="W166" s="624"/>
      <c r="X166" s="624"/>
      <c r="Y166" s="624"/>
      <c r="Z166" s="624"/>
      <c r="AA166" s="658"/>
      <c r="AB166" s="658"/>
      <c r="AC166" s="658"/>
      <c r="AD166" s="658"/>
      <c r="AE166" s="658"/>
      <c r="AF166" s="658"/>
      <c r="AG166" s="658"/>
      <c r="AH166" s="658"/>
      <c r="AI166" s="658"/>
      <c r="AJ166" s="658"/>
      <c r="AK166" s="658"/>
    </row>
    <row r="167" spans="1:37" x14ac:dyDescent="0.25">
      <c r="A167" s="624"/>
      <c r="B167" s="624"/>
      <c r="C167" s="624"/>
      <c r="D167" s="624"/>
      <c r="E167" s="624"/>
      <c r="F167" s="624"/>
      <c r="G167" s="624"/>
      <c r="H167" s="624"/>
      <c r="I167" s="624"/>
      <c r="J167" s="624"/>
      <c r="K167" s="624"/>
      <c r="L167" s="624"/>
      <c r="M167" s="624"/>
      <c r="N167" s="624"/>
      <c r="O167" s="624"/>
      <c r="P167" s="624"/>
      <c r="Q167" s="624"/>
      <c r="R167" s="624"/>
      <c r="S167" s="624"/>
      <c r="T167" s="624"/>
      <c r="U167" s="624"/>
      <c r="V167" s="624"/>
      <c r="W167" s="624"/>
      <c r="X167" s="624"/>
      <c r="Y167" s="624"/>
      <c r="Z167" s="624"/>
      <c r="AA167" s="658"/>
      <c r="AB167" s="658"/>
      <c r="AC167" s="658"/>
      <c r="AD167" s="658"/>
      <c r="AE167" s="658"/>
      <c r="AF167" s="658"/>
      <c r="AG167" s="658"/>
      <c r="AH167" s="658"/>
      <c r="AI167" s="658"/>
      <c r="AJ167" s="658"/>
      <c r="AK167" s="658"/>
    </row>
    <row r="168" spans="1:37" x14ac:dyDescent="0.25">
      <c r="A168" s="624"/>
      <c r="B168" s="624"/>
      <c r="C168" s="624"/>
      <c r="D168" s="624"/>
      <c r="E168" s="624"/>
      <c r="F168" s="624"/>
      <c r="G168" s="624"/>
      <c r="H168" s="624"/>
      <c r="I168" s="624"/>
      <c r="J168" s="624"/>
      <c r="K168" s="624"/>
      <c r="L168" s="624"/>
      <c r="M168" s="624"/>
      <c r="N168" s="624"/>
      <c r="O168" s="624"/>
      <c r="P168" s="624"/>
      <c r="Q168" s="624"/>
      <c r="R168" s="624"/>
      <c r="S168" s="624"/>
      <c r="T168" s="624"/>
      <c r="U168" s="624"/>
      <c r="V168" s="624"/>
      <c r="W168" s="624"/>
      <c r="X168" s="624"/>
      <c r="Y168" s="624"/>
      <c r="Z168" s="624"/>
      <c r="AA168" s="658"/>
      <c r="AB168" s="658"/>
      <c r="AC168" s="658"/>
      <c r="AD168" s="658"/>
      <c r="AE168" s="658"/>
      <c r="AF168" s="658"/>
      <c r="AG168" s="658"/>
      <c r="AH168" s="658"/>
      <c r="AI168" s="658"/>
      <c r="AJ168" s="658"/>
      <c r="AK168" s="658"/>
    </row>
    <row r="169" spans="1:37" x14ac:dyDescent="0.25">
      <c r="A169" s="624"/>
      <c r="B169" s="624"/>
      <c r="C169" s="624"/>
      <c r="D169" s="624"/>
      <c r="E169" s="624"/>
      <c r="F169" s="624"/>
      <c r="G169" s="624"/>
      <c r="H169" s="624"/>
      <c r="I169" s="624"/>
      <c r="J169" s="624"/>
      <c r="K169" s="624"/>
      <c r="L169" s="624"/>
      <c r="M169" s="624"/>
      <c r="N169" s="624"/>
      <c r="O169" s="624"/>
      <c r="P169" s="624"/>
      <c r="Q169" s="624"/>
      <c r="R169" s="624"/>
      <c r="S169" s="624"/>
      <c r="T169" s="624"/>
      <c r="U169" s="624"/>
      <c r="V169" s="624"/>
      <c r="W169" s="624"/>
      <c r="X169" s="624"/>
      <c r="Y169" s="624"/>
      <c r="Z169" s="624"/>
      <c r="AA169" s="658"/>
      <c r="AB169" s="658"/>
      <c r="AC169" s="658"/>
      <c r="AD169" s="658"/>
      <c r="AE169" s="658"/>
      <c r="AF169" s="658"/>
      <c r="AG169" s="658"/>
      <c r="AH169" s="658"/>
      <c r="AI169" s="658"/>
      <c r="AJ169" s="658"/>
      <c r="AK169" s="658"/>
    </row>
    <row r="170" spans="1:37" x14ac:dyDescent="0.25">
      <c r="A170" s="624"/>
      <c r="B170" s="624"/>
      <c r="C170" s="624"/>
      <c r="D170" s="624"/>
      <c r="E170" s="624"/>
      <c r="F170" s="624"/>
      <c r="G170" s="624"/>
      <c r="H170" s="624"/>
      <c r="I170" s="624"/>
      <c r="J170" s="624"/>
      <c r="K170" s="624"/>
      <c r="L170" s="624"/>
      <c r="M170" s="624"/>
      <c r="N170" s="624"/>
      <c r="O170" s="624"/>
      <c r="P170" s="624"/>
      <c r="Q170" s="624"/>
      <c r="R170" s="624"/>
      <c r="S170" s="624"/>
      <c r="T170" s="624"/>
      <c r="U170" s="624"/>
      <c r="V170" s="624"/>
      <c r="W170" s="624"/>
      <c r="X170" s="624"/>
      <c r="Y170" s="624"/>
      <c r="Z170" s="624"/>
      <c r="AA170" s="658"/>
      <c r="AB170" s="658"/>
      <c r="AC170" s="658"/>
      <c r="AD170" s="658"/>
      <c r="AE170" s="658"/>
      <c r="AF170" s="658"/>
      <c r="AG170" s="658"/>
      <c r="AH170" s="658"/>
      <c r="AI170" s="658"/>
      <c r="AJ170" s="658"/>
      <c r="AK170" s="658"/>
    </row>
    <row r="171" spans="1:37" x14ac:dyDescent="0.25">
      <c r="A171" s="624"/>
      <c r="B171" s="624"/>
      <c r="C171" s="624"/>
      <c r="D171" s="624"/>
      <c r="E171" s="624"/>
      <c r="F171" s="624"/>
      <c r="G171" s="624"/>
      <c r="H171" s="624"/>
      <c r="I171" s="624"/>
      <c r="J171" s="624"/>
      <c r="K171" s="624"/>
      <c r="L171" s="624"/>
      <c r="M171" s="624"/>
      <c r="N171" s="624"/>
      <c r="O171" s="624"/>
      <c r="P171" s="624"/>
      <c r="Q171" s="624"/>
      <c r="R171" s="624"/>
      <c r="S171" s="624"/>
      <c r="T171" s="624"/>
      <c r="U171" s="624"/>
      <c r="V171" s="624"/>
      <c r="W171" s="624"/>
      <c r="X171" s="624"/>
      <c r="Y171" s="624"/>
      <c r="Z171" s="624"/>
      <c r="AA171" s="658"/>
      <c r="AB171" s="658"/>
      <c r="AC171" s="658"/>
      <c r="AD171" s="658"/>
      <c r="AE171" s="658"/>
      <c r="AF171" s="658"/>
      <c r="AG171" s="658"/>
      <c r="AH171" s="658"/>
      <c r="AI171" s="658"/>
      <c r="AJ171" s="658"/>
      <c r="AK171" s="658"/>
    </row>
    <row r="172" spans="1:37" x14ac:dyDescent="0.25">
      <c r="A172" s="624"/>
      <c r="B172" s="624"/>
      <c r="C172" s="624"/>
      <c r="D172" s="624"/>
      <c r="E172" s="624"/>
      <c r="F172" s="624"/>
      <c r="G172" s="624"/>
      <c r="H172" s="624"/>
      <c r="I172" s="624"/>
      <c r="J172" s="624"/>
      <c r="K172" s="624"/>
      <c r="L172" s="624"/>
      <c r="M172" s="624"/>
      <c r="N172" s="624"/>
      <c r="O172" s="624"/>
      <c r="P172" s="624"/>
      <c r="Q172" s="624"/>
      <c r="R172" s="624"/>
      <c r="S172" s="624"/>
      <c r="T172" s="624"/>
      <c r="U172" s="624"/>
      <c r="V172" s="624"/>
      <c r="W172" s="624"/>
      <c r="X172" s="624"/>
      <c r="Y172" s="624"/>
      <c r="Z172" s="624"/>
      <c r="AA172" s="658"/>
      <c r="AB172" s="658"/>
      <c r="AC172" s="658"/>
      <c r="AD172" s="658"/>
      <c r="AE172" s="658"/>
      <c r="AF172" s="658"/>
      <c r="AG172" s="658"/>
      <c r="AH172" s="658"/>
      <c r="AI172" s="658"/>
      <c r="AJ172" s="658"/>
      <c r="AK172" s="658"/>
    </row>
    <row r="173" spans="1:37" x14ac:dyDescent="0.25">
      <c r="A173" s="624"/>
      <c r="B173" s="624"/>
      <c r="C173" s="624"/>
      <c r="D173" s="624"/>
      <c r="E173" s="624"/>
      <c r="F173" s="624"/>
      <c r="G173" s="624"/>
      <c r="H173" s="624"/>
      <c r="I173" s="624"/>
      <c r="J173" s="624"/>
      <c r="K173" s="624"/>
      <c r="L173" s="624"/>
      <c r="M173" s="624"/>
      <c r="N173" s="624"/>
      <c r="O173" s="624"/>
      <c r="P173" s="624"/>
      <c r="Q173" s="624"/>
      <c r="R173" s="624"/>
      <c r="S173" s="624"/>
      <c r="T173" s="624"/>
      <c r="U173" s="624"/>
      <c r="V173" s="624"/>
      <c r="W173" s="624"/>
      <c r="X173" s="624"/>
      <c r="Y173" s="624"/>
      <c r="Z173" s="624"/>
      <c r="AA173" s="658"/>
      <c r="AB173" s="658"/>
      <c r="AC173" s="658"/>
      <c r="AD173" s="658"/>
      <c r="AE173" s="658"/>
      <c r="AF173" s="658"/>
      <c r="AG173" s="658"/>
      <c r="AH173" s="658"/>
      <c r="AI173" s="658"/>
      <c r="AJ173" s="658"/>
      <c r="AK173" s="658"/>
    </row>
    <row r="174" spans="1:37" x14ac:dyDescent="0.25">
      <c r="A174" s="624"/>
      <c r="B174" s="624"/>
      <c r="C174" s="624"/>
      <c r="D174" s="624"/>
      <c r="E174" s="624"/>
      <c r="F174" s="624"/>
      <c r="G174" s="624"/>
      <c r="H174" s="624"/>
      <c r="I174" s="624"/>
      <c r="J174" s="624"/>
      <c r="K174" s="624"/>
      <c r="L174" s="624"/>
      <c r="M174" s="624"/>
      <c r="N174" s="624"/>
      <c r="O174" s="624"/>
      <c r="P174" s="624"/>
      <c r="Q174" s="624"/>
      <c r="R174" s="624"/>
      <c r="S174" s="624"/>
      <c r="T174" s="624"/>
      <c r="U174" s="624"/>
      <c r="V174" s="624"/>
      <c r="W174" s="624"/>
      <c r="X174" s="624"/>
      <c r="Y174" s="624"/>
      <c r="Z174" s="624"/>
      <c r="AA174" s="658"/>
      <c r="AB174" s="658"/>
      <c r="AC174" s="658"/>
      <c r="AD174" s="658"/>
      <c r="AE174" s="658"/>
      <c r="AF174" s="658"/>
      <c r="AG174" s="658"/>
      <c r="AH174" s="658"/>
      <c r="AI174" s="658"/>
      <c r="AJ174" s="658"/>
      <c r="AK174" s="658"/>
    </row>
    <row r="175" spans="1:37" x14ac:dyDescent="0.25">
      <c r="A175" s="624"/>
      <c r="B175" s="624"/>
      <c r="C175" s="624"/>
      <c r="D175" s="624"/>
      <c r="E175" s="624"/>
      <c r="F175" s="624"/>
      <c r="G175" s="624"/>
      <c r="H175" s="624"/>
      <c r="I175" s="624"/>
      <c r="J175" s="624"/>
      <c r="K175" s="624"/>
      <c r="L175" s="624"/>
      <c r="M175" s="624"/>
      <c r="N175" s="624"/>
      <c r="O175" s="624"/>
      <c r="P175" s="624"/>
      <c r="Q175" s="624"/>
      <c r="R175" s="624"/>
      <c r="S175" s="624"/>
      <c r="T175" s="624"/>
      <c r="U175" s="624"/>
      <c r="V175" s="624"/>
      <c r="W175" s="624"/>
      <c r="X175" s="624"/>
      <c r="Y175" s="624"/>
      <c r="Z175" s="624"/>
      <c r="AA175" s="65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</row>
    <row r="176" spans="1:37" x14ac:dyDescent="0.25">
      <c r="A176" s="624"/>
      <c r="B176" s="624"/>
      <c r="C176" s="624"/>
      <c r="D176" s="624"/>
      <c r="E176" s="624"/>
      <c r="F176" s="624"/>
      <c r="G176" s="624"/>
      <c r="H176" s="624"/>
      <c r="I176" s="624"/>
      <c r="J176" s="624"/>
      <c r="K176" s="624"/>
      <c r="L176" s="624"/>
      <c r="M176" s="624"/>
      <c r="N176" s="624"/>
      <c r="O176" s="624"/>
      <c r="P176" s="624"/>
      <c r="Q176" s="624"/>
      <c r="R176" s="624"/>
      <c r="S176" s="624"/>
      <c r="T176" s="624"/>
      <c r="U176" s="624"/>
      <c r="V176" s="624"/>
      <c r="W176" s="624"/>
      <c r="X176" s="624"/>
      <c r="Y176" s="624"/>
      <c r="Z176" s="624"/>
      <c r="AA176" s="658"/>
      <c r="AB176" s="658"/>
      <c r="AC176" s="658"/>
      <c r="AD176" s="658"/>
      <c r="AE176" s="658"/>
      <c r="AF176" s="658"/>
      <c r="AG176" s="658"/>
      <c r="AH176" s="658"/>
      <c r="AI176" s="658"/>
      <c r="AJ176" s="658"/>
      <c r="AK176" s="658"/>
    </row>
  </sheetData>
  <mergeCells count="32">
    <mergeCell ref="O40:Q40"/>
    <mergeCell ref="A9:B9"/>
    <mergeCell ref="A4:AH4"/>
    <mergeCell ref="A13:AH13"/>
    <mergeCell ref="A5:B6"/>
    <mergeCell ref="A10:B10"/>
    <mergeCell ref="A7:B7"/>
    <mergeCell ref="A8:B8"/>
    <mergeCell ref="A28:B28"/>
    <mergeCell ref="A18:B18"/>
    <mergeCell ref="A31:B31"/>
    <mergeCell ref="A11:B11"/>
    <mergeCell ref="M31:R31"/>
    <mergeCell ref="A15:B15"/>
    <mergeCell ref="A14:B14"/>
    <mergeCell ref="A16:B16"/>
    <mergeCell ref="A1:AH1"/>
    <mergeCell ref="A2:AH2"/>
    <mergeCell ref="C5:J5"/>
    <mergeCell ref="K5:R5"/>
    <mergeCell ref="S5:Z5"/>
    <mergeCell ref="AA5:AH5"/>
    <mergeCell ref="A37:B37"/>
    <mergeCell ref="M37:R37"/>
    <mergeCell ref="A17:B17"/>
    <mergeCell ref="A23:B23"/>
    <mergeCell ref="A25:B25"/>
    <mergeCell ref="M25:R25"/>
    <mergeCell ref="M28:R28"/>
    <mergeCell ref="A34:B34"/>
    <mergeCell ref="M34:R34"/>
    <mergeCell ref="A19:B19"/>
  </mergeCells>
  <printOptions horizontalCentered="1"/>
  <pageMargins left="0.23622047244094491" right="0.19685039370078741" top="0.98425196850393704" bottom="0.59055118110236227" header="0.31496062992125984" footer="0.19685039370078741"/>
  <pageSetup paperSize="9" scale="75" firstPageNumber="73" orientation="landscape" useFirstPageNumber="1" r:id="rId1"/>
  <headerFooter>
    <oddHeader>&amp;R&amp;12 5.6.d. sz. melléklet
Forint</oddHeader>
    <oddFooter>&amp;C&amp;12- &amp;P -</oddFooter>
  </headerFooter>
  <rowBreaks count="1" manualBreakCount="1">
    <brk id="1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P17"/>
  <sheetViews>
    <sheetView view="pageBreakPreview" topLeftCell="A4" zoomScale="90" zoomScaleNormal="80" zoomScaleSheetLayoutView="90" workbookViewId="0">
      <selection activeCell="V16" sqref="V16"/>
    </sheetView>
  </sheetViews>
  <sheetFormatPr defaultColWidth="9.33203125" defaultRowHeight="15" x14ac:dyDescent="0.25"/>
  <cols>
    <col min="1" max="1" width="24" style="2477" customWidth="1"/>
    <col min="2" max="2" width="15.6640625" style="2477" customWidth="1"/>
    <col min="3" max="3" width="19.5" style="2477" hidden="1" customWidth="1"/>
    <col min="4" max="4" width="15.33203125" style="2477" hidden="1" customWidth="1"/>
    <col min="5" max="5" width="19.5" style="2477" hidden="1" customWidth="1"/>
    <col min="6" max="7" width="16.83203125" style="2477" hidden="1" customWidth="1"/>
    <col min="8" max="9" width="16.83203125" style="2477" customWidth="1"/>
    <col min="10" max="10" width="15.5" style="2477" customWidth="1"/>
    <col min="11" max="13" width="19.33203125" style="2477" hidden="1" customWidth="1"/>
    <col min="14" max="15" width="16.5" style="2477" hidden="1" customWidth="1"/>
    <col min="16" max="17" width="16.5" style="2477" customWidth="1"/>
    <col min="18" max="18" width="14.5" style="2477" customWidth="1"/>
    <col min="19" max="19" width="16.1640625" style="2477" hidden="1" customWidth="1"/>
    <col min="20" max="21" width="14.33203125" style="2477" hidden="1" customWidth="1"/>
    <col min="22" max="22" width="14.33203125" style="2477" customWidth="1"/>
    <col min="23" max="23" width="11.83203125" style="2477" customWidth="1"/>
    <col min="24" max="24" width="12.5" style="2477" customWidth="1"/>
    <col min="25" max="25" width="13.33203125" style="2477" hidden="1" customWidth="1"/>
    <col min="26" max="27" width="12.1640625" style="2477" hidden="1" customWidth="1"/>
    <col min="28" max="29" width="12.1640625" style="2477" customWidth="1"/>
    <col min="30" max="30" width="15.1640625" style="2477" customWidth="1"/>
    <col min="31" max="31" width="17" style="2477" hidden="1" customWidth="1"/>
    <col min="32" max="32" width="18.5" style="2477" hidden="1" customWidth="1"/>
    <col min="33" max="33" width="18.6640625" style="2477" hidden="1" customWidth="1"/>
    <col min="34" max="35" width="16.33203125" style="2477" hidden="1" customWidth="1"/>
    <col min="36" max="37" width="16.33203125" style="2477" customWidth="1"/>
    <col min="38" max="38" width="11.6640625" style="2477" customWidth="1"/>
    <col min="39" max="39" width="13" style="2477" hidden="1" customWidth="1"/>
    <col min="40" max="40" width="17.5" style="2477" hidden="1" customWidth="1"/>
    <col min="41" max="41" width="13.83203125" style="2477" customWidth="1"/>
    <col min="42" max="42" width="11.6640625" style="2477" customWidth="1"/>
    <col min="43" max="16384" width="9.33203125" style="2477"/>
  </cols>
  <sheetData>
    <row r="1" spans="1:42" ht="46.5" customHeight="1" x14ac:dyDescent="0.25"/>
    <row r="2" spans="1:42" ht="22.5" x14ac:dyDescent="0.3">
      <c r="A2" s="4374" t="s">
        <v>1389</v>
      </c>
      <c r="B2" s="4374"/>
      <c r="C2" s="4374"/>
      <c r="D2" s="4374"/>
      <c r="E2" s="4374"/>
      <c r="F2" s="4374"/>
      <c r="G2" s="4374"/>
      <c r="H2" s="4374"/>
      <c r="I2" s="4374"/>
      <c r="J2" s="4374"/>
      <c r="K2" s="4374"/>
      <c r="L2" s="4374"/>
      <c r="M2" s="4374"/>
      <c r="N2" s="4374"/>
      <c r="O2" s="4374"/>
      <c r="P2" s="4374"/>
      <c r="Q2" s="4374"/>
      <c r="R2" s="4374"/>
      <c r="S2" s="4374"/>
      <c r="T2" s="4374"/>
      <c r="U2" s="4374"/>
      <c r="V2" s="4374"/>
      <c r="W2" s="4374"/>
      <c r="X2" s="4374"/>
      <c r="Y2" s="4374"/>
      <c r="Z2" s="4374"/>
      <c r="AA2" s="4374"/>
      <c r="AB2" s="4374"/>
      <c r="AC2" s="4374"/>
      <c r="AD2" s="4374"/>
      <c r="AE2" s="4374"/>
      <c r="AF2" s="4374"/>
      <c r="AG2" s="4374"/>
      <c r="AH2" s="4374"/>
      <c r="AI2" s="4374"/>
      <c r="AJ2" s="4374"/>
      <c r="AK2" s="4374"/>
      <c r="AL2" s="4374"/>
      <c r="AM2" s="4374"/>
      <c r="AN2" s="2488"/>
      <c r="AO2" s="2488"/>
      <c r="AP2" s="2488"/>
    </row>
    <row r="3" spans="1:42" ht="22.5" x14ac:dyDescent="0.3">
      <c r="A3" s="4374" t="s">
        <v>1164</v>
      </c>
      <c r="B3" s="4374"/>
      <c r="C3" s="4374"/>
      <c r="D3" s="4374"/>
      <c r="E3" s="4374"/>
      <c r="F3" s="4374"/>
      <c r="G3" s="4374"/>
      <c r="H3" s="4374"/>
      <c r="I3" s="4374"/>
      <c r="J3" s="4374"/>
      <c r="K3" s="4374"/>
      <c r="L3" s="4374"/>
      <c r="M3" s="4374"/>
      <c r="N3" s="4374"/>
      <c r="O3" s="4374"/>
      <c r="P3" s="4374"/>
      <c r="Q3" s="4374"/>
      <c r="R3" s="4374"/>
      <c r="S3" s="4374"/>
      <c r="T3" s="4374"/>
      <c r="U3" s="4374"/>
      <c r="V3" s="4374"/>
      <c r="W3" s="4374"/>
      <c r="X3" s="4374"/>
      <c r="Y3" s="4374"/>
      <c r="Z3" s="4374"/>
      <c r="AA3" s="4374"/>
      <c r="AB3" s="4374"/>
      <c r="AC3" s="4374"/>
      <c r="AD3" s="4374"/>
      <c r="AE3" s="4374"/>
      <c r="AF3" s="4374"/>
      <c r="AG3" s="4374"/>
      <c r="AH3" s="4374"/>
      <c r="AI3" s="4374"/>
      <c r="AJ3" s="4374"/>
      <c r="AK3" s="4374"/>
      <c r="AL3" s="4374"/>
      <c r="AM3" s="4374"/>
      <c r="AN3" s="2488"/>
      <c r="AO3" s="2488"/>
      <c r="AP3" s="2488"/>
    </row>
    <row r="4" spans="1:42" ht="44.25" customHeight="1" thickBot="1" x14ac:dyDescent="0.35">
      <c r="X4" s="2489"/>
      <c r="Y4" s="2489"/>
      <c r="Z4" s="2489"/>
      <c r="AA4" s="2489"/>
      <c r="AB4" s="2489"/>
      <c r="AC4" s="2489"/>
      <c r="AL4" s="2890"/>
      <c r="AM4" s="2891" t="s">
        <v>1390</v>
      </c>
    </row>
    <row r="5" spans="1:42" ht="95.25" customHeight="1" x14ac:dyDescent="0.25">
      <c r="A5" s="4377" t="s">
        <v>1391</v>
      </c>
      <c r="B5" s="4381" t="s">
        <v>1733</v>
      </c>
      <c r="C5" s="4375"/>
      <c r="D5" s="4381" t="s">
        <v>1735</v>
      </c>
      <c r="E5" s="4058"/>
      <c r="F5" s="4381" t="s">
        <v>1934</v>
      </c>
      <c r="G5" s="4381"/>
      <c r="H5" s="4381" t="s">
        <v>2024</v>
      </c>
      <c r="I5" s="4392" t="s">
        <v>289</v>
      </c>
      <c r="J5" s="4381" t="s">
        <v>1734</v>
      </c>
      <c r="K5" s="4375"/>
      <c r="L5" s="4381" t="s">
        <v>1736</v>
      </c>
      <c r="M5" s="3178"/>
      <c r="N5" s="4381" t="s">
        <v>1935</v>
      </c>
      <c r="O5" s="4381"/>
      <c r="P5" s="4381" t="s">
        <v>2028</v>
      </c>
      <c r="Q5" s="4392" t="s">
        <v>289</v>
      </c>
      <c r="R5" s="4395" t="s">
        <v>1316</v>
      </c>
      <c r="S5" s="4396"/>
      <c r="T5" s="4396"/>
      <c r="U5" s="4396"/>
      <c r="V5" s="4396"/>
      <c r="W5" s="4397"/>
      <c r="X5" s="4389" t="s">
        <v>1317</v>
      </c>
      <c r="Y5" s="4390"/>
      <c r="Z5" s="4390"/>
      <c r="AA5" s="4390"/>
      <c r="AB5" s="4390"/>
      <c r="AC5" s="4391"/>
      <c r="AD5" s="4384" t="s">
        <v>1321</v>
      </c>
      <c r="AE5" s="4369"/>
      <c r="AF5" s="4369"/>
      <c r="AG5" s="4369"/>
      <c r="AH5" s="4369"/>
      <c r="AI5" s="4369"/>
      <c r="AJ5" s="4369"/>
      <c r="AK5" s="4369"/>
      <c r="AL5" s="4369"/>
      <c r="AM5" s="4369"/>
      <c r="AN5" s="4369"/>
      <c r="AO5" s="4369"/>
      <c r="AP5" s="4370"/>
    </row>
    <row r="6" spans="1:42" ht="37.5" customHeight="1" x14ac:dyDescent="0.25">
      <c r="A6" s="4378"/>
      <c r="B6" s="4382"/>
      <c r="C6" s="4376"/>
      <c r="D6" s="4382"/>
      <c r="E6" s="4059"/>
      <c r="F6" s="4382"/>
      <c r="G6" s="4382"/>
      <c r="H6" s="4382"/>
      <c r="I6" s="4393"/>
      <c r="J6" s="4382"/>
      <c r="K6" s="4376"/>
      <c r="L6" s="4382"/>
      <c r="M6" s="4059"/>
      <c r="N6" s="4382"/>
      <c r="O6" s="4382"/>
      <c r="P6" s="4382"/>
      <c r="Q6" s="4393"/>
      <c r="R6" s="4379" t="s">
        <v>1737</v>
      </c>
      <c r="S6" s="4056"/>
      <c r="T6" s="4379" t="s">
        <v>1936</v>
      </c>
      <c r="U6" s="4379"/>
      <c r="V6" s="4379" t="s">
        <v>2025</v>
      </c>
      <c r="W6" s="4379" t="s">
        <v>289</v>
      </c>
      <c r="X6" s="4379" t="s">
        <v>1737</v>
      </c>
      <c r="Y6" s="4056"/>
      <c r="Z6" s="4379" t="s">
        <v>1937</v>
      </c>
      <c r="AA6" s="4379"/>
      <c r="AB6" s="4379" t="s">
        <v>2025</v>
      </c>
      <c r="AC6" s="4379" t="s">
        <v>289</v>
      </c>
      <c r="AD6" s="4385" t="s">
        <v>32</v>
      </c>
      <c r="AE6" s="4386"/>
      <c r="AF6" s="4386"/>
      <c r="AG6" s="4386"/>
      <c r="AH6" s="4386"/>
      <c r="AI6" s="4386"/>
      <c r="AJ6" s="4386"/>
      <c r="AK6" s="4388"/>
      <c r="AL6" s="4385" t="s">
        <v>68</v>
      </c>
      <c r="AM6" s="4386"/>
      <c r="AN6" s="4386"/>
      <c r="AO6" s="4386"/>
      <c r="AP6" s="4387"/>
    </row>
    <row r="7" spans="1:42" ht="51.75" customHeight="1" x14ac:dyDescent="0.25">
      <c r="A7" s="4378"/>
      <c r="B7" s="4383"/>
      <c r="C7" s="4061"/>
      <c r="D7" s="4383"/>
      <c r="E7" s="4060"/>
      <c r="F7" s="4383"/>
      <c r="G7" s="4383"/>
      <c r="H7" s="4383"/>
      <c r="I7" s="4394"/>
      <c r="J7" s="4383"/>
      <c r="K7" s="4061"/>
      <c r="L7" s="4383"/>
      <c r="M7" s="4060"/>
      <c r="N7" s="4383"/>
      <c r="O7" s="4383"/>
      <c r="P7" s="4383"/>
      <c r="Q7" s="4394"/>
      <c r="R7" s="4380"/>
      <c r="S7" s="4057"/>
      <c r="T7" s="4380"/>
      <c r="U7" s="4380"/>
      <c r="V7" s="4380"/>
      <c r="W7" s="4380"/>
      <c r="X7" s="4380"/>
      <c r="Y7" s="4057"/>
      <c r="Z7" s="4380"/>
      <c r="AA7" s="4380"/>
      <c r="AB7" s="4380"/>
      <c r="AC7" s="4380"/>
      <c r="AD7" s="2879" t="s">
        <v>1737</v>
      </c>
      <c r="AE7" s="2880"/>
      <c r="AF7" s="2879" t="s">
        <v>1738</v>
      </c>
      <c r="AG7" s="2887"/>
      <c r="AH7" s="2879" t="s">
        <v>1944</v>
      </c>
      <c r="AI7" s="2879"/>
      <c r="AJ7" s="2879" t="s">
        <v>2026</v>
      </c>
      <c r="AK7" s="2879" t="s">
        <v>289</v>
      </c>
      <c r="AL7" s="2887" t="s">
        <v>1737</v>
      </c>
      <c r="AM7" s="2885" t="s">
        <v>1738</v>
      </c>
      <c r="AN7" s="2881" t="s">
        <v>1739</v>
      </c>
      <c r="AO7" s="2879" t="s">
        <v>1740</v>
      </c>
      <c r="AP7" s="2885" t="s">
        <v>289</v>
      </c>
    </row>
    <row r="8" spans="1:42" ht="55.5" customHeight="1" x14ac:dyDescent="0.25">
      <c r="A8" s="3067" t="s">
        <v>1392</v>
      </c>
      <c r="B8" s="2482">
        <f>SUM('4.1 sz. mell'!F49)</f>
        <v>253084025</v>
      </c>
      <c r="C8" s="2482">
        <f>SUM('4.1 sz. mell'!G49)</f>
        <v>56848196</v>
      </c>
      <c r="D8" s="2482">
        <f>SUM('4.1 sz. mell'!H49)</f>
        <v>309932221</v>
      </c>
      <c r="E8" s="2482">
        <f>SUM('4.1 sz. mell'!I49)</f>
        <v>-42524797</v>
      </c>
      <c r="F8" s="2482">
        <f>SUM('4.1 sz. mell'!J49)</f>
        <v>267407424</v>
      </c>
      <c r="G8" s="2482"/>
      <c r="H8" s="2482">
        <f>SUM('4.1 sz. mell'!L49)</f>
        <v>267407424</v>
      </c>
      <c r="I8" s="2482">
        <f>SUM('4.1 sz. mell'!M49)</f>
        <v>265849573</v>
      </c>
      <c r="J8" s="2482">
        <f>SUM(B8)</f>
        <v>253084025</v>
      </c>
      <c r="K8" s="2482">
        <f>SUM(C8)</f>
        <v>56848196</v>
      </c>
      <c r="L8" s="2482">
        <f>SUM(D8)</f>
        <v>309932221</v>
      </c>
      <c r="M8" s="2482">
        <f>SUM(E8)</f>
        <v>-42524797</v>
      </c>
      <c r="N8" s="2482">
        <f>SUM(F8)</f>
        <v>267407424</v>
      </c>
      <c r="O8" s="2482"/>
      <c r="P8" s="2482">
        <f t="shared" ref="P8:Q8" si="0">SUM(H8)</f>
        <v>267407424</v>
      </c>
      <c r="Q8" s="2482">
        <f t="shared" si="0"/>
        <v>265849573</v>
      </c>
      <c r="R8" s="2490"/>
      <c r="S8" s="2490"/>
      <c r="T8" s="2490"/>
      <c r="U8" s="2490"/>
      <c r="V8" s="2490"/>
      <c r="W8" s="2490"/>
      <c r="X8" s="2490"/>
      <c r="Y8" s="2490"/>
      <c r="Z8" s="2490"/>
      <c r="AA8" s="2490"/>
      <c r="AB8" s="2490"/>
      <c r="AC8" s="2490"/>
      <c r="AD8" s="2497">
        <f>SUM(J8-R8-X8)</f>
        <v>253084025</v>
      </c>
      <c r="AE8" s="2497"/>
      <c r="AF8" s="2497">
        <f>SUM(L8-T8-Z8)</f>
        <v>309932221</v>
      </c>
      <c r="AG8" s="2497"/>
      <c r="AH8" s="2497">
        <f>SUM(N8-Y8)</f>
        <v>267407424</v>
      </c>
      <c r="AI8" s="2497"/>
      <c r="AJ8" s="2497">
        <f>SUM(P8-AA8)</f>
        <v>267407424</v>
      </c>
      <c r="AK8" s="2497">
        <f>SUM(Q8-AB8)</f>
        <v>265849573</v>
      </c>
      <c r="AL8" s="2888"/>
      <c r="AM8" s="2498"/>
      <c r="AN8" s="2882"/>
      <c r="AO8" s="4028"/>
      <c r="AP8" s="2882"/>
    </row>
    <row r="9" spans="1:42" ht="20.25" customHeight="1" x14ac:dyDescent="0.25">
      <c r="A9" s="2491"/>
      <c r="B9" s="2482"/>
      <c r="C9" s="2482"/>
      <c r="D9" s="2482"/>
      <c r="E9" s="2482"/>
      <c r="F9" s="2482"/>
      <c r="G9" s="2482"/>
      <c r="H9" s="2482"/>
      <c r="I9" s="2482"/>
      <c r="J9" s="2482"/>
      <c r="K9" s="2482"/>
      <c r="L9" s="2482"/>
      <c r="M9" s="2482"/>
      <c r="N9" s="2482"/>
      <c r="O9" s="2482"/>
      <c r="P9" s="2482"/>
      <c r="Q9" s="2482"/>
      <c r="R9" s="2490"/>
      <c r="S9" s="2490"/>
      <c r="T9" s="2490"/>
      <c r="U9" s="2490"/>
      <c r="V9" s="2490"/>
      <c r="W9" s="2490"/>
      <c r="X9" s="2490"/>
      <c r="Y9" s="2490"/>
      <c r="Z9" s="2490"/>
      <c r="AA9" s="2490"/>
      <c r="AB9" s="2490"/>
      <c r="AC9" s="2490"/>
      <c r="AD9" s="2497">
        <f>SUM(J9-R9-X9)</f>
        <v>0</v>
      </c>
      <c r="AE9" s="2876"/>
      <c r="AF9" s="2876"/>
      <c r="AG9" s="2876"/>
      <c r="AH9" s="2876"/>
      <c r="AI9" s="2876"/>
      <c r="AJ9" s="2876"/>
      <c r="AK9" s="2876"/>
      <c r="AL9" s="2888"/>
      <c r="AM9" s="2498"/>
      <c r="AN9" s="2882"/>
      <c r="AO9" s="4028"/>
      <c r="AP9" s="2882"/>
    </row>
    <row r="10" spans="1:42" ht="20.25" customHeight="1" x14ac:dyDescent="0.25">
      <c r="A10" s="2491"/>
      <c r="B10" s="2482"/>
      <c r="C10" s="2482"/>
      <c r="D10" s="2482"/>
      <c r="E10" s="2482"/>
      <c r="F10" s="2482"/>
      <c r="G10" s="2482"/>
      <c r="H10" s="2482"/>
      <c r="I10" s="2482"/>
      <c r="J10" s="2482"/>
      <c r="K10" s="2482"/>
      <c r="L10" s="2482"/>
      <c r="M10" s="2482"/>
      <c r="N10" s="2482"/>
      <c r="O10" s="2482"/>
      <c r="P10" s="2482"/>
      <c r="Q10" s="2482"/>
      <c r="R10" s="2490"/>
      <c r="S10" s="2490"/>
      <c r="T10" s="2490"/>
      <c r="U10" s="2490"/>
      <c r="V10" s="2490"/>
      <c r="W10" s="2490"/>
      <c r="X10" s="2490"/>
      <c r="Y10" s="2490"/>
      <c r="Z10" s="2490"/>
      <c r="AA10" s="2490"/>
      <c r="AB10" s="2490"/>
      <c r="AC10" s="2490"/>
      <c r="AD10" s="2497">
        <f>SUM(J10-R10-X10)</f>
        <v>0</v>
      </c>
      <c r="AE10" s="2876"/>
      <c r="AF10" s="2876"/>
      <c r="AG10" s="2876"/>
      <c r="AH10" s="2876"/>
      <c r="AI10" s="2876"/>
      <c r="AJ10" s="2876"/>
      <c r="AK10" s="2876"/>
      <c r="AL10" s="2888"/>
      <c r="AM10" s="2498"/>
      <c r="AN10" s="2882"/>
      <c r="AO10" s="4028"/>
      <c r="AP10" s="2882"/>
    </row>
    <row r="11" spans="1:42" ht="20.25" customHeight="1" x14ac:dyDescent="0.25">
      <c r="A11" s="2491"/>
      <c r="B11" s="2482"/>
      <c r="C11" s="2482"/>
      <c r="D11" s="2482"/>
      <c r="E11" s="2482"/>
      <c r="F11" s="2482"/>
      <c r="G11" s="2482"/>
      <c r="H11" s="2482"/>
      <c r="I11" s="2482"/>
      <c r="J11" s="2482"/>
      <c r="K11" s="2482"/>
      <c r="L11" s="2482"/>
      <c r="M11" s="2482"/>
      <c r="N11" s="2482"/>
      <c r="O11" s="2482"/>
      <c r="P11" s="2482"/>
      <c r="Q11" s="2482"/>
      <c r="R11" s="2490"/>
      <c r="S11" s="2490"/>
      <c r="T11" s="2490"/>
      <c r="U11" s="2490"/>
      <c r="V11" s="2490"/>
      <c r="W11" s="2490"/>
      <c r="X11" s="2490"/>
      <c r="Y11" s="2490"/>
      <c r="Z11" s="2490"/>
      <c r="AA11" s="2490"/>
      <c r="AB11" s="2490"/>
      <c r="AC11" s="2490"/>
      <c r="AD11" s="2497">
        <f>SUM(J11-R11-X11)</f>
        <v>0</v>
      </c>
      <c r="AE11" s="2876"/>
      <c r="AF11" s="2876"/>
      <c r="AG11" s="2876"/>
      <c r="AH11" s="2876"/>
      <c r="AI11" s="2876"/>
      <c r="AJ11" s="2876"/>
      <c r="AK11" s="2876"/>
      <c r="AL11" s="2888"/>
      <c r="AM11" s="2498"/>
      <c r="AN11" s="2882"/>
      <c r="AO11" s="4028"/>
      <c r="AP11" s="2882"/>
    </row>
    <row r="12" spans="1:42" ht="20.25" customHeight="1" thickBot="1" x14ac:dyDescent="0.3">
      <c r="A12" s="2492"/>
      <c r="B12" s="2502"/>
      <c r="C12" s="2502"/>
      <c r="D12" s="2502"/>
      <c r="E12" s="2502"/>
      <c r="F12" s="2502"/>
      <c r="G12" s="2502"/>
      <c r="H12" s="2502"/>
      <c r="I12" s="2502"/>
      <c r="J12" s="2502"/>
      <c r="K12" s="2502"/>
      <c r="L12" s="2502"/>
      <c r="M12" s="2502"/>
      <c r="N12" s="2502"/>
      <c r="O12" s="2502"/>
      <c r="P12" s="2502"/>
      <c r="Q12" s="2502"/>
      <c r="R12" s="2493"/>
      <c r="S12" s="2493"/>
      <c r="T12" s="2493"/>
      <c r="U12" s="2493"/>
      <c r="V12" s="2493"/>
      <c r="W12" s="2493"/>
      <c r="X12" s="2493"/>
      <c r="Y12" s="2493"/>
      <c r="Z12" s="2493"/>
      <c r="AA12" s="2493"/>
      <c r="AB12" s="2493"/>
      <c r="AC12" s="2493"/>
      <c r="AD12" s="2499"/>
      <c r="AE12" s="2877"/>
      <c r="AF12" s="2877"/>
      <c r="AG12" s="2877"/>
      <c r="AH12" s="2877"/>
      <c r="AI12" s="2877"/>
      <c r="AJ12" s="2877"/>
      <c r="AK12" s="2877"/>
      <c r="AL12" s="2889"/>
      <c r="AM12" s="2500"/>
      <c r="AN12" s="2883"/>
      <c r="AO12" s="4029"/>
      <c r="AP12" s="2883"/>
    </row>
    <row r="13" spans="1:42" s="2495" customFormat="1" ht="20.25" customHeight="1" thickTop="1" thickBot="1" x14ac:dyDescent="0.35">
      <c r="A13" s="4192" t="s">
        <v>712</v>
      </c>
      <c r="B13" s="2494">
        <f t="shared" ref="B13:AL13" si="1">SUM(B8:B12)</f>
        <v>253084025</v>
      </c>
      <c r="C13" s="2494">
        <f t="shared" si="1"/>
        <v>56848196</v>
      </c>
      <c r="D13" s="2494">
        <f t="shared" si="1"/>
        <v>309932221</v>
      </c>
      <c r="E13" s="2494">
        <f t="shared" si="1"/>
        <v>-42524797</v>
      </c>
      <c r="F13" s="2494">
        <f t="shared" si="1"/>
        <v>267407424</v>
      </c>
      <c r="G13" s="2494">
        <f t="shared" si="1"/>
        <v>0</v>
      </c>
      <c r="H13" s="2494">
        <f t="shared" si="1"/>
        <v>267407424</v>
      </c>
      <c r="I13" s="2494">
        <f t="shared" si="1"/>
        <v>265849573</v>
      </c>
      <c r="J13" s="2494">
        <f t="shared" si="1"/>
        <v>253084025</v>
      </c>
      <c r="K13" s="2494">
        <f t="shared" si="1"/>
        <v>56848196</v>
      </c>
      <c r="L13" s="2494">
        <f t="shared" si="1"/>
        <v>309932221</v>
      </c>
      <c r="M13" s="2494">
        <f t="shared" si="1"/>
        <v>-42524797</v>
      </c>
      <c r="N13" s="2494">
        <f t="shared" si="1"/>
        <v>267407424</v>
      </c>
      <c r="O13" s="2494">
        <f t="shared" si="1"/>
        <v>0</v>
      </c>
      <c r="P13" s="2494">
        <f t="shared" si="1"/>
        <v>267407424</v>
      </c>
      <c r="Q13" s="2494">
        <f t="shared" si="1"/>
        <v>265849573</v>
      </c>
      <c r="R13" s="2494">
        <f t="shared" si="1"/>
        <v>0</v>
      </c>
      <c r="S13" s="2494">
        <f t="shared" si="1"/>
        <v>0</v>
      </c>
      <c r="T13" s="2494">
        <f t="shared" si="1"/>
        <v>0</v>
      </c>
      <c r="U13" s="2494">
        <f t="shared" si="1"/>
        <v>0</v>
      </c>
      <c r="V13" s="2494">
        <f t="shared" si="1"/>
        <v>0</v>
      </c>
      <c r="W13" s="2494">
        <f t="shared" si="1"/>
        <v>0</v>
      </c>
      <c r="X13" s="2494">
        <f t="shared" si="1"/>
        <v>0</v>
      </c>
      <c r="Y13" s="2494">
        <f t="shared" si="1"/>
        <v>0</v>
      </c>
      <c r="Z13" s="2494">
        <f t="shared" si="1"/>
        <v>0</v>
      </c>
      <c r="AA13" s="2494">
        <f t="shared" si="1"/>
        <v>0</v>
      </c>
      <c r="AB13" s="2494">
        <f t="shared" si="1"/>
        <v>0</v>
      </c>
      <c r="AC13" s="2494">
        <f t="shared" si="1"/>
        <v>0</v>
      </c>
      <c r="AD13" s="2501">
        <f t="shared" si="1"/>
        <v>253084025</v>
      </c>
      <c r="AE13" s="2501">
        <f t="shared" si="1"/>
        <v>0</v>
      </c>
      <c r="AF13" s="2501">
        <f t="shared" si="1"/>
        <v>309932221</v>
      </c>
      <c r="AG13" s="2501">
        <f t="shared" si="1"/>
        <v>0</v>
      </c>
      <c r="AH13" s="2501">
        <f t="shared" si="1"/>
        <v>267407424</v>
      </c>
      <c r="AI13" s="2501"/>
      <c r="AJ13" s="2501">
        <f t="shared" si="1"/>
        <v>267407424</v>
      </c>
      <c r="AK13" s="2501">
        <f t="shared" si="1"/>
        <v>265849573</v>
      </c>
      <c r="AL13" s="2878">
        <f t="shared" si="1"/>
        <v>0</v>
      </c>
      <c r="AM13" s="2886">
        <f>SUM(AM8:AM12)</f>
        <v>0</v>
      </c>
      <c r="AN13" s="2884"/>
      <c r="AO13" s="2501">
        <f>SUM(AO8:AO12)</f>
        <v>0</v>
      </c>
      <c r="AP13" s="4193">
        <f>SUM(AP8:AP12)</f>
        <v>0</v>
      </c>
    </row>
    <row r="14" spans="1:42" ht="20.25" customHeight="1" thickTop="1" x14ac:dyDescent="0.25">
      <c r="A14" s="2496"/>
      <c r="B14" s="2496"/>
      <c r="C14" s="2496"/>
      <c r="D14" s="2496"/>
      <c r="E14" s="2496"/>
      <c r="F14" s="2496"/>
      <c r="G14" s="2496"/>
      <c r="H14" s="2496"/>
      <c r="I14" s="2496"/>
      <c r="J14" s="2496"/>
      <c r="K14" s="2496"/>
      <c r="L14" s="2496"/>
      <c r="M14" s="2496"/>
      <c r="N14" s="2496"/>
      <c r="O14" s="2496"/>
      <c r="P14" s="2496"/>
      <c r="Q14" s="2496"/>
      <c r="R14" s="2496"/>
      <c r="S14" s="2496"/>
      <c r="T14" s="2496"/>
      <c r="U14" s="2496"/>
      <c r="V14" s="2496"/>
      <c r="W14" s="2496"/>
      <c r="X14" s="2496"/>
      <c r="Y14" s="2496"/>
      <c r="Z14" s="2496"/>
      <c r="AA14" s="2496"/>
      <c r="AB14" s="2496"/>
      <c r="AC14" s="2496"/>
    </row>
    <row r="15" spans="1:42" x14ac:dyDescent="0.25">
      <c r="A15" t="s">
        <v>1942</v>
      </c>
      <c r="B15">
        <f>SUM('2.c sz. mell '!F89)</f>
        <v>253084025</v>
      </c>
      <c r="C15">
        <f>SUM('2.c sz. mell '!G89)</f>
        <v>56848196</v>
      </c>
      <c r="D15">
        <f>SUM('2.c sz. mell '!H89)</f>
        <v>309932221</v>
      </c>
      <c r="E15">
        <f>SUM('2.c sz. mell '!I89)</f>
        <v>-42524797</v>
      </c>
      <c r="F15">
        <f>SUM('2.c sz. mell '!J89)</f>
        <v>267407424</v>
      </c>
      <c r="G15">
        <f>SUM('2.c sz. mell '!K89)</f>
        <v>0</v>
      </c>
      <c r="H15">
        <f>SUM('2.c sz. mell '!L89)</f>
        <v>267407424</v>
      </c>
      <c r="I15" s="3934">
        <f>SUM('2.c sz. mell '!M89)</f>
        <v>265849573</v>
      </c>
      <c r="J15" s="3230"/>
      <c r="K15" s="3230">
        <f>SUM('2.c sz. mell '!L89)</f>
        <v>267407424</v>
      </c>
      <c r="L15" s="3230">
        <f>SUM('2.c sz. mell '!M89)</f>
        <v>265849573</v>
      </c>
      <c r="M15" s="3230">
        <f>SUM('2.c sz. mell '!N89)</f>
        <v>0</v>
      </c>
      <c r="N15" s="3230">
        <f>SUM('2.c sz. mell '!O89)</f>
        <v>0</v>
      </c>
      <c r="O15" s="3230"/>
      <c r="P15" s="3230">
        <f>SUM('2.c sz. mell '!Q89)</f>
        <v>0</v>
      </c>
      <c r="Q15" s="3230">
        <f>SUM('2.c sz. mell '!R89)</f>
        <v>0</v>
      </c>
    </row>
    <row r="16" spans="1:42" x14ac:dyDescent="0.25">
      <c r="A16"/>
      <c r="B16"/>
      <c r="C16"/>
      <c r="D16"/>
      <c r="E16"/>
      <c r="F16"/>
      <c r="G16"/>
      <c r="H16"/>
      <c r="I16" s="3934"/>
    </row>
    <row r="17" spans="1:9" x14ac:dyDescent="0.25">
      <c r="A17" t="s">
        <v>802</v>
      </c>
      <c r="B17">
        <f>SUM(B15-B13)</f>
        <v>0</v>
      </c>
      <c r="C17">
        <f>SUM(C15-C13)</f>
        <v>0</v>
      </c>
      <c r="D17">
        <f>SUM(D15-D13)</f>
        <v>0</v>
      </c>
      <c r="E17">
        <f>SUM(E15-E13)</f>
        <v>0</v>
      </c>
      <c r="F17">
        <f>SUM(F15-F13)</f>
        <v>0</v>
      </c>
      <c r="G17">
        <f t="shared" ref="G17:H17" si="2">SUM(G15-G13)</f>
        <v>0</v>
      </c>
      <c r="H17">
        <f t="shared" si="2"/>
        <v>0</v>
      </c>
      <c r="I17" s="3934">
        <f t="shared" ref="I17" si="3">SUM(I15-I13)</f>
        <v>0</v>
      </c>
    </row>
  </sheetData>
  <mergeCells count="32">
    <mergeCell ref="I5:I7"/>
    <mergeCell ref="Q5:Q7"/>
    <mergeCell ref="R5:W5"/>
    <mergeCell ref="W6:W7"/>
    <mergeCell ref="X6:X7"/>
    <mergeCell ref="P5:P7"/>
    <mergeCell ref="U6:U7"/>
    <mergeCell ref="V6:V7"/>
    <mergeCell ref="Z6:Z7"/>
    <mergeCell ref="AD5:AP5"/>
    <mergeCell ref="AL6:AP6"/>
    <mergeCell ref="AD6:AK6"/>
    <mergeCell ref="X5:AC5"/>
    <mergeCell ref="AC6:AC7"/>
    <mergeCell ref="AA6:AA7"/>
    <mergeCell ref="AB6:AB7"/>
    <mergeCell ref="A2:AM2"/>
    <mergeCell ref="A3:AM3"/>
    <mergeCell ref="K5:K6"/>
    <mergeCell ref="A5:A7"/>
    <mergeCell ref="T6:T7"/>
    <mergeCell ref="B5:B7"/>
    <mergeCell ref="D5:D7"/>
    <mergeCell ref="J5:J7"/>
    <mergeCell ref="L5:L7"/>
    <mergeCell ref="C5:C6"/>
    <mergeCell ref="R6:R7"/>
    <mergeCell ref="F5:F7"/>
    <mergeCell ref="N5:N7"/>
    <mergeCell ref="G5:G7"/>
    <mergeCell ref="H5:H7"/>
    <mergeCell ref="O5:O7"/>
  </mergeCells>
  <printOptions horizontalCentered="1"/>
  <pageMargins left="0.15748031496062992" right="0.15748031496062992" top="0.74803149606299213" bottom="0.74803149606299213" header="0.31496062992125984" footer="0.31496062992125984"/>
  <pageSetup paperSize="9" scale="56" firstPageNumber="14" orientation="landscape" useFirstPageNumber="1" r:id="rId1"/>
  <headerFooter>
    <oddHeader>&amp;R&amp;12 1.5. számú melléklet</oddHeader>
    <oddFooter>&amp;C&amp;12- &amp;P -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89"/>
  <sheetViews>
    <sheetView view="pageBreakPreview" topLeftCell="B54" zoomScale="93" zoomScaleNormal="100" zoomScaleSheetLayoutView="93" zoomScalePageLayoutView="60" workbookViewId="0">
      <selection activeCell="K4" sqref="K4"/>
    </sheetView>
  </sheetViews>
  <sheetFormatPr defaultColWidth="9.33203125" defaultRowHeight="12.75" x14ac:dyDescent="0.2"/>
  <cols>
    <col min="1" max="1" width="6.5" style="1838" customWidth="1"/>
    <col min="2" max="2" width="9.6640625" style="1839" customWidth="1"/>
    <col min="3" max="3" width="61.6640625" style="1839" customWidth="1"/>
    <col min="4" max="5" width="9.33203125" style="1839" hidden="1" customWidth="1"/>
    <col min="6" max="6" width="15.33203125" style="1839" customWidth="1"/>
    <col min="7" max="7" width="14.1640625" style="1841" hidden="1" customWidth="1"/>
    <col min="8" max="8" width="16.83203125" style="1839" hidden="1" customWidth="1"/>
    <col min="9" max="9" width="12.5" style="1841" hidden="1" customWidth="1"/>
    <col min="10" max="10" width="15.83203125" style="1839" customWidth="1"/>
    <col min="11" max="11" width="17" style="1841" customWidth="1"/>
    <col min="12" max="12" width="17.1640625" style="1839" customWidth="1"/>
    <col min="13" max="13" width="16.1640625" style="1839" customWidth="1"/>
    <col min="14" max="14" width="9.33203125" style="1839"/>
    <col min="15" max="15" width="14.5" style="1839" customWidth="1"/>
    <col min="16" max="16" width="0" style="1839" hidden="1" customWidth="1"/>
    <col min="17" max="17" width="16.1640625" style="1839" customWidth="1"/>
    <col min="18" max="18" width="0" style="1839" hidden="1" customWidth="1"/>
    <col min="19" max="19" width="17" style="1839" hidden="1" customWidth="1"/>
    <col min="20" max="20" width="0" style="1839" hidden="1" customWidth="1"/>
    <col min="21" max="21" width="20.33203125" style="1839" hidden="1" customWidth="1"/>
    <col min="22" max="22" width="16.33203125" style="1839" customWidth="1"/>
    <col min="23" max="16384" width="9.33203125" style="1839"/>
  </cols>
  <sheetData>
    <row r="1" spans="1:15" s="1733" customFormat="1" ht="15" customHeight="1" thickBot="1" x14ac:dyDescent="0.25">
      <c r="A1" s="1731"/>
      <c r="B1" s="1732"/>
      <c r="C1" s="4614" t="s">
        <v>740</v>
      </c>
      <c r="D1" s="4614"/>
      <c r="E1" s="4614"/>
      <c r="F1" s="4614"/>
      <c r="G1" s="4614"/>
      <c r="H1" s="4614"/>
      <c r="I1" s="4614"/>
      <c r="J1" s="4614"/>
      <c r="K1" s="4614"/>
      <c r="L1" s="4614"/>
      <c r="M1" s="4614"/>
    </row>
    <row r="2" spans="1:15" s="1735" customFormat="1" ht="30" customHeight="1" thickBot="1" x14ac:dyDescent="0.25">
      <c r="A2" s="4607" t="s">
        <v>411</v>
      </c>
      <c r="B2" s="4607"/>
      <c r="C2" s="117" t="s">
        <v>1449</v>
      </c>
      <c r="D2" s="4608" t="s">
        <v>282</v>
      </c>
      <c r="E2" s="1734"/>
      <c r="F2" s="4444" t="s">
        <v>1080</v>
      </c>
      <c r="G2" s="4610" t="s">
        <v>1035</v>
      </c>
      <c r="H2" s="4612" t="s">
        <v>1028</v>
      </c>
      <c r="I2" s="4610" t="s">
        <v>1031</v>
      </c>
      <c r="J2" s="4417" t="s">
        <v>1028</v>
      </c>
      <c r="K2" s="4422" t="s">
        <v>1038</v>
      </c>
      <c r="L2" s="4612" t="s">
        <v>234</v>
      </c>
      <c r="M2" s="4440" t="s">
        <v>1945</v>
      </c>
    </row>
    <row r="3" spans="1:15" s="1735" customFormat="1" ht="30" customHeight="1" thickBot="1" x14ac:dyDescent="0.25">
      <c r="A3" s="4609" t="s">
        <v>283</v>
      </c>
      <c r="B3" s="4609"/>
      <c r="C3" s="1736" t="s">
        <v>482</v>
      </c>
      <c r="D3" s="4608"/>
      <c r="E3" s="1737"/>
      <c r="F3" s="4608"/>
      <c r="G3" s="4615"/>
      <c r="H3" s="4613" t="s">
        <v>1028</v>
      </c>
      <c r="I3" s="4611" t="s">
        <v>1031</v>
      </c>
      <c r="J3" s="4496" t="s">
        <v>1028</v>
      </c>
      <c r="K3" s="4611"/>
      <c r="L3" s="4613"/>
      <c r="M3" s="4441"/>
    </row>
    <row r="4" spans="1:15" s="1735" customFormat="1" ht="15" customHeight="1" thickBot="1" x14ac:dyDescent="0.25">
      <c r="A4" s="2151"/>
      <c r="B4" s="2152"/>
      <c r="C4" s="2152"/>
      <c r="D4" s="4605"/>
      <c r="E4" s="4605"/>
      <c r="F4" s="4605"/>
      <c r="G4" s="1738"/>
      <c r="H4" s="2153"/>
      <c r="I4" s="2153"/>
      <c r="J4" s="2153"/>
      <c r="K4" s="2153"/>
      <c r="L4" s="2154"/>
      <c r="M4" s="2155" t="s">
        <v>935</v>
      </c>
    </row>
    <row r="5" spans="1:15" s="1743" customFormat="1" ht="29.25" customHeight="1" thickBot="1" x14ac:dyDescent="0.25">
      <c r="A5" s="4606" t="s">
        <v>285</v>
      </c>
      <c r="B5" s="4606"/>
      <c r="C5" s="1740" t="s">
        <v>286</v>
      </c>
      <c r="D5" s="1741" t="s">
        <v>287</v>
      </c>
      <c r="E5" s="1741" t="s">
        <v>288</v>
      </c>
      <c r="F5" s="1741"/>
      <c r="G5" s="1742"/>
      <c r="H5" s="1741"/>
      <c r="I5" s="1742"/>
      <c r="J5" s="1741"/>
      <c r="K5" s="1742"/>
      <c r="L5" s="1741"/>
      <c r="M5" s="1741"/>
    </row>
    <row r="6" spans="1:15" s="1747" customFormat="1" ht="15" customHeight="1" thickBot="1" x14ac:dyDescent="0.25">
      <c r="A6" s="1739">
        <v>1</v>
      </c>
      <c r="B6" s="1744"/>
      <c r="C6" s="1744"/>
      <c r="D6" s="1745"/>
      <c r="E6" s="1745"/>
      <c r="F6" s="1745"/>
      <c r="G6" s="1746"/>
      <c r="H6" s="1745"/>
      <c r="I6" s="1746"/>
      <c r="J6" s="1745"/>
      <c r="K6" s="1746"/>
      <c r="L6" s="1745"/>
      <c r="M6" s="1745"/>
    </row>
    <row r="7" spans="1:15" s="1747" customFormat="1" ht="15" customHeight="1" thickBot="1" x14ac:dyDescent="0.25">
      <c r="A7" s="1748"/>
      <c r="B7" s="1749"/>
      <c r="C7" s="1750" t="s">
        <v>230</v>
      </c>
      <c r="D7" s="1751"/>
      <c r="E7" s="1751"/>
      <c r="F7" s="1751"/>
      <c r="G7" s="1752"/>
      <c r="H7" s="1751"/>
      <c r="I7" s="1752"/>
      <c r="J7" s="1751"/>
      <c r="K7" s="1752"/>
      <c r="L7" s="1751"/>
      <c r="M7" s="1751"/>
    </row>
    <row r="8" spans="1:15" s="1759" customFormat="1" ht="15" customHeight="1" thickBot="1" x14ac:dyDescent="0.25">
      <c r="A8" s="1753" t="s">
        <v>3</v>
      </c>
      <c r="B8" s="1754"/>
      <c r="C8" s="1755" t="s">
        <v>413</v>
      </c>
      <c r="D8" s="1756">
        <f>SUM(D9:D18)</f>
        <v>10033</v>
      </c>
      <c r="E8" s="1756">
        <f>SUM(E9:E18)</f>
        <v>10050</v>
      </c>
      <c r="F8" s="1756">
        <f>SUM(F9:F18)</f>
        <v>37053989</v>
      </c>
      <c r="G8" s="1757">
        <f t="shared" ref="G8:K23" si="0">SUM(H8-F8)</f>
        <v>400940</v>
      </c>
      <c r="H8" s="1756">
        <f>SUM(H9:H18)</f>
        <v>37454929</v>
      </c>
      <c r="I8" s="1758">
        <f t="shared" si="0"/>
        <v>-6953284</v>
      </c>
      <c r="J8" s="1756">
        <f>SUM(J9:J18)</f>
        <v>30501645</v>
      </c>
      <c r="K8" s="1496">
        <f t="shared" si="0"/>
        <v>0</v>
      </c>
      <c r="L8" s="1756">
        <f>SUM(L9:L18)</f>
        <v>30501645</v>
      </c>
      <c r="M8" s="1756">
        <f>SUM(M9:M18)</f>
        <v>30501645</v>
      </c>
    </row>
    <row r="9" spans="1:15" s="1759" customFormat="1" ht="15" customHeight="1" x14ac:dyDescent="0.2">
      <c r="A9" s="1760"/>
      <c r="B9" s="1761" t="s">
        <v>152</v>
      </c>
      <c r="C9" s="1762" t="s">
        <v>48</v>
      </c>
      <c r="D9" s="1763">
        <v>0</v>
      </c>
      <c r="E9" s="1763">
        <v>0</v>
      </c>
      <c r="F9" s="1763"/>
      <c r="G9" s="1758">
        <f t="shared" si="0"/>
        <v>0</v>
      </c>
      <c r="H9" s="1763"/>
      <c r="I9" s="1758">
        <f t="shared" si="0"/>
        <v>0</v>
      </c>
      <c r="J9" s="1763"/>
      <c r="K9" s="1758">
        <f t="shared" si="0"/>
        <v>0</v>
      </c>
      <c r="L9" s="1763"/>
      <c r="M9" s="1763"/>
    </row>
    <row r="10" spans="1:15" s="1759" customFormat="1" ht="15" customHeight="1" x14ac:dyDescent="0.2">
      <c r="A10" s="1764"/>
      <c r="B10" s="1761" t="s">
        <v>154</v>
      </c>
      <c r="C10" s="1765" t="s">
        <v>50</v>
      </c>
      <c r="D10" s="1766">
        <v>5900</v>
      </c>
      <c r="E10" s="1766">
        <v>5900</v>
      </c>
      <c r="F10" s="1766">
        <v>21376369</v>
      </c>
      <c r="G10" s="1758">
        <f t="shared" si="0"/>
        <v>0</v>
      </c>
      <c r="H10" s="1766">
        <v>21376369</v>
      </c>
      <c r="I10" s="1758">
        <f t="shared" si="0"/>
        <v>-6548911</v>
      </c>
      <c r="J10" s="1766">
        <v>14827458</v>
      </c>
      <c r="K10" s="1758">
        <f t="shared" si="0"/>
        <v>0</v>
      </c>
      <c r="L10" s="1766">
        <v>14827458</v>
      </c>
      <c r="M10" s="1766">
        <v>14827458</v>
      </c>
    </row>
    <row r="11" spans="1:15" s="1759" customFormat="1" ht="15" customHeight="1" x14ac:dyDescent="0.2">
      <c r="A11" s="1764"/>
      <c r="B11" s="1761" t="s">
        <v>156</v>
      </c>
      <c r="C11" s="1765" t="s">
        <v>414</v>
      </c>
      <c r="D11" s="1766">
        <v>2000</v>
      </c>
      <c r="E11" s="1766">
        <v>2000</v>
      </c>
      <c r="F11" s="1766">
        <v>6000000</v>
      </c>
      <c r="G11" s="1758">
        <f t="shared" si="0"/>
        <v>0</v>
      </c>
      <c r="H11" s="1766">
        <v>6000000</v>
      </c>
      <c r="I11" s="1758">
        <f t="shared" si="0"/>
        <v>676774</v>
      </c>
      <c r="J11" s="1766">
        <v>6676774</v>
      </c>
      <c r="K11" s="1758">
        <f t="shared" si="0"/>
        <v>0</v>
      </c>
      <c r="L11" s="1766">
        <v>6676774</v>
      </c>
      <c r="M11" s="1766">
        <v>6676774</v>
      </c>
      <c r="O11" s="2363"/>
    </row>
    <row r="12" spans="1:15" s="1759" customFormat="1" ht="15" customHeight="1" x14ac:dyDescent="0.2">
      <c r="A12" s="1764"/>
      <c r="B12" s="1761" t="s">
        <v>158</v>
      </c>
      <c r="C12" s="1765" t="s">
        <v>415</v>
      </c>
      <c r="D12" s="1766"/>
      <c r="E12" s="1766"/>
      <c r="F12" s="1766"/>
      <c r="G12" s="1758">
        <f t="shared" si="0"/>
        <v>0</v>
      </c>
      <c r="H12" s="1766"/>
      <c r="I12" s="1758">
        <f t="shared" si="0"/>
        <v>0</v>
      </c>
      <c r="J12" s="1766"/>
      <c r="K12" s="1758">
        <f t="shared" si="0"/>
        <v>0</v>
      </c>
      <c r="L12" s="1766"/>
      <c r="M12" s="1766"/>
    </row>
    <row r="13" spans="1:15" s="1759" customFormat="1" ht="15" customHeight="1" x14ac:dyDescent="0.2">
      <c r="A13" s="1764"/>
      <c r="B13" s="1761" t="s">
        <v>375</v>
      </c>
      <c r="C13" s="1767" t="s">
        <v>416</v>
      </c>
      <c r="D13" s="1766"/>
      <c r="E13" s="1766"/>
      <c r="F13" s="1766">
        <v>1800000</v>
      </c>
      <c r="G13" s="1758">
        <f t="shared" si="0"/>
        <v>0</v>
      </c>
      <c r="H13" s="1766">
        <v>1800000</v>
      </c>
      <c r="I13" s="1758">
        <f t="shared" si="0"/>
        <v>-31260</v>
      </c>
      <c r="J13" s="1766">
        <v>1768740</v>
      </c>
      <c r="K13" s="1758">
        <f t="shared" si="0"/>
        <v>0</v>
      </c>
      <c r="L13" s="1766">
        <v>1768740</v>
      </c>
      <c r="M13" s="1766">
        <v>1768740</v>
      </c>
    </row>
    <row r="14" spans="1:15" s="1759" customFormat="1" ht="15" customHeight="1" x14ac:dyDescent="0.2">
      <c r="A14" s="1764"/>
      <c r="B14" s="1761" t="s">
        <v>162</v>
      </c>
      <c r="C14" s="1765" t="s">
        <v>340</v>
      </c>
      <c r="D14" s="1768">
        <v>2133</v>
      </c>
      <c r="E14" s="1768">
        <v>2133</v>
      </c>
      <c r="F14" s="1768">
        <v>7877620</v>
      </c>
      <c r="G14" s="1758">
        <f t="shared" si="0"/>
        <v>0</v>
      </c>
      <c r="H14" s="1766">
        <v>7877620</v>
      </c>
      <c r="I14" s="1758">
        <f t="shared" si="0"/>
        <v>-1627284</v>
      </c>
      <c r="J14" s="1766">
        <v>6250336</v>
      </c>
      <c r="K14" s="1758">
        <f t="shared" si="0"/>
        <v>0</v>
      </c>
      <c r="L14" s="1766">
        <v>6250336</v>
      </c>
      <c r="M14" s="1766">
        <v>6250336</v>
      </c>
    </row>
    <row r="15" spans="1:15" s="1759" customFormat="1" ht="15" customHeight="1" x14ac:dyDescent="0.2">
      <c r="A15" s="1769"/>
      <c r="B15" s="1761" t="s">
        <v>164</v>
      </c>
      <c r="C15" s="1765" t="s">
        <v>60</v>
      </c>
      <c r="D15" s="1768"/>
      <c r="E15" s="1768"/>
      <c r="F15" s="1766"/>
      <c r="G15" s="1758">
        <f t="shared" si="0"/>
        <v>398698</v>
      </c>
      <c r="H15" s="1768">
        <v>398698</v>
      </c>
      <c r="I15" s="1758">
        <f t="shared" si="0"/>
        <v>559868</v>
      </c>
      <c r="J15" s="1768">
        <v>958566</v>
      </c>
      <c r="K15" s="1758">
        <f t="shared" si="0"/>
        <v>0</v>
      </c>
      <c r="L15" s="1768">
        <v>958566</v>
      </c>
      <c r="M15" s="1768">
        <v>958566</v>
      </c>
    </row>
    <row r="16" spans="1:15" s="1743" customFormat="1" ht="15" customHeight="1" x14ac:dyDescent="0.2">
      <c r="A16" s="1764"/>
      <c r="B16" s="1770" t="s">
        <v>166</v>
      </c>
      <c r="C16" s="1765" t="s">
        <v>417</v>
      </c>
      <c r="D16" s="1766"/>
      <c r="E16" s="1766">
        <v>17</v>
      </c>
      <c r="F16" s="1766"/>
      <c r="G16" s="1758">
        <f t="shared" si="0"/>
        <v>0</v>
      </c>
      <c r="H16" s="1766"/>
      <c r="I16" s="1758">
        <f t="shared" si="0"/>
        <v>1</v>
      </c>
      <c r="J16" s="1766">
        <v>1</v>
      </c>
      <c r="K16" s="1758">
        <f t="shared" si="0"/>
        <v>0</v>
      </c>
      <c r="L16" s="1766">
        <v>1</v>
      </c>
      <c r="M16" s="1766">
        <v>1</v>
      </c>
    </row>
    <row r="17" spans="1:14" s="1743" customFormat="1" ht="15" customHeight="1" x14ac:dyDescent="0.2">
      <c r="A17" s="1771"/>
      <c r="B17" s="1770" t="s">
        <v>168</v>
      </c>
      <c r="C17" s="1765" t="s">
        <v>64</v>
      </c>
      <c r="D17" s="1772"/>
      <c r="E17" s="1772"/>
      <c r="F17" s="1772"/>
      <c r="G17" s="1758">
        <f t="shared" si="0"/>
        <v>0</v>
      </c>
      <c r="H17" s="1772"/>
      <c r="I17" s="1758">
        <f t="shared" si="0"/>
        <v>0</v>
      </c>
      <c r="J17" s="1772"/>
      <c r="K17" s="1758">
        <f t="shared" si="0"/>
        <v>0</v>
      </c>
      <c r="L17" s="1772"/>
      <c r="M17" s="1772"/>
    </row>
    <row r="18" spans="1:14" s="1743" customFormat="1" ht="15" customHeight="1" thickBot="1" x14ac:dyDescent="0.25">
      <c r="A18" s="1771"/>
      <c r="B18" s="1770" t="s">
        <v>170</v>
      </c>
      <c r="C18" s="1767" t="s">
        <v>418</v>
      </c>
      <c r="D18" s="1772">
        <v>0</v>
      </c>
      <c r="E18" s="1772">
        <v>0</v>
      </c>
      <c r="F18" s="1772"/>
      <c r="G18" s="1773">
        <f t="shared" si="0"/>
        <v>2242</v>
      </c>
      <c r="H18" s="1772">
        <v>2242</v>
      </c>
      <c r="I18" s="1758">
        <f t="shared" si="0"/>
        <v>17528</v>
      </c>
      <c r="J18" s="1772">
        <v>19770</v>
      </c>
      <c r="K18" s="1758">
        <f t="shared" si="0"/>
        <v>0</v>
      </c>
      <c r="L18" s="1772">
        <v>19770</v>
      </c>
      <c r="M18" s="1772">
        <v>19770</v>
      </c>
    </row>
    <row r="19" spans="1:14" s="1759" customFormat="1" ht="29.25" customHeight="1" thickBot="1" x14ac:dyDescent="0.25">
      <c r="A19" s="1753" t="s">
        <v>17</v>
      </c>
      <c r="B19" s="1754"/>
      <c r="C19" s="1755" t="s">
        <v>419</v>
      </c>
      <c r="D19" s="1756">
        <f>SUM(D20:D26)</f>
        <v>11613</v>
      </c>
      <c r="E19" s="1756">
        <f>SUM(E20:E26)</f>
        <v>14841</v>
      </c>
      <c r="F19" s="1756">
        <f>SUM(F20+F24+F25)</f>
        <v>0</v>
      </c>
      <c r="G19" s="1774">
        <f t="shared" si="0"/>
        <v>0</v>
      </c>
      <c r="H19" s="1756">
        <f>SUM(H20+H24+H25)</f>
        <v>0</v>
      </c>
      <c r="I19" s="1775">
        <f t="shared" si="0"/>
        <v>0</v>
      </c>
      <c r="J19" s="1756">
        <f>SUM(J20+J24+J25)</f>
        <v>0</v>
      </c>
      <c r="K19" s="1775">
        <f t="shared" si="0"/>
        <v>0</v>
      </c>
      <c r="L19" s="1756">
        <f>SUM(L20+L24+L25)</f>
        <v>0</v>
      </c>
      <c r="M19" s="1756">
        <f>SUM(M20)</f>
        <v>0</v>
      </c>
    </row>
    <row r="20" spans="1:14" s="1743" customFormat="1" ht="31.5" customHeight="1" x14ac:dyDescent="0.2">
      <c r="A20" s="1764"/>
      <c r="B20" s="1761" t="s">
        <v>5</v>
      </c>
      <c r="C20" s="1776" t="s">
        <v>420</v>
      </c>
      <c r="D20" s="1766">
        <v>11613</v>
      </c>
      <c r="E20" s="1766">
        <v>12298</v>
      </c>
      <c r="F20" s="1766">
        <f>SUM(F21:F23)</f>
        <v>0</v>
      </c>
      <c r="G20" s="1777">
        <f t="shared" si="0"/>
        <v>0</v>
      </c>
      <c r="H20" s="1766">
        <f>SUM(H21:H23)</f>
        <v>0</v>
      </c>
      <c r="I20" s="1777">
        <f t="shared" si="0"/>
        <v>0</v>
      </c>
      <c r="J20" s="1766">
        <f>SUM(J21:J23)</f>
        <v>0</v>
      </c>
      <c r="K20" s="1777">
        <f t="shared" si="0"/>
        <v>0</v>
      </c>
      <c r="L20" s="1766">
        <f>SUM(L21:L23)</f>
        <v>0</v>
      </c>
      <c r="M20" s="1766">
        <f>SUM(M21:M25)</f>
        <v>0</v>
      </c>
    </row>
    <row r="21" spans="1:14" s="1743" customFormat="1" ht="15" customHeight="1" x14ac:dyDescent="0.2">
      <c r="A21" s="1764"/>
      <c r="B21" s="1761" t="s">
        <v>421</v>
      </c>
      <c r="C21" s="1765" t="s">
        <v>422</v>
      </c>
      <c r="D21" s="1766">
        <v>0</v>
      </c>
      <c r="E21" s="1766">
        <v>453</v>
      </c>
      <c r="F21" s="1766">
        <v>0</v>
      </c>
      <c r="G21" s="1758">
        <f t="shared" si="0"/>
        <v>0</v>
      </c>
      <c r="H21" s="1766">
        <v>0</v>
      </c>
      <c r="I21" s="1758">
        <f t="shared" si="0"/>
        <v>0</v>
      </c>
      <c r="J21" s="1766"/>
      <c r="K21" s="1758">
        <f t="shared" si="0"/>
        <v>0</v>
      </c>
      <c r="L21" s="1766"/>
      <c r="M21" s="1766">
        <v>0</v>
      </c>
    </row>
    <row r="22" spans="1:14" s="1743" customFormat="1" ht="20.25" customHeight="1" x14ac:dyDescent="0.2">
      <c r="A22" s="1764"/>
      <c r="B22" s="1761" t="s">
        <v>360</v>
      </c>
      <c r="C22" s="55" t="s">
        <v>1430</v>
      </c>
      <c r="D22" s="1766"/>
      <c r="E22" s="1766"/>
      <c r="F22" s="1766">
        <v>0</v>
      </c>
      <c r="G22" s="1758">
        <f t="shared" si="0"/>
        <v>0</v>
      </c>
      <c r="H22" s="1766"/>
      <c r="I22" s="1758">
        <f t="shared" si="0"/>
        <v>0</v>
      </c>
      <c r="J22" s="1766"/>
      <c r="K22" s="1758">
        <f t="shared" si="0"/>
        <v>0</v>
      </c>
      <c r="L22" s="1766"/>
      <c r="M22" s="1766"/>
    </row>
    <row r="23" spans="1:14" s="1743" customFormat="1" ht="15" customHeight="1" x14ac:dyDescent="0.2">
      <c r="A23" s="1764"/>
      <c r="B23" s="1761" t="s">
        <v>357</v>
      </c>
      <c r="C23" s="1765" t="s">
        <v>424</v>
      </c>
      <c r="D23" s="1766">
        <v>0</v>
      </c>
      <c r="E23" s="1766">
        <v>2090</v>
      </c>
      <c r="F23" s="1766">
        <v>0</v>
      </c>
      <c r="G23" s="1758">
        <f t="shared" si="0"/>
        <v>0</v>
      </c>
      <c r="H23" s="1766"/>
      <c r="I23" s="1758">
        <f t="shared" si="0"/>
        <v>0</v>
      </c>
      <c r="J23" s="1766"/>
      <c r="K23" s="1758">
        <f t="shared" si="0"/>
        <v>0</v>
      </c>
      <c r="L23" s="1766"/>
      <c r="M23" s="1766"/>
    </row>
    <row r="24" spans="1:14" s="1743" customFormat="1" ht="15" customHeight="1" x14ac:dyDescent="0.2">
      <c r="A24" s="1764"/>
      <c r="B24" s="1761" t="s">
        <v>7</v>
      </c>
      <c r="C24" s="1765" t="s">
        <v>6</v>
      </c>
      <c r="D24" s="1766"/>
      <c r="E24" s="1766"/>
      <c r="F24" s="1766">
        <v>0</v>
      </c>
      <c r="G24" s="1758">
        <f>SUM(H24-F24)</f>
        <v>0</v>
      </c>
      <c r="H24" s="1766">
        <v>0</v>
      </c>
      <c r="I24" s="1758">
        <f>SUM(J24-H24)</f>
        <v>0</v>
      </c>
      <c r="J24" s="1766"/>
      <c r="K24" s="1758">
        <f>SUM(L24-J24)</f>
        <v>0</v>
      </c>
      <c r="L24" s="1766"/>
      <c r="M24" s="1766">
        <v>0</v>
      </c>
    </row>
    <row r="25" spans="1:14" s="1743" customFormat="1" ht="15" customHeight="1" thickBot="1" x14ac:dyDescent="0.25">
      <c r="A25" s="1764"/>
      <c r="B25" s="1761" t="s">
        <v>9</v>
      </c>
      <c r="C25" s="1765" t="s">
        <v>425</v>
      </c>
      <c r="D25" s="1766"/>
      <c r="E25" s="1766"/>
      <c r="F25" s="1766">
        <v>0</v>
      </c>
      <c r="G25" s="1758">
        <f>SUM(H25-F25)</f>
        <v>0</v>
      </c>
      <c r="H25" s="1766">
        <v>0</v>
      </c>
      <c r="I25" s="1773">
        <f>SUM(J25-H25)</f>
        <v>0</v>
      </c>
      <c r="J25" s="1766"/>
      <c r="K25" s="1773">
        <f>SUM(L25-J25)</f>
        <v>0</v>
      </c>
      <c r="L25" s="1766"/>
      <c r="M25" s="1766">
        <v>0</v>
      </c>
    </row>
    <row r="26" spans="1:14" s="1743" customFormat="1" ht="15" customHeight="1" thickBot="1" x14ac:dyDescent="0.25">
      <c r="A26" s="1753" t="s">
        <v>31</v>
      </c>
      <c r="B26" s="1778"/>
      <c r="C26" s="1755" t="s">
        <v>426</v>
      </c>
      <c r="D26" s="1766">
        <v>0</v>
      </c>
      <c r="E26" s="1766">
        <v>0</v>
      </c>
      <c r="F26" s="1756">
        <f>SUM(F27)</f>
        <v>0</v>
      </c>
      <c r="G26" s="1774">
        <f>SUM(H26-F26)</f>
        <v>402500</v>
      </c>
      <c r="H26" s="1756">
        <f>SUM(H27)</f>
        <v>402500</v>
      </c>
      <c r="I26" s="1779"/>
      <c r="J26" s="1756">
        <f>SUM(J27)</f>
        <v>402500</v>
      </c>
      <c r="K26" s="1476">
        <f>SUM(L26-J26)</f>
        <v>0</v>
      </c>
      <c r="L26" s="1756">
        <f>SUM(L27)</f>
        <v>402500</v>
      </c>
      <c r="M26" s="1756">
        <f>SUM(M27)</f>
        <v>402500</v>
      </c>
    </row>
    <row r="27" spans="1:14" s="1743" customFormat="1" ht="15" customHeight="1" thickBot="1" x14ac:dyDescent="0.25">
      <c r="A27" s="1753"/>
      <c r="B27" s="1761" t="s">
        <v>19</v>
      </c>
      <c r="C27" s="1765" t="s">
        <v>427</v>
      </c>
      <c r="D27" s="1768"/>
      <c r="E27" s="1768"/>
      <c r="F27" s="1768">
        <v>0</v>
      </c>
      <c r="G27" s="1781">
        <f>SUM(H27-F27)</f>
        <v>402500</v>
      </c>
      <c r="H27" s="2871">
        <v>402500</v>
      </c>
      <c r="I27" s="1781">
        <f>SUM(J27-H27)</f>
        <v>0</v>
      </c>
      <c r="J27" s="1768">
        <v>402500</v>
      </c>
      <c r="K27" s="1781">
        <f>SUM(L27-J27)</f>
        <v>0</v>
      </c>
      <c r="L27" s="1768">
        <v>402500</v>
      </c>
      <c r="M27" s="1768">
        <v>402500</v>
      </c>
    </row>
    <row r="28" spans="1:14" s="1743" customFormat="1" ht="15" customHeight="1" thickBot="1" x14ac:dyDescent="0.25">
      <c r="A28" s="1753" t="s">
        <v>45</v>
      </c>
      <c r="B28" s="1754"/>
      <c r="C28" s="1778" t="s">
        <v>428</v>
      </c>
      <c r="D28" s="1782">
        <v>0</v>
      </c>
      <c r="E28" s="1782">
        <v>0</v>
      </c>
      <c r="F28" s="1782">
        <f>SUM(F29:F31)</f>
        <v>0</v>
      </c>
      <c r="G28" s="1774">
        <f>SUM(H28-F28)</f>
        <v>0</v>
      </c>
      <c r="H28" s="1783">
        <f>SUM(H29:H31)</f>
        <v>0</v>
      </c>
      <c r="I28" s="1775">
        <f>SUM(J28-H28)</f>
        <v>0</v>
      </c>
      <c r="J28" s="1783">
        <f>SUM(J29:J31)</f>
        <v>0</v>
      </c>
      <c r="K28" s="1775">
        <f>SUM(L28-J28)</f>
        <v>0</v>
      </c>
      <c r="L28" s="1783">
        <f>SUM(L29:L31)</f>
        <v>0</v>
      </c>
      <c r="M28" s="1782">
        <f>SUM(M29:M31)</f>
        <v>0</v>
      </c>
    </row>
    <row r="29" spans="1:14" s="1743" customFormat="1" ht="15" customHeight="1" thickBot="1" x14ac:dyDescent="0.25">
      <c r="A29" s="1760"/>
      <c r="B29" s="1784" t="s">
        <v>33</v>
      </c>
      <c r="C29" s="1765" t="s">
        <v>359</v>
      </c>
      <c r="D29" s="1782"/>
      <c r="E29" s="1782"/>
      <c r="F29" s="1766">
        <v>0</v>
      </c>
      <c r="G29" s="1777"/>
      <c r="H29" s="1785">
        <v>0</v>
      </c>
      <c r="I29" s="1777"/>
      <c r="J29" s="1785"/>
      <c r="K29" s="1777"/>
      <c r="L29" s="1785"/>
      <c r="M29" s="1766">
        <v>0</v>
      </c>
      <c r="N29" s="1743">
        <v>0</v>
      </c>
    </row>
    <row r="30" spans="1:14" s="1743" customFormat="1" ht="15" customHeight="1" thickBot="1" x14ac:dyDescent="0.25">
      <c r="A30" s="1769"/>
      <c r="B30" s="1784" t="s">
        <v>39</v>
      </c>
      <c r="C30" s="1765" t="s">
        <v>72</v>
      </c>
      <c r="D30" s="1782"/>
      <c r="E30" s="1782"/>
      <c r="F30" s="1766">
        <v>0</v>
      </c>
      <c r="G30" s="1758"/>
      <c r="H30" s="1766">
        <v>0</v>
      </c>
      <c r="I30" s="1773"/>
      <c r="J30" s="1766"/>
      <c r="K30" s="1773"/>
      <c r="L30" s="1766"/>
      <c r="M30" s="1766">
        <v>0</v>
      </c>
    </row>
    <row r="31" spans="1:14" s="1743" customFormat="1" ht="15" customHeight="1" thickBot="1" x14ac:dyDescent="0.25">
      <c r="A31" s="1786"/>
      <c r="B31" s="1784" t="s">
        <v>41</v>
      </c>
      <c r="C31" s="1765" t="s">
        <v>74</v>
      </c>
      <c r="D31" s="1782"/>
      <c r="E31" s="1782"/>
      <c r="F31" s="1766">
        <v>0</v>
      </c>
      <c r="G31" s="1758"/>
      <c r="H31" s="1766">
        <v>0</v>
      </c>
      <c r="I31" s="1787"/>
      <c r="J31" s="1766"/>
      <c r="K31" s="1789"/>
      <c r="L31" s="1766"/>
      <c r="M31" s="1766">
        <v>0</v>
      </c>
    </row>
    <row r="32" spans="1:14" s="1759" customFormat="1" ht="12.75" customHeight="1" thickBot="1" x14ac:dyDescent="0.25">
      <c r="A32" s="1753" t="s">
        <v>45</v>
      </c>
      <c r="B32" s="1754"/>
      <c r="C32" s="1778" t="s">
        <v>473</v>
      </c>
      <c r="D32" s="1782">
        <v>0</v>
      </c>
      <c r="E32" s="1782">
        <v>0</v>
      </c>
      <c r="F32" s="1782">
        <v>0</v>
      </c>
      <c r="G32" s="1790"/>
      <c r="H32" s="1782">
        <v>0</v>
      </c>
      <c r="I32" s="1791"/>
      <c r="J32" s="1782">
        <v>0</v>
      </c>
      <c r="K32" s="1791"/>
      <c r="L32" s="1782">
        <v>0</v>
      </c>
      <c r="M32" s="1782">
        <v>0</v>
      </c>
    </row>
    <row r="33" spans="1:22" s="1759" customFormat="1" ht="12.75" customHeight="1" thickBot="1" x14ac:dyDescent="0.25">
      <c r="A33" s="1753" t="s">
        <v>67</v>
      </c>
      <c r="B33" s="1792"/>
      <c r="C33" s="1778" t="s">
        <v>474</v>
      </c>
      <c r="D33" s="1793">
        <f>+D34+D35</f>
        <v>0</v>
      </c>
      <c r="E33" s="1793">
        <f>+E34+E35</f>
        <v>236</v>
      </c>
      <c r="F33" s="1793">
        <f>+F34+F35</f>
        <v>0</v>
      </c>
      <c r="G33" s="1791"/>
      <c r="H33" s="1793">
        <f>+H34+H35</f>
        <v>0</v>
      </c>
      <c r="I33" s="1794"/>
      <c r="J33" s="1793">
        <f>+J34+J35</f>
        <v>0</v>
      </c>
      <c r="K33" s="1794"/>
      <c r="L33" s="1793">
        <f>+L34+L35</f>
        <v>0</v>
      </c>
      <c r="M33" s="1793">
        <f>+M34+M35</f>
        <v>0</v>
      </c>
    </row>
    <row r="34" spans="1:22" s="1759" customFormat="1" ht="12.75" customHeight="1" x14ac:dyDescent="0.2">
      <c r="A34" s="1760"/>
      <c r="B34" s="1795" t="s">
        <v>47</v>
      </c>
      <c r="C34" s="1762" t="s">
        <v>475</v>
      </c>
      <c r="D34" s="1796">
        <v>0</v>
      </c>
      <c r="E34" s="1796">
        <v>236</v>
      </c>
      <c r="F34" s="1796"/>
      <c r="G34" s="1794"/>
      <c r="H34" s="1796"/>
      <c r="I34" s="1797"/>
      <c r="J34" s="1796"/>
      <c r="K34" s="1798"/>
      <c r="L34" s="1796"/>
      <c r="M34" s="1796"/>
    </row>
    <row r="35" spans="1:22" s="1759" customFormat="1" ht="12.75" customHeight="1" thickBot="1" x14ac:dyDescent="0.25">
      <c r="A35" s="1786"/>
      <c r="B35" s="1799" t="s">
        <v>49</v>
      </c>
      <c r="C35" s="1800" t="s">
        <v>366</v>
      </c>
      <c r="D35" s="1788">
        <v>0</v>
      </c>
      <c r="E35" s="1788">
        <v>0</v>
      </c>
      <c r="F35" s="1788">
        <v>0</v>
      </c>
      <c r="G35" s="1801"/>
      <c r="H35" s="1788"/>
      <c r="I35" s="1802"/>
      <c r="J35" s="1788"/>
      <c r="K35" s="1802"/>
      <c r="L35" s="1788"/>
      <c r="M35" s="1788"/>
    </row>
    <row r="36" spans="1:22" s="1759" customFormat="1" ht="29.25" customHeight="1" thickBot="1" x14ac:dyDescent="0.25">
      <c r="A36" s="1753" t="s">
        <v>67</v>
      </c>
      <c r="B36" s="1804"/>
      <c r="C36" s="1778" t="s">
        <v>429</v>
      </c>
      <c r="D36" s="1803"/>
      <c r="E36" s="1803"/>
      <c r="F36" s="1782">
        <f>SUM(F37:F37)</f>
        <v>0</v>
      </c>
      <c r="G36" s="1790"/>
      <c r="H36" s="1782">
        <f>SUM(H37:H37)</f>
        <v>0</v>
      </c>
      <c r="I36" s="1758"/>
      <c r="J36" s="1782">
        <f>SUM(J37:J37)</f>
        <v>0</v>
      </c>
      <c r="K36" s="1758"/>
      <c r="L36" s="1782">
        <f>SUM(L37:L37)</f>
        <v>0</v>
      </c>
      <c r="M36" s="1782">
        <f>SUM(M37:M37)</f>
        <v>0</v>
      </c>
    </row>
    <row r="37" spans="1:22" s="1759" customFormat="1" ht="30" customHeight="1" thickBot="1" x14ac:dyDescent="0.25">
      <c r="A37" s="1769"/>
      <c r="B37" s="1805" t="s">
        <v>47</v>
      </c>
      <c r="C37" s="1776" t="s">
        <v>430</v>
      </c>
      <c r="D37" s="1803"/>
      <c r="E37" s="1803"/>
      <c r="F37" s="1766">
        <v>0</v>
      </c>
      <c r="G37" s="1758"/>
      <c r="H37" s="1766"/>
      <c r="I37" s="1790"/>
      <c r="J37" s="1766"/>
      <c r="K37" s="1790"/>
      <c r="L37" s="1766"/>
      <c r="M37" s="1766"/>
    </row>
    <row r="38" spans="1:22" s="1759" customFormat="1" ht="15" customHeight="1" thickBot="1" x14ac:dyDescent="0.3">
      <c r="A38" s="1806" t="s">
        <v>79</v>
      </c>
      <c r="B38" s="256"/>
      <c r="C38" s="1755" t="s">
        <v>431</v>
      </c>
      <c r="D38" s="1803"/>
      <c r="E38" s="1803"/>
      <c r="F38" s="1782">
        <f>SUM(F39)</f>
        <v>0</v>
      </c>
      <c r="G38" s="1790"/>
      <c r="H38" s="1782">
        <f>SUM(H39)</f>
        <v>0</v>
      </c>
      <c r="I38" s="1807"/>
      <c r="J38" s="1782">
        <f>SUM(J39)</f>
        <v>0</v>
      </c>
      <c r="K38" s="1807"/>
      <c r="L38" s="1782">
        <f>SUM(L39)</f>
        <v>0</v>
      </c>
      <c r="M38" s="1782">
        <f>SUM(M39)</f>
        <v>0</v>
      </c>
    </row>
    <row r="39" spans="1:22" s="1759" customFormat="1" ht="31.5" customHeight="1" thickBot="1" x14ac:dyDescent="0.25">
      <c r="A39" s="1806"/>
      <c r="B39" s="1808" t="s">
        <v>69</v>
      </c>
      <c r="C39" s="1765" t="s">
        <v>432</v>
      </c>
      <c r="D39" s="1803"/>
      <c r="E39" s="1803"/>
      <c r="F39" s="1803">
        <v>0</v>
      </c>
      <c r="G39" s="1807"/>
      <c r="H39" s="1803"/>
      <c r="I39" s="1809">
        <f t="shared" ref="G39:K68" si="1">SUM(J39-H39)</f>
        <v>0</v>
      </c>
      <c r="J39" s="1803"/>
      <c r="K39" s="1809">
        <f t="shared" si="1"/>
        <v>0</v>
      </c>
      <c r="L39" s="1803"/>
      <c r="M39" s="1803"/>
    </row>
    <row r="40" spans="1:22" s="1759" customFormat="1" ht="15" customHeight="1" thickBot="1" x14ac:dyDescent="0.3">
      <c r="A40" s="1806" t="s">
        <v>89</v>
      </c>
      <c r="B40" s="256"/>
      <c r="C40" s="1778" t="s">
        <v>433</v>
      </c>
      <c r="D40" s="1803"/>
      <c r="E40" s="1803"/>
      <c r="F40" s="1810">
        <f>SUM(F41:F43)</f>
        <v>100302142</v>
      </c>
      <c r="G40" s="1802">
        <f t="shared" si="1"/>
        <v>21268372</v>
      </c>
      <c r="H40" s="1810">
        <f>SUM(H41:H43)</f>
        <v>121570514</v>
      </c>
      <c r="I40" s="1779">
        <f t="shared" si="1"/>
        <v>-8614324</v>
      </c>
      <c r="J40" s="1810">
        <f>SUM(J41:J43)</f>
        <v>112956190</v>
      </c>
      <c r="K40" s="1802">
        <f t="shared" si="1"/>
        <v>0</v>
      </c>
      <c r="L40" s="1810">
        <f>SUM(L41:L43)</f>
        <v>112956190</v>
      </c>
      <c r="M40" s="1810">
        <f>SUM(M41:M43)</f>
        <v>112956190</v>
      </c>
    </row>
    <row r="41" spans="1:22" s="1759" customFormat="1" ht="15" customHeight="1" thickBot="1" x14ac:dyDescent="0.25">
      <c r="A41" s="1760"/>
      <c r="B41" s="1784" t="s">
        <v>81</v>
      </c>
      <c r="C41" s="1765" t="s">
        <v>434</v>
      </c>
      <c r="D41" s="1803"/>
      <c r="E41" s="1803"/>
      <c r="F41" s="1766">
        <v>0</v>
      </c>
      <c r="G41" s="1758">
        <f t="shared" si="1"/>
        <v>570563</v>
      </c>
      <c r="H41" s="1766">
        <v>570563</v>
      </c>
      <c r="I41" s="1777">
        <f t="shared" si="1"/>
        <v>0</v>
      </c>
      <c r="J41" s="1766">
        <v>570563</v>
      </c>
      <c r="K41" s="1777">
        <f t="shared" si="1"/>
        <v>0</v>
      </c>
      <c r="L41" s="1766">
        <v>570563</v>
      </c>
      <c r="M41" s="1766">
        <v>570563</v>
      </c>
    </row>
    <row r="42" spans="1:22" s="1759" customFormat="1" ht="15" customHeight="1" thickBot="1" x14ac:dyDescent="0.25">
      <c r="A42" s="1769"/>
      <c r="B42" s="1784" t="s">
        <v>83</v>
      </c>
      <c r="C42" s="1765" t="s">
        <v>435</v>
      </c>
      <c r="D42" s="1803"/>
      <c r="E42" s="1803"/>
      <c r="F42" s="1766">
        <v>0</v>
      </c>
      <c r="G42" s="1758">
        <f t="shared" si="1"/>
        <v>0</v>
      </c>
      <c r="H42" s="1766"/>
      <c r="I42" s="1758">
        <f t="shared" si="1"/>
        <v>0</v>
      </c>
      <c r="J42" s="1766"/>
      <c r="K42" s="1758">
        <f t="shared" si="1"/>
        <v>0</v>
      </c>
      <c r="L42" s="1766"/>
      <c r="M42" s="1766"/>
      <c r="O42" s="4604" t="s">
        <v>1803</v>
      </c>
      <c r="Q42" s="4604" t="s">
        <v>1799</v>
      </c>
      <c r="S42" s="4604" t="s">
        <v>1800</v>
      </c>
      <c r="T42" s="4604" t="s">
        <v>1800</v>
      </c>
      <c r="U42" s="4604" t="s">
        <v>1802</v>
      </c>
      <c r="V42" s="4604" t="s">
        <v>1801</v>
      </c>
    </row>
    <row r="43" spans="1:22" s="1743" customFormat="1" ht="15" customHeight="1" thickBot="1" x14ac:dyDescent="0.25">
      <c r="A43" s="1764"/>
      <c r="B43" s="1784" t="s">
        <v>85</v>
      </c>
      <c r="C43" s="55" t="s">
        <v>1433</v>
      </c>
      <c r="D43" s="1782">
        <v>75958</v>
      </c>
      <c r="E43" s="1782">
        <v>101096</v>
      </c>
      <c r="F43" s="1766">
        <f>SUM(F44:F45)</f>
        <v>100302142</v>
      </c>
      <c r="G43" s="1758">
        <f t="shared" si="1"/>
        <v>20697809</v>
      </c>
      <c r="H43" s="1766">
        <f>SUM(H44:H45)</f>
        <v>120999951</v>
      </c>
      <c r="I43" s="1811">
        <f t="shared" si="1"/>
        <v>-8614324</v>
      </c>
      <c r="J43" s="1766">
        <f>SUM(J44:J45)</f>
        <v>112385627</v>
      </c>
      <c r="K43" s="1811">
        <f t="shared" si="1"/>
        <v>0</v>
      </c>
      <c r="L43" s="1766">
        <f>SUM(L44:L45)</f>
        <v>112385627</v>
      </c>
      <c r="M43" s="1766">
        <f>SUM(M44:M45)</f>
        <v>112385627</v>
      </c>
      <c r="O43" s="4604"/>
      <c r="Q43" s="4604"/>
      <c r="S43" s="4604"/>
      <c r="T43" s="4604"/>
      <c r="U43" s="4604"/>
      <c r="V43" s="4604"/>
    </row>
    <row r="44" spans="1:22" s="1743" customFormat="1" ht="15" customHeight="1" thickBot="1" x14ac:dyDescent="0.25">
      <c r="A44" s="1764"/>
      <c r="B44" s="2685" t="s">
        <v>437</v>
      </c>
      <c r="C44" s="2686" t="s">
        <v>891</v>
      </c>
      <c r="D44" s="1813"/>
      <c r="E44" s="1813"/>
      <c r="F44" s="1306">
        <v>12773970</v>
      </c>
      <c r="G44" s="1811">
        <f t="shared" si="1"/>
        <v>1558512</v>
      </c>
      <c r="H44" s="1814">
        <v>14332482</v>
      </c>
      <c r="I44" s="1811">
        <f t="shared" si="1"/>
        <v>2476679</v>
      </c>
      <c r="J44" s="1814">
        <v>16809161</v>
      </c>
      <c r="K44" s="1811">
        <f t="shared" si="1"/>
        <v>0</v>
      </c>
      <c r="L44" s="1814">
        <v>16809161</v>
      </c>
      <c r="M44" s="1814">
        <v>16809161</v>
      </c>
      <c r="O44" s="4604"/>
      <c r="P44" s="1812"/>
      <c r="Q44" s="4604"/>
      <c r="S44" s="4604"/>
      <c r="T44" s="4604"/>
      <c r="U44" s="4604"/>
      <c r="V44" s="4604"/>
    </row>
    <row r="45" spans="1:22" s="1743" customFormat="1" ht="15" customHeight="1" thickBot="1" x14ac:dyDescent="0.25">
      <c r="A45" s="1786"/>
      <c r="B45" s="2685" t="s">
        <v>439</v>
      </c>
      <c r="C45" s="2686" t="s">
        <v>532</v>
      </c>
      <c r="D45" s="1813"/>
      <c r="E45" s="1813"/>
      <c r="F45" s="1306">
        <v>87528172</v>
      </c>
      <c r="G45" s="1811">
        <f t="shared" si="1"/>
        <v>19139297</v>
      </c>
      <c r="H45" s="1814">
        <v>106667469</v>
      </c>
      <c r="I45" s="1758">
        <f t="shared" si="1"/>
        <v>-11091003</v>
      </c>
      <c r="J45" s="1814">
        <v>95576466</v>
      </c>
      <c r="K45" s="1758">
        <f t="shared" si="1"/>
        <v>0</v>
      </c>
      <c r="L45" s="1814">
        <v>95576466</v>
      </c>
      <c r="M45" s="1814">
        <v>95576466</v>
      </c>
      <c r="O45" s="1812"/>
      <c r="P45" s="1812"/>
      <c r="Q45" s="1812"/>
      <c r="U45" s="463"/>
    </row>
    <row r="46" spans="1:22" s="1743" customFormat="1" ht="12.75" hidden="1" customHeight="1" x14ac:dyDescent="0.25">
      <c r="A46" s="1806"/>
      <c r="B46" s="256"/>
      <c r="C46" s="1778" t="s">
        <v>458</v>
      </c>
      <c r="D46" s="1782"/>
      <c r="E46" s="1782"/>
      <c r="F46" s="1782"/>
      <c r="G46" s="1758">
        <f t="shared" si="1"/>
        <v>0</v>
      </c>
      <c r="H46" s="1782"/>
      <c r="I46" s="1752">
        <f t="shared" si="1"/>
        <v>0</v>
      </c>
      <c r="J46" s="1782"/>
      <c r="K46" s="1752">
        <f t="shared" si="1"/>
        <v>0</v>
      </c>
      <c r="L46" s="1782"/>
      <c r="M46" s="1782"/>
      <c r="O46" s="1812"/>
      <c r="P46" s="1812"/>
      <c r="Q46" s="1812"/>
    </row>
    <row r="47" spans="1:22" s="1743" customFormat="1" ht="15" customHeight="1" thickBot="1" x14ac:dyDescent="0.25">
      <c r="A47" s="1748" t="s">
        <v>99</v>
      </c>
      <c r="B47" s="1749"/>
      <c r="C47" s="1815" t="s">
        <v>441</v>
      </c>
      <c r="D47" s="1751">
        <f>SUM(D8,D19,D28,D32,D33,D43)</f>
        <v>97604</v>
      </c>
      <c r="E47" s="1751">
        <f>SUM(E8,E19,E28,E32,E33,E43)</f>
        <v>126223</v>
      </c>
      <c r="F47" s="1751">
        <f>SUM(F8,F19,F28,F32,F33,F40)</f>
        <v>137356131</v>
      </c>
      <c r="G47" s="1752">
        <f t="shared" si="1"/>
        <v>22071812</v>
      </c>
      <c r="H47" s="1822">
        <f>SUM(H8,H19,H26,H28,H32,H33,H40)</f>
        <v>159427943</v>
      </c>
      <c r="I47" s="1752">
        <f t="shared" si="1"/>
        <v>-15567608</v>
      </c>
      <c r="J47" s="1751">
        <f>SUM(J8,J19,J26,J28,J32,J33,J40)</f>
        <v>143860335</v>
      </c>
      <c r="K47" s="1752">
        <f t="shared" si="1"/>
        <v>0</v>
      </c>
      <c r="L47" s="1751">
        <f>SUM(L8,L19,L26,L28,L32,L33,L40)</f>
        <v>143860335</v>
      </c>
      <c r="M47" s="1751">
        <f>SUM(M8,M19,M26,M28,M32,M33,M40)</f>
        <v>143860335</v>
      </c>
      <c r="N47" s="1816"/>
      <c r="O47" s="1816">
        <f t="shared" ref="O47:V47" si="2">SUM(F66-F47)</f>
        <v>0</v>
      </c>
      <c r="P47" s="1816">
        <f t="shared" si="2"/>
        <v>0</v>
      </c>
      <c r="Q47" s="1816">
        <f t="shared" si="2"/>
        <v>0</v>
      </c>
      <c r="R47" s="1816">
        <f t="shared" si="2"/>
        <v>0</v>
      </c>
      <c r="S47" s="1816">
        <f t="shared" si="2"/>
        <v>0</v>
      </c>
      <c r="T47" s="1816">
        <f t="shared" si="2"/>
        <v>0</v>
      </c>
      <c r="U47" s="1816">
        <f t="shared" si="2"/>
        <v>0</v>
      </c>
      <c r="V47" s="1816">
        <f t="shared" si="2"/>
        <v>-161243</v>
      </c>
    </row>
    <row r="48" spans="1:22" s="1743" customFormat="1" ht="15" customHeight="1" thickBot="1" x14ac:dyDescent="0.25">
      <c r="A48" s="2156"/>
      <c r="B48" s="1817"/>
      <c r="C48" s="1818"/>
      <c r="D48" s="1819"/>
      <c r="E48" s="1819"/>
      <c r="F48" s="1820"/>
      <c r="G48" s="1821"/>
      <c r="H48" s="1820"/>
      <c r="I48" s="1822"/>
      <c r="J48" s="1824"/>
      <c r="K48" s="1823"/>
      <c r="L48" s="1824"/>
      <c r="M48" s="2157"/>
      <c r="O48" s="1812"/>
      <c r="P48" s="2870"/>
      <c r="Q48" s="1812"/>
    </row>
    <row r="49" spans="1:13" s="1747" customFormat="1" ht="15" customHeight="1" thickBot="1" x14ac:dyDescent="0.25">
      <c r="A49" s="1748"/>
      <c r="B49" s="1749"/>
      <c r="C49" s="1750" t="s">
        <v>231</v>
      </c>
      <c r="D49" s="1751"/>
      <c r="E49" s="1751"/>
      <c r="F49" s="1751"/>
      <c r="G49" s="1752"/>
      <c r="H49" s="1751"/>
      <c r="I49" s="1757"/>
      <c r="J49" s="1751"/>
      <c r="K49" s="1757"/>
      <c r="L49" s="1751"/>
      <c r="M49" s="1751"/>
    </row>
    <row r="50" spans="1:13" s="1759" customFormat="1" ht="15" customHeight="1" thickBot="1" x14ac:dyDescent="0.25">
      <c r="A50" s="1753" t="s">
        <v>3</v>
      </c>
      <c r="B50" s="1778"/>
      <c r="C50" s="1778" t="s">
        <v>1041</v>
      </c>
      <c r="D50" s="1756">
        <f>SUM(D51:D55)</f>
        <v>97604</v>
      </c>
      <c r="E50" s="1756">
        <f>SUM(E51:E56)</f>
        <v>124247</v>
      </c>
      <c r="F50" s="1756">
        <f>SUM(F51:F56)</f>
        <v>136340131</v>
      </c>
      <c r="G50" s="1757">
        <f t="shared" si="1"/>
        <v>22206612</v>
      </c>
      <c r="H50" s="1756">
        <f>SUM(H51:H56)</f>
        <v>158546743</v>
      </c>
      <c r="I50" s="1779">
        <f t="shared" si="1"/>
        <v>-16495699</v>
      </c>
      <c r="J50" s="1756">
        <f>SUM(J51:J56)</f>
        <v>142051044</v>
      </c>
      <c r="K50" s="1780">
        <f t="shared" si="1"/>
        <v>0</v>
      </c>
      <c r="L50" s="1756">
        <f>SUM(L51:L56)</f>
        <v>142051044</v>
      </c>
      <c r="M50" s="1756">
        <f>SUM(M51:M56)</f>
        <v>141889801</v>
      </c>
    </row>
    <row r="51" spans="1:13" s="1743" customFormat="1" ht="15" customHeight="1" x14ac:dyDescent="0.2">
      <c r="A51" s="1825"/>
      <c r="B51" s="1826" t="s">
        <v>152</v>
      </c>
      <c r="C51" s="1776" t="s">
        <v>153</v>
      </c>
      <c r="D51" s="1785">
        <v>28809</v>
      </c>
      <c r="E51" s="1785">
        <v>29630</v>
      </c>
      <c r="F51" s="1785">
        <v>43541874</v>
      </c>
      <c r="G51" s="1758">
        <f t="shared" si="1"/>
        <v>2571061</v>
      </c>
      <c r="H51" s="1785">
        <v>46112935</v>
      </c>
      <c r="I51" s="1777">
        <f t="shared" si="1"/>
        <v>2253734</v>
      </c>
      <c r="J51" s="1785">
        <v>48366669</v>
      </c>
      <c r="K51" s="1777">
        <f t="shared" si="1"/>
        <v>0</v>
      </c>
      <c r="L51" s="1785">
        <v>48366669</v>
      </c>
      <c r="M51" s="1785">
        <v>48366669</v>
      </c>
    </row>
    <row r="52" spans="1:13" s="1743" customFormat="1" ht="15" customHeight="1" x14ac:dyDescent="0.2">
      <c r="A52" s="1764"/>
      <c r="B52" s="1784" t="s">
        <v>154</v>
      </c>
      <c r="C52" s="1765" t="s">
        <v>155</v>
      </c>
      <c r="D52" s="1766">
        <v>7733</v>
      </c>
      <c r="E52" s="1766">
        <v>8019</v>
      </c>
      <c r="F52" s="1827">
        <v>8696079</v>
      </c>
      <c r="G52" s="1758">
        <f t="shared" si="1"/>
        <v>507811</v>
      </c>
      <c r="H52" s="1766">
        <v>9203890</v>
      </c>
      <c r="I52" s="1758">
        <f t="shared" si="1"/>
        <v>468463</v>
      </c>
      <c r="J52" s="1766">
        <v>9672353</v>
      </c>
      <c r="K52" s="1758">
        <f t="shared" si="1"/>
        <v>0</v>
      </c>
      <c r="L52" s="1766">
        <v>9672353</v>
      </c>
      <c r="M52" s="1766">
        <v>9672353</v>
      </c>
    </row>
    <row r="53" spans="1:13" s="1743" customFormat="1" ht="15" customHeight="1" x14ac:dyDescent="0.2">
      <c r="A53" s="1764"/>
      <c r="B53" s="1784" t="s">
        <v>156</v>
      </c>
      <c r="C53" s="1765" t="s">
        <v>157</v>
      </c>
      <c r="D53" s="1828">
        <v>61062</v>
      </c>
      <c r="E53" s="1828">
        <v>85562</v>
      </c>
      <c r="F53" s="1827">
        <v>84102178</v>
      </c>
      <c r="G53" s="1758">
        <f t="shared" si="1"/>
        <v>19127740</v>
      </c>
      <c r="H53" s="1828">
        <v>103229918</v>
      </c>
      <c r="I53" s="1758">
        <f t="shared" si="1"/>
        <v>-19217896</v>
      </c>
      <c r="J53" s="4242">
        <v>84012022</v>
      </c>
      <c r="K53" s="1758">
        <f t="shared" si="1"/>
        <v>0</v>
      </c>
      <c r="L53" s="4242">
        <v>84012022</v>
      </c>
      <c r="M53" s="4242">
        <v>83850779</v>
      </c>
    </row>
    <row r="54" spans="1:13" s="1743" customFormat="1" ht="15" customHeight="1" x14ac:dyDescent="0.2">
      <c r="A54" s="1764"/>
      <c r="B54" s="1784" t="s">
        <v>158</v>
      </c>
      <c r="C54" s="1765" t="s">
        <v>159</v>
      </c>
      <c r="D54" s="1766"/>
      <c r="E54" s="1766"/>
      <c r="F54" s="1766"/>
      <c r="G54" s="1758">
        <f t="shared" si="1"/>
        <v>0</v>
      </c>
      <c r="H54" s="1766"/>
      <c r="I54" s="1758">
        <f t="shared" si="1"/>
        <v>0</v>
      </c>
      <c r="J54" s="1766"/>
      <c r="K54" s="1758">
        <f t="shared" si="1"/>
        <v>0</v>
      </c>
      <c r="L54" s="1766"/>
      <c r="M54" s="1766"/>
    </row>
    <row r="55" spans="1:13" s="1743" customFormat="1" ht="15" customHeight="1" thickBot="1" x14ac:dyDescent="0.25">
      <c r="A55" s="1764"/>
      <c r="B55" s="1784" t="s">
        <v>375</v>
      </c>
      <c r="C55" s="1765" t="s">
        <v>161</v>
      </c>
      <c r="D55" s="1766">
        <v>0</v>
      </c>
      <c r="E55" s="1766">
        <v>0</v>
      </c>
      <c r="F55" s="1766"/>
      <c r="G55" s="1758">
        <f t="shared" si="1"/>
        <v>0</v>
      </c>
      <c r="H55" s="1766"/>
      <c r="I55" s="1758">
        <f t="shared" si="1"/>
        <v>0</v>
      </c>
      <c r="J55" s="1766"/>
      <c r="K55" s="1758">
        <f t="shared" si="1"/>
        <v>0</v>
      </c>
      <c r="L55" s="1766"/>
      <c r="M55" s="1766"/>
    </row>
    <row r="56" spans="1:13" s="1743" customFormat="1" ht="12.75" hidden="1" customHeight="1" thickBot="1" x14ac:dyDescent="0.25">
      <c r="A56" s="1764"/>
      <c r="B56" s="1829" t="s">
        <v>483</v>
      </c>
      <c r="C56" s="1765" t="s">
        <v>404</v>
      </c>
      <c r="D56" s="1766">
        <v>0</v>
      </c>
      <c r="E56" s="1766">
        <v>1036</v>
      </c>
      <c r="F56" s="1766">
        <v>0</v>
      </c>
      <c r="G56" s="1758">
        <f t="shared" si="1"/>
        <v>0</v>
      </c>
      <c r="H56" s="1766">
        <v>0</v>
      </c>
      <c r="I56" s="1757">
        <f t="shared" si="1"/>
        <v>0</v>
      </c>
      <c r="J56" s="1766"/>
      <c r="K56" s="1757">
        <f t="shared" si="1"/>
        <v>0</v>
      </c>
      <c r="L56" s="1766"/>
      <c r="M56" s="1766">
        <v>0</v>
      </c>
    </row>
    <row r="57" spans="1:13" s="1743" customFormat="1" ht="15" customHeight="1" thickBot="1" x14ac:dyDescent="0.25">
      <c r="A57" s="1753" t="s">
        <v>17</v>
      </c>
      <c r="B57" s="1778"/>
      <c r="C57" s="1778" t="s">
        <v>1042</v>
      </c>
      <c r="D57" s="1756">
        <f>SUM(D58:D63)</f>
        <v>0</v>
      </c>
      <c r="E57" s="1756">
        <f>SUM(E58:E63)</f>
        <v>1976</v>
      </c>
      <c r="F57" s="1756">
        <f>SUM(F58:F63)</f>
        <v>1016000</v>
      </c>
      <c r="G57" s="1757">
        <f t="shared" si="1"/>
        <v>-134800</v>
      </c>
      <c r="H57" s="1756">
        <f>SUM(H58:H63)</f>
        <v>881200</v>
      </c>
      <c r="I57" s="1779">
        <f t="shared" si="1"/>
        <v>928091</v>
      </c>
      <c r="J57" s="1756">
        <f>SUM(J58:J63)</f>
        <v>1809291</v>
      </c>
      <c r="K57" s="1780">
        <f t="shared" si="1"/>
        <v>0</v>
      </c>
      <c r="L57" s="1756">
        <f>SUM(L58:L63)</f>
        <v>1809291</v>
      </c>
      <c r="M57" s="1756">
        <f>SUM(M58:M63)</f>
        <v>1809291</v>
      </c>
    </row>
    <row r="58" spans="1:13" s="1759" customFormat="1" ht="15" customHeight="1" x14ac:dyDescent="0.2">
      <c r="A58" s="1825"/>
      <c r="B58" s="1826" t="s">
        <v>5</v>
      </c>
      <c r="C58" s="1776" t="s">
        <v>183</v>
      </c>
      <c r="D58" s="1785">
        <v>0</v>
      </c>
      <c r="E58" s="1785">
        <v>1976</v>
      </c>
      <c r="F58" s="1785">
        <v>1016000</v>
      </c>
      <c r="G58" s="1758">
        <f t="shared" si="1"/>
        <v>-134800</v>
      </c>
      <c r="H58" s="1785">
        <v>881200</v>
      </c>
      <c r="I58" s="1777">
        <f t="shared" si="1"/>
        <v>928091</v>
      </c>
      <c r="J58" s="1785">
        <v>1809291</v>
      </c>
      <c r="K58" s="1777">
        <f t="shared" si="1"/>
        <v>0</v>
      </c>
      <c r="L58" s="1785">
        <v>1809291</v>
      </c>
      <c r="M58" s="1785">
        <v>1809291</v>
      </c>
    </row>
    <row r="59" spans="1:13" s="1743" customFormat="1" ht="15" customHeight="1" x14ac:dyDescent="0.2">
      <c r="A59" s="1764"/>
      <c r="B59" s="1784" t="s">
        <v>7</v>
      </c>
      <c r="C59" s="1765" t="s">
        <v>185</v>
      </c>
      <c r="D59" s="1766">
        <v>0</v>
      </c>
      <c r="E59" s="1766">
        <v>0</v>
      </c>
      <c r="F59" s="1766"/>
      <c r="G59" s="1758">
        <f t="shared" si="1"/>
        <v>0</v>
      </c>
      <c r="H59" s="1766"/>
      <c r="I59" s="1758">
        <f t="shared" si="1"/>
        <v>0</v>
      </c>
      <c r="J59" s="1766"/>
      <c r="K59" s="1758">
        <f t="shared" si="1"/>
        <v>0</v>
      </c>
      <c r="L59" s="1766"/>
      <c r="M59" s="1766">
        <v>0</v>
      </c>
    </row>
    <row r="60" spans="1:13" s="1743" customFormat="1" ht="15" customHeight="1" thickBot="1" x14ac:dyDescent="0.25">
      <c r="A60" s="1764"/>
      <c r="B60" s="1784" t="s">
        <v>9</v>
      </c>
      <c r="C60" s="1765" t="s">
        <v>444</v>
      </c>
      <c r="D60" s="1766"/>
      <c r="E60" s="1766"/>
      <c r="F60" s="1766">
        <v>0</v>
      </c>
      <c r="G60" s="1758">
        <f t="shared" si="1"/>
        <v>0</v>
      </c>
      <c r="H60" s="1766">
        <v>0</v>
      </c>
      <c r="I60" s="1758">
        <f t="shared" si="1"/>
        <v>0</v>
      </c>
      <c r="J60" s="1766"/>
      <c r="K60" s="1758">
        <f t="shared" si="1"/>
        <v>0</v>
      </c>
      <c r="L60" s="1766"/>
      <c r="M60" s="1766">
        <v>0</v>
      </c>
    </row>
    <row r="61" spans="1:13" s="1743" customFormat="1" ht="12.75" hidden="1" customHeight="1" x14ac:dyDescent="0.2">
      <c r="A61" s="1764"/>
      <c r="B61" s="1829"/>
      <c r="C61" s="1765"/>
      <c r="D61" s="1766"/>
      <c r="E61" s="1766"/>
      <c r="F61" s="1766"/>
      <c r="G61" s="1758">
        <f t="shared" si="1"/>
        <v>0</v>
      </c>
      <c r="H61" s="1766"/>
      <c r="I61" s="1758">
        <f t="shared" si="1"/>
        <v>0</v>
      </c>
      <c r="J61" s="1766"/>
      <c r="K61" s="1758">
        <f t="shared" si="1"/>
        <v>0</v>
      </c>
      <c r="L61" s="1766"/>
      <c r="M61" s="1766"/>
    </row>
    <row r="62" spans="1:13" s="1743" customFormat="1" ht="12.75" hidden="1" customHeight="1" x14ac:dyDescent="0.2">
      <c r="A62" s="1764"/>
      <c r="B62" s="1829" t="s">
        <v>13</v>
      </c>
      <c r="C62" s="1765" t="s">
        <v>484</v>
      </c>
      <c r="D62" s="1766">
        <v>0</v>
      </c>
      <c r="E62" s="1766">
        <v>0</v>
      </c>
      <c r="F62" s="1766">
        <v>0</v>
      </c>
      <c r="G62" s="1758">
        <f t="shared" si="1"/>
        <v>0</v>
      </c>
      <c r="H62" s="1766">
        <v>0</v>
      </c>
      <c r="I62" s="1758">
        <f t="shared" si="1"/>
        <v>0</v>
      </c>
      <c r="J62" s="1766"/>
      <c r="K62" s="1758">
        <f t="shared" si="1"/>
        <v>0</v>
      </c>
      <c r="L62" s="1766"/>
      <c r="M62" s="1766">
        <v>0</v>
      </c>
    </row>
    <row r="63" spans="1:13" s="1743" customFormat="1" ht="12.75" hidden="1" customHeight="1" x14ac:dyDescent="0.2">
      <c r="A63" s="1764"/>
      <c r="B63" s="1829" t="s">
        <v>189</v>
      </c>
      <c r="C63" s="1765" t="s">
        <v>448</v>
      </c>
      <c r="D63" s="1766">
        <v>0</v>
      </c>
      <c r="E63" s="1766">
        <v>0</v>
      </c>
      <c r="F63" s="1766">
        <v>0</v>
      </c>
      <c r="G63" s="1758">
        <f t="shared" si="1"/>
        <v>0</v>
      </c>
      <c r="H63" s="1766">
        <v>0</v>
      </c>
      <c r="I63" s="1758">
        <f t="shared" si="1"/>
        <v>0</v>
      </c>
      <c r="J63" s="1766"/>
      <c r="K63" s="1758">
        <f t="shared" si="1"/>
        <v>0</v>
      </c>
      <c r="L63" s="1766"/>
      <c r="M63" s="1766">
        <v>0</v>
      </c>
    </row>
    <row r="64" spans="1:13" s="1743" customFormat="1" ht="12.75" hidden="1" customHeight="1" x14ac:dyDescent="0.2">
      <c r="A64" s="1753" t="s">
        <v>31</v>
      </c>
      <c r="B64" s="1778"/>
      <c r="C64" s="1830" t="s">
        <v>445</v>
      </c>
      <c r="D64" s="1782">
        <v>0</v>
      </c>
      <c r="E64" s="1782">
        <v>0</v>
      </c>
      <c r="F64" s="1782">
        <v>0</v>
      </c>
      <c r="G64" s="1758">
        <f t="shared" si="1"/>
        <v>0</v>
      </c>
      <c r="H64" s="1782">
        <v>0</v>
      </c>
      <c r="I64" s="1758">
        <f t="shared" si="1"/>
        <v>0</v>
      </c>
      <c r="J64" s="1782"/>
      <c r="K64" s="1758">
        <f t="shared" si="1"/>
        <v>0</v>
      </c>
      <c r="L64" s="1782"/>
      <c r="M64" s="1782">
        <v>0</v>
      </c>
    </row>
    <row r="65" spans="1:14" s="1743" customFormat="1" ht="12.75" hidden="1" customHeight="1" x14ac:dyDescent="0.2">
      <c r="A65" s="1753"/>
      <c r="B65" s="1778"/>
      <c r="C65" s="1830" t="s">
        <v>459</v>
      </c>
      <c r="D65" s="1782"/>
      <c r="E65" s="1782"/>
      <c r="F65" s="1782"/>
      <c r="G65" s="1758">
        <f t="shared" si="1"/>
        <v>0</v>
      </c>
      <c r="H65" s="1782"/>
      <c r="I65" s="1752">
        <f t="shared" si="1"/>
        <v>0</v>
      </c>
      <c r="J65" s="1782"/>
      <c r="K65" s="1752">
        <f t="shared" si="1"/>
        <v>0</v>
      </c>
      <c r="L65" s="1782"/>
      <c r="M65" s="1782"/>
    </row>
    <row r="66" spans="1:14" s="1743" customFormat="1" ht="15" customHeight="1" thickBot="1" x14ac:dyDescent="0.25">
      <c r="A66" s="1748" t="s">
        <v>31</v>
      </c>
      <c r="B66" s="1749"/>
      <c r="C66" s="1815" t="s">
        <v>465</v>
      </c>
      <c r="D66" s="1751">
        <f>+D50+D57+D64</f>
        <v>97604</v>
      </c>
      <c r="E66" s="1751">
        <f>+E50+E57+E64</f>
        <v>126223</v>
      </c>
      <c r="F66" s="1751">
        <f>+F50+F57+F64+F65</f>
        <v>137356131</v>
      </c>
      <c r="G66" s="1752">
        <f t="shared" si="1"/>
        <v>22071812</v>
      </c>
      <c r="H66" s="1751">
        <f>+H50+H57+H64+H65</f>
        <v>159427943</v>
      </c>
      <c r="I66" s="1752">
        <f t="shared" si="1"/>
        <v>-15567608</v>
      </c>
      <c r="J66" s="1751">
        <f>+J50+J57+J64+J65</f>
        <v>143860335</v>
      </c>
      <c r="K66" s="1752">
        <f t="shared" si="1"/>
        <v>0</v>
      </c>
      <c r="L66" s="1751">
        <f>+L50+L57+L64+L65</f>
        <v>143860335</v>
      </c>
      <c r="M66" s="1751">
        <f>+M50+M57+M64+M65</f>
        <v>143699092</v>
      </c>
    </row>
    <row r="67" spans="1:14" s="1743" customFormat="1" ht="15" customHeight="1" thickBot="1" x14ac:dyDescent="0.25">
      <c r="A67" s="2158"/>
      <c r="B67" s="2159"/>
      <c r="C67" s="2159"/>
      <c r="D67" s="2159"/>
      <c r="E67" s="2159"/>
      <c r="F67" s="2160"/>
      <c r="G67" s="2160"/>
      <c r="H67" s="2160"/>
      <c r="I67" s="2160"/>
      <c r="J67" s="2160"/>
      <c r="K67" s="2160"/>
      <c r="L67" s="2160"/>
      <c r="M67" s="2161"/>
    </row>
    <row r="68" spans="1:14" s="1743" customFormat="1" ht="15" customHeight="1" thickBot="1" x14ac:dyDescent="0.25">
      <c r="A68" s="1831" t="s">
        <v>324</v>
      </c>
      <c r="B68" s="1832"/>
      <c r="C68" s="1833"/>
      <c r="D68" s="1834">
        <v>14</v>
      </c>
      <c r="E68" s="1834">
        <v>14</v>
      </c>
      <c r="F68" s="1834">
        <v>15</v>
      </c>
      <c r="G68" s="1835">
        <f>SUM(H68-F68)</f>
        <v>0</v>
      </c>
      <c r="H68" s="1834">
        <v>15</v>
      </c>
      <c r="I68" s="1752">
        <f t="shared" si="1"/>
        <v>1</v>
      </c>
      <c r="J68" s="1834">
        <v>16</v>
      </c>
      <c r="K68" s="1835">
        <f>SUM(L68-J68)</f>
        <v>0</v>
      </c>
      <c r="L68" s="1834">
        <v>16</v>
      </c>
      <c r="M68" s="1834">
        <v>16</v>
      </c>
    </row>
    <row r="69" spans="1:14" s="1743" customFormat="1" ht="15" customHeight="1" thickBot="1" x14ac:dyDescent="0.25">
      <c r="A69" s="1831" t="s">
        <v>325</v>
      </c>
      <c r="B69" s="1832"/>
      <c r="C69" s="1833"/>
      <c r="D69" s="1836"/>
      <c r="E69" s="1836"/>
      <c r="F69" s="1836"/>
      <c r="G69" s="1837"/>
      <c r="H69" s="1836"/>
      <c r="I69" s="1837"/>
      <c r="J69" s="1836"/>
      <c r="K69" s="1837"/>
      <c r="L69" s="1836"/>
      <c r="M69" s="1836"/>
    </row>
    <row r="73" spans="1:14" ht="15.75" x14ac:dyDescent="0.2">
      <c r="C73" s="1840" t="s">
        <v>945</v>
      </c>
    </row>
    <row r="74" spans="1:14" ht="15.75" x14ac:dyDescent="0.2">
      <c r="C74" s="1840" t="s">
        <v>942</v>
      </c>
      <c r="H74" s="2845">
        <v>159427943</v>
      </c>
      <c r="I74"/>
      <c r="J74" s="2845">
        <v>143860335</v>
      </c>
      <c r="K74" s="482"/>
      <c r="L74" s="2845">
        <v>143860335</v>
      </c>
      <c r="M74" s="2845">
        <v>143699092</v>
      </c>
    </row>
    <row r="75" spans="1:14" ht="15.75" x14ac:dyDescent="0.2">
      <c r="C75" s="1840" t="s">
        <v>943</v>
      </c>
      <c r="H75" s="2845"/>
      <c r="I75"/>
      <c r="J75" s="2845"/>
      <c r="K75"/>
      <c r="L75" s="2845"/>
      <c r="M75" s="2845"/>
    </row>
    <row r="76" spans="1:14" ht="18.75" x14ac:dyDescent="0.2">
      <c r="C76" s="1843" t="s">
        <v>944</v>
      </c>
      <c r="H76" s="2845">
        <f t="shared" ref="H76:M76" si="3">SUM(H74:H75)</f>
        <v>159427943</v>
      </c>
      <c r="I76" s="2845">
        <f t="shared" si="3"/>
        <v>0</v>
      </c>
      <c r="J76" s="482">
        <f t="shared" si="3"/>
        <v>143860335</v>
      </c>
      <c r="K76" s="482">
        <f t="shared" si="3"/>
        <v>0</v>
      </c>
      <c r="L76" s="482">
        <f t="shared" si="3"/>
        <v>143860335</v>
      </c>
      <c r="M76" s="482">
        <f t="shared" si="3"/>
        <v>143699092</v>
      </c>
      <c r="N76" s="1840"/>
    </row>
    <row r="77" spans="1:14" ht="15.75" x14ac:dyDescent="0.2">
      <c r="C77" s="1840"/>
      <c r="H77" s="1840"/>
      <c r="I77" s="1842"/>
      <c r="J77" s="1840"/>
      <c r="K77" s="1842"/>
      <c r="L77" s="1840"/>
      <c r="M77" s="1840"/>
    </row>
    <row r="78" spans="1:14" ht="15.75" x14ac:dyDescent="0.2">
      <c r="C78" s="1844" t="s">
        <v>893</v>
      </c>
      <c r="H78" s="482">
        <f t="shared" ref="H78:M78" si="4">SUM(H66-H76)</f>
        <v>0</v>
      </c>
      <c r="I78" s="482">
        <f t="shared" si="4"/>
        <v>-15567608</v>
      </c>
      <c r="J78" s="482">
        <f t="shared" si="4"/>
        <v>0</v>
      </c>
      <c r="K78" s="482"/>
      <c r="L78" s="482">
        <f t="shared" si="4"/>
        <v>0</v>
      </c>
      <c r="M78" s="482">
        <f t="shared" si="4"/>
        <v>0</v>
      </c>
    </row>
    <row r="79" spans="1:14" ht="15.75" x14ac:dyDescent="0.2">
      <c r="H79" s="1840"/>
      <c r="I79" s="1842"/>
      <c r="J79" s="1840"/>
      <c r="K79" s="1842"/>
      <c r="L79" s="1840"/>
      <c r="M79" s="1840"/>
    </row>
    <row r="80" spans="1:14" ht="15.75" x14ac:dyDescent="0.2">
      <c r="H80" s="1840"/>
      <c r="I80" s="1842"/>
      <c r="J80" s="1840"/>
      <c r="K80" s="1842"/>
      <c r="L80" s="1840"/>
      <c r="M80" s="1840"/>
    </row>
    <row r="81" spans="3:13" ht="15.75" x14ac:dyDescent="0.2">
      <c r="H81" s="1840"/>
      <c r="I81" s="1842"/>
      <c r="J81" s="1840"/>
      <c r="K81" s="1842"/>
      <c r="L81" s="1840"/>
      <c r="M81" s="1840"/>
    </row>
    <row r="82" spans="3:13" ht="15.75" x14ac:dyDescent="0.2">
      <c r="C82" s="1840" t="s">
        <v>946</v>
      </c>
      <c r="H82" s="1840"/>
      <c r="I82" s="1842"/>
      <c r="J82" s="1840"/>
      <c r="K82" s="1842"/>
      <c r="L82" s="1840"/>
      <c r="M82" s="1840"/>
    </row>
    <row r="83" spans="3:13" ht="15.75" x14ac:dyDescent="0.2">
      <c r="C83" s="1840"/>
      <c r="H83" s="1840"/>
      <c r="I83" s="1842"/>
      <c r="J83" s="1840"/>
      <c r="K83" s="1842"/>
      <c r="L83" s="1840"/>
      <c r="M83" s="1840"/>
    </row>
    <row r="84" spans="3:13" ht="15.75" x14ac:dyDescent="0.2">
      <c r="C84" s="1840" t="s">
        <v>947</v>
      </c>
      <c r="H84" s="2845">
        <v>37857429</v>
      </c>
      <c r="I84" s="2845">
        <v>37857429</v>
      </c>
      <c r="J84" s="2845">
        <v>30904145</v>
      </c>
      <c r="K84" s="2845"/>
      <c r="L84" s="2845">
        <v>30904145</v>
      </c>
      <c r="M84" s="2845">
        <v>30904145</v>
      </c>
    </row>
    <row r="85" spans="3:13" ht="15.75" x14ac:dyDescent="0.2">
      <c r="C85" s="1840" t="s">
        <v>948</v>
      </c>
      <c r="H85" s="2845">
        <v>121570514</v>
      </c>
      <c r="I85" s="2845">
        <v>121570514</v>
      </c>
      <c r="J85" s="2845">
        <v>112956190</v>
      </c>
      <c r="K85" s="2845"/>
      <c r="L85" s="2845">
        <v>112956190</v>
      </c>
      <c r="M85" s="2845">
        <v>112956190</v>
      </c>
    </row>
    <row r="86" spans="3:13" ht="18.75" x14ac:dyDescent="0.2">
      <c r="C86" s="1845" t="s">
        <v>944</v>
      </c>
      <c r="H86" s="482">
        <f t="shared" ref="H86:M86" si="5">SUM(H84:H85)</f>
        <v>159427943</v>
      </c>
      <c r="I86" s="482">
        <f t="shared" si="5"/>
        <v>159427943</v>
      </c>
      <c r="J86" s="518">
        <f t="shared" si="5"/>
        <v>143860335</v>
      </c>
      <c r="K86" s="518">
        <f>SUM(K84:K85)</f>
        <v>0</v>
      </c>
      <c r="L86" s="518">
        <f t="shared" si="5"/>
        <v>143860335</v>
      </c>
      <c r="M86" s="518">
        <f t="shared" si="5"/>
        <v>143860335</v>
      </c>
    </row>
    <row r="87" spans="3:13" ht="15.75" x14ac:dyDescent="0.2">
      <c r="C87" s="1840"/>
      <c r="H87" s="1840"/>
      <c r="I87" s="1842"/>
      <c r="J87" s="1840"/>
      <c r="K87" s="1842"/>
      <c r="L87" s="1840"/>
      <c r="M87" s="1840"/>
    </row>
    <row r="88" spans="3:13" ht="15.75" x14ac:dyDescent="0.2">
      <c r="C88" s="1844" t="s">
        <v>279</v>
      </c>
      <c r="H88" s="482">
        <f>SUM(H47-H86)</f>
        <v>0</v>
      </c>
      <c r="I88" s="482"/>
      <c r="J88" s="482">
        <f>SUM(J76-J86)</f>
        <v>0</v>
      </c>
      <c r="K88" s="1529">
        <f>SUM(K86-K47)</f>
        <v>0</v>
      </c>
      <c r="L88" s="482">
        <f>SUM(L76-L86)</f>
        <v>0</v>
      </c>
      <c r="M88" s="482">
        <f>SUM(M47-M86)</f>
        <v>0</v>
      </c>
    </row>
    <row r="89" spans="3:13" ht="15.75" x14ac:dyDescent="0.2">
      <c r="C89" s="1840"/>
      <c r="H89" s="1840"/>
      <c r="I89" s="1842"/>
      <c r="J89" s="1840"/>
      <c r="K89" s="1842"/>
      <c r="L89" s="1840"/>
      <c r="M89" s="1840"/>
    </row>
  </sheetData>
  <mergeCells count="20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  <mergeCell ref="V42:V44"/>
    <mergeCell ref="O42:O44"/>
    <mergeCell ref="Q42:Q44"/>
    <mergeCell ref="S42:S44"/>
    <mergeCell ref="T42:T44"/>
    <mergeCell ref="U42:U44"/>
  </mergeCells>
  <printOptions horizontalCentered="1"/>
  <pageMargins left="0.31496062992125984" right="0.27559055118110237" top="0.51181102362204722" bottom="0.35433070866141736" header="0.51181102362204722" footer="0.15748031496062992"/>
  <pageSetup paperSize="9" scale="68" firstPageNumber="74" orientation="portrait" useFirstPageNumber="1" r:id="rId1"/>
  <headerFooter>
    <oddFooter>&amp;C- &amp;P -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U68"/>
  <sheetViews>
    <sheetView view="pageBreakPreview" topLeftCell="A42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6640625" style="115" customWidth="1"/>
    <col min="4" max="5" width="9.33203125" style="115" hidden="1" customWidth="1"/>
    <col min="6" max="6" width="15.5" style="115" customWidth="1"/>
    <col min="7" max="7" width="13.1640625" style="1390" hidden="1" customWidth="1"/>
    <col min="8" max="8" width="13" style="115" hidden="1" customWidth="1"/>
    <col min="9" max="9" width="11.83203125" style="1390" hidden="1" customWidth="1"/>
    <col min="10" max="10" width="15.6640625" style="115" customWidth="1"/>
    <col min="11" max="11" width="13.1640625" style="1390" customWidth="1"/>
    <col min="12" max="12" width="17.5" style="115" customWidth="1"/>
    <col min="13" max="13" width="15.33203125" style="115" customWidth="1"/>
    <col min="14" max="14" width="11" style="115" customWidth="1"/>
    <col min="15" max="15" width="0" style="115" hidden="1" customWidth="1"/>
    <col min="16" max="16" width="15.33203125" style="115" customWidth="1"/>
    <col min="17" max="17" width="0" style="115" hidden="1" customWidth="1"/>
    <col min="18" max="18" width="14.6640625" style="115" customWidth="1"/>
    <col min="19" max="19" width="0" style="115" hidden="1" customWidth="1"/>
    <col min="20" max="20" width="15.6640625" style="115" customWidth="1"/>
    <col min="21" max="21" width="15.5" style="115" customWidth="1"/>
    <col min="22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741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836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22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304" t="s">
        <v>478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23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64"/>
      <c r="E4" s="4464"/>
      <c r="F4" s="4465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33.7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1371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372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137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10033</v>
      </c>
      <c r="E8" s="137">
        <f>SUM(E9:E18)</f>
        <v>10050</v>
      </c>
      <c r="F8" s="137">
        <f>SUM(F9:F18)</f>
        <v>37053989</v>
      </c>
      <c r="G8" s="1382">
        <f t="shared" ref="G8:K18" si="0">SUM(H8-F8)</f>
        <v>400940</v>
      </c>
      <c r="H8" s="137">
        <f>SUM(H9:H18)</f>
        <v>37454929</v>
      </c>
      <c r="I8" s="1374">
        <f t="shared" si="0"/>
        <v>-6953284</v>
      </c>
      <c r="J8" s="137">
        <f>SUM(J9:J18)</f>
        <v>30501645</v>
      </c>
      <c r="K8" s="1374">
        <f t="shared" si="0"/>
        <v>0</v>
      </c>
      <c r="L8" s="137">
        <f>SUM(L9:L18)</f>
        <v>30501645</v>
      </c>
      <c r="M8" s="137">
        <f>SUM(M9:M18)</f>
        <v>30501645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415">
        <f t="shared" si="0"/>
        <v>0</v>
      </c>
      <c r="H9" s="150">
        <v>0</v>
      </c>
      <c r="I9" s="1376">
        <f t="shared" si="0"/>
        <v>0</v>
      </c>
      <c r="J9" s="144">
        <f>SUM('5.7. sz. mell.'!J9)</f>
        <v>0</v>
      </c>
      <c r="K9" s="1376">
        <f t="shared" si="0"/>
        <v>0</v>
      </c>
      <c r="L9" s="144">
        <f>SUM('5.7. sz. mell.'!L9)</f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5900</v>
      </c>
      <c r="E10" s="144">
        <v>5900</v>
      </c>
      <c r="F10" s="144">
        <f>SUM('5.7. sz. mell.'!F10)</f>
        <v>21376369</v>
      </c>
      <c r="G10" s="1415">
        <f t="shared" si="0"/>
        <v>0</v>
      </c>
      <c r="H10" s="144">
        <f>SUM('5.7. sz. mell.'!H10)</f>
        <v>21376369</v>
      </c>
      <c r="I10" s="1376">
        <f t="shared" si="0"/>
        <v>-6548911</v>
      </c>
      <c r="J10" s="144">
        <f>SUM('5.7. sz. mell.'!J10)</f>
        <v>14827458</v>
      </c>
      <c r="K10" s="1376">
        <f t="shared" si="0"/>
        <v>0</v>
      </c>
      <c r="L10" s="144">
        <f>SUM('5.7. sz. mell.'!L10)</f>
        <v>14827458</v>
      </c>
      <c r="M10" s="144">
        <f>SUM('5.7. sz. mell.'!M10)</f>
        <v>14827458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2000</v>
      </c>
      <c r="E11" s="144">
        <v>2000</v>
      </c>
      <c r="F11" s="144">
        <f>SUM('5.7. sz. mell.'!F11)</f>
        <v>6000000</v>
      </c>
      <c r="G11" s="1415">
        <f t="shared" si="0"/>
        <v>0</v>
      </c>
      <c r="H11" s="144">
        <f>SUM('5.7. sz. mell.'!H11)</f>
        <v>6000000</v>
      </c>
      <c r="I11" s="1376">
        <f t="shared" si="0"/>
        <v>676774</v>
      </c>
      <c r="J11" s="144">
        <f>SUM('5.7. sz. mell.'!J11)</f>
        <v>6676774</v>
      </c>
      <c r="K11" s="1376">
        <f t="shared" si="0"/>
        <v>0</v>
      </c>
      <c r="L11" s="144">
        <f>SUM('5.7. sz. mell.'!L11)</f>
        <v>6676774</v>
      </c>
      <c r="M11" s="144">
        <f>SUM('5.7. sz. mell.'!M11)</f>
        <v>6676774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>
        <f>SUM('5.7. sz. mell.'!F12)</f>
        <v>0</v>
      </c>
      <c r="G12" s="1415">
        <f t="shared" si="0"/>
        <v>0</v>
      </c>
      <c r="H12" s="144">
        <f>SUM('5.7. sz. mell.'!H12)</f>
        <v>0</v>
      </c>
      <c r="I12" s="1376">
        <f t="shared" si="0"/>
        <v>0</v>
      </c>
      <c r="J12" s="144">
        <f>SUM('5.7. sz. mell.'!J12)</f>
        <v>0</v>
      </c>
      <c r="K12" s="1376">
        <f t="shared" si="0"/>
        <v>0</v>
      </c>
      <c r="L12" s="144">
        <f>SUM('5.7. sz. mell.'!L12)</f>
        <v>0</v>
      </c>
      <c r="M12" s="144">
        <f>SUM('5.7. sz. mell.'!M12)</f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>
        <f>SUM('5.7. sz. mell.'!F13)</f>
        <v>1800000</v>
      </c>
      <c r="G13" s="1415">
        <f t="shared" si="0"/>
        <v>0</v>
      </c>
      <c r="H13" s="144">
        <f>SUM('5.7. sz. mell.'!H13)</f>
        <v>1800000</v>
      </c>
      <c r="I13" s="1376">
        <f t="shared" si="0"/>
        <v>-31260</v>
      </c>
      <c r="J13" s="144">
        <f>SUM('5.7. sz. mell.'!J13)</f>
        <v>1768740</v>
      </c>
      <c r="K13" s="1376">
        <f t="shared" si="0"/>
        <v>0</v>
      </c>
      <c r="L13" s="144">
        <f>SUM('5.7. sz. mell.'!L13)</f>
        <v>1768740</v>
      </c>
      <c r="M13" s="144">
        <f>SUM('5.7. sz. mell.'!M13)</f>
        <v>1768740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2133</v>
      </c>
      <c r="E14" s="147">
        <v>2133</v>
      </c>
      <c r="F14" s="144">
        <f>SUM('5.7. sz. mell.'!F14)</f>
        <v>7877620</v>
      </c>
      <c r="G14" s="1415">
        <f t="shared" si="0"/>
        <v>0</v>
      </c>
      <c r="H14" s="144">
        <f>SUM('5.7. sz. mell.'!H14)</f>
        <v>7877620</v>
      </c>
      <c r="I14" s="1376">
        <f t="shared" si="0"/>
        <v>-1627284</v>
      </c>
      <c r="J14" s="144">
        <f>SUM('5.7. sz. mell.'!J14)</f>
        <v>6250336</v>
      </c>
      <c r="K14" s="1376">
        <f t="shared" si="0"/>
        <v>0</v>
      </c>
      <c r="L14" s="144">
        <f>SUM('5.7. sz. mell.'!L14)</f>
        <v>6250336</v>
      </c>
      <c r="M14" s="144">
        <f>SUM('5.7. sz. mell.'!M14)</f>
        <v>6250336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4">
        <f>SUM('5.7. sz. mell.'!F15)</f>
        <v>0</v>
      </c>
      <c r="G15" s="1415">
        <f t="shared" si="0"/>
        <v>398698</v>
      </c>
      <c r="H15" s="144">
        <f>SUM('5.7. sz. mell.'!H15)</f>
        <v>398698</v>
      </c>
      <c r="I15" s="1376">
        <f t="shared" si="0"/>
        <v>559868</v>
      </c>
      <c r="J15" s="144">
        <f>SUM('5.7. sz. mell.'!J15)</f>
        <v>958566</v>
      </c>
      <c r="K15" s="1376">
        <f t="shared" si="0"/>
        <v>0</v>
      </c>
      <c r="L15" s="144">
        <f>SUM('5.7. sz. mell.'!L15)</f>
        <v>958566</v>
      </c>
      <c r="M15" s="144">
        <f>SUM('5.7. sz. mell.'!M15)</f>
        <v>958566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>
        <v>17</v>
      </c>
      <c r="F16" s="144">
        <f>SUM('5.7. sz. mell.'!F16)</f>
        <v>0</v>
      </c>
      <c r="G16" s="1415">
        <f t="shared" si="0"/>
        <v>0</v>
      </c>
      <c r="H16" s="144">
        <f>SUM('5.7. sz. mell.'!H16)</f>
        <v>0</v>
      </c>
      <c r="I16" s="1376">
        <f t="shared" si="0"/>
        <v>1</v>
      </c>
      <c r="J16" s="144">
        <f>SUM('5.7. sz. mell.'!J16)</f>
        <v>1</v>
      </c>
      <c r="K16" s="1376">
        <f t="shared" si="0"/>
        <v>0</v>
      </c>
      <c r="L16" s="144">
        <f>SUM('5.7. sz. mell.'!L16)</f>
        <v>1</v>
      </c>
      <c r="M16" s="144">
        <f>SUM('5.7. sz. mell.'!M16)</f>
        <v>1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44">
        <f>SUM('5.7. sz. mell.'!F17)</f>
        <v>0</v>
      </c>
      <c r="G17" s="1415">
        <f t="shared" si="0"/>
        <v>0</v>
      </c>
      <c r="H17" s="144">
        <f>SUM('5.7. sz. mell.'!H17)</f>
        <v>0</v>
      </c>
      <c r="I17" s="1378">
        <f t="shared" si="0"/>
        <v>0</v>
      </c>
      <c r="J17" s="144">
        <f>SUM('5.7. sz. mell.'!J17)</f>
        <v>0</v>
      </c>
      <c r="K17" s="1378">
        <f t="shared" si="0"/>
        <v>0</v>
      </c>
      <c r="L17" s="153">
        <f>SUM('5.7. sz. mell.'!L17)</f>
        <v>0</v>
      </c>
      <c r="M17" s="144">
        <f>SUM('5.7. sz. mell.'!M17)</f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44">
        <f>SUM('5.7. sz. mell.'!F18)</f>
        <v>0</v>
      </c>
      <c r="G18" s="1415">
        <f t="shared" si="0"/>
        <v>2242</v>
      </c>
      <c r="H18" s="144">
        <f>SUM('5.7. sz. mell.'!H18)</f>
        <v>2242</v>
      </c>
      <c r="I18" s="1422"/>
      <c r="J18" s="144">
        <f>SUM('5.7. sz. mell.'!J18)</f>
        <v>19770</v>
      </c>
      <c r="K18" s="1378">
        <f t="shared" si="0"/>
        <v>0</v>
      </c>
      <c r="L18" s="153">
        <f>SUM('5.7. sz. mell.'!L18)</f>
        <v>19770</v>
      </c>
      <c r="M18" s="144">
        <f>SUM('5.7. sz. mell.'!M18)</f>
        <v>19770</v>
      </c>
    </row>
    <row r="19" spans="1:13" s="141" customFormat="1" ht="30.75" customHeight="1" thickBot="1" x14ac:dyDescent="0.25">
      <c r="A19" s="134" t="s">
        <v>17</v>
      </c>
      <c r="B19" s="148"/>
      <c r="C19" s="247" t="s">
        <v>419</v>
      </c>
      <c r="D19" s="137">
        <f>SUM(D20:D26)</f>
        <v>11613</v>
      </c>
      <c r="E19" s="137">
        <f>SUM(E20:E26)</f>
        <v>14841</v>
      </c>
      <c r="F19" s="137">
        <f>SUM(F20+F24+F25)</f>
        <v>0</v>
      </c>
      <c r="G19" s="1382"/>
      <c r="H19" s="137">
        <f>SUM(H20+H24+H25)</f>
        <v>0</v>
      </c>
      <c r="I19" s="1421"/>
      <c r="J19" s="137">
        <f>SUM(J20+J24+J25)</f>
        <v>0</v>
      </c>
      <c r="K19" s="1436"/>
      <c r="L19" s="137">
        <f>SUM(L20+L24+L25)</f>
        <v>0</v>
      </c>
      <c r="M19" s="137">
        <f>SUM(M20)</f>
        <v>0</v>
      </c>
    </row>
    <row r="20" spans="1:13" s="145" customFormat="1" ht="30" customHeight="1" x14ac:dyDescent="0.2">
      <c r="A20" s="142"/>
      <c r="B20" s="143" t="s">
        <v>5</v>
      </c>
      <c r="C20" s="251" t="s">
        <v>420</v>
      </c>
      <c r="D20" s="144">
        <v>11613</v>
      </c>
      <c r="E20" s="144">
        <v>12298</v>
      </c>
      <c r="F20" s="144">
        <f>SUM('5.7. sz. mell.'!F20)</f>
        <v>0</v>
      </c>
      <c r="G20" s="1415"/>
      <c r="H20" s="144">
        <f>SUM('5.7. sz. mell.'!H20)</f>
        <v>0</v>
      </c>
      <c r="I20" s="1386"/>
      <c r="J20" s="175">
        <f>SUM('5.7. sz. mell.'!J20)</f>
        <v>0</v>
      </c>
      <c r="K20" s="1386"/>
      <c r="L20" s="175">
        <f>SUM('5.7. sz. mell.'!L20)</f>
        <v>0</v>
      </c>
      <c r="M20" s="144">
        <f>SUM('5.7. sz. mell.'!M20)</f>
        <v>0</v>
      </c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453</v>
      </c>
      <c r="F21" s="144">
        <f>SUM('5.7. sz. mell.'!F21)</f>
        <v>0</v>
      </c>
      <c r="G21" s="1415"/>
      <c r="H21" s="144">
        <f>SUM('5.7. sz. mell.'!H21)</f>
        <v>0</v>
      </c>
      <c r="I21" s="1376"/>
      <c r="J21" s="144">
        <f>SUM('5.7. sz. mell.'!J21)</f>
        <v>0</v>
      </c>
      <c r="K21" s="1376"/>
      <c r="L21" s="144">
        <f>SUM('5.7. sz. mell.'!L21)</f>
        <v>0</v>
      </c>
      <c r="M21" s="144">
        <f>SUM('5.7. sz. mell.'!M21)</f>
        <v>0</v>
      </c>
    </row>
    <row r="22" spans="1:13" s="145" customFormat="1" ht="15" customHeight="1" x14ac:dyDescent="0.2">
      <c r="A22" s="142"/>
      <c r="B22" s="143" t="s">
        <v>360</v>
      </c>
      <c r="C22" s="55" t="s">
        <v>1430</v>
      </c>
      <c r="D22" s="144"/>
      <c r="E22" s="144"/>
      <c r="F22" s="144">
        <f>SUM('5.7. sz. mell.'!F22)</f>
        <v>0</v>
      </c>
      <c r="G22" s="1415"/>
      <c r="H22" s="144">
        <f>SUM('5.7. sz. mell.'!H22)</f>
        <v>0</v>
      </c>
      <c r="I22" s="1376"/>
      <c r="J22" s="144">
        <f>SUM('5.7. sz. mell.'!J22)</f>
        <v>0</v>
      </c>
      <c r="K22" s="1376"/>
      <c r="L22" s="144">
        <f>SUM('5.7. sz. mell.'!L22)</f>
        <v>0</v>
      </c>
      <c r="M22" s="144">
        <f>SUM('5.7. sz. mell.'!M22)</f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2090</v>
      </c>
      <c r="F23" s="144">
        <f>SUM('5.7. sz. mell.'!F23)</f>
        <v>0</v>
      </c>
      <c r="G23" s="1415"/>
      <c r="H23" s="144">
        <f>SUM('5.7. sz. mell.'!H23)</f>
        <v>0</v>
      </c>
      <c r="I23" s="1376"/>
      <c r="J23" s="144">
        <f>SUM('5.7. sz. mell.'!J23)</f>
        <v>0</v>
      </c>
      <c r="K23" s="1376"/>
      <c r="L23" s="144">
        <f>SUM('5.7. sz. mell.'!L23)</f>
        <v>0</v>
      </c>
      <c r="M23" s="144">
        <f>SUM('5.7. sz. mell.'!M23)</f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f>SUM('5.7. sz. mell.'!F24)</f>
        <v>0</v>
      </c>
      <c r="G24" s="1415"/>
      <c r="H24" s="144">
        <f>SUM('5.7. sz. mell.'!H24)</f>
        <v>0</v>
      </c>
      <c r="I24" s="1378"/>
      <c r="J24" s="153">
        <f>SUM('5.7. sz. mell.'!J24)</f>
        <v>0</v>
      </c>
      <c r="K24" s="1378"/>
      <c r="L24" s="153">
        <f>SUM('5.7. sz. mell.'!L24)</f>
        <v>0</v>
      </c>
      <c r="M24" s="144">
        <f>SUM('5.7. sz. mell.'!M24)</f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/>
      <c r="E25" s="144"/>
      <c r="F25" s="144">
        <f>SUM('5.7. sz. mell.'!F25)</f>
        <v>0</v>
      </c>
      <c r="G25" s="1415"/>
      <c r="H25" s="144">
        <f>SUM('5.7. sz. mell.'!H25)</f>
        <v>0</v>
      </c>
      <c r="I25" s="1409"/>
      <c r="J25" s="153">
        <f>SUM('5.7. sz. mell.'!J25)</f>
        <v>0</v>
      </c>
      <c r="K25" s="1423"/>
      <c r="L25" s="153">
        <f>SUM('5.7. sz. mell.'!L25)</f>
        <v>0</v>
      </c>
      <c r="M25" s="144">
        <f>SUM('5.7. sz. mell.'!M25)</f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44">
        <v>0</v>
      </c>
      <c r="E26" s="144">
        <v>0</v>
      </c>
      <c r="F26" s="155">
        <v>0</v>
      </c>
      <c r="G26" s="1381"/>
      <c r="H26" s="155">
        <f>SUM(H27)</f>
        <v>402500</v>
      </c>
      <c r="I26" s="1374">
        <f>SUM(J26-H26)</f>
        <v>0</v>
      </c>
      <c r="J26" s="155">
        <f>SUM(J27)</f>
        <v>402500</v>
      </c>
      <c r="K26" s="1374">
        <f>SUM(L26-J26)</f>
        <v>0</v>
      </c>
      <c r="L26" s="155">
        <f>SUM(L27)</f>
        <v>402500</v>
      </c>
      <c r="M26" s="155">
        <f>SUM(M27)</f>
        <v>402500</v>
      </c>
    </row>
    <row r="27" spans="1:13" s="145" customFormat="1" ht="15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1519"/>
      <c r="H27" s="147">
        <f>SUM('5.7. sz. mell.'!H27)</f>
        <v>402500</v>
      </c>
      <c r="I27" s="1386">
        <f>SUM('5.7. sz. mell.'!I27)</f>
        <v>0</v>
      </c>
      <c r="J27" s="147">
        <f>SUM('5.7. sz. mell.'!J27)</f>
        <v>402500</v>
      </c>
      <c r="K27" s="1484">
        <f>SUM(L27-J27)</f>
        <v>0</v>
      </c>
      <c r="L27" s="147">
        <f>SUM('5.7. sz. mell.'!L27)</f>
        <v>402500</v>
      </c>
      <c r="M27" s="147">
        <f>SUM('5.7. sz. mell.'!M27)</f>
        <v>402500</v>
      </c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v>0</v>
      </c>
      <c r="G28" s="1381"/>
      <c r="H28" s="155">
        <v>0</v>
      </c>
      <c r="I28" s="1421"/>
      <c r="J28" s="445">
        <v>0</v>
      </c>
      <c r="K28" s="1436"/>
      <c r="L28" s="445">
        <v>0</v>
      </c>
      <c r="M28" s="155">
        <v>0</v>
      </c>
    </row>
    <row r="29" spans="1:1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1415"/>
      <c r="H29" s="144">
        <v>0</v>
      </c>
      <c r="I29" s="1386"/>
      <c r="J29" s="175">
        <v>0</v>
      </c>
      <c r="K29" s="1386"/>
      <c r="L29" s="175">
        <v>0</v>
      </c>
      <c r="M29" s="144">
        <v>0</v>
      </c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1415"/>
      <c r="H30" s="144">
        <v>0</v>
      </c>
      <c r="I30" s="1378"/>
      <c r="J30" s="153">
        <v>0</v>
      </c>
      <c r="K30" s="1378"/>
      <c r="L30" s="153">
        <v>0</v>
      </c>
      <c r="M30" s="144">
        <v>0</v>
      </c>
    </row>
    <row r="31" spans="1:1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1415"/>
      <c r="H31" s="144">
        <v>0</v>
      </c>
      <c r="I31" s="1409"/>
      <c r="J31" s="1488">
        <v>0</v>
      </c>
      <c r="K31" s="1423"/>
      <c r="L31" s="1488">
        <v>0</v>
      </c>
      <c r="M31" s="144">
        <v>0</v>
      </c>
    </row>
    <row r="32" spans="1:13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2"/>
      <c r="J32" s="285">
        <f>+J33+J34</f>
        <v>0</v>
      </c>
      <c r="K32" s="1382"/>
      <c r="L32" s="285">
        <f>+L33+L34</f>
        <v>0</v>
      </c>
      <c r="M32" s="155">
        <v>0</v>
      </c>
    </row>
    <row r="33" spans="1:21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236</v>
      </c>
      <c r="F33" s="285">
        <f>+F34+F35</f>
        <v>0</v>
      </c>
      <c r="G33" s="1382"/>
      <c r="H33" s="285">
        <f>+H34+H35</f>
        <v>0</v>
      </c>
      <c r="I33" s="1383"/>
      <c r="J33" s="306"/>
      <c r="K33" s="1383"/>
      <c r="L33" s="306"/>
      <c r="M33" s="285">
        <f>+M34+M35</f>
        <v>0</v>
      </c>
    </row>
    <row r="34" spans="1:21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236</v>
      </c>
      <c r="F34" s="306"/>
      <c r="G34" s="1383"/>
      <c r="H34" s="306"/>
      <c r="I34" s="1384"/>
      <c r="J34" s="294">
        <v>0</v>
      </c>
      <c r="K34" s="1384"/>
      <c r="L34" s="294">
        <v>0</v>
      </c>
      <c r="M34" s="306"/>
    </row>
    <row r="35" spans="1:21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0"/>
      <c r="J35" s="155">
        <v>0</v>
      </c>
      <c r="K35" s="1380"/>
      <c r="L35" s="155">
        <v>0</v>
      </c>
      <c r="M35" s="294">
        <v>0</v>
      </c>
    </row>
    <row r="36" spans="1:21" s="141" customFormat="1" ht="30" customHeight="1" thickBot="1" x14ac:dyDescent="0.25">
      <c r="A36" s="134" t="s">
        <v>67</v>
      </c>
      <c r="B36" s="254"/>
      <c r="C36" s="170" t="s">
        <v>429</v>
      </c>
      <c r="D36" s="320"/>
      <c r="E36" s="320"/>
      <c r="F36" s="155">
        <v>0</v>
      </c>
      <c r="G36" s="1381"/>
      <c r="H36" s="155">
        <v>0</v>
      </c>
      <c r="I36" s="1376"/>
      <c r="J36" s="1320">
        <v>0</v>
      </c>
      <c r="K36" s="1376"/>
      <c r="L36" s="1320">
        <v>0</v>
      </c>
      <c r="M36" s="155">
        <v>0</v>
      </c>
    </row>
    <row r="37" spans="1:21" s="141" customFormat="1" ht="30" customHeight="1" thickBot="1" x14ac:dyDescent="0.25">
      <c r="A37" s="146"/>
      <c r="B37" s="255" t="s">
        <v>47</v>
      </c>
      <c r="C37" s="251" t="s">
        <v>430</v>
      </c>
      <c r="D37" s="320"/>
      <c r="E37" s="320"/>
      <c r="F37" s="144">
        <v>0</v>
      </c>
      <c r="G37" s="1415"/>
      <c r="H37" s="144">
        <v>0</v>
      </c>
      <c r="I37" s="1380"/>
      <c r="J37" s="155">
        <v>0</v>
      </c>
      <c r="K37" s="1380"/>
      <c r="L37" s="155">
        <v>0</v>
      </c>
      <c r="M37" s="144">
        <v>0</v>
      </c>
    </row>
    <row r="38" spans="1:21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v>0</v>
      </c>
      <c r="G38" s="1381"/>
      <c r="H38" s="155">
        <v>0</v>
      </c>
      <c r="I38" s="1474"/>
      <c r="J38" s="1319">
        <v>0</v>
      </c>
      <c r="K38" s="1474"/>
      <c r="L38" s="1319">
        <v>0</v>
      </c>
      <c r="M38" s="155">
        <v>0</v>
      </c>
    </row>
    <row r="39" spans="1:21" s="141" customFormat="1" ht="28.5" customHeight="1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2682"/>
      <c r="H39" s="320">
        <v>0</v>
      </c>
      <c r="I39" s="1484">
        <v>0</v>
      </c>
      <c r="J39" s="1296">
        <v>0</v>
      </c>
      <c r="K39" s="1484"/>
      <c r="L39" s="1296">
        <v>0</v>
      </c>
      <c r="M39" s="320">
        <v>0</v>
      </c>
    </row>
    <row r="40" spans="1:21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321">
        <f>SUM(F41:F43)</f>
        <v>100302142</v>
      </c>
      <c r="G40" s="1382">
        <f t="shared" ref="G40:K65" si="1">SUM(H40-F40)</f>
        <v>21268372</v>
      </c>
      <c r="H40" s="321">
        <f>SUM(H41:H43)</f>
        <v>121570514</v>
      </c>
      <c r="I40" s="1421">
        <f t="shared" si="1"/>
        <v>-8614324</v>
      </c>
      <c r="J40" s="321">
        <f>SUM(J41:J43)</f>
        <v>112956190</v>
      </c>
      <c r="K40" s="1374">
        <f t="shared" si="1"/>
        <v>0</v>
      </c>
      <c r="L40" s="321">
        <f>SUM(L41:L43)</f>
        <v>112956190</v>
      </c>
      <c r="M40" s="321">
        <f>SUM(M41:M43)</f>
        <v>112956190</v>
      </c>
    </row>
    <row r="41" spans="1:21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>
        <v>0</v>
      </c>
      <c r="G41" s="1415">
        <f t="shared" si="1"/>
        <v>570563</v>
      </c>
      <c r="H41" s="144">
        <f>SUM('5.7. sz. mell.'!H41)</f>
        <v>570563</v>
      </c>
      <c r="I41" s="1386">
        <f t="shared" si="1"/>
        <v>0</v>
      </c>
      <c r="J41" s="144">
        <f>SUM('5.7. sz. mell.'!J41)</f>
        <v>570563</v>
      </c>
      <c r="K41" s="1386">
        <f t="shared" si="1"/>
        <v>0</v>
      </c>
      <c r="L41" s="144">
        <f>SUM('5.7. sz. mell.'!L41)</f>
        <v>570563</v>
      </c>
      <c r="M41" s="144">
        <f>SUM('5.7. sz. mell.'!M41)</f>
        <v>570563</v>
      </c>
    </row>
    <row r="42" spans="1:21" s="141" customFormat="1" ht="15" customHeight="1" thickBot="1" x14ac:dyDescent="0.25">
      <c r="A42" s="146"/>
      <c r="B42" s="253" t="s">
        <v>83</v>
      </c>
      <c r="C42" s="55" t="s">
        <v>435</v>
      </c>
      <c r="D42" s="320"/>
      <c r="E42" s="320"/>
      <c r="F42" s="144">
        <v>0</v>
      </c>
      <c r="G42" s="1415">
        <f t="shared" si="1"/>
        <v>0</v>
      </c>
      <c r="H42" s="144">
        <v>0</v>
      </c>
      <c r="I42" s="1376">
        <f t="shared" si="1"/>
        <v>0</v>
      </c>
      <c r="J42" s="144">
        <v>0</v>
      </c>
      <c r="K42" s="1376">
        <f t="shared" si="1"/>
        <v>0</v>
      </c>
      <c r="L42" s="144"/>
      <c r="M42" s="144"/>
    </row>
    <row r="43" spans="1:21" s="145" customFormat="1" ht="15" customHeight="1" thickBot="1" x14ac:dyDescent="0.25">
      <c r="A43" s="142"/>
      <c r="B43" s="253" t="s">
        <v>85</v>
      </c>
      <c r="C43" s="55" t="s">
        <v>1433</v>
      </c>
      <c r="D43" s="155">
        <v>75958</v>
      </c>
      <c r="E43" s="155">
        <v>101096</v>
      </c>
      <c r="F43" s="144">
        <f>SUM(F44:F45)</f>
        <v>100302142</v>
      </c>
      <c r="G43" s="1415">
        <f t="shared" si="1"/>
        <v>20697809</v>
      </c>
      <c r="H43" s="144">
        <f>SUM(H44:H45)</f>
        <v>120999951</v>
      </c>
      <c r="I43" s="1376">
        <f t="shared" si="1"/>
        <v>-8614324</v>
      </c>
      <c r="J43" s="144">
        <f>SUM(J44:J45)</f>
        <v>112385627</v>
      </c>
      <c r="K43" s="1376">
        <f t="shared" si="1"/>
        <v>0</v>
      </c>
      <c r="L43" s="144">
        <f>SUM(L44:L45)</f>
        <v>112385627</v>
      </c>
      <c r="M43" s="144">
        <f>SUM(M44:M45)</f>
        <v>112385627</v>
      </c>
      <c r="N43" s="4604" t="s">
        <v>1803</v>
      </c>
      <c r="O43" s="1759"/>
      <c r="P43" s="4604" t="s">
        <v>1799</v>
      </c>
      <c r="Q43" s="1759"/>
      <c r="R43" s="4604" t="s">
        <v>1800</v>
      </c>
      <c r="S43" s="4604"/>
      <c r="T43" s="4604" t="s">
        <v>1802</v>
      </c>
      <c r="U43" s="4604" t="s">
        <v>1801</v>
      </c>
    </row>
    <row r="44" spans="1:21" s="145" customFormat="1" ht="15" customHeight="1" x14ac:dyDescent="0.2">
      <c r="A44" s="142"/>
      <c r="B44" s="2730" t="s">
        <v>437</v>
      </c>
      <c r="C44" s="2731" t="s">
        <v>891</v>
      </c>
      <c r="D44" s="2732"/>
      <c r="E44" s="2732"/>
      <c r="F44" s="1307">
        <f>SUM('5.7. sz. mell.'!F44)</f>
        <v>12773970</v>
      </c>
      <c r="G44" s="1415">
        <f t="shared" si="1"/>
        <v>1558512</v>
      </c>
      <c r="H44" s="175">
        <f>SUM('5.7. sz. mell.'!H44)</f>
        <v>14332482</v>
      </c>
      <c r="I44" s="1376">
        <f t="shared" si="1"/>
        <v>2476679</v>
      </c>
      <c r="J44" s="175">
        <f>SUM('5.7. sz. mell.'!J44)</f>
        <v>16809161</v>
      </c>
      <c r="K44" s="1376">
        <f t="shared" si="1"/>
        <v>0</v>
      </c>
      <c r="L44" s="147">
        <f>SUM('5.7. sz. mell.'!L44)</f>
        <v>16809161</v>
      </c>
      <c r="M44" s="175">
        <f>SUM('5.7. sz. mell.'!M44)</f>
        <v>16809161</v>
      </c>
      <c r="N44" s="4604"/>
      <c r="O44" s="1743"/>
      <c r="P44" s="4604"/>
      <c r="Q44" s="1743"/>
      <c r="R44" s="4604"/>
      <c r="S44" s="4604"/>
      <c r="T44" s="4604"/>
      <c r="U44" s="4604"/>
    </row>
    <row r="45" spans="1:21" s="145" customFormat="1" ht="15" customHeight="1" thickBot="1" x14ac:dyDescent="0.25">
      <c r="A45" s="178"/>
      <c r="B45" s="2733" t="s">
        <v>439</v>
      </c>
      <c r="C45" s="2734" t="s">
        <v>532</v>
      </c>
      <c r="D45" s="2735"/>
      <c r="E45" s="2735"/>
      <c r="F45" s="1321">
        <f>SUM('5.7. sz. mell.'!F45)</f>
        <v>87528172</v>
      </c>
      <c r="G45" s="1415">
        <f t="shared" si="1"/>
        <v>19139297</v>
      </c>
      <c r="H45" s="147">
        <f>SUM('5.7. sz. mell.'!H45)</f>
        <v>106667469</v>
      </c>
      <c r="I45" s="1376">
        <f t="shared" si="1"/>
        <v>-11091003</v>
      </c>
      <c r="J45" s="147">
        <f>SUM('5.7. sz. mell.'!J45)</f>
        <v>95576466</v>
      </c>
      <c r="K45" s="1376">
        <f t="shared" si="1"/>
        <v>0</v>
      </c>
      <c r="L45" s="294">
        <f>SUM('5.7. sz. mell.'!L45)</f>
        <v>95576466</v>
      </c>
      <c r="M45" s="147">
        <f>SUM('5.7. sz. mell.'!M45)</f>
        <v>95576466</v>
      </c>
      <c r="N45" s="4604"/>
      <c r="O45" s="1812"/>
      <c r="P45" s="4604"/>
      <c r="Q45" s="1743"/>
      <c r="R45" s="4604"/>
      <c r="S45" s="4604"/>
      <c r="T45" s="4604"/>
      <c r="U45" s="4604"/>
    </row>
    <row r="46" spans="1:21" s="145" customFormat="1" ht="12.75" hidden="1" customHeight="1" x14ac:dyDescent="0.25">
      <c r="A46" s="258"/>
      <c r="B46" s="256"/>
      <c r="C46" s="170" t="s">
        <v>458</v>
      </c>
      <c r="D46" s="155"/>
      <c r="E46" s="155"/>
      <c r="F46" s="155"/>
      <c r="G46" s="1415">
        <f t="shared" si="1"/>
        <v>0</v>
      </c>
      <c r="H46" s="147">
        <f>SUM('5.7. sz. mell.'!H46)</f>
        <v>0</v>
      </c>
      <c r="I46" s="1373">
        <f t="shared" si="1"/>
        <v>422270</v>
      </c>
      <c r="J46" s="162">
        <f>SUM(J7,J18,J25,J27,J31,J35,J37,J32,J39)</f>
        <v>422270</v>
      </c>
      <c r="K46" s="1373">
        <f t="shared" si="1"/>
        <v>0</v>
      </c>
      <c r="L46" s="162">
        <f>SUM(L7,L18,L25,L27,L31,L35,L37,L32,L39)</f>
        <v>422270</v>
      </c>
      <c r="M46" s="147">
        <f>SUM('5.7. sz. mell.'!M46)</f>
        <v>0</v>
      </c>
    </row>
    <row r="47" spans="1:21" s="145" customFormat="1" ht="15" customHeight="1" thickBot="1" x14ac:dyDescent="0.25">
      <c r="A47" s="192" t="s">
        <v>99</v>
      </c>
      <c r="B47" s="160"/>
      <c r="C47" s="274" t="s">
        <v>441</v>
      </c>
      <c r="D47" s="162">
        <f>SUM(D8,D19,D28,D32,D33,D43)</f>
        <v>97604</v>
      </c>
      <c r="E47" s="162">
        <f>SUM(E8,E19,E28,E32,E33,E43)</f>
        <v>126223</v>
      </c>
      <c r="F47" s="162">
        <f>SUM(F8,F19,F28,F32,F36,F38,F33,F40)</f>
        <v>137356131</v>
      </c>
      <c r="G47" s="1437">
        <f t="shared" si="1"/>
        <v>22071812</v>
      </c>
      <c r="H47" s="162">
        <f>SUM(H8,H19,H26,H28,H32,H36,H38,H33,H40)</f>
        <v>159427943</v>
      </c>
      <c r="I47" s="1373">
        <f t="shared" si="1"/>
        <v>-15567608</v>
      </c>
      <c r="J47" s="162">
        <f>SUM(J8,J19,J26,J28,J32,J36,J38,J33,J40)</f>
        <v>143860335</v>
      </c>
      <c r="K47" s="1373">
        <f t="shared" si="1"/>
        <v>0</v>
      </c>
      <c r="L47" s="162">
        <f>SUM(L8,L19,L26,L28,L32,L36,L38,L33,L40)</f>
        <v>143860335</v>
      </c>
      <c r="M47" s="162">
        <f>SUM(M8,M19,M26,M28,M32,M36,M38,M33,M40)</f>
        <v>143860335</v>
      </c>
      <c r="N47" s="205">
        <f>SUM(F65-F47)</f>
        <v>0</v>
      </c>
      <c r="O47" s="205">
        <f t="shared" ref="O47:U47" si="2">SUM(G65-G47)</f>
        <v>0</v>
      </c>
      <c r="P47" s="205">
        <f t="shared" si="2"/>
        <v>0</v>
      </c>
      <c r="Q47" s="205">
        <f t="shared" si="2"/>
        <v>0</v>
      </c>
      <c r="R47" s="205">
        <f t="shared" si="2"/>
        <v>0</v>
      </c>
      <c r="S47" s="205">
        <f t="shared" si="2"/>
        <v>0</v>
      </c>
      <c r="T47" s="205">
        <f t="shared" si="2"/>
        <v>0</v>
      </c>
      <c r="U47" s="205">
        <f t="shared" si="2"/>
        <v>-161243</v>
      </c>
    </row>
    <row r="48" spans="1:21" s="145" customFormat="1" ht="15" customHeight="1" thickBot="1" x14ac:dyDescent="0.25">
      <c r="A48" s="2098"/>
      <c r="B48" s="266"/>
      <c r="C48" s="275"/>
      <c r="D48" s="286"/>
      <c r="E48" s="286"/>
      <c r="F48" s="1458"/>
      <c r="G48" s="2684"/>
      <c r="H48" s="1443"/>
      <c r="I48" s="1451"/>
      <c r="J48" s="1451"/>
      <c r="K48" s="1451"/>
      <c r="L48" s="1451"/>
      <c r="M48" s="1458"/>
    </row>
    <row r="49" spans="1:13" s="305" customFormat="1" ht="15" customHeight="1" thickBot="1" x14ac:dyDescent="0.25">
      <c r="A49" s="192"/>
      <c r="B49" s="160"/>
      <c r="C49" s="282" t="s">
        <v>231</v>
      </c>
      <c r="D49" s="162"/>
      <c r="E49" s="162"/>
      <c r="F49" s="162"/>
      <c r="G49" s="1437"/>
      <c r="H49" s="162"/>
      <c r="I49" s="1490"/>
      <c r="J49" s="1494"/>
      <c r="K49" s="1378"/>
      <c r="L49" s="1494"/>
      <c r="M49" s="162"/>
    </row>
    <row r="50" spans="1:13" s="141" customFormat="1" ht="15" customHeight="1" thickBot="1" x14ac:dyDescent="0.25">
      <c r="A50" s="134" t="s">
        <v>3</v>
      </c>
      <c r="B50" s="170"/>
      <c r="C50" s="170" t="s">
        <v>442</v>
      </c>
      <c r="D50" s="137">
        <f>SUM(D51:D55)</f>
        <v>97604</v>
      </c>
      <c r="E50" s="137">
        <f>SUM(E51:E56)</f>
        <v>124247</v>
      </c>
      <c r="F50" s="137">
        <f>SUM(F51:F56)</f>
        <v>136340131</v>
      </c>
      <c r="G50" s="1382">
        <f t="shared" si="1"/>
        <v>22206612</v>
      </c>
      <c r="H50" s="137">
        <f>SUM(H51:H56)</f>
        <v>158546743</v>
      </c>
      <c r="I50" s="1421">
        <f t="shared" si="1"/>
        <v>-16495699</v>
      </c>
      <c r="J50" s="137">
        <f>SUM(J51:J55)</f>
        <v>142051044</v>
      </c>
      <c r="K50" s="1373">
        <f>SUM(L50-J50)</f>
        <v>0</v>
      </c>
      <c r="L50" s="137">
        <f>SUM(L51:L56)</f>
        <v>142051044</v>
      </c>
      <c r="M50" s="137">
        <f>SUM(M51:M56)</f>
        <v>141889801</v>
      </c>
    </row>
    <row r="51" spans="1:13" s="145" customFormat="1" ht="15" customHeight="1" x14ac:dyDescent="0.2">
      <c r="A51" s="173"/>
      <c r="B51" s="267" t="s">
        <v>152</v>
      </c>
      <c r="C51" s="251" t="s">
        <v>153</v>
      </c>
      <c r="D51" s="175">
        <v>28809</v>
      </c>
      <c r="E51" s="175">
        <v>29630</v>
      </c>
      <c r="F51" s="175">
        <f>SUM('5.7. sz. mell.'!F51)</f>
        <v>43541874</v>
      </c>
      <c r="G51" s="1415">
        <f t="shared" si="1"/>
        <v>2571061</v>
      </c>
      <c r="H51" s="175">
        <f>SUM('5.7. sz. mell.'!H51)</f>
        <v>46112935</v>
      </c>
      <c r="I51" s="1386">
        <f t="shared" si="1"/>
        <v>2253734</v>
      </c>
      <c r="J51" s="175">
        <f>SUM('5.7. sz. mell.'!J51)</f>
        <v>48366669</v>
      </c>
      <c r="K51" s="1386">
        <f>SUM(L51-J51)</f>
        <v>0</v>
      </c>
      <c r="L51" s="175">
        <f>SUM('5.7. sz. mell.'!L51)</f>
        <v>48366669</v>
      </c>
      <c r="M51" s="175">
        <f>SUM('5.7. sz. mell.'!M51)</f>
        <v>48366669</v>
      </c>
    </row>
    <row r="52" spans="1:13" s="145" customFormat="1" ht="15" customHeight="1" x14ac:dyDescent="0.2">
      <c r="A52" s="142"/>
      <c r="B52" s="253" t="s">
        <v>154</v>
      </c>
      <c r="C52" s="55" t="s">
        <v>155</v>
      </c>
      <c r="D52" s="144">
        <v>7733</v>
      </c>
      <c r="E52" s="144">
        <v>8019</v>
      </c>
      <c r="F52" s="175">
        <f>SUM('5.7. sz. mell.'!F52)</f>
        <v>8696079</v>
      </c>
      <c r="G52" s="1415">
        <f t="shared" si="1"/>
        <v>507811</v>
      </c>
      <c r="H52" s="175">
        <f>SUM('5.7. sz. mell.'!H52)</f>
        <v>9203890</v>
      </c>
      <c r="I52" s="1376">
        <f t="shared" si="1"/>
        <v>468463</v>
      </c>
      <c r="J52" s="175">
        <f>SUM('5.7. sz. mell.'!J52)</f>
        <v>9672353</v>
      </c>
      <c r="K52" s="1386">
        <f t="shared" ref="K52:K65" si="3">SUM(L52-J52)</f>
        <v>0</v>
      </c>
      <c r="L52" s="175">
        <f>SUM('5.7. sz. mell.'!L52)</f>
        <v>9672353</v>
      </c>
      <c r="M52" s="175">
        <f>SUM('5.7. sz. mell.'!M52)</f>
        <v>9672353</v>
      </c>
    </row>
    <row r="53" spans="1:13" s="145" customFormat="1" ht="15" customHeight="1" x14ac:dyDescent="0.2">
      <c r="A53" s="142"/>
      <c r="B53" s="253" t="s">
        <v>156</v>
      </c>
      <c r="C53" s="55" t="s">
        <v>157</v>
      </c>
      <c r="D53" s="322">
        <v>61062</v>
      </c>
      <c r="E53" s="322">
        <v>85562</v>
      </c>
      <c r="F53" s="175">
        <f>SUM('5.7. sz. mell.'!F53)</f>
        <v>84102178</v>
      </c>
      <c r="G53" s="1415">
        <f t="shared" si="1"/>
        <v>19127740</v>
      </c>
      <c r="H53" s="175">
        <f>SUM('5.7. sz. mell.'!H53)</f>
        <v>103229918</v>
      </c>
      <c r="I53" s="1376">
        <f t="shared" si="1"/>
        <v>-19217896</v>
      </c>
      <c r="J53" s="175">
        <f>SUM('5.7. sz. mell.'!J53)</f>
        <v>84012022</v>
      </c>
      <c r="K53" s="1386">
        <f t="shared" si="3"/>
        <v>0</v>
      </c>
      <c r="L53" s="175">
        <f>SUM('5.7. sz. mell.'!L53)</f>
        <v>84012022</v>
      </c>
      <c r="M53" s="175">
        <f>SUM('5.7. sz. mell.'!M53)</f>
        <v>83850779</v>
      </c>
    </row>
    <row r="54" spans="1:13" s="145" customFormat="1" ht="15" customHeight="1" x14ac:dyDescent="0.2">
      <c r="A54" s="142"/>
      <c r="B54" s="253" t="s">
        <v>158</v>
      </c>
      <c r="C54" s="55" t="s">
        <v>159</v>
      </c>
      <c r="D54" s="144"/>
      <c r="E54" s="144"/>
      <c r="F54" s="175">
        <f>SUM('5.7. sz. mell.'!F54)</f>
        <v>0</v>
      </c>
      <c r="G54" s="1415">
        <f t="shared" si="1"/>
        <v>0</v>
      </c>
      <c r="H54" s="175">
        <f>SUM('5.7. sz. mell.'!H54)</f>
        <v>0</v>
      </c>
      <c r="I54" s="1376">
        <f t="shared" si="1"/>
        <v>0</v>
      </c>
      <c r="J54" s="175">
        <f>SUM('5.7. sz. mell.'!J54)</f>
        <v>0</v>
      </c>
      <c r="K54" s="1386">
        <f t="shared" si="3"/>
        <v>0</v>
      </c>
      <c r="L54" s="175">
        <f>SUM('5.7. sz. mell.'!L54)</f>
        <v>0</v>
      </c>
      <c r="M54" s="175">
        <f>SUM('5.7. sz. mell.'!M54)</f>
        <v>0</v>
      </c>
    </row>
    <row r="55" spans="1:13" s="145" customFormat="1" ht="15.75" thickBot="1" x14ac:dyDescent="0.25">
      <c r="A55" s="142"/>
      <c r="B55" s="253" t="s">
        <v>375</v>
      </c>
      <c r="C55" s="55" t="s">
        <v>161</v>
      </c>
      <c r="D55" s="144">
        <v>0</v>
      </c>
      <c r="E55" s="144">
        <v>0</v>
      </c>
      <c r="F55" s="175">
        <f>SUM('5.7. sz. mell.'!F55)</f>
        <v>0</v>
      </c>
      <c r="G55" s="1415">
        <f t="shared" si="1"/>
        <v>0</v>
      </c>
      <c r="H55" s="175">
        <f>SUM('5.7. sz. mell.'!H55)</f>
        <v>0</v>
      </c>
      <c r="I55" s="1376">
        <f t="shared" si="1"/>
        <v>0</v>
      </c>
      <c r="J55" s="175">
        <f>SUM('5.7. sz. mell.'!J55)</f>
        <v>0</v>
      </c>
      <c r="K55" s="1386">
        <f t="shared" si="3"/>
        <v>0</v>
      </c>
      <c r="L55" s="175">
        <f>SUM('5.7. sz. mell.'!L55)</f>
        <v>0</v>
      </c>
      <c r="M55" s="175">
        <f>SUM('5.7. sz. mell.'!M55)</f>
        <v>0</v>
      </c>
    </row>
    <row r="56" spans="1:13" s="145" customFormat="1" ht="15.75" hidden="1" thickBot="1" x14ac:dyDescent="0.25">
      <c r="A56" s="142"/>
      <c r="B56" s="176" t="s">
        <v>483</v>
      </c>
      <c r="C56" s="55" t="s">
        <v>404</v>
      </c>
      <c r="D56" s="144">
        <v>0</v>
      </c>
      <c r="E56" s="144">
        <v>1036</v>
      </c>
      <c r="F56" s="144">
        <v>0</v>
      </c>
      <c r="G56" s="1415">
        <f t="shared" si="1"/>
        <v>0</v>
      </c>
      <c r="H56" s="144">
        <v>0</v>
      </c>
      <c r="I56" s="1374">
        <f t="shared" si="1"/>
        <v>0</v>
      </c>
      <c r="J56" s="137"/>
      <c r="K56" s="1386">
        <f t="shared" si="3"/>
        <v>0</v>
      </c>
      <c r="L56" s="137"/>
      <c r="M56" s="144">
        <v>0</v>
      </c>
    </row>
    <row r="57" spans="1:13" s="145" customFormat="1" ht="15.75" thickBot="1" x14ac:dyDescent="0.25">
      <c r="A57" s="134" t="s">
        <v>17</v>
      </c>
      <c r="B57" s="170"/>
      <c r="C57" s="170" t="s">
        <v>443</v>
      </c>
      <c r="D57" s="137">
        <f>SUM(D58:D62)</f>
        <v>0</v>
      </c>
      <c r="E57" s="137">
        <f>SUM(E58:E62)</f>
        <v>1976</v>
      </c>
      <c r="F57" s="137">
        <f>SUM(F58:F62)</f>
        <v>1016000</v>
      </c>
      <c r="G57" s="1382">
        <f t="shared" si="1"/>
        <v>-134800</v>
      </c>
      <c r="H57" s="137">
        <f>SUM(H58:H62)</f>
        <v>881200</v>
      </c>
      <c r="I57" s="1421">
        <f t="shared" si="1"/>
        <v>928091</v>
      </c>
      <c r="J57" s="137">
        <f>SUM(J58:J62)</f>
        <v>1809291</v>
      </c>
      <c r="K57" s="3512">
        <f t="shared" si="3"/>
        <v>0</v>
      </c>
      <c r="L57" s="137">
        <f>SUM(L58:L62)</f>
        <v>1809291</v>
      </c>
      <c r="M57" s="137">
        <f>SUM(M58:M62)</f>
        <v>1809291</v>
      </c>
    </row>
    <row r="58" spans="1:13" s="141" customFormat="1" ht="15" customHeight="1" x14ac:dyDescent="0.2">
      <c r="A58" s="173"/>
      <c r="B58" s="267" t="s">
        <v>5</v>
      </c>
      <c r="C58" s="251" t="s">
        <v>183</v>
      </c>
      <c r="D58" s="175">
        <v>0</v>
      </c>
      <c r="E58" s="175">
        <v>1976</v>
      </c>
      <c r="F58" s="175">
        <f>SUM('5.7. sz. mell.'!F58)</f>
        <v>1016000</v>
      </c>
      <c r="G58" s="1415">
        <f t="shared" si="1"/>
        <v>-134800</v>
      </c>
      <c r="H58" s="175">
        <f>SUM('5.7. sz. mell.'!H58)</f>
        <v>881200</v>
      </c>
      <c r="I58" s="1386">
        <f t="shared" si="1"/>
        <v>928091</v>
      </c>
      <c r="J58" s="175">
        <f>SUM('5.7. sz. mell.'!J58)</f>
        <v>1809291</v>
      </c>
      <c r="K58" s="1386">
        <f t="shared" si="3"/>
        <v>0</v>
      </c>
      <c r="L58" s="175">
        <f>SUM('5.7. sz. mell.'!L58)</f>
        <v>1809291</v>
      </c>
      <c r="M58" s="175">
        <f>SUM('5.7. sz. mell.'!M58)</f>
        <v>1809291</v>
      </c>
    </row>
    <row r="59" spans="1:13" s="145" customFormat="1" ht="15" customHeight="1" x14ac:dyDescent="0.2">
      <c r="A59" s="142"/>
      <c r="B59" s="253" t="s">
        <v>7</v>
      </c>
      <c r="C59" s="55" t="s">
        <v>185</v>
      </c>
      <c r="D59" s="144">
        <v>0</v>
      </c>
      <c r="E59" s="144">
        <v>0</v>
      </c>
      <c r="F59" s="175">
        <f>SUM('5.7. sz. mell.'!F59)</f>
        <v>0</v>
      </c>
      <c r="G59" s="1415">
        <f t="shared" si="1"/>
        <v>0</v>
      </c>
      <c r="H59" s="175">
        <f>SUM('5.7. sz. mell.'!H59)</f>
        <v>0</v>
      </c>
      <c r="I59" s="1376">
        <f t="shared" si="1"/>
        <v>0</v>
      </c>
      <c r="J59" s="175">
        <f>SUM('5.7. sz. mell.'!J59)</f>
        <v>0</v>
      </c>
      <c r="K59" s="1386">
        <f t="shared" si="3"/>
        <v>0</v>
      </c>
      <c r="L59" s="175">
        <f>SUM('5.7. sz. mell.'!L59)</f>
        <v>0</v>
      </c>
      <c r="M59" s="175">
        <f>SUM('5.7. sz. mell.'!M59)</f>
        <v>0</v>
      </c>
    </row>
    <row r="60" spans="1:13" s="145" customFormat="1" ht="15" customHeight="1" thickBot="1" x14ac:dyDescent="0.25">
      <c r="A60" s="142"/>
      <c r="B60" s="253" t="s">
        <v>9</v>
      </c>
      <c r="C60" s="55" t="s">
        <v>444</v>
      </c>
      <c r="D60" s="144"/>
      <c r="E60" s="144"/>
      <c r="F60" s="175">
        <f>SUM('5.7. sz. mell.'!F60)</f>
        <v>0</v>
      </c>
      <c r="G60" s="1415">
        <f t="shared" si="1"/>
        <v>0</v>
      </c>
      <c r="H60" s="175">
        <f>SUM('5.7. sz. mell.'!H60)</f>
        <v>0</v>
      </c>
      <c r="I60" s="1376">
        <f t="shared" si="1"/>
        <v>0</v>
      </c>
      <c r="J60" s="175">
        <f>SUM('5.7. sz. mell.'!J60)</f>
        <v>0</v>
      </c>
      <c r="K60" s="1386">
        <f t="shared" si="3"/>
        <v>0</v>
      </c>
      <c r="L60" s="175">
        <f>SUM('5.7. sz. mell.'!L60)</f>
        <v>0</v>
      </c>
      <c r="M60" s="175">
        <f>SUM('5.7. sz. mell.'!M60)</f>
        <v>0</v>
      </c>
    </row>
    <row r="61" spans="1:13" s="145" customFormat="1" ht="12.75" hidden="1" customHeight="1" x14ac:dyDescent="0.2">
      <c r="A61" s="142"/>
      <c r="B61" s="176" t="s">
        <v>13</v>
      </c>
      <c r="C61" s="55" t="s">
        <v>484</v>
      </c>
      <c r="D61" s="144">
        <v>0</v>
      </c>
      <c r="E61" s="144">
        <v>0</v>
      </c>
      <c r="F61" s="144">
        <v>0</v>
      </c>
      <c r="G61" s="1415">
        <f t="shared" si="1"/>
        <v>0</v>
      </c>
      <c r="H61" s="175">
        <f>SUM('5.7. sz. mell.'!H61)</f>
        <v>0</v>
      </c>
      <c r="I61" s="1376">
        <f t="shared" si="1"/>
        <v>0</v>
      </c>
      <c r="J61" s="175">
        <f>SUM('5.7. sz. mell.'!J61)</f>
        <v>0</v>
      </c>
      <c r="K61" s="1386">
        <f t="shared" si="3"/>
        <v>0</v>
      </c>
      <c r="L61" s="175">
        <f>SUM('5.7. sz. mell.'!L61)</f>
        <v>0</v>
      </c>
      <c r="M61" s="175">
        <f>SUM('5.7. sz. mell.'!M61)</f>
        <v>0</v>
      </c>
    </row>
    <row r="62" spans="1:13" s="145" customFormat="1" ht="12.75" hidden="1" customHeight="1" x14ac:dyDescent="0.2">
      <c r="A62" s="142"/>
      <c r="B62" s="176" t="s">
        <v>189</v>
      </c>
      <c r="C62" s="55" t="s">
        <v>448</v>
      </c>
      <c r="D62" s="144">
        <v>0</v>
      </c>
      <c r="E62" s="144">
        <v>0</v>
      </c>
      <c r="F62" s="144">
        <v>0</v>
      </c>
      <c r="G62" s="1415">
        <f t="shared" si="1"/>
        <v>0</v>
      </c>
      <c r="H62" s="175">
        <f>SUM('5.7. sz. mell.'!H62)</f>
        <v>0</v>
      </c>
      <c r="I62" s="1376">
        <f t="shared" si="1"/>
        <v>0</v>
      </c>
      <c r="J62" s="175">
        <f>SUM('5.7. sz. mell.'!J62)</f>
        <v>0</v>
      </c>
      <c r="K62" s="1386">
        <f t="shared" si="3"/>
        <v>0</v>
      </c>
      <c r="L62" s="175">
        <f>SUM('5.7. sz. mell.'!L62)</f>
        <v>0</v>
      </c>
      <c r="M62" s="175">
        <f>SUM('5.7. sz. mell.'!M62)</f>
        <v>0</v>
      </c>
    </row>
    <row r="63" spans="1:13" s="145" customFormat="1" ht="12.75" hidden="1" customHeight="1" x14ac:dyDescent="0.2">
      <c r="A63" s="134" t="s">
        <v>31</v>
      </c>
      <c r="B63" s="170"/>
      <c r="C63" s="171" t="s">
        <v>445</v>
      </c>
      <c r="D63" s="155">
        <v>0</v>
      </c>
      <c r="E63" s="155">
        <v>0</v>
      </c>
      <c r="F63" s="155">
        <v>0</v>
      </c>
      <c r="G63" s="1415">
        <f t="shared" si="1"/>
        <v>0</v>
      </c>
      <c r="H63" s="175">
        <f>SUM('5.7. sz. mell.'!H63)</f>
        <v>0</v>
      </c>
      <c r="I63" s="1376">
        <f t="shared" si="1"/>
        <v>0</v>
      </c>
      <c r="J63" s="175">
        <f>SUM('5.7. sz. mell.'!J63)</f>
        <v>0</v>
      </c>
      <c r="K63" s="1386">
        <f t="shared" si="3"/>
        <v>0</v>
      </c>
      <c r="L63" s="175">
        <f>SUM('5.7. sz. mell.'!L63)</f>
        <v>0</v>
      </c>
      <c r="M63" s="175">
        <f>SUM('5.7. sz. mell.'!M63)</f>
        <v>0</v>
      </c>
    </row>
    <row r="64" spans="1:13" s="145" customFormat="1" ht="12.75" hidden="1" customHeight="1" x14ac:dyDescent="0.2">
      <c r="A64" s="134"/>
      <c r="B64" s="170"/>
      <c r="C64" s="171" t="s">
        <v>459</v>
      </c>
      <c r="D64" s="155"/>
      <c r="E64" s="155"/>
      <c r="F64" s="155"/>
      <c r="G64" s="1415">
        <f t="shared" si="1"/>
        <v>0</v>
      </c>
      <c r="H64" s="175">
        <f>SUM('5.7. sz. mell.'!H64)</f>
        <v>0</v>
      </c>
      <c r="I64" s="1373">
        <f t="shared" si="1"/>
        <v>0</v>
      </c>
      <c r="J64" s="162">
        <f>+J49+J56+J62+J63</f>
        <v>0</v>
      </c>
      <c r="K64" s="1386">
        <f t="shared" si="3"/>
        <v>0</v>
      </c>
      <c r="L64" s="162">
        <f>+L49+L56+L62+L63</f>
        <v>0</v>
      </c>
      <c r="M64" s="175">
        <f>SUM('5.7. sz. mell.'!M64)</f>
        <v>0</v>
      </c>
    </row>
    <row r="65" spans="1:13" s="145" customFormat="1" ht="15" customHeight="1" thickBot="1" x14ac:dyDescent="0.25">
      <c r="A65" s="192" t="s">
        <v>31</v>
      </c>
      <c r="B65" s="160"/>
      <c r="C65" s="274" t="s">
        <v>465</v>
      </c>
      <c r="D65" s="162">
        <f>+D50+D57+D63</f>
        <v>97604</v>
      </c>
      <c r="E65" s="162">
        <f>+E50+E57+E63</f>
        <v>126223</v>
      </c>
      <c r="F65" s="162">
        <f>+F50+F57+F63+F64</f>
        <v>137356131</v>
      </c>
      <c r="G65" s="1437">
        <f t="shared" si="1"/>
        <v>22071812</v>
      </c>
      <c r="H65" s="162">
        <f>+H50+H57+H63+H64</f>
        <v>159427943</v>
      </c>
      <c r="I65" s="1373">
        <f t="shared" si="1"/>
        <v>-15567608</v>
      </c>
      <c r="J65" s="162">
        <f>+J50+J57</f>
        <v>143860335</v>
      </c>
      <c r="K65" s="1373">
        <f t="shared" si="3"/>
        <v>0</v>
      </c>
      <c r="L65" s="162">
        <f>+L50+L57+L63+L64</f>
        <v>143860335</v>
      </c>
      <c r="M65" s="162">
        <f>+M50+M57+M63+M64</f>
        <v>143699092</v>
      </c>
    </row>
    <row r="66" spans="1:13" s="145" customFormat="1" ht="15" customHeight="1" thickBot="1" x14ac:dyDescent="0.25">
      <c r="A66" s="1303"/>
      <c r="B66" s="886"/>
      <c r="C66" s="886"/>
      <c r="D66" s="886"/>
      <c r="E66" s="886"/>
      <c r="F66" s="1304"/>
      <c r="G66" s="2162"/>
      <c r="H66" s="886"/>
      <c r="I66" s="2162"/>
      <c r="J66" s="886"/>
      <c r="K66" s="2162"/>
      <c r="L66" s="886"/>
      <c r="M66" s="1304"/>
    </row>
    <row r="67" spans="1:13" s="145" customFormat="1" ht="15" customHeight="1" thickBot="1" x14ac:dyDescent="0.25">
      <c r="A67" s="276" t="s">
        <v>324</v>
      </c>
      <c r="B67" s="277"/>
      <c r="C67" s="278"/>
      <c r="D67" s="200">
        <v>14</v>
      </c>
      <c r="E67" s="200">
        <v>14</v>
      </c>
      <c r="F67" s="200">
        <f>SUM('5.7. sz. mell.'!F68)</f>
        <v>15</v>
      </c>
      <c r="G67" s="1559">
        <f>SUM(H67-F67)</f>
        <v>0</v>
      </c>
      <c r="H67" s="200">
        <f>SUM('5.7. sz. mell.'!H68)</f>
        <v>15</v>
      </c>
      <c r="I67" s="1388"/>
      <c r="J67" s="200">
        <f>SUM('5.7. sz. mell.'!J68)</f>
        <v>16</v>
      </c>
      <c r="K67" s="1388">
        <f>SUM(L67-J67)</f>
        <v>0</v>
      </c>
      <c r="L67" s="200">
        <f>SUM('5.7. sz. mell.'!L68)</f>
        <v>16</v>
      </c>
      <c r="M67" s="200">
        <f>SUM('5.7. sz. mell.'!M68)</f>
        <v>16</v>
      </c>
    </row>
    <row r="68" spans="1:13" s="145" customFormat="1" ht="15" customHeight="1" thickBot="1" x14ac:dyDescent="0.25">
      <c r="A68" s="276" t="s">
        <v>325</v>
      </c>
      <c r="B68" s="277"/>
      <c r="C68" s="278"/>
      <c r="D68" s="279"/>
      <c r="E68" s="279"/>
      <c r="F68" s="279"/>
      <c r="G68" s="1560"/>
      <c r="H68" s="279"/>
      <c r="I68" s="1389"/>
      <c r="J68" s="279"/>
      <c r="K68" s="1389"/>
      <c r="L68" s="279"/>
      <c r="M68" s="279"/>
    </row>
  </sheetData>
  <mergeCells count="20">
    <mergeCell ref="D4:F4"/>
    <mergeCell ref="A5:B5"/>
    <mergeCell ref="A2:B2"/>
    <mergeCell ref="D2:D3"/>
    <mergeCell ref="F2:F3"/>
    <mergeCell ref="A3:B3"/>
    <mergeCell ref="J2:J3"/>
    <mergeCell ref="K2:K3"/>
    <mergeCell ref="L2:L3"/>
    <mergeCell ref="G2:G3"/>
    <mergeCell ref="C1:M1"/>
    <mergeCell ref="H2:H3"/>
    <mergeCell ref="M2:M3"/>
    <mergeCell ref="I2:I3"/>
    <mergeCell ref="U43:U45"/>
    <mergeCell ref="N43:N45"/>
    <mergeCell ref="P43:P45"/>
    <mergeCell ref="R43:R45"/>
    <mergeCell ref="S43:S45"/>
    <mergeCell ref="T43:T45"/>
  </mergeCells>
  <printOptions horizontalCentered="1"/>
  <pageMargins left="0.19685039370078741" right="0.15748031496062992" top="0.51181102362204722" bottom="0.35433070866141736" header="0.51181102362204722" footer="0.15748031496062992"/>
  <pageSetup paperSize="9" scale="66" firstPageNumber="75" orientation="portrait" useFirstPageNumber="1" r:id="rId1"/>
  <headerFooter>
    <oddFooter>&amp;C- &amp;P -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66"/>
  <sheetViews>
    <sheetView view="pageBreakPreview" topLeftCell="A42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6640625" style="115" customWidth="1"/>
    <col min="4" max="5" width="9.33203125" style="115" hidden="1" customWidth="1"/>
    <col min="6" max="6" width="9.5" style="115" customWidth="1"/>
    <col min="7" max="7" width="13.6640625" style="1390" hidden="1" customWidth="1"/>
    <col min="8" max="8" width="11.83203125" style="115" hidden="1" customWidth="1"/>
    <col min="9" max="9" width="13.5" style="1390" hidden="1" customWidth="1"/>
    <col min="10" max="10" width="12.83203125" style="115" customWidth="1"/>
    <col min="11" max="11" width="13.1640625" style="1390" customWidth="1"/>
    <col min="12" max="12" width="14.33203125" style="115" customWidth="1"/>
    <col min="13" max="13" width="13.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742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836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304" t="s">
        <v>327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50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64"/>
      <c r="E4" s="4464"/>
      <c r="F4" s="4465"/>
      <c r="G4" s="1440"/>
      <c r="H4" s="1454"/>
      <c r="I4" s="1454"/>
      <c r="J4" s="1454"/>
      <c r="K4" s="1454"/>
      <c r="L4" s="1455"/>
      <c r="M4" s="1508" t="s">
        <v>935</v>
      </c>
    </row>
    <row r="5" spans="1:13" s="145" customFormat="1" ht="33.7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3330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334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10033</v>
      </c>
      <c r="E8" s="137">
        <f>SUM(E9:E18)</f>
        <v>10050</v>
      </c>
      <c r="F8" s="137">
        <f>SUM(F9:F18)</f>
        <v>0</v>
      </c>
      <c r="G8" s="1382"/>
      <c r="H8" s="137">
        <f>SUM(H9:H18)</f>
        <v>0</v>
      </c>
      <c r="I8" s="1374"/>
      <c r="J8" s="674">
        <v>0</v>
      </c>
      <c r="K8" s="3401"/>
      <c r="L8" s="445">
        <v>0</v>
      </c>
      <c r="M8" s="1483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>
        <v>0</v>
      </c>
      <c r="G9" s="1533"/>
      <c r="H9" s="150">
        <v>0</v>
      </c>
      <c r="I9" s="1375"/>
      <c r="J9" s="175">
        <v>0</v>
      </c>
      <c r="K9" s="3345"/>
      <c r="L9" s="175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5900</v>
      </c>
      <c r="E10" s="144">
        <v>5900</v>
      </c>
      <c r="F10" s="144">
        <v>0</v>
      </c>
      <c r="G10" s="1415"/>
      <c r="H10" s="144">
        <v>0</v>
      </c>
      <c r="I10" s="1376"/>
      <c r="J10" s="144">
        <v>0</v>
      </c>
      <c r="K10" s="3334"/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2000</v>
      </c>
      <c r="E11" s="144">
        <v>2000</v>
      </c>
      <c r="F11" s="144">
        <v>0</v>
      </c>
      <c r="G11" s="1415"/>
      <c r="H11" s="144">
        <v>0</v>
      </c>
      <c r="I11" s="1376"/>
      <c r="J11" s="144">
        <v>0</v>
      </c>
      <c r="K11" s="3334"/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>
        <v>0</v>
      </c>
      <c r="G12" s="1415"/>
      <c r="H12" s="144">
        <v>0</v>
      </c>
      <c r="I12" s="1376"/>
      <c r="J12" s="144">
        <v>0</v>
      </c>
      <c r="K12" s="3334"/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>
        <v>0</v>
      </c>
      <c r="G13" s="1415"/>
      <c r="H13" s="144">
        <v>0</v>
      </c>
      <c r="I13" s="1376"/>
      <c r="J13" s="144">
        <v>0</v>
      </c>
      <c r="K13" s="3334"/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>
        <v>2133</v>
      </c>
      <c r="E14" s="147">
        <v>2133</v>
      </c>
      <c r="F14" s="144">
        <v>0</v>
      </c>
      <c r="G14" s="1415"/>
      <c r="H14" s="144">
        <v>0</v>
      </c>
      <c r="I14" s="1376"/>
      <c r="J14" s="147">
        <v>0</v>
      </c>
      <c r="K14" s="3334"/>
      <c r="L14" s="147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4">
        <v>0</v>
      </c>
      <c r="K15" s="3335"/>
      <c r="L15" s="144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>
        <v>17</v>
      </c>
      <c r="F16" s="144">
        <v>0</v>
      </c>
      <c r="G16" s="1415"/>
      <c r="H16" s="144">
        <v>0</v>
      </c>
      <c r="I16" s="1376"/>
      <c r="J16" s="153">
        <v>0</v>
      </c>
      <c r="K16" s="3334"/>
      <c r="L16" s="153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3336"/>
      <c r="L17" s="153">
        <v>0</v>
      </c>
      <c r="M17" s="153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479">
        <f>SUM(J19:J25)</f>
        <v>0</v>
      </c>
      <c r="K18" s="3342"/>
      <c r="L18" s="1480">
        <f>SUM(L19:L25)</f>
        <v>0</v>
      </c>
      <c r="M18" s="153">
        <v>0</v>
      </c>
    </row>
    <row r="19" spans="1:13" s="141" customFormat="1" ht="29.25" customHeight="1" thickBot="1" x14ac:dyDescent="0.25">
      <c r="A19" s="134" t="s">
        <v>17</v>
      </c>
      <c r="B19" s="148"/>
      <c r="C19" s="247" t="s">
        <v>419</v>
      </c>
      <c r="D19" s="137">
        <f>SUM(D20:D26)</f>
        <v>11613</v>
      </c>
      <c r="E19" s="137">
        <f>SUM(E20:E26)</f>
        <v>14841</v>
      </c>
      <c r="F19" s="137">
        <f>SUM(F20:F26)</f>
        <v>0</v>
      </c>
      <c r="G19" s="1382"/>
      <c r="H19" s="137">
        <f>SUM(H20:H26)</f>
        <v>0</v>
      </c>
      <c r="I19" s="1482"/>
      <c r="J19" s="674">
        <v>0</v>
      </c>
      <c r="K19" s="3401"/>
      <c r="L19" s="445">
        <v>0</v>
      </c>
      <c r="M19" s="137">
        <f>SUM(M20:M26)</f>
        <v>0</v>
      </c>
    </row>
    <row r="20" spans="1:13" s="145" customFormat="1" ht="28.5" customHeight="1" x14ac:dyDescent="0.2">
      <c r="A20" s="142"/>
      <c r="B20" s="143" t="s">
        <v>5</v>
      </c>
      <c r="C20" s="251" t="s">
        <v>420</v>
      </c>
      <c r="D20" s="144">
        <v>11613</v>
      </c>
      <c r="E20" s="144">
        <v>12298</v>
      </c>
      <c r="F20" s="144">
        <v>0</v>
      </c>
      <c r="G20" s="1415"/>
      <c r="H20" s="144">
        <v>0</v>
      </c>
      <c r="I20" s="1376"/>
      <c r="J20" s="175">
        <v>0</v>
      </c>
      <c r="K20" s="3345"/>
      <c r="L20" s="175">
        <v>0</v>
      </c>
      <c r="M20" s="144">
        <v>0</v>
      </c>
    </row>
    <row r="21" spans="1:13" s="145" customFormat="1" ht="14.25" customHeight="1" x14ac:dyDescent="0.2">
      <c r="A21" s="142"/>
      <c r="B21" s="143" t="s">
        <v>421</v>
      </c>
      <c r="C21" s="55" t="s">
        <v>422</v>
      </c>
      <c r="D21" s="144">
        <v>0</v>
      </c>
      <c r="E21" s="144">
        <v>453</v>
      </c>
      <c r="F21" s="144">
        <v>0</v>
      </c>
      <c r="G21" s="1415"/>
      <c r="H21" s="144">
        <v>0</v>
      </c>
      <c r="I21" s="1376"/>
      <c r="J21" s="144">
        <v>0</v>
      </c>
      <c r="K21" s="3334"/>
      <c r="L21" s="144">
        <v>0</v>
      </c>
      <c r="M21" s="144">
        <v>0</v>
      </c>
    </row>
    <row r="22" spans="1:13" s="145" customFormat="1" ht="15" customHeight="1" x14ac:dyDescent="0.2">
      <c r="A22" s="142"/>
      <c r="B22" s="143" t="s">
        <v>360</v>
      </c>
      <c r="C22" s="55" t="s">
        <v>1429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3334"/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2090</v>
      </c>
      <c r="F23" s="144">
        <v>0</v>
      </c>
      <c r="G23" s="1415"/>
      <c r="H23" s="144">
        <v>0</v>
      </c>
      <c r="I23" s="1376"/>
      <c r="J23" s="144">
        <v>0</v>
      </c>
      <c r="K23" s="3334"/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53">
        <v>0</v>
      </c>
      <c r="K24" s="3336"/>
      <c r="L24" s="153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/>
      <c r="E25" s="144"/>
      <c r="F25" s="144">
        <v>0</v>
      </c>
      <c r="G25" s="1415"/>
      <c r="H25" s="144">
        <v>0</v>
      </c>
      <c r="I25" s="1376"/>
      <c r="J25" s="908">
        <v>0</v>
      </c>
      <c r="K25" s="3342"/>
      <c r="L25" s="1486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44">
        <v>0</v>
      </c>
      <c r="E26" s="144">
        <v>0</v>
      </c>
      <c r="F26" s="137">
        <v>0</v>
      </c>
      <c r="G26" s="1382"/>
      <c r="H26" s="137">
        <v>0</v>
      </c>
      <c r="I26" s="1482"/>
      <c r="J26" s="1487">
        <v>0</v>
      </c>
      <c r="K26" s="3401"/>
      <c r="L26" s="1487">
        <v>0</v>
      </c>
      <c r="M26" s="137">
        <v>0</v>
      </c>
    </row>
    <row r="27" spans="1:13" s="145" customFormat="1" ht="15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1519"/>
      <c r="H27" s="147">
        <v>0</v>
      </c>
      <c r="I27" s="1377"/>
      <c r="J27" s="155">
        <v>0</v>
      </c>
      <c r="K27" s="3335"/>
      <c r="L27" s="155">
        <v>0</v>
      </c>
      <c r="M27" s="147">
        <v>0</v>
      </c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v>0</v>
      </c>
      <c r="G28" s="1381"/>
      <c r="H28" s="155">
        <v>0</v>
      </c>
      <c r="I28" s="1380"/>
      <c r="J28" s="844">
        <v>0</v>
      </c>
      <c r="K28" s="3338"/>
      <c r="L28" s="252">
        <v>0</v>
      </c>
      <c r="M28" s="155">
        <v>0</v>
      </c>
    </row>
    <row r="29" spans="1:1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1415"/>
      <c r="H29" s="144">
        <v>0</v>
      </c>
      <c r="I29" s="1376"/>
      <c r="J29" s="175">
        <v>0</v>
      </c>
      <c r="K29" s="3345"/>
      <c r="L29" s="175">
        <v>0</v>
      </c>
      <c r="M29" s="144">
        <v>0</v>
      </c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1415"/>
      <c r="H30" s="144">
        <v>0</v>
      </c>
      <c r="I30" s="1376"/>
      <c r="J30" s="153">
        <v>0</v>
      </c>
      <c r="K30" s="3336"/>
      <c r="L30" s="153">
        <v>0</v>
      </c>
      <c r="M30" s="144">
        <v>0</v>
      </c>
    </row>
    <row r="31" spans="1:1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1415"/>
      <c r="H31" s="144">
        <v>0</v>
      </c>
      <c r="I31" s="1376"/>
      <c r="J31" s="841">
        <v>0</v>
      </c>
      <c r="K31" s="3342"/>
      <c r="L31" s="1488">
        <v>0</v>
      </c>
      <c r="M31" s="144">
        <v>0</v>
      </c>
    </row>
    <row r="32" spans="1:13" s="141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0"/>
      <c r="J32" s="285">
        <f>+J33+J34</f>
        <v>0</v>
      </c>
      <c r="K32" s="3338"/>
      <c r="L32" s="285">
        <f>+L33+L34</f>
        <v>0</v>
      </c>
      <c r="M32" s="155">
        <v>0</v>
      </c>
    </row>
    <row r="33" spans="1:14" s="141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236</v>
      </c>
      <c r="F33" s="285">
        <f>+F34+F35</f>
        <v>0</v>
      </c>
      <c r="G33" s="1382"/>
      <c r="H33" s="285">
        <f>+H34+H35</f>
        <v>0</v>
      </c>
      <c r="I33" s="1382"/>
      <c r="J33" s="306"/>
      <c r="K33" s="3340"/>
      <c r="L33" s="306"/>
      <c r="M33" s="285">
        <f>+M34+M35</f>
        <v>0</v>
      </c>
    </row>
    <row r="34" spans="1:14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236</v>
      </c>
      <c r="F34" s="306"/>
      <c r="G34" s="1383"/>
      <c r="H34" s="306"/>
      <c r="I34" s="1383"/>
      <c r="J34" s="294">
        <v>0</v>
      </c>
      <c r="K34" s="3341"/>
      <c r="L34" s="294">
        <v>0</v>
      </c>
      <c r="M34" s="306"/>
    </row>
    <row r="35" spans="1:14" s="141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155">
        <v>0</v>
      </c>
      <c r="K35" s="3342"/>
      <c r="L35" s="155">
        <v>0</v>
      </c>
      <c r="M35" s="294">
        <v>0</v>
      </c>
    </row>
    <row r="36" spans="1:14" s="141" customFormat="1" ht="30" customHeight="1" thickBot="1" x14ac:dyDescent="0.25">
      <c r="A36" s="134" t="s">
        <v>67</v>
      </c>
      <c r="B36" s="254"/>
      <c r="C36" s="170" t="s">
        <v>429</v>
      </c>
      <c r="D36" s="320"/>
      <c r="E36" s="320"/>
      <c r="F36" s="155">
        <v>0</v>
      </c>
      <c r="G36" s="1381"/>
      <c r="H36" s="155">
        <v>0</v>
      </c>
      <c r="I36" s="1380"/>
      <c r="J36" s="1320">
        <v>0</v>
      </c>
      <c r="K36" s="3398"/>
      <c r="L36" s="1320">
        <v>0</v>
      </c>
      <c r="M36" s="155">
        <v>0</v>
      </c>
    </row>
    <row r="37" spans="1:14" s="141" customFormat="1" ht="30.75" customHeight="1" thickBot="1" x14ac:dyDescent="0.25">
      <c r="A37" s="146"/>
      <c r="B37" s="255" t="s">
        <v>47</v>
      </c>
      <c r="C37" s="251" t="s">
        <v>430</v>
      </c>
      <c r="D37" s="320"/>
      <c r="E37" s="320"/>
      <c r="F37" s="144">
        <v>0</v>
      </c>
      <c r="G37" s="1415"/>
      <c r="H37" s="144">
        <v>0</v>
      </c>
      <c r="I37" s="1376"/>
      <c r="J37" s="1485">
        <v>0</v>
      </c>
      <c r="K37" s="3334"/>
      <c r="L37" s="1485">
        <v>0</v>
      </c>
      <c r="M37" s="144">
        <v>0</v>
      </c>
    </row>
    <row r="38" spans="1:14" s="141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v>0</v>
      </c>
      <c r="G38" s="1381"/>
      <c r="H38" s="155">
        <v>0</v>
      </c>
      <c r="I38" s="1380"/>
      <c r="J38" s="1319">
        <v>0</v>
      </c>
      <c r="K38" s="3398"/>
      <c r="L38" s="1319">
        <v>0</v>
      </c>
      <c r="M38" s="155">
        <v>0</v>
      </c>
    </row>
    <row r="39" spans="1:14" s="141" customFormat="1" ht="29.25" customHeight="1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2682"/>
      <c r="H39" s="320">
        <v>0</v>
      </c>
      <c r="I39" s="1474"/>
      <c r="J39" s="320">
        <f>SUM(J40:J42)</f>
        <v>0</v>
      </c>
      <c r="K39" s="3400"/>
      <c r="L39" s="320">
        <f>SUM(L40:L42)</f>
        <v>0</v>
      </c>
      <c r="M39" s="320">
        <v>0</v>
      </c>
    </row>
    <row r="40" spans="1:14" s="141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1319">
        <f>SUM(F41:F43)</f>
        <v>0</v>
      </c>
      <c r="G40" s="2683"/>
      <c r="H40" s="1319">
        <f>SUM(H41:H43)</f>
        <v>0</v>
      </c>
      <c r="I40" s="1489"/>
      <c r="J40" s="674">
        <v>0</v>
      </c>
      <c r="K40" s="3398"/>
      <c r="L40" s="445">
        <v>0</v>
      </c>
      <c r="M40" s="1319">
        <f>SUM(M41:M43)</f>
        <v>0</v>
      </c>
    </row>
    <row r="41" spans="1:14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>
        <v>0</v>
      </c>
      <c r="G41" s="1415"/>
      <c r="H41" s="144">
        <v>0</v>
      </c>
      <c r="I41" s="1376"/>
      <c r="J41" s="175">
        <v>0</v>
      </c>
      <c r="K41" s="3345"/>
      <c r="L41" s="175">
        <v>0</v>
      </c>
      <c r="M41" s="144">
        <v>0</v>
      </c>
    </row>
    <row r="42" spans="1:14" s="141" customFormat="1" ht="15" customHeight="1" thickBot="1" x14ac:dyDescent="0.25">
      <c r="A42" s="146"/>
      <c r="B42" s="2736" t="s">
        <v>83</v>
      </c>
      <c r="C42" s="1155" t="s">
        <v>435</v>
      </c>
      <c r="D42" s="1296"/>
      <c r="E42" s="1296"/>
      <c r="F42" s="1313">
        <v>0</v>
      </c>
      <c r="G42" s="1415"/>
      <c r="H42" s="144">
        <v>0</v>
      </c>
      <c r="I42" s="1376"/>
      <c r="J42" s="483">
        <v>0</v>
      </c>
      <c r="K42" s="3334"/>
      <c r="L42" s="144">
        <v>0</v>
      </c>
      <c r="M42" s="144">
        <v>0</v>
      </c>
    </row>
    <row r="43" spans="1:14" s="145" customFormat="1" ht="15" customHeight="1" thickBot="1" x14ac:dyDescent="0.25">
      <c r="A43" s="178"/>
      <c r="B43" s="2736" t="s">
        <v>85</v>
      </c>
      <c r="C43" s="1155" t="s">
        <v>1432</v>
      </c>
      <c r="D43" s="445">
        <v>75958</v>
      </c>
      <c r="E43" s="445">
        <v>101096</v>
      </c>
      <c r="F43" s="1313">
        <v>0</v>
      </c>
      <c r="G43" s="1415"/>
      <c r="H43" s="144">
        <v>0</v>
      </c>
      <c r="I43" s="1376"/>
      <c r="J43" s="321"/>
      <c r="K43" s="3345"/>
      <c r="L43" s="321"/>
      <c r="M43" s="144">
        <v>0</v>
      </c>
      <c r="N43" s="205">
        <f>SUM(F63-F45)</f>
        <v>0</v>
      </c>
    </row>
    <row r="44" spans="1:14" s="145" customFormat="1" ht="12.75" hidden="1" customHeight="1" x14ac:dyDescent="0.25">
      <c r="A44" s="258"/>
      <c r="B44" s="256"/>
      <c r="C44" s="170" t="s">
        <v>458</v>
      </c>
      <c r="D44" s="155"/>
      <c r="E44" s="155"/>
      <c r="F44" s="155"/>
      <c r="G44" s="1381"/>
      <c r="H44" s="155"/>
      <c r="I44" s="1380"/>
      <c r="J44" s="162">
        <f>SUM(J7,J18,J27,J31,J32,J39)</f>
        <v>0</v>
      </c>
      <c r="K44" s="3338"/>
      <c r="L44" s="162">
        <f>SUM(L7,L18,L27,L31,L32,L39)</f>
        <v>0</v>
      </c>
      <c r="M44" s="155"/>
    </row>
    <row r="45" spans="1:14" s="145" customFormat="1" ht="15" customHeight="1" thickBot="1" x14ac:dyDescent="0.25">
      <c r="A45" s="192" t="s">
        <v>99</v>
      </c>
      <c r="B45" s="160"/>
      <c r="C45" s="274" t="s">
        <v>441</v>
      </c>
      <c r="D45" s="162">
        <f>SUM(D8,D19,D28,D32,D33,D43)</f>
        <v>97604</v>
      </c>
      <c r="E45" s="162">
        <f>SUM(E8,E19,E28,E32,E33,E43)</f>
        <v>126223</v>
      </c>
      <c r="F45" s="162">
        <f>SUM(F8,F19,F28,F32,F33,F40)</f>
        <v>0</v>
      </c>
      <c r="G45" s="1437"/>
      <c r="H45" s="162">
        <f>SUM(H8,H19,H28,H32,H33,H40)</f>
        <v>0</v>
      </c>
      <c r="I45" s="1373"/>
      <c r="J45" s="162">
        <f>SUM(J8,J19,J28,J32,J33,J40)</f>
        <v>0</v>
      </c>
      <c r="K45" s="3402"/>
      <c r="L45" s="162">
        <f>SUM(L8,L19,L28,L32,L33,L40)</f>
        <v>0</v>
      </c>
      <c r="M45" s="545">
        <f>SUM(M8,M19,M28,M32,M33,M40)</f>
        <v>0</v>
      </c>
    </row>
    <row r="46" spans="1:14" s="145" customFormat="1" ht="15" customHeight="1" thickBot="1" x14ac:dyDescent="0.25">
      <c r="A46" s="2098"/>
      <c r="B46" s="266"/>
      <c r="C46" s="275"/>
      <c r="D46" s="286"/>
      <c r="E46" s="286"/>
      <c r="F46" s="2163"/>
      <c r="G46" s="1443"/>
      <c r="H46" s="1443"/>
      <c r="I46" s="1443"/>
      <c r="J46" s="1451"/>
      <c r="K46" s="1443"/>
      <c r="L46" s="1481"/>
      <c r="M46" s="285"/>
    </row>
    <row r="47" spans="1:14" s="305" customFormat="1" ht="15" customHeight="1" thickBot="1" x14ac:dyDescent="0.25">
      <c r="A47" s="192"/>
      <c r="B47" s="160"/>
      <c r="C47" s="282" t="s">
        <v>231</v>
      </c>
      <c r="D47" s="162"/>
      <c r="E47" s="162"/>
      <c r="F47" s="162"/>
      <c r="G47" s="1437"/>
      <c r="H47" s="162"/>
      <c r="I47" s="1373"/>
      <c r="J47" s="162"/>
      <c r="K47" s="3343"/>
      <c r="L47" s="137"/>
      <c r="M47" s="162"/>
    </row>
    <row r="48" spans="1:14" s="141" customFormat="1" ht="15" customHeight="1" thickBot="1" x14ac:dyDescent="0.25">
      <c r="A48" s="134" t="s">
        <v>3</v>
      </c>
      <c r="B48" s="170"/>
      <c r="C48" s="170" t="s">
        <v>442</v>
      </c>
      <c r="D48" s="137">
        <f>SUM(D49:D53)</f>
        <v>97604</v>
      </c>
      <c r="E48" s="137">
        <f>SUM(E49:E54)</f>
        <v>124247</v>
      </c>
      <c r="F48" s="137">
        <f>SUM(F49:F54)</f>
        <v>0</v>
      </c>
      <c r="G48" s="1382"/>
      <c r="H48" s="137">
        <f>SUM(H49:H54)</f>
        <v>0</v>
      </c>
      <c r="I48" s="1374"/>
      <c r="J48" s="674">
        <v>0</v>
      </c>
      <c r="K48" s="3401"/>
      <c r="L48" s="445">
        <v>0</v>
      </c>
      <c r="M48" s="137">
        <f>SUM(M49:M54)</f>
        <v>0</v>
      </c>
    </row>
    <row r="49" spans="1:13" s="145" customFormat="1" ht="15" customHeight="1" x14ac:dyDescent="0.2">
      <c r="A49" s="173"/>
      <c r="B49" s="267" t="s">
        <v>152</v>
      </c>
      <c r="C49" s="251" t="s">
        <v>153</v>
      </c>
      <c r="D49" s="175">
        <v>28809</v>
      </c>
      <c r="E49" s="175">
        <v>29630</v>
      </c>
      <c r="F49" s="175">
        <v>0</v>
      </c>
      <c r="G49" s="1432"/>
      <c r="H49" s="175">
        <v>0</v>
      </c>
      <c r="I49" s="1386"/>
      <c r="J49" s="175">
        <v>0</v>
      </c>
      <c r="K49" s="3345"/>
      <c r="L49" s="175">
        <v>0</v>
      </c>
      <c r="M49" s="175">
        <v>0</v>
      </c>
    </row>
    <row r="50" spans="1:13" s="145" customFormat="1" ht="15" customHeight="1" x14ac:dyDescent="0.2">
      <c r="A50" s="142"/>
      <c r="B50" s="253" t="s">
        <v>154</v>
      </c>
      <c r="C50" s="55" t="s">
        <v>155</v>
      </c>
      <c r="D50" s="144">
        <v>7733</v>
      </c>
      <c r="E50" s="144">
        <v>8019</v>
      </c>
      <c r="F50" s="144">
        <v>0</v>
      </c>
      <c r="G50" s="1415"/>
      <c r="H50" s="144">
        <v>0</v>
      </c>
      <c r="I50" s="1376"/>
      <c r="J50" s="610">
        <v>0</v>
      </c>
      <c r="K50" s="3334"/>
      <c r="L50" s="610">
        <v>0</v>
      </c>
      <c r="M50" s="610">
        <v>0</v>
      </c>
    </row>
    <row r="51" spans="1:13" s="145" customFormat="1" ht="15" customHeight="1" x14ac:dyDescent="0.2">
      <c r="A51" s="142"/>
      <c r="B51" s="253" t="s">
        <v>156</v>
      </c>
      <c r="C51" s="55" t="s">
        <v>157</v>
      </c>
      <c r="D51" s="322">
        <v>61062</v>
      </c>
      <c r="E51" s="322">
        <v>85562</v>
      </c>
      <c r="F51" s="610">
        <v>0</v>
      </c>
      <c r="G51" s="2684"/>
      <c r="H51" s="610">
        <v>0</v>
      </c>
      <c r="I51" s="1471"/>
      <c r="J51" s="610">
        <v>0</v>
      </c>
      <c r="K51" s="3334"/>
      <c r="L51" s="610">
        <v>0</v>
      </c>
      <c r="M51" s="610">
        <v>0</v>
      </c>
    </row>
    <row r="52" spans="1:13" s="145" customFormat="1" ht="15" customHeight="1" x14ac:dyDescent="0.2">
      <c r="A52" s="142"/>
      <c r="B52" s="253" t="s">
        <v>158</v>
      </c>
      <c r="C52" s="55" t="s">
        <v>159</v>
      </c>
      <c r="D52" s="144"/>
      <c r="E52" s="144"/>
      <c r="F52" s="610">
        <v>0</v>
      </c>
      <c r="G52" s="2684"/>
      <c r="H52" s="610">
        <v>0</v>
      </c>
      <c r="I52" s="1376"/>
      <c r="J52" s="610">
        <v>0</v>
      </c>
      <c r="K52" s="3334"/>
      <c r="L52" s="610">
        <v>0</v>
      </c>
      <c r="M52" s="610">
        <v>0</v>
      </c>
    </row>
    <row r="53" spans="1:13" s="145" customFormat="1" ht="15" customHeight="1" thickBot="1" x14ac:dyDescent="0.25">
      <c r="A53" s="142"/>
      <c r="B53" s="253" t="s">
        <v>375</v>
      </c>
      <c r="C53" s="55" t="s">
        <v>161</v>
      </c>
      <c r="D53" s="144">
        <v>0</v>
      </c>
      <c r="E53" s="144">
        <v>0</v>
      </c>
      <c r="F53" s="144">
        <v>0</v>
      </c>
      <c r="G53" s="1415"/>
      <c r="H53" s="144">
        <v>0</v>
      </c>
      <c r="I53" s="1376"/>
      <c r="J53" s="144">
        <v>0</v>
      </c>
      <c r="K53" s="3334"/>
      <c r="L53" s="144">
        <v>0</v>
      </c>
      <c r="M53" s="144">
        <v>0</v>
      </c>
    </row>
    <row r="54" spans="1:13" s="145" customFormat="1" ht="12.75" hidden="1" customHeight="1" x14ac:dyDescent="0.2">
      <c r="A54" s="142"/>
      <c r="B54" s="176" t="s">
        <v>483</v>
      </c>
      <c r="C54" s="55" t="s">
        <v>404</v>
      </c>
      <c r="D54" s="144">
        <v>0</v>
      </c>
      <c r="E54" s="144">
        <v>1036</v>
      </c>
      <c r="F54" s="144">
        <v>0</v>
      </c>
      <c r="G54" s="1415"/>
      <c r="H54" s="144">
        <v>0</v>
      </c>
      <c r="I54" s="1376"/>
      <c r="J54" s="137">
        <f>SUM(J55:J59)</f>
        <v>0</v>
      </c>
      <c r="K54" s="3334"/>
      <c r="L54" s="137">
        <f>SUM(L55:L59)</f>
        <v>0</v>
      </c>
      <c r="M54" s="144">
        <v>0</v>
      </c>
    </row>
    <row r="55" spans="1:13" s="145" customFormat="1" ht="15" customHeight="1" thickBot="1" x14ac:dyDescent="0.25">
      <c r="A55" s="134" t="s">
        <v>17</v>
      </c>
      <c r="B55" s="170"/>
      <c r="C55" s="170" t="s">
        <v>443</v>
      </c>
      <c r="D55" s="137">
        <f>SUM(D56:D60)</f>
        <v>0</v>
      </c>
      <c r="E55" s="137">
        <f>SUM(E56:E60)</f>
        <v>1976</v>
      </c>
      <c r="F55" s="137">
        <f>SUM(F56:F60)</f>
        <v>0</v>
      </c>
      <c r="G55" s="1382"/>
      <c r="H55" s="137">
        <f>SUM(H56:H60)</f>
        <v>0</v>
      </c>
      <c r="I55" s="1374"/>
      <c r="J55" s="674">
        <v>0</v>
      </c>
      <c r="K55" s="3401"/>
      <c r="L55" s="445">
        <v>0</v>
      </c>
      <c r="M55" s="137">
        <f>SUM(M56:M60)</f>
        <v>0</v>
      </c>
    </row>
    <row r="56" spans="1:13" s="141" customFormat="1" ht="15" customHeight="1" x14ac:dyDescent="0.2">
      <c r="A56" s="173"/>
      <c r="B56" s="267" t="s">
        <v>5</v>
      </c>
      <c r="C56" s="251" t="s">
        <v>183</v>
      </c>
      <c r="D56" s="175">
        <v>0</v>
      </c>
      <c r="E56" s="175">
        <v>1976</v>
      </c>
      <c r="F56" s="175">
        <v>0</v>
      </c>
      <c r="G56" s="1432"/>
      <c r="H56" s="175">
        <v>0</v>
      </c>
      <c r="I56" s="1386"/>
      <c r="J56" s="175">
        <v>0</v>
      </c>
      <c r="K56" s="3345"/>
      <c r="L56" s="175">
        <v>0</v>
      </c>
      <c r="M56" s="175">
        <v>0</v>
      </c>
    </row>
    <row r="57" spans="1:13" s="145" customFormat="1" ht="15" customHeight="1" x14ac:dyDescent="0.2">
      <c r="A57" s="142"/>
      <c r="B57" s="253" t="s">
        <v>7</v>
      </c>
      <c r="C57" s="55" t="s">
        <v>185</v>
      </c>
      <c r="D57" s="144">
        <v>0</v>
      </c>
      <c r="E57" s="144">
        <v>0</v>
      </c>
      <c r="F57" s="144">
        <v>0</v>
      </c>
      <c r="G57" s="1415"/>
      <c r="H57" s="144">
        <v>0</v>
      </c>
      <c r="I57" s="1376"/>
      <c r="J57" s="144">
        <v>0</v>
      </c>
      <c r="K57" s="3334"/>
      <c r="L57" s="144">
        <v>0</v>
      </c>
      <c r="M57" s="144">
        <v>0</v>
      </c>
    </row>
    <row r="58" spans="1:13" s="145" customFormat="1" ht="15" customHeight="1" thickBot="1" x14ac:dyDescent="0.25">
      <c r="A58" s="142"/>
      <c r="B58" s="253" t="s">
        <v>9</v>
      </c>
      <c r="C58" s="55" t="s">
        <v>444</v>
      </c>
      <c r="D58" s="144"/>
      <c r="E58" s="144"/>
      <c r="F58" s="144">
        <v>0</v>
      </c>
      <c r="G58" s="1415"/>
      <c r="H58" s="144">
        <v>0</v>
      </c>
      <c r="I58" s="1376"/>
      <c r="J58" s="144">
        <v>0</v>
      </c>
      <c r="K58" s="3334"/>
      <c r="L58" s="144">
        <v>0</v>
      </c>
      <c r="M58" s="144">
        <v>0</v>
      </c>
    </row>
    <row r="59" spans="1:13" s="145" customFormat="1" ht="12.75" hidden="1" customHeight="1" x14ac:dyDescent="0.2">
      <c r="A59" s="142"/>
      <c r="B59" s="176" t="s">
        <v>13</v>
      </c>
      <c r="C59" s="55" t="s">
        <v>484</v>
      </c>
      <c r="D59" s="144">
        <v>0</v>
      </c>
      <c r="E59" s="144">
        <v>0</v>
      </c>
      <c r="F59" s="144">
        <v>0</v>
      </c>
      <c r="G59" s="1415"/>
      <c r="H59" s="144">
        <v>0</v>
      </c>
      <c r="I59" s="1376"/>
      <c r="J59" s="144">
        <v>0</v>
      </c>
      <c r="K59" s="3334"/>
      <c r="L59" s="144">
        <v>0</v>
      </c>
      <c r="M59" s="144">
        <v>0</v>
      </c>
    </row>
    <row r="60" spans="1:13" s="145" customFormat="1" ht="12.75" hidden="1" customHeight="1" x14ac:dyDescent="0.2">
      <c r="A60" s="142"/>
      <c r="B60" s="176" t="s">
        <v>189</v>
      </c>
      <c r="C60" s="55" t="s">
        <v>448</v>
      </c>
      <c r="D60" s="144">
        <v>0</v>
      </c>
      <c r="E60" s="144">
        <v>0</v>
      </c>
      <c r="F60" s="144">
        <v>0</v>
      </c>
      <c r="G60" s="1415"/>
      <c r="H60" s="144">
        <v>0</v>
      </c>
      <c r="I60" s="1376"/>
      <c r="J60" s="155">
        <v>0</v>
      </c>
      <c r="K60" s="3334"/>
      <c r="L60" s="155">
        <v>0</v>
      </c>
      <c r="M60" s="144">
        <v>0</v>
      </c>
    </row>
    <row r="61" spans="1:13" s="145" customFormat="1" ht="12.75" hidden="1" customHeight="1" x14ac:dyDescent="0.2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381"/>
      <c r="H61" s="155">
        <v>0</v>
      </c>
      <c r="I61" s="1380"/>
      <c r="J61" s="155"/>
      <c r="K61" s="3338"/>
      <c r="L61" s="155"/>
      <c r="M61" s="155">
        <v>0</v>
      </c>
    </row>
    <row r="62" spans="1:13" s="145" customFormat="1" ht="12.75" hidden="1" customHeight="1" x14ac:dyDescent="0.2">
      <c r="A62" s="134"/>
      <c r="B62" s="170"/>
      <c r="C62" s="171" t="s">
        <v>459</v>
      </c>
      <c r="D62" s="155"/>
      <c r="E62" s="155"/>
      <c r="F62" s="155"/>
      <c r="G62" s="1381"/>
      <c r="H62" s="155"/>
      <c r="I62" s="1380"/>
      <c r="J62" s="162">
        <f>+J47+J54+J60+J61</f>
        <v>0</v>
      </c>
      <c r="K62" s="3338"/>
      <c r="L62" s="162">
        <f>+L47+L54+L60+L61</f>
        <v>0</v>
      </c>
      <c r="M62" s="155"/>
    </row>
    <row r="63" spans="1:13" s="145" customFormat="1" ht="15" customHeight="1" thickBot="1" x14ac:dyDescent="0.25">
      <c r="A63" s="192" t="s">
        <v>31</v>
      </c>
      <c r="B63" s="160"/>
      <c r="C63" s="274" t="s">
        <v>465</v>
      </c>
      <c r="D63" s="162">
        <f>+D48+D55+D61</f>
        <v>97604</v>
      </c>
      <c r="E63" s="162">
        <f>+E48+E55+E61</f>
        <v>126223</v>
      </c>
      <c r="F63" s="162">
        <f>+F48+F55+F61+F62</f>
        <v>0</v>
      </c>
      <c r="G63" s="1437"/>
      <c r="H63" s="162">
        <f>+H48+H55+H61+H62</f>
        <v>0</v>
      </c>
      <c r="I63" s="1373"/>
      <c r="J63" s="162">
        <f>+J48+J55+J61+J62</f>
        <v>0</v>
      </c>
      <c r="K63" s="3403"/>
      <c r="L63" s="162">
        <f>+L48+L55+L61+L62</f>
        <v>0</v>
      </c>
      <c r="M63" s="162">
        <f>+M48+M55+M61+M62</f>
        <v>0</v>
      </c>
    </row>
    <row r="64" spans="1:13" s="145" customFormat="1" ht="15" customHeight="1" thickBot="1" x14ac:dyDescent="0.25">
      <c r="A64" s="1303"/>
      <c r="B64" s="886"/>
      <c r="C64" s="886"/>
      <c r="D64" s="886"/>
      <c r="E64" s="886"/>
      <c r="F64" s="1304"/>
      <c r="G64" s="1550"/>
      <c r="H64" s="1550"/>
      <c r="I64" s="1550"/>
      <c r="J64" s="1550"/>
      <c r="K64" s="1550"/>
      <c r="L64" s="886"/>
      <c r="M64" s="1304"/>
    </row>
    <row r="65" spans="1:13" s="145" customFormat="1" ht="15" customHeight="1" thickBot="1" x14ac:dyDescent="0.25">
      <c r="A65" s="276" t="s">
        <v>324</v>
      </c>
      <c r="B65" s="277"/>
      <c r="C65" s="278"/>
      <c r="D65" s="200">
        <v>14</v>
      </c>
      <c r="E65" s="200">
        <v>14</v>
      </c>
      <c r="F65" s="200"/>
      <c r="G65" s="1559"/>
      <c r="H65" s="200"/>
      <c r="I65" s="1388"/>
      <c r="J65" s="200"/>
      <c r="K65" s="3346"/>
      <c r="L65" s="200"/>
      <c r="M65" s="200"/>
    </row>
    <row r="66" spans="1:13" s="145" customFormat="1" ht="15" customHeight="1" thickBot="1" x14ac:dyDescent="0.25">
      <c r="A66" s="276" t="s">
        <v>325</v>
      </c>
      <c r="B66" s="277"/>
      <c r="C66" s="278"/>
      <c r="D66" s="279"/>
      <c r="E66" s="279"/>
      <c r="F66" s="279"/>
      <c r="G66" s="1560"/>
      <c r="H66" s="279"/>
      <c r="I66" s="1389"/>
      <c r="J66" s="279"/>
      <c r="K66" s="3347"/>
      <c r="L66" s="279"/>
      <c r="M66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31496062992125984" right="0.27559055118110237" top="0.51181102362204722" bottom="0.35433070866141736" header="0.51181102362204722" footer="0.15748031496062992"/>
  <pageSetup paperSize="9" scale="76" firstPageNumber="76" orientation="portrait" useFirstPageNumber="1" r:id="rId1"/>
  <headerFooter>
    <oddFooter>&amp;C- &amp;P -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N66"/>
  <sheetViews>
    <sheetView view="pageBreakPreview" topLeftCell="A42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6640625" style="115" customWidth="1"/>
    <col min="4" max="5" width="9.33203125" style="115" hidden="1" customWidth="1"/>
    <col min="6" max="6" width="10.5" style="115" customWidth="1"/>
    <col min="7" max="7" width="14.6640625" style="1390" hidden="1" customWidth="1"/>
    <col min="8" max="8" width="13.5" style="115" hidden="1" customWidth="1"/>
    <col min="9" max="9" width="11.6640625" style="1390" hidden="1" customWidth="1"/>
    <col min="10" max="10" width="11.83203125" style="115" customWidth="1"/>
    <col min="11" max="11" width="14" style="1390" customWidth="1"/>
    <col min="12" max="12" width="14" style="115" customWidth="1"/>
    <col min="13" max="13" width="14.16406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861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836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304" t="s">
        <v>480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50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</row>
    <row r="5" spans="1:13" s="145" customFormat="1" ht="33.7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1444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334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3332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/>
      <c r="E9" s="150"/>
      <c r="F9" s="150">
        <v>0</v>
      </c>
      <c r="G9" s="1533"/>
      <c r="H9" s="150">
        <v>0</v>
      </c>
      <c r="I9" s="1375"/>
      <c r="J9" s="144">
        <v>0</v>
      </c>
      <c r="K9" s="3333"/>
      <c r="L9" s="144">
        <v>0</v>
      </c>
      <c r="M9" s="150"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/>
      <c r="E10" s="144"/>
      <c r="F10" s="144">
        <v>0</v>
      </c>
      <c r="G10" s="1415"/>
      <c r="H10" s="144">
        <v>0</v>
      </c>
      <c r="I10" s="1376"/>
      <c r="J10" s="144">
        <v>0</v>
      </c>
      <c r="K10" s="3334"/>
      <c r="L10" s="144">
        <v>0</v>
      </c>
      <c r="M10" s="144">
        <v>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/>
      <c r="E11" s="144"/>
      <c r="F11" s="144">
        <v>0</v>
      </c>
      <c r="G11" s="1415"/>
      <c r="H11" s="144">
        <v>0</v>
      </c>
      <c r="I11" s="1376"/>
      <c r="J11" s="144">
        <v>0</v>
      </c>
      <c r="K11" s="3334"/>
      <c r="L11" s="144">
        <v>0</v>
      </c>
      <c r="M11" s="144">
        <v>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>
        <v>0</v>
      </c>
      <c r="G12" s="1415"/>
      <c r="H12" s="144">
        <v>0</v>
      </c>
      <c r="I12" s="1376"/>
      <c r="J12" s="144">
        <v>0</v>
      </c>
      <c r="K12" s="3334"/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>
        <v>0</v>
      </c>
      <c r="G13" s="1415"/>
      <c r="H13" s="144">
        <v>0</v>
      </c>
      <c r="I13" s="1376"/>
      <c r="J13" s="144">
        <v>0</v>
      </c>
      <c r="K13" s="3334"/>
      <c r="L13" s="144">
        <v>0</v>
      </c>
      <c r="M13" s="144">
        <v>0</v>
      </c>
    </row>
    <row r="14" spans="1:13" s="141" customFormat="1" ht="15" customHeight="1" x14ac:dyDescent="0.2">
      <c r="A14" s="142"/>
      <c r="B14" s="143" t="s">
        <v>162</v>
      </c>
      <c r="C14" s="55" t="s">
        <v>340</v>
      </c>
      <c r="D14" s="147"/>
      <c r="E14" s="147"/>
      <c r="F14" s="144">
        <v>0</v>
      </c>
      <c r="G14" s="1415"/>
      <c r="H14" s="144">
        <v>0</v>
      </c>
      <c r="I14" s="1376"/>
      <c r="J14" s="147">
        <v>0</v>
      </c>
      <c r="K14" s="3334"/>
      <c r="L14" s="147">
        <v>0</v>
      </c>
      <c r="M14" s="144">
        <v>0</v>
      </c>
    </row>
    <row r="15" spans="1:13" s="141" customFormat="1" ht="15" customHeight="1" x14ac:dyDescent="0.2">
      <c r="A15" s="146"/>
      <c r="B15" s="143" t="s">
        <v>164</v>
      </c>
      <c r="C15" s="55" t="s">
        <v>60</v>
      </c>
      <c r="D15" s="147"/>
      <c r="E15" s="147"/>
      <c r="F15" s="147">
        <v>0</v>
      </c>
      <c r="G15" s="1519"/>
      <c r="H15" s="147">
        <v>0</v>
      </c>
      <c r="I15" s="1377"/>
      <c r="J15" s="144">
        <v>0</v>
      </c>
      <c r="K15" s="3335"/>
      <c r="L15" s="144">
        <v>0</v>
      </c>
      <c r="M15" s="147">
        <v>0</v>
      </c>
    </row>
    <row r="16" spans="1:13" s="145" customFormat="1" ht="15" customHeight="1" x14ac:dyDescent="0.2">
      <c r="A16" s="142"/>
      <c r="B16" s="152" t="s">
        <v>166</v>
      </c>
      <c r="C16" s="55" t="s">
        <v>417</v>
      </c>
      <c r="D16" s="144"/>
      <c r="E16" s="144"/>
      <c r="F16" s="144">
        <v>0</v>
      </c>
      <c r="G16" s="1415"/>
      <c r="H16" s="144">
        <v>0</v>
      </c>
      <c r="I16" s="1376"/>
      <c r="J16" s="153">
        <v>0</v>
      </c>
      <c r="K16" s="3334"/>
      <c r="L16" s="153">
        <v>0</v>
      </c>
      <c r="M16" s="144">
        <v>0</v>
      </c>
    </row>
    <row r="17" spans="1:14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>
        <v>0</v>
      </c>
      <c r="G17" s="1518"/>
      <c r="H17" s="153">
        <v>0</v>
      </c>
      <c r="I17" s="1378"/>
      <c r="J17" s="153">
        <v>0</v>
      </c>
      <c r="K17" s="3336"/>
      <c r="L17" s="153">
        <v>0</v>
      </c>
      <c r="M17" s="153">
        <v>0</v>
      </c>
    </row>
    <row r="18" spans="1:14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>
        <v>0</v>
      </c>
      <c r="I18" s="1378"/>
      <c r="J18" s="1479">
        <f>SUM(J19:J25)</f>
        <v>0</v>
      </c>
      <c r="K18" s="3342"/>
      <c r="L18" s="1480">
        <f>SUM(L19:L25)</f>
        <v>0</v>
      </c>
      <c r="M18" s="153">
        <v>0</v>
      </c>
    </row>
    <row r="19" spans="1:14" s="141" customFormat="1" ht="29.25" customHeight="1" thickBot="1" x14ac:dyDescent="0.25">
      <c r="A19" s="134" t="s">
        <v>17</v>
      </c>
      <c r="B19" s="148"/>
      <c r="C19" s="247" t="s">
        <v>419</v>
      </c>
      <c r="D19" s="137">
        <f>SUM(D20:D26)</f>
        <v>0</v>
      </c>
      <c r="E19" s="137">
        <f>SUM(E20:E26)</f>
        <v>0</v>
      </c>
      <c r="F19" s="137">
        <f>SUM(F20:F26)</f>
        <v>0</v>
      </c>
      <c r="G19" s="1382"/>
      <c r="H19" s="137">
        <f>SUM(H20:H26)</f>
        <v>0</v>
      </c>
      <c r="I19" s="1374"/>
      <c r="J19" s="137">
        <f>SUM(J20:J26)</f>
        <v>0</v>
      </c>
      <c r="K19" s="3332"/>
      <c r="L19" s="137">
        <f>SUM(L20:L26)</f>
        <v>0</v>
      </c>
      <c r="M19" s="137">
        <f>SUM(M20:M26)</f>
        <v>0</v>
      </c>
    </row>
    <row r="20" spans="1:14" s="145" customFormat="1" ht="29.25" customHeight="1" x14ac:dyDescent="0.2">
      <c r="A20" s="142"/>
      <c r="B20" s="143" t="s">
        <v>5</v>
      </c>
      <c r="C20" s="251" t="s">
        <v>420</v>
      </c>
      <c r="D20" s="144"/>
      <c r="E20" s="144"/>
      <c r="F20" s="144">
        <v>0</v>
      </c>
      <c r="G20" s="1415"/>
      <c r="H20" s="144">
        <v>0</v>
      </c>
      <c r="I20" s="1376"/>
      <c r="J20" s="144">
        <v>0</v>
      </c>
      <c r="K20" s="3334"/>
      <c r="L20" s="144">
        <v>0</v>
      </c>
      <c r="M20" s="144">
        <v>0</v>
      </c>
    </row>
    <row r="21" spans="1:14" s="145" customFormat="1" ht="14.25" customHeight="1" x14ac:dyDescent="0.2">
      <c r="A21" s="142"/>
      <c r="B21" s="143" t="s">
        <v>421</v>
      </c>
      <c r="C21" s="55" t="s">
        <v>422</v>
      </c>
      <c r="D21" s="144">
        <v>0</v>
      </c>
      <c r="E21" s="144"/>
      <c r="F21" s="144">
        <v>0</v>
      </c>
      <c r="G21" s="1415"/>
      <c r="H21" s="144">
        <v>0</v>
      </c>
      <c r="I21" s="1376"/>
      <c r="J21" s="144">
        <v>0</v>
      </c>
      <c r="K21" s="3334"/>
      <c r="L21" s="144">
        <v>0</v>
      </c>
      <c r="M21" s="144">
        <v>0</v>
      </c>
    </row>
    <row r="22" spans="1:14" s="145" customFormat="1" ht="15" customHeight="1" x14ac:dyDescent="0.2">
      <c r="A22" s="142"/>
      <c r="B22" s="143" t="s">
        <v>360</v>
      </c>
      <c r="C22" s="55" t="s">
        <v>1430</v>
      </c>
      <c r="D22" s="144"/>
      <c r="E22" s="144"/>
      <c r="F22" s="144">
        <v>0</v>
      </c>
      <c r="G22" s="1415"/>
      <c r="H22" s="144">
        <v>0</v>
      </c>
      <c r="I22" s="1376"/>
      <c r="J22" s="144">
        <v>0</v>
      </c>
      <c r="K22" s="3334"/>
      <c r="L22" s="144">
        <v>0</v>
      </c>
      <c r="M22" s="144">
        <v>0</v>
      </c>
    </row>
    <row r="23" spans="1:14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/>
      <c r="F23" s="144">
        <v>0</v>
      </c>
      <c r="G23" s="1415"/>
      <c r="H23" s="144">
        <v>0</v>
      </c>
      <c r="I23" s="1376"/>
      <c r="J23" s="144">
        <v>0</v>
      </c>
      <c r="K23" s="3334"/>
      <c r="L23" s="144">
        <v>0</v>
      </c>
      <c r="M23" s="144">
        <v>0</v>
      </c>
    </row>
    <row r="24" spans="1:14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>
        <v>0</v>
      </c>
      <c r="G24" s="1415"/>
      <c r="H24" s="144">
        <v>0</v>
      </c>
      <c r="I24" s="1376"/>
      <c r="J24" s="153">
        <v>0</v>
      </c>
      <c r="K24" s="3336"/>
      <c r="L24" s="153">
        <v>0</v>
      </c>
      <c r="M24" s="144">
        <v>0</v>
      </c>
    </row>
    <row r="25" spans="1:14" s="141" customFormat="1" ht="15" customHeight="1" thickBot="1" x14ac:dyDescent="0.25">
      <c r="A25" s="142"/>
      <c r="B25" s="143" t="s">
        <v>9</v>
      </c>
      <c r="C25" s="55" t="s">
        <v>425</v>
      </c>
      <c r="D25" s="144"/>
      <c r="E25" s="144"/>
      <c r="F25" s="144">
        <v>0</v>
      </c>
      <c r="G25" s="1415"/>
      <c r="H25" s="144">
        <v>0</v>
      </c>
      <c r="I25" s="1376"/>
      <c r="J25" s="908">
        <v>0</v>
      </c>
      <c r="K25" s="3342"/>
      <c r="L25" s="1486">
        <v>0</v>
      </c>
      <c r="M25" s="144">
        <v>0</v>
      </c>
    </row>
    <row r="26" spans="1:14" s="141" customFormat="1" ht="15" customHeight="1" thickBot="1" x14ac:dyDescent="0.25">
      <c r="A26" s="134" t="s">
        <v>31</v>
      </c>
      <c r="B26" s="170"/>
      <c r="C26" s="247" t="s">
        <v>426</v>
      </c>
      <c r="D26" s="144">
        <v>0</v>
      </c>
      <c r="E26" s="144">
        <v>0</v>
      </c>
      <c r="F26" s="137">
        <v>0</v>
      </c>
      <c r="G26" s="1382"/>
      <c r="H26" s="137">
        <v>0</v>
      </c>
      <c r="I26" s="1374"/>
      <c r="J26" s="1487">
        <v>0</v>
      </c>
      <c r="K26" s="3332"/>
      <c r="L26" s="1487">
        <v>0</v>
      </c>
      <c r="M26" s="137">
        <v>0</v>
      </c>
    </row>
    <row r="27" spans="1:14" s="141" customFormat="1" ht="30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>
        <v>0</v>
      </c>
      <c r="G27" s="1519"/>
      <c r="H27" s="147">
        <v>0</v>
      </c>
      <c r="I27" s="1377"/>
      <c r="J27" s="155">
        <v>0</v>
      </c>
      <c r="K27" s="3335"/>
      <c r="L27" s="155">
        <v>0</v>
      </c>
      <c r="M27" s="147">
        <v>0</v>
      </c>
    </row>
    <row r="28" spans="1:14" s="141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1381"/>
      <c r="H28" s="155">
        <f>SUM(H29:H31)</f>
        <v>0</v>
      </c>
      <c r="I28" s="1380"/>
      <c r="J28" s="155">
        <f>SUM(J29:J31)</f>
        <v>0</v>
      </c>
      <c r="K28" s="3338"/>
      <c r="L28" s="155">
        <f>SUM(L29:L31)</f>
        <v>0</v>
      </c>
      <c r="M28" s="155">
        <v>0</v>
      </c>
    </row>
    <row r="29" spans="1:14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44">
        <v>0</v>
      </c>
      <c r="G29" s="1415"/>
      <c r="H29" s="144">
        <v>0</v>
      </c>
      <c r="I29" s="1376"/>
      <c r="J29" s="175">
        <v>0</v>
      </c>
      <c r="K29" s="3345"/>
      <c r="L29" s="175">
        <v>0</v>
      </c>
      <c r="M29" s="144">
        <v>0</v>
      </c>
      <c r="N29" s="205">
        <f>SUM(F47-F31)</f>
        <v>0</v>
      </c>
    </row>
    <row r="30" spans="1:14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44">
        <v>0</v>
      </c>
      <c r="G30" s="1415"/>
      <c r="H30" s="144">
        <v>0</v>
      </c>
      <c r="I30" s="1376"/>
      <c r="J30" s="153">
        <v>0</v>
      </c>
      <c r="K30" s="3336"/>
      <c r="L30" s="153">
        <v>0</v>
      </c>
      <c r="M30" s="144">
        <v>0</v>
      </c>
    </row>
    <row r="31" spans="1:14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44">
        <v>0</v>
      </c>
      <c r="G31" s="1415"/>
      <c r="H31" s="144">
        <v>0</v>
      </c>
      <c r="I31" s="1376"/>
      <c r="J31" s="804">
        <v>0</v>
      </c>
      <c r="K31" s="3342"/>
      <c r="L31" s="297">
        <v>0</v>
      </c>
      <c r="M31" s="144">
        <v>0</v>
      </c>
    </row>
    <row r="32" spans="1:14" s="145" customFormat="1" ht="12.75" hidden="1" customHeight="1" x14ac:dyDescent="0.2">
      <c r="A32" s="134" t="s">
        <v>45</v>
      </c>
      <c r="B32" s="148"/>
      <c r="C32" s="170" t="s">
        <v>473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0"/>
      <c r="J32" s="285">
        <f>+J33+J34</f>
        <v>0</v>
      </c>
      <c r="K32" s="3338"/>
      <c r="L32" s="285">
        <f>+L33+L34</f>
        <v>0</v>
      </c>
      <c r="M32" s="155">
        <v>0</v>
      </c>
    </row>
    <row r="33" spans="1:13" s="305" customFormat="1" ht="12.75" hidden="1" customHeight="1" x14ac:dyDescent="0.2">
      <c r="A33" s="134" t="s">
        <v>67</v>
      </c>
      <c r="B33" s="318"/>
      <c r="C33" s="170" t="s">
        <v>474</v>
      </c>
      <c r="D33" s="285">
        <f>+D34+D35</f>
        <v>0</v>
      </c>
      <c r="E33" s="285">
        <f>+E34+E35</f>
        <v>236</v>
      </c>
      <c r="F33" s="285">
        <f>+F34+F35</f>
        <v>0</v>
      </c>
      <c r="G33" s="1382"/>
      <c r="H33" s="285">
        <f>+H34+H35</f>
        <v>0</v>
      </c>
      <c r="I33" s="1382"/>
      <c r="J33" s="306"/>
      <c r="K33" s="3340"/>
      <c r="L33" s="306"/>
      <c r="M33" s="285">
        <f>+M34+M35</f>
        <v>0</v>
      </c>
    </row>
    <row r="34" spans="1:13" s="141" customFormat="1" ht="12.75" hidden="1" customHeight="1" x14ac:dyDescent="0.2">
      <c r="A34" s="149"/>
      <c r="B34" s="319" t="s">
        <v>47</v>
      </c>
      <c r="C34" s="249" t="s">
        <v>475</v>
      </c>
      <c r="D34" s="306">
        <v>0</v>
      </c>
      <c r="E34" s="306">
        <v>236</v>
      </c>
      <c r="F34" s="306"/>
      <c r="G34" s="1383"/>
      <c r="H34" s="306"/>
      <c r="I34" s="1383"/>
      <c r="J34" s="294">
        <v>0</v>
      </c>
      <c r="K34" s="3341"/>
      <c r="L34" s="294">
        <v>0</v>
      </c>
      <c r="M34" s="306"/>
    </row>
    <row r="35" spans="1:13" s="145" customFormat="1" ht="12.75" hidden="1" customHeight="1" x14ac:dyDescent="0.2">
      <c r="A35" s="178"/>
      <c r="B35" s="179" t="s">
        <v>49</v>
      </c>
      <c r="C35" s="308" t="s">
        <v>366</v>
      </c>
      <c r="D35" s="294">
        <v>0</v>
      </c>
      <c r="E35" s="294">
        <v>0</v>
      </c>
      <c r="F35" s="294">
        <v>0</v>
      </c>
      <c r="G35" s="2667"/>
      <c r="H35" s="294">
        <v>0</v>
      </c>
      <c r="I35" s="1384"/>
      <c r="J35" s="155">
        <v>0</v>
      </c>
      <c r="K35" s="3342"/>
      <c r="L35" s="155">
        <v>0</v>
      </c>
      <c r="M35" s="294">
        <v>0</v>
      </c>
    </row>
    <row r="36" spans="1:13" s="145" customFormat="1" ht="29.25" customHeight="1" thickBot="1" x14ac:dyDescent="0.25">
      <c r="A36" s="134" t="s">
        <v>67</v>
      </c>
      <c r="B36" s="254"/>
      <c r="C36" s="170" t="s">
        <v>429</v>
      </c>
      <c r="D36" s="320"/>
      <c r="E36" s="320"/>
      <c r="F36" s="155">
        <f>SUM(F37)</f>
        <v>0</v>
      </c>
      <c r="G36" s="1381"/>
      <c r="H36" s="155">
        <f>SUM(H37)</f>
        <v>0</v>
      </c>
      <c r="I36" s="1380"/>
      <c r="J36" s="155">
        <f>SUM(J37)</f>
        <v>0</v>
      </c>
      <c r="K36" s="3338"/>
      <c r="L36" s="155">
        <f>SUM(L37)</f>
        <v>0</v>
      </c>
      <c r="M36" s="155">
        <v>0</v>
      </c>
    </row>
    <row r="37" spans="1:13" s="145" customFormat="1" ht="29.25" customHeight="1" thickBot="1" x14ac:dyDescent="0.25">
      <c r="A37" s="146"/>
      <c r="B37" s="255" t="s">
        <v>47</v>
      </c>
      <c r="C37" s="251" t="s">
        <v>430</v>
      </c>
      <c r="D37" s="320"/>
      <c r="E37" s="320"/>
      <c r="F37" s="144">
        <v>0</v>
      </c>
      <c r="G37" s="1415"/>
      <c r="H37" s="144">
        <v>0</v>
      </c>
      <c r="I37" s="1376"/>
      <c r="J37" s="1485">
        <v>0</v>
      </c>
      <c r="K37" s="3334"/>
      <c r="L37" s="155">
        <v>0</v>
      </c>
      <c r="M37" s="144">
        <v>0</v>
      </c>
    </row>
    <row r="38" spans="1:13" s="145" customFormat="1" ht="15" customHeight="1" thickBot="1" x14ac:dyDescent="0.3">
      <c r="A38" s="258" t="s">
        <v>79</v>
      </c>
      <c r="B38" s="256"/>
      <c r="C38" s="247" t="s">
        <v>431</v>
      </c>
      <c r="D38" s="320"/>
      <c r="E38" s="320"/>
      <c r="F38" s="155">
        <f>SUM(F39)</f>
        <v>0</v>
      </c>
      <c r="G38" s="1381"/>
      <c r="H38" s="155">
        <f>SUM(H39)</f>
        <v>0</v>
      </c>
      <c r="I38" s="1380"/>
      <c r="J38" s="155">
        <f>SUM(J39)</f>
        <v>0</v>
      </c>
      <c r="K38" s="3338"/>
      <c r="L38" s="155">
        <f>SUM(L39)</f>
        <v>0</v>
      </c>
      <c r="M38" s="155">
        <v>0</v>
      </c>
    </row>
    <row r="39" spans="1:13" s="145" customFormat="1" ht="28.5" customHeight="1" thickBot="1" x14ac:dyDescent="0.25">
      <c r="A39" s="258"/>
      <c r="B39" s="257" t="s">
        <v>69</v>
      </c>
      <c r="C39" s="55" t="s">
        <v>432</v>
      </c>
      <c r="D39" s="320"/>
      <c r="E39" s="320"/>
      <c r="F39" s="320">
        <v>0</v>
      </c>
      <c r="G39" s="2682"/>
      <c r="H39" s="320">
        <v>0</v>
      </c>
      <c r="I39" s="1474"/>
      <c r="J39" s="320">
        <f>SUM(J40:J42)</f>
        <v>0</v>
      </c>
      <c r="K39" s="3400"/>
      <c r="L39" s="320">
        <f>SUM(L40:L42)</f>
        <v>0</v>
      </c>
      <c r="M39" s="320">
        <v>0</v>
      </c>
    </row>
    <row r="40" spans="1:13" s="145" customFormat="1" ht="15" customHeight="1" thickBot="1" x14ac:dyDescent="0.3">
      <c r="A40" s="258" t="s">
        <v>89</v>
      </c>
      <c r="B40" s="256"/>
      <c r="C40" s="170" t="s">
        <v>433</v>
      </c>
      <c r="D40" s="320"/>
      <c r="E40" s="320"/>
      <c r="F40" s="320">
        <f>SUM(F41:F43)</f>
        <v>0</v>
      </c>
      <c r="G40" s="2682"/>
      <c r="H40" s="320">
        <f>SUM(H41:H43)</f>
        <v>0</v>
      </c>
      <c r="I40" s="1474"/>
      <c r="J40" s="320">
        <f>SUM(J41:J43)</f>
        <v>0</v>
      </c>
      <c r="K40" s="3348"/>
      <c r="L40" s="320">
        <f>SUM(L41:L43)</f>
        <v>0</v>
      </c>
      <c r="M40" s="320">
        <f>SUM(M41:M43)</f>
        <v>0</v>
      </c>
    </row>
    <row r="41" spans="1:13" s="141" customFormat="1" ht="15" customHeight="1" thickBot="1" x14ac:dyDescent="0.25">
      <c r="A41" s="149"/>
      <c r="B41" s="253" t="s">
        <v>81</v>
      </c>
      <c r="C41" s="55" t="s">
        <v>434</v>
      </c>
      <c r="D41" s="320"/>
      <c r="E41" s="320"/>
      <c r="F41" s="144">
        <v>0</v>
      </c>
      <c r="G41" s="1415"/>
      <c r="H41" s="144">
        <v>0</v>
      </c>
      <c r="I41" s="1376"/>
      <c r="J41" s="175">
        <v>0</v>
      </c>
      <c r="K41" s="3345"/>
      <c r="L41" s="175">
        <v>0</v>
      </c>
      <c r="M41" s="144">
        <v>0</v>
      </c>
    </row>
    <row r="42" spans="1:13" s="145" customFormat="1" ht="15" customHeight="1" thickBot="1" x14ac:dyDescent="0.25">
      <c r="A42" s="146"/>
      <c r="B42" s="2736" t="s">
        <v>83</v>
      </c>
      <c r="C42" s="1155" t="s">
        <v>435</v>
      </c>
      <c r="D42" s="1296"/>
      <c r="E42" s="1296"/>
      <c r="F42" s="1313">
        <v>0</v>
      </c>
      <c r="G42" s="1415"/>
      <c r="H42" s="144">
        <v>0</v>
      </c>
      <c r="I42" s="1376"/>
      <c r="J42" s="483">
        <v>0</v>
      </c>
      <c r="K42" s="3334"/>
      <c r="L42" s="144">
        <v>0</v>
      </c>
      <c r="M42" s="144">
        <v>0</v>
      </c>
    </row>
    <row r="43" spans="1:13" s="145" customFormat="1" ht="15" customHeight="1" thickBot="1" x14ac:dyDescent="0.25">
      <c r="A43" s="178"/>
      <c r="B43" s="2736" t="s">
        <v>85</v>
      </c>
      <c r="C43" s="1155" t="s">
        <v>1434</v>
      </c>
      <c r="D43" s="445"/>
      <c r="E43" s="445"/>
      <c r="F43" s="1313">
        <v>0</v>
      </c>
      <c r="G43" s="1415"/>
      <c r="H43" s="144">
        <v>0</v>
      </c>
      <c r="I43" s="1376"/>
      <c r="J43" s="321"/>
      <c r="K43" s="3345"/>
      <c r="L43" s="321"/>
      <c r="M43" s="144">
        <v>0</v>
      </c>
    </row>
    <row r="44" spans="1:13" s="145" customFormat="1" ht="12.75" hidden="1" customHeight="1" x14ac:dyDescent="0.25">
      <c r="A44" s="258"/>
      <c r="B44" s="256"/>
      <c r="C44" s="170" t="s">
        <v>458</v>
      </c>
      <c r="D44" s="155"/>
      <c r="E44" s="155"/>
      <c r="F44" s="155"/>
      <c r="G44" s="1381"/>
      <c r="H44" s="155"/>
      <c r="I44" s="1380"/>
      <c r="J44" s="162">
        <f>SUM(J7,J18,J27,J31,J32,J39)</f>
        <v>0</v>
      </c>
      <c r="K44" s="3338"/>
      <c r="L44" s="162">
        <f>SUM(L7,L18,L27,L31,L32,L39)</f>
        <v>0</v>
      </c>
      <c r="M44" s="155"/>
    </row>
    <row r="45" spans="1:13" s="145" customFormat="1" ht="15" customHeight="1" thickBot="1" x14ac:dyDescent="0.25">
      <c r="A45" s="192" t="s">
        <v>99</v>
      </c>
      <c r="B45" s="160"/>
      <c r="C45" s="274" t="s">
        <v>441</v>
      </c>
      <c r="D45" s="162">
        <f>SUM(D8,D19,D28,D32,D33,D43)</f>
        <v>0</v>
      </c>
      <c r="E45" s="162"/>
      <c r="F45" s="162">
        <f>SUM(F8,F19,F28,F32,F33,F40)</f>
        <v>0</v>
      </c>
      <c r="G45" s="1437"/>
      <c r="H45" s="162">
        <f>SUM(H8,H19,H28,H32,H33,H40)</f>
        <v>0</v>
      </c>
      <c r="I45" s="1373"/>
      <c r="J45" s="162">
        <f>SUM(J8,J19,J28,J32,J33,J40)</f>
        <v>0</v>
      </c>
      <c r="K45" s="3343"/>
      <c r="L45" s="162">
        <f>SUM(L8,L19,L28,L32,L33,L40)</f>
        <v>0</v>
      </c>
      <c r="M45" s="162">
        <f>SUM(M8,M19,M28,M32,M33,M40)</f>
        <v>0</v>
      </c>
    </row>
    <row r="46" spans="1:13" s="145" customFormat="1" ht="15" customHeight="1" thickBot="1" x14ac:dyDescent="0.25">
      <c r="A46" s="2098"/>
      <c r="B46" s="266"/>
      <c r="C46" s="275"/>
      <c r="D46" s="286"/>
      <c r="E46" s="286"/>
      <c r="F46" s="1458"/>
      <c r="G46" s="1443"/>
      <c r="H46" s="1443"/>
      <c r="I46" s="1443"/>
      <c r="J46" s="1451"/>
      <c r="K46" s="3344"/>
      <c r="L46" s="1451"/>
      <c r="M46" s="2163"/>
    </row>
    <row r="47" spans="1:13" s="145" customFormat="1" ht="15" customHeight="1" thickBot="1" x14ac:dyDescent="0.25">
      <c r="A47" s="192"/>
      <c r="B47" s="160"/>
      <c r="C47" s="282" t="s">
        <v>231</v>
      </c>
      <c r="D47" s="162"/>
      <c r="E47" s="162"/>
      <c r="F47" s="162"/>
      <c r="G47" s="1437"/>
      <c r="H47" s="162"/>
      <c r="I47" s="1373"/>
      <c r="J47" s="137"/>
      <c r="K47" s="3343"/>
      <c r="L47" s="137"/>
      <c r="M47" s="162"/>
    </row>
    <row r="48" spans="1:13" s="145" customFormat="1" ht="15" customHeight="1" thickBot="1" x14ac:dyDescent="0.25">
      <c r="A48" s="134" t="s">
        <v>3</v>
      </c>
      <c r="B48" s="170"/>
      <c r="C48" s="170" t="s">
        <v>442</v>
      </c>
      <c r="D48" s="137">
        <f>SUM(D49:D53)</f>
        <v>0</v>
      </c>
      <c r="E48" s="137"/>
      <c r="F48" s="137">
        <f>SUM(F49:F54)</f>
        <v>0</v>
      </c>
      <c r="G48" s="1382"/>
      <c r="H48" s="137">
        <f>SUM(H49:H54)</f>
        <v>0</v>
      </c>
      <c r="I48" s="1374"/>
      <c r="J48" s="137">
        <f>SUM(J49:J54)</f>
        <v>0</v>
      </c>
      <c r="K48" s="3332"/>
      <c r="L48" s="137">
        <f>SUM(L49:L54)</f>
        <v>0</v>
      </c>
      <c r="M48" s="137">
        <f>SUM(M49:M54)</f>
        <v>0</v>
      </c>
    </row>
    <row r="49" spans="1:13" s="145" customFormat="1" ht="15" customHeight="1" x14ac:dyDescent="0.2">
      <c r="A49" s="173"/>
      <c r="B49" s="267" t="s">
        <v>152</v>
      </c>
      <c r="C49" s="251" t="s">
        <v>153</v>
      </c>
      <c r="D49" s="175"/>
      <c r="E49" s="175"/>
      <c r="F49" s="175">
        <v>0</v>
      </c>
      <c r="G49" s="1432"/>
      <c r="H49" s="175">
        <v>0</v>
      </c>
      <c r="I49" s="1386"/>
      <c r="J49" s="175">
        <v>0</v>
      </c>
      <c r="K49" s="3345"/>
      <c r="L49" s="175">
        <v>0</v>
      </c>
      <c r="M49" s="175">
        <v>0</v>
      </c>
    </row>
    <row r="50" spans="1:13" s="145" customFormat="1" ht="15" customHeight="1" x14ac:dyDescent="0.2">
      <c r="A50" s="142"/>
      <c r="B50" s="253" t="s">
        <v>154</v>
      </c>
      <c r="C50" s="55" t="s">
        <v>155</v>
      </c>
      <c r="D50" s="144"/>
      <c r="E50" s="144"/>
      <c r="F50" s="144">
        <v>0</v>
      </c>
      <c r="G50" s="1415"/>
      <c r="H50" s="144">
        <v>0</v>
      </c>
      <c r="I50" s="1376"/>
      <c r="J50" s="322">
        <v>0</v>
      </c>
      <c r="K50" s="3334"/>
      <c r="L50" s="322">
        <v>0</v>
      </c>
      <c r="M50" s="144">
        <v>0</v>
      </c>
    </row>
    <row r="51" spans="1:13" ht="15" x14ac:dyDescent="0.2">
      <c r="A51" s="142"/>
      <c r="B51" s="253" t="s">
        <v>156</v>
      </c>
      <c r="C51" s="55" t="s">
        <v>157</v>
      </c>
      <c r="D51" s="322"/>
      <c r="E51" s="322"/>
      <c r="F51" s="322">
        <v>0</v>
      </c>
      <c r="G51" s="2675"/>
      <c r="H51" s="322">
        <v>0</v>
      </c>
      <c r="I51" s="1471"/>
      <c r="J51" s="144">
        <v>0</v>
      </c>
      <c r="K51" s="3392"/>
      <c r="L51" s="144">
        <v>0</v>
      </c>
      <c r="M51" s="322">
        <v>0</v>
      </c>
    </row>
    <row r="52" spans="1:13" ht="15" x14ac:dyDescent="0.2">
      <c r="A52" s="142"/>
      <c r="B52" s="253" t="s">
        <v>158</v>
      </c>
      <c r="C52" s="55" t="s">
        <v>159</v>
      </c>
      <c r="D52" s="144"/>
      <c r="E52" s="144"/>
      <c r="F52" s="144">
        <v>0</v>
      </c>
      <c r="G52" s="1415"/>
      <c r="H52" s="144">
        <v>0</v>
      </c>
      <c r="I52" s="1376"/>
      <c r="J52" s="144">
        <v>0</v>
      </c>
      <c r="K52" s="3334"/>
      <c r="L52" s="144">
        <v>0</v>
      </c>
      <c r="M52" s="144">
        <v>0</v>
      </c>
    </row>
    <row r="53" spans="1:13" ht="15.75" thickBot="1" x14ac:dyDescent="0.25">
      <c r="A53" s="142"/>
      <c r="B53" s="253" t="s">
        <v>375</v>
      </c>
      <c r="C53" s="55" t="s">
        <v>161</v>
      </c>
      <c r="D53" s="144">
        <v>0</v>
      </c>
      <c r="E53" s="144"/>
      <c r="F53" s="144">
        <v>0</v>
      </c>
      <c r="G53" s="1415"/>
      <c r="H53" s="144">
        <v>0</v>
      </c>
      <c r="I53" s="1376"/>
      <c r="J53" s="144">
        <v>0</v>
      </c>
      <c r="K53" s="3334"/>
      <c r="L53" s="144">
        <v>0</v>
      </c>
      <c r="M53" s="144">
        <v>0</v>
      </c>
    </row>
    <row r="54" spans="1:13" ht="15.75" hidden="1" thickBot="1" x14ac:dyDescent="0.25">
      <c r="A54" s="142"/>
      <c r="B54" s="176" t="s">
        <v>483</v>
      </c>
      <c r="C54" s="55" t="s">
        <v>404</v>
      </c>
      <c r="D54" s="144">
        <v>0</v>
      </c>
      <c r="E54" s="144">
        <v>1036</v>
      </c>
      <c r="F54" s="144">
        <v>0</v>
      </c>
      <c r="G54" s="1415"/>
      <c r="H54" s="144">
        <v>0</v>
      </c>
      <c r="I54" s="1376"/>
      <c r="J54" s="137">
        <f>SUM(J55:J59)</f>
        <v>0</v>
      </c>
      <c r="K54" s="3334"/>
      <c r="L54" s="137">
        <f>SUM(L55:L59)</f>
        <v>0</v>
      </c>
      <c r="M54" s="144">
        <v>0</v>
      </c>
    </row>
    <row r="55" spans="1:13" ht="15.75" thickBot="1" x14ac:dyDescent="0.25">
      <c r="A55" s="134" t="s">
        <v>17</v>
      </c>
      <c r="B55" s="170"/>
      <c r="C55" s="170" t="s">
        <v>443</v>
      </c>
      <c r="D55" s="137">
        <f>SUM(D56:D60)</f>
        <v>0</v>
      </c>
      <c r="E55" s="137">
        <f>SUM(E56:E60)</f>
        <v>0</v>
      </c>
      <c r="F55" s="137">
        <f>SUM(F56:F60)</f>
        <v>0</v>
      </c>
      <c r="G55" s="1382"/>
      <c r="H55" s="137">
        <f>SUM(H56:H60)</f>
        <v>0</v>
      </c>
      <c r="I55" s="1374"/>
      <c r="J55" s="137">
        <f>SUM(J56:J60)</f>
        <v>0</v>
      </c>
      <c r="K55" s="3332"/>
      <c r="L55" s="137">
        <f>SUM(L56:L60)</f>
        <v>0</v>
      </c>
      <c r="M55" s="137">
        <f>SUM(M56:M60)</f>
        <v>0</v>
      </c>
    </row>
    <row r="56" spans="1:13" ht="15" x14ac:dyDescent="0.2">
      <c r="A56" s="173"/>
      <c r="B56" s="267" t="s">
        <v>5</v>
      </c>
      <c r="C56" s="251" t="s">
        <v>183</v>
      </c>
      <c r="D56" s="175"/>
      <c r="E56" s="175"/>
      <c r="F56" s="175">
        <v>0</v>
      </c>
      <c r="G56" s="1432"/>
      <c r="H56" s="175">
        <v>0</v>
      </c>
      <c r="I56" s="1386"/>
      <c r="J56" s="175">
        <v>0</v>
      </c>
      <c r="K56" s="3345"/>
      <c r="L56" s="175">
        <v>0</v>
      </c>
      <c r="M56" s="175">
        <v>0</v>
      </c>
    </row>
    <row r="57" spans="1:13" ht="15" x14ac:dyDescent="0.2">
      <c r="A57" s="142"/>
      <c r="B57" s="253" t="s">
        <v>7</v>
      </c>
      <c r="C57" s="55" t="s">
        <v>185</v>
      </c>
      <c r="D57" s="144"/>
      <c r="E57" s="144"/>
      <c r="F57" s="144">
        <v>0</v>
      </c>
      <c r="G57" s="1415"/>
      <c r="H57" s="144">
        <v>0</v>
      </c>
      <c r="I57" s="1376"/>
      <c r="J57" s="144">
        <v>0</v>
      </c>
      <c r="K57" s="3334"/>
      <c r="L57" s="144">
        <v>0</v>
      </c>
      <c r="M57" s="144">
        <v>0</v>
      </c>
    </row>
    <row r="58" spans="1:13" ht="15.75" thickBot="1" x14ac:dyDescent="0.25">
      <c r="A58" s="142"/>
      <c r="B58" s="253" t="s">
        <v>9</v>
      </c>
      <c r="C58" s="55" t="s">
        <v>444</v>
      </c>
      <c r="D58" s="144"/>
      <c r="E58" s="144"/>
      <c r="F58" s="144">
        <v>0</v>
      </c>
      <c r="G58" s="1415"/>
      <c r="H58" s="144">
        <v>0</v>
      </c>
      <c r="I58" s="1376"/>
      <c r="J58" s="144">
        <v>0</v>
      </c>
      <c r="K58" s="3334"/>
      <c r="L58" s="144">
        <v>0</v>
      </c>
      <c r="M58" s="144">
        <v>0</v>
      </c>
    </row>
    <row r="59" spans="1:13" ht="30.75" hidden="1" thickBot="1" x14ac:dyDescent="0.25">
      <c r="A59" s="142"/>
      <c r="B59" s="176" t="s">
        <v>13</v>
      </c>
      <c r="C59" s="55" t="s">
        <v>484</v>
      </c>
      <c r="D59" s="144">
        <v>0</v>
      </c>
      <c r="E59" s="144">
        <v>0</v>
      </c>
      <c r="F59" s="144">
        <v>0</v>
      </c>
      <c r="G59" s="1415"/>
      <c r="H59" s="144">
        <v>0</v>
      </c>
      <c r="I59" s="1376"/>
      <c r="J59" s="144">
        <v>0</v>
      </c>
      <c r="K59" s="3334"/>
      <c r="L59" s="144">
        <v>0</v>
      </c>
      <c r="M59" s="144">
        <v>0</v>
      </c>
    </row>
    <row r="60" spans="1:13" ht="15.75" hidden="1" thickBot="1" x14ac:dyDescent="0.25">
      <c r="A60" s="142"/>
      <c r="B60" s="176" t="s">
        <v>189</v>
      </c>
      <c r="C60" s="55" t="s">
        <v>448</v>
      </c>
      <c r="D60" s="144">
        <v>0</v>
      </c>
      <c r="E60" s="144">
        <v>0</v>
      </c>
      <c r="F60" s="144">
        <v>0</v>
      </c>
      <c r="G60" s="1415"/>
      <c r="H60" s="144">
        <v>0</v>
      </c>
      <c r="I60" s="1376"/>
      <c r="J60" s="155">
        <v>0</v>
      </c>
      <c r="K60" s="3334"/>
      <c r="L60" s="155">
        <v>0</v>
      </c>
      <c r="M60" s="144">
        <v>0</v>
      </c>
    </row>
    <row r="61" spans="1:13" ht="15" hidden="1" thickBot="1" x14ac:dyDescent="0.25">
      <c r="A61" s="134" t="s">
        <v>31</v>
      </c>
      <c r="B61" s="170"/>
      <c r="C61" s="171" t="s">
        <v>445</v>
      </c>
      <c r="D61" s="155">
        <v>0</v>
      </c>
      <c r="E61" s="155">
        <v>0</v>
      </c>
      <c r="F61" s="155">
        <v>0</v>
      </c>
      <c r="G61" s="1381"/>
      <c r="H61" s="155">
        <v>0</v>
      </c>
      <c r="I61" s="1380"/>
      <c r="J61" s="155"/>
      <c r="K61" s="3338"/>
      <c r="L61" s="155"/>
      <c r="M61" s="155">
        <v>0</v>
      </c>
    </row>
    <row r="62" spans="1:13" ht="16.5" hidden="1" thickBot="1" x14ac:dyDescent="0.25">
      <c r="A62" s="134"/>
      <c r="B62" s="170"/>
      <c r="C62" s="171" t="s">
        <v>459</v>
      </c>
      <c r="D62" s="155"/>
      <c r="E62" s="155"/>
      <c r="F62" s="155"/>
      <c r="G62" s="1381"/>
      <c r="H62" s="155"/>
      <c r="I62" s="1380"/>
      <c r="J62" s="162">
        <f>+J47+J54+J60+J61</f>
        <v>0</v>
      </c>
      <c r="K62" s="3338"/>
      <c r="L62" s="162">
        <f>+L47+L54+L60+L61</f>
        <v>0</v>
      </c>
      <c r="M62" s="155"/>
    </row>
    <row r="63" spans="1:13" ht="16.5" thickBot="1" x14ac:dyDescent="0.25">
      <c r="A63" s="192" t="s">
        <v>31</v>
      </c>
      <c r="B63" s="160"/>
      <c r="C63" s="274" t="s">
        <v>465</v>
      </c>
      <c r="D63" s="162">
        <f>+D48+D55+D61</f>
        <v>0</v>
      </c>
      <c r="E63" s="162">
        <f>+E48+E55+E61</f>
        <v>0</v>
      </c>
      <c r="F63" s="162">
        <f>+F48+F55+F61+F62</f>
        <v>0</v>
      </c>
      <c r="G63" s="1437"/>
      <c r="H63" s="162">
        <f>+H48+H55+H61+H62</f>
        <v>0</v>
      </c>
      <c r="I63" s="1373"/>
      <c r="J63" s="162">
        <f>+J48+J55+J61+J62</f>
        <v>0</v>
      </c>
      <c r="K63" s="3343"/>
      <c r="L63" s="162">
        <f>+L48+L55+L61+L62</f>
        <v>0</v>
      </c>
      <c r="M63" s="162">
        <f>+M48+M55+M61+M62</f>
        <v>0</v>
      </c>
    </row>
    <row r="64" spans="1:13" ht="15.75" thickBot="1" x14ac:dyDescent="0.25">
      <c r="A64" s="1303"/>
      <c r="B64" s="886"/>
      <c r="C64" s="886"/>
      <c r="D64" s="886"/>
      <c r="E64" s="886"/>
      <c r="F64" s="1304"/>
      <c r="G64" s="1550"/>
      <c r="H64" s="1550"/>
      <c r="I64" s="1550"/>
      <c r="J64" s="1550"/>
      <c r="K64" s="3346"/>
      <c r="L64" s="1550"/>
      <c r="M64" s="1304"/>
    </row>
    <row r="65" spans="1:13" ht="15.75" thickBot="1" x14ac:dyDescent="0.25">
      <c r="A65" s="276" t="s">
        <v>324</v>
      </c>
      <c r="B65" s="277"/>
      <c r="C65" s="278"/>
      <c r="D65" s="200">
        <v>14</v>
      </c>
      <c r="E65" s="200">
        <v>14</v>
      </c>
      <c r="F65" s="200"/>
      <c r="G65" s="1559"/>
      <c r="H65" s="200"/>
      <c r="I65" s="1388"/>
      <c r="J65" s="200"/>
      <c r="K65" s="3346"/>
      <c r="L65" s="200"/>
      <c r="M65" s="200"/>
    </row>
    <row r="66" spans="1:13" ht="15.75" thickBot="1" x14ac:dyDescent="0.25">
      <c r="A66" s="276" t="s">
        <v>325</v>
      </c>
      <c r="B66" s="277"/>
      <c r="C66" s="278"/>
      <c r="D66" s="279"/>
      <c r="E66" s="279"/>
      <c r="F66" s="279"/>
      <c r="G66" s="1560"/>
      <c r="H66" s="279"/>
      <c r="I66" s="1389"/>
      <c r="J66" s="279"/>
      <c r="K66" s="3347"/>
      <c r="L66" s="279"/>
      <c r="M66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31496062992125984" right="0.27559055118110237" top="0.51181102362204722" bottom="0.35433070866141736" header="0.51181102362204722" footer="0.15748031496062992"/>
  <pageSetup paperSize="9" scale="76" firstPageNumber="77" orientation="portrait" useFirstPageNumber="1" r:id="rId1"/>
  <headerFooter>
    <oddFooter>&amp;C- &amp;P -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T55"/>
  <sheetViews>
    <sheetView view="pageBreakPreview" topLeftCell="A4" zoomScale="80" zoomScaleNormal="100" zoomScaleSheetLayoutView="80" workbookViewId="0">
      <selection activeCell="AQ9" sqref="AQ9"/>
    </sheetView>
  </sheetViews>
  <sheetFormatPr defaultColWidth="9.33203125" defaultRowHeight="15" x14ac:dyDescent="0.25"/>
  <cols>
    <col min="1" max="1" width="15.33203125" style="621" customWidth="1"/>
    <col min="2" max="2" width="20.1640625" style="621" customWidth="1"/>
    <col min="3" max="3" width="16.33203125" style="621" customWidth="1"/>
    <col min="4" max="4" width="14.33203125" style="621" hidden="1" customWidth="1"/>
    <col min="5" max="6" width="16.33203125" style="621" hidden="1" customWidth="1"/>
    <col min="7" max="7" width="16.6640625" style="621" hidden="1" customWidth="1"/>
    <col min="8" max="8" width="16.33203125" style="621" hidden="1" customWidth="1"/>
    <col min="9" max="9" width="16.33203125" style="621" customWidth="1"/>
    <col min="10" max="10" width="16.1640625" style="621" customWidth="1"/>
    <col min="11" max="11" width="13" style="621" customWidth="1"/>
    <col min="12" max="12" width="13.5" style="621" hidden="1" customWidth="1"/>
    <col min="13" max="14" width="14.33203125" style="621" hidden="1" customWidth="1"/>
    <col min="15" max="15" width="14.1640625" style="621" hidden="1" customWidth="1"/>
    <col min="16" max="16" width="14.33203125" style="621" hidden="1" customWidth="1"/>
    <col min="17" max="17" width="14.33203125" style="621" customWidth="1"/>
    <col min="18" max="18" width="12.83203125" style="621" customWidth="1"/>
    <col min="19" max="19" width="14.33203125" style="621" customWidth="1"/>
    <col min="20" max="20" width="14.33203125" style="621" hidden="1" customWidth="1"/>
    <col min="21" max="21" width="16.5" style="621" hidden="1" customWidth="1"/>
    <col min="22" max="22" width="14.1640625" style="621" hidden="1" customWidth="1"/>
    <col min="23" max="23" width="16.83203125" style="621" hidden="1" customWidth="1"/>
    <col min="24" max="24" width="14.1640625" style="621" hidden="1" customWidth="1"/>
    <col min="25" max="25" width="17" style="621" customWidth="1"/>
    <col min="26" max="26" width="16.5" style="621" customWidth="1"/>
    <col min="27" max="27" width="14.33203125" style="619" customWidth="1"/>
    <col min="28" max="28" width="14" style="619" hidden="1" customWidth="1"/>
    <col min="29" max="29" width="15.83203125" style="619" hidden="1" customWidth="1"/>
    <col min="30" max="30" width="13.6640625" style="619" hidden="1" customWidth="1"/>
    <col min="31" max="31" width="15.1640625" style="619" hidden="1" customWidth="1"/>
    <col min="32" max="32" width="13.6640625" style="619" hidden="1" customWidth="1"/>
    <col min="33" max="33" width="14.6640625" style="619" customWidth="1"/>
    <col min="34" max="34" width="14.33203125" style="619" customWidth="1"/>
    <col min="35" max="35" width="12.6640625" style="619" customWidth="1"/>
    <col min="36" max="36" width="11.33203125" style="619" hidden="1" customWidth="1"/>
    <col min="37" max="37" width="16.1640625" style="619" hidden="1" customWidth="1"/>
    <col min="38" max="38" width="13.33203125" style="619" hidden="1" customWidth="1"/>
    <col min="39" max="39" width="11.83203125" style="619" hidden="1" customWidth="1"/>
    <col min="40" max="40" width="13.1640625" style="619" customWidth="1"/>
    <col min="41" max="41" width="15.33203125" style="619" customWidth="1"/>
    <col min="42" max="43" width="11.33203125" style="619" customWidth="1"/>
    <col min="44" max="45" width="16.83203125" style="619" customWidth="1"/>
    <col min="46" max="46" width="18.5" style="619" customWidth="1"/>
    <col min="47" max="16384" width="9.33203125" style="619"/>
  </cols>
  <sheetData>
    <row r="1" spans="1:46" ht="26.25" customHeight="1" x14ac:dyDescent="0.3">
      <c r="A1" s="4536" t="s">
        <v>836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4536"/>
      <c r="AJ1" s="4536"/>
      <c r="AK1" s="4536"/>
      <c r="AL1" s="4536"/>
      <c r="AM1" s="4536"/>
      <c r="AN1" s="4536"/>
      <c r="AO1" s="4536"/>
      <c r="AP1" s="952"/>
      <c r="AQ1" s="952"/>
      <c r="AR1" s="952"/>
      <c r="AS1" s="952"/>
      <c r="AT1" s="952"/>
    </row>
    <row r="2" spans="1:46" ht="26.25" customHeight="1" x14ac:dyDescent="0.3">
      <c r="A2" s="4536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536"/>
      <c r="AI2" s="4536"/>
      <c r="AJ2" s="4536"/>
      <c r="AK2" s="4536"/>
      <c r="AL2" s="4536"/>
      <c r="AM2" s="4536"/>
      <c r="AN2" s="4536"/>
      <c r="AO2" s="4536"/>
      <c r="AP2" s="952"/>
      <c r="AQ2" s="952"/>
      <c r="AR2" s="952"/>
      <c r="AS2" s="952"/>
      <c r="AT2" s="952"/>
    </row>
    <row r="3" spans="1:46" ht="21.75" customHeight="1" thickBot="1" x14ac:dyDescent="0.35">
      <c r="A3" s="956"/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956"/>
      <c r="W3" s="956"/>
      <c r="X3" s="956"/>
      <c r="Y3" s="956"/>
      <c r="Z3" s="956"/>
      <c r="AA3" s="956"/>
      <c r="AB3" s="956"/>
      <c r="AC3" s="956"/>
      <c r="AD3" s="956"/>
      <c r="AE3" s="956"/>
      <c r="AF3" s="956"/>
      <c r="AG3" s="956"/>
      <c r="AH3" s="956"/>
      <c r="AI3" s="956"/>
      <c r="AJ3" s="955"/>
      <c r="AK3" s="955"/>
      <c r="AL3" s="955"/>
      <c r="AM3" s="955"/>
      <c r="AN3" s="955"/>
      <c r="AO3" s="955"/>
      <c r="AP3" s="952"/>
      <c r="AQ3" s="952"/>
      <c r="AR3" s="952"/>
      <c r="AS3" s="952"/>
      <c r="AT3" s="952"/>
    </row>
    <row r="4" spans="1:46" ht="29.25" customHeight="1" thickTop="1" thickBot="1" x14ac:dyDescent="0.3">
      <c r="A4" s="4533" t="s">
        <v>230</v>
      </c>
      <c r="B4" s="4534"/>
      <c r="C4" s="4534"/>
      <c r="D4" s="4534"/>
      <c r="E4" s="4534"/>
      <c r="F4" s="4534"/>
      <c r="G4" s="4534"/>
      <c r="H4" s="4534"/>
      <c r="I4" s="4534"/>
      <c r="J4" s="4534"/>
      <c r="K4" s="4534"/>
      <c r="L4" s="4534"/>
      <c r="M4" s="4534"/>
      <c r="N4" s="4534"/>
      <c r="O4" s="4534"/>
      <c r="P4" s="4534"/>
      <c r="Q4" s="4534"/>
      <c r="R4" s="4534"/>
      <c r="S4" s="4534"/>
      <c r="T4" s="4534"/>
      <c r="U4" s="4534"/>
      <c r="V4" s="4534"/>
      <c r="W4" s="4534"/>
      <c r="X4" s="4534"/>
      <c r="Y4" s="4534"/>
      <c r="Z4" s="4534"/>
      <c r="AA4" s="4534"/>
      <c r="AB4" s="4534"/>
      <c r="AC4" s="4534"/>
      <c r="AD4" s="4534"/>
      <c r="AE4" s="4534"/>
      <c r="AF4" s="4534"/>
      <c r="AG4" s="4534"/>
      <c r="AH4" s="4534"/>
      <c r="AI4" s="4534"/>
      <c r="AJ4" s="4534"/>
      <c r="AK4" s="4534"/>
      <c r="AL4" s="4534"/>
      <c r="AM4" s="4534"/>
      <c r="AN4" s="4534"/>
      <c r="AO4" s="4535"/>
      <c r="AP4" s="2305"/>
      <c r="AQ4" s="2305"/>
      <c r="AR4" s="2305"/>
      <c r="AS4" s="2305"/>
      <c r="AT4" s="2306"/>
    </row>
    <row r="5" spans="1:46" ht="66.75" customHeight="1" thickTop="1" thickBot="1" x14ac:dyDescent="0.3">
      <c r="A5" s="4620"/>
      <c r="B5" s="4621"/>
      <c r="C5" s="4542" t="s">
        <v>869</v>
      </c>
      <c r="D5" s="4542"/>
      <c r="E5" s="4542"/>
      <c r="F5" s="4542"/>
      <c r="G5" s="4542"/>
      <c r="H5" s="4542"/>
      <c r="I5" s="4542"/>
      <c r="J5" s="4545"/>
      <c r="K5" s="4541" t="s">
        <v>1831</v>
      </c>
      <c r="L5" s="4542"/>
      <c r="M5" s="4542"/>
      <c r="N5" s="4542"/>
      <c r="O5" s="4542"/>
      <c r="P5" s="4542"/>
      <c r="Q5" s="4542"/>
      <c r="R5" s="4545"/>
      <c r="S5" s="4541" t="s">
        <v>1715</v>
      </c>
      <c r="T5" s="4542"/>
      <c r="U5" s="4542"/>
      <c r="V5" s="4542"/>
      <c r="W5" s="4542"/>
      <c r="X5" s="4542"/>
      <c r="Y5" s="4542"/>
      <c r="Z5" s="4545"/>
      <c r="AA5" s="4541" t="s">
        <v>1716</v>
      </c>
      <c r="AB5" s="4542"/>
      <c r="AC5" s="4542"/>
      <c r="AD5" s="4542"/>
      <c r="AE5" s="4542"/>
      <c r="AF5" s="4542"/>
      <c r="AG5" s="4542"/>
      <c r="AH5" s="4545"/>
      <c r="AI5" s="4541" t="s">
        <v>1719</v>
      </c>
      <c r="AJ5" s="4542"/>
      <c r="AK5" s="4542"/>
      <c r="AL5" s="4542"/>
      <c r="AM5" s="4542"/>
      <c r="AN5" s="4542"/>
      <c r="AO5" s="4619"/>
      <c r="AP5" s="4616" t="s">
        <v>1924</v>
      </c>
      <c r="AQ5" s="4616"/>
      <c r="AR5" s="4617"/>
      <c r="AS5" s="4617"/>
      <c r="AT5" s="4618"/>
    </row>
    <row r="6" spans="1:46" ht="53.25" customHeight="1" thickTop="1" thickBot="1" x14ac:dyDescent="0.3">
      <c r="A6" s="4620"/>
      <c r="B6" s="4621"/>
      <c r="C6" s="2074" t="s">
        <v>867</v>
      </c>
      <c r="D6" s="1028"/>
      <c r="E6" s="959" t="s">
        <v>1070</v>
      </c>
      <c r="F6" s="959"/>
      <c r="G6" s="959" t="s">
        <v>1071</v>
      </c>
      <c r="H6" s="959"/>
      <c r="I6" s="959" t="s">
        <v>1072</v>
      </c>
      <c r="J6" s="959" t="s">
        <v>289</v>
      </c>
      <c r="K6" s="958" t="s">
        <v>867</v>
      </c>
      <c r="L6" s="1028"/>
      <c r="M6" s="959" t="s">
        <v>1070</v>
      </c>
      <c r="N6" s="959"/>
      <c r="O6" s="959" t="s">
        <v>1071</v>
      </c>
      <c r="P6" s="959"/>
      <c r="Q6" s="959" t="s">
        <v>1072</v>
      </c>
      <c r="R6" s="959" t="s">
        <v>289</v>
      </c>
      <c r="S6" s="958" t="s">
        <v>867</v>
      </c>
      <c r="T6" s="1028"/>
      <c r="U6" s="959" t="s">
        <v>1070</v>
      </c>
      <c r="V6" s="959"/>
      <c r="W6" s="959" t="s">
        <v>1071</v>
      </c>
      <c r="X6" s="959"/>
      <c r="Y6" s="959" t="s">
        <v>1072</v>
      </c>
      <c r="Z6" s="958" t="s">
        <v>289</v>
      </c>
      <c r="AA6" s="958" t="s">
        <v>867</v>
      </c>
      <c r="AB6" s="1028"/>
      <c r="AC6" s="959" t="s">
        <v>1070</v>
      </c>
      <c r="AD6" s="959"/>
      <c r="AE6" s="959" t="s">
        <v>1071</v>
      </c>
      <c r="AF6" s="959"/>
      <c r="AG6" s="959" t="s">
        <v>1072</v>
      </c>
      <c r="AH6" s="958" t="s">
        <v>289</v>
      </c>
      <c r="AI6" s="2074" t="s">
        <v>867</v>
      </c>
      <c r="AJ6" s="958"/>
      <c r="AK6" s="1028" t="s">
        <v>1717</v>
      </c>
      <c r="AL6" s="958" t="s">
        <v>1835</v>
      </c>
      <c r="AM6" s="958"/>
      <c r="AN6" s="958" t="s">
        <v>1946</v>
      </c>
      <c r="AO6" s="1027" t="s">
        <v>1007</v>
      </c>
      <c r="AP6" s="2074" t="s">
        <v>867</v>
      </c>
      <c r="AQ6" s="958"/>
      <c r="AR6" s="1028" t="s">
        <v>1718</v>
      </c>
      <c r="AS6" s="1028" t="s">
        <v>1923</v>
      </c>
      <c r="AT6" s="1027" t="s">
        <v>1007</v>
      </c>
    </row>
    <row r="7" spans="1:46" s="951" customFormat="1" ht="20.25" customHeight="1" thickTop="1" x14ac:dyDescent="0.25">
      <c r="A7" s="4527" t="s">
        <v>837</v>
      </c>
      <c r="B7" s="4555"/>
      <c r="C7" s="1046">
        <f t="shared" ref="C7:C13" si="0">SUM(K7+S7+AA7+AI7)</f>
        <v>37053989</v>
      </c>
      <c r="D7" s="1043"/>
      <c r="E7" s="1044">
        <f>SUM(M7+U7+AC7+AK7)</f>
        <v>37454929</v>
      </c>
      <c r="F7" s="1045"/>
      <c r="G7" s="1045">
        <f>SUM(O7+W7+AE7+AS7+AL7)</f>
        <v>37454929</v>
      </c>
      <c r="H7" s="1045"/>
      <c r="I7" s="2326">
        <f>SUM(Q7+Y7+AG7+AN7)</f>
        <v>30501645</v>
      </c>
      <c r="J7" s="2329">
        <f>SUM(R7+Z7+AH7)</f>
        <v>30501645</v>
      </c>
      <c r="K7" s="2234">
        <v>7620000</v>
      </c>
      <c r="L7" s="2231"/>
      <c r="M7" s="2231">
        <v>7620000</v>
      </c>
      <c r="N7" s="2231"/>
      <c r="O7" s="2231">
        <v>7620000</v>
      </c>
      <c r="P7" s="2231"/>
      <c r="Q7" s="2231">
        <v>8479499</v>
      </c>
      <c r="R7" s="1042">
        <v>8479499</v>
      </c>
      <c r="S7" s="1041">
        <v>29433989</v>
      </c>
      <c r="T7" s="1041"/>
      <c r="U7" s="1044">
        <v>29834929</v>
      </c>
      <c r="V7" s="1045"/>
      <c r="W7" s="1044">
        <v>29834929</v>
      </c>
      <c r="X7" s="1045"/>
      <c r="Y7" s="1044">
        <v>22022139</v>
      </c>
      <c r="Z7" s="1042">
        <v>22022139</v>
      </c>
      <c r="AA7" s="1046"/>
      <c r="AB7" s="1041"/>
      <c r="AC7" s="1044"/>
      <c r="AD7" s="1044"/>
      <c r="AE7" s="1044"/>
      <c r="AF7" s="1044"/>
      <c r="AG7" s="1044">
        <v>7</v>
      </c>
      <c r="AH7" s="1042">
        <v>7</v>
      </c>
      <c r="AI7" s="1047"/>
      <c r="AJ7" s="1047"/>
      <c r="AK7" s="1047"/>
      <c r="AL7" s="3142"/>
      <c r="AM7" s="2247"/>
      <c r="AN7" s="3142"/>
      <c r="AO7" s="1048"/>
      <c r="AP7" s="1231"/>
      <c r="AQ7" s="1231"/>
      <c r="AR7" s="2323"/>
      <c r="AS7" s="3157">
        <v>0</v>
      </c>
      <c r="AT7" s="2324">
        <v>0</v>
      </c>
    </row>
    <row r="8" spans="1:46" s="951" customFormat="1" ht="20.25" customHeight="1" x14ac:dyDescent="0.25">
      <c r="A8" s="4531" t="s">
        <v>838</v>
      </c>
      <c r="B8" s="4552"/>
      <c r="C8" s="1072">
        <f t="shared" si="0"/>
        <v>100302142</v>
      </c>
      <c r="D8" s="1128"/>
      <c r="E8" s="964">
        <f>SUM(M8+U8+AC8+AK8)</f>
        <v>121570514</v>
      </c>
      <c r="F8" s="968"/>
      <c r="G8" s="968">
        <f>SUM(O8+W8+AE8+AL8)</f>
        <v>124955535</v>
      </c>
      <c r="H8" s="968"/>
      <c r="I8" s="1093">
        <f>SUM(Q8+Y8+AG8+AN8)</f>
        <v>112956190</v>
      </c>
      <c r="J8" s="1049">
        <f>SUM(R8+Z8+AH8+AO8)</f>
        <v>112956190</v>
      </c>
      <c r="K8" s="963">
        <f>SUM(K9:K10)</f>
        <v>0</v>
      </c>
      <c r="L8" s="963"/>
      <c r="M8" s="963">
        <f>SUM(M9:M10)</f>
        <v>83183</v>
      </c>
      <c r="N8" s="964"/>
      <c r="O8" s="963">
        <f>SUM(O9:O10)</f>
        <v>83183</v>
      </c>
      <c r="P8" s="964"/>
      <c r="Q8" s="963">
        <f>SUM(Q9:Q10)</f>
        <v>0</v>
      </c>
      <c r="R8" s="973">
        <f>SUM(R9:R10)</f>
        <v>0</v>
      </c>
      <c r="S8" s="963">
        <f>SUM(S9:S10)</f>
        <v>63433553</v>
      </c>
      <c r="T8" s="963"/>
      <c r="U8" s="964">
        <f>SUM(U9:U10)</f>
        <v>80549701</v>
      </c>
      <c r="V8" s="963"/>
      <c r="W8" s="964">
        <f>SUM(W9:W10)</f>
        <v>83083014</v>
      </c>
      <c r="X8" s="963"/>
      <c r="Y8" s="964">
        <f>SUM(Y9:Y10)</f>
        <v>73281020</v>
      </c>
      <c r="Z8" s="970">
        <f>SUM(Z9:Z10)</f>
        <v>73281020</v>
      </c>
      <c r="AA8" s="969">
        <f>SUM(AA9:AA10)</f>
        <v>36868589</v>
      </c>
      <c r="AB8" s="963"/>
      <c r="AC8" s="964">
        <f>SUM(AC9:AC10)</f>
        <v>39067260</v>
      </c>
      <c r="AD8" s="964"/>
      <c r="AE8" s="964">
        <f>SUM(AE9:AE10)</f>
        <v>39177839</v>
      </c>
      <c r="AF8" s="964"/>
      <c r="AG8" s="964">
        <f>SUM(AG9:AG10)</f>
        <v>36098956</v>
      </c>
      <c r="AH8" s="970">
        <f>SUM(AH9:AH10)</f>
        <v>36098956</v>
      </c>
      <c r="AI8" s="963">
        <f>SUM(AI9:AI10)</f>
        <v>0</v>
      </c>
      <c r="AJ8" s="1050"/>
      <c r="AK8" s="968">
        <f>SUM(AK9:AK10)</f>
        <v>1870370</v>
      </c>
      <c r="AL8" s="968">
        <f>SUM(AL9:AL10)</f>
        <v>2611499</v>
      </c>
      <c r="AM8" s="968"/>
      <c r="AN8" s="968">
        <f>SUM(AN9:AN10)</f>
        <v>3576214</v>
      </c>
      <c r="AO8" s="974">
        <f>SUM(AO9:AO10)</f>
        <v>3576214</v>
      </c>
      <c r="AP8" s="963">
        <f>SUM(AP9:AP10)</f>
        <v>0</v>
      </c>
      <c r="AQ8" s="1050"/>
      <c r="AR8" s="968">
        <f>SUM(AR9:AR10)</f>
        <v>0</v>
      </c>
      <c r="AS8" s="968">
        <f>SUM(AS9:AS10)</f>
        <v>0</v>
      </c>
      <c r="AT8" s="974">
        <f>SUM(AT9:AT10)</f>
        <v>0</v>
      </c>
    </row>
    <row r="9" spans="1:46" s="951" customFormat="1" ht="20.25" customHeight="1" x14ac:dyDescent="0.25">
      <c r="A9" s="4531" t="s">
        <v>839</v>
      </c>
      <c r="B9" s="4552"/>
      <c r="C9" s="1072">
        <f t="shared" si="0"/>
        <v>12773970</v>
      </c>
      <c r="D9" s="1128"/>
      <c r="E9" s="964">
        <f>SUM(M9+U9+AC9+AK9)</f>
        <v>14332482</v>
      </c>
      <c r="F9" s="968"/>
      <c r="G9" s="968">
        <f>SUM(O9+W9+AE9+AP9+AL9+AS9)</f>
        <v>15662070</v>
      </c>
      <c r="H9" s="968"/>
      <c r="I9" s="2851">
        <f>SUM(Q9+Y9+AG9+AN9)</f>
        <v>16809161</v>
      </c>
      <c r="J9" s="2852">
        <f>SUM(R9+Z9+AH9)</f>
        <v>16809161</v>
      </c>
      <c r="K9" s="963"/>
      <c r="L9" s="964"/>
      <c r="M9" s="964"/>
      <c r="N9" s="964"/>
      <c r="O9" s="964"/>
      <c r="P9" s="964"/>
      <c r="Q9" s="964"/>
      <c r="R9" s="970"/>
      <c r="S9" s="963">
        <v>12773970</v>
      </c>
      <c r="T9" s="963"/>
      <c r="U9" s="964">
        <v>14332482</v>
      </c>
      <c r="V9" s="968"/>
      <c r="W9" s="964">
        <v>15662070</v>
      </c>
      <c r="X9" s="968"/>
      <c r="Y9" s="964">
        <v>16809161</v>
      </c>
      <c r="Z9" s="970">
        <v>16809161</v>
      </c>
      <c r="AA9" s="969"/>
      <c r="AB9" s="963"/>
      <c r="AC9" s="964"/>
      <c r="AD9" s="964"/>
      <c r="AE9" s="964"/>
      <c r="AF9" s="964"/>
      <c r="AG9" s="964"/>
      <c r="AH9" s="970"/>
      <c r="AI9" s="971"/>
      <c r="AJ9" s="971"/>
      <c r="AK9" s="971"/>
      <c r="AL9" s="3143"/>
      <c r="AM9" s="972"/>
      <c r="AN9" s="3143"/>
      <c r="AO9" s="966"/>
      <c r="AP9" s="1171"/>
      <c r="AQ9" s="1171"/>
      <c r="AR9" s="1074">
        <v>0</v>
      </c>
      <c r="AS9" s="3158"/>
      <c r="AT9" s="1070">
        <v>0</v>
      </c>
    </row>
    <row r="10" spans="1:46" s="951" customFormat="1" ht="20.25" customHeight="1" x14ac:dyDescent="0.25">
      <c r="A10" s="4531" t="s">
        <v>968</v>
      </c>
      <c r="B10" s="4552"/>
      <c r="C10" s="1072">
        <f t="shared" si="0"/>
        <v>87528172</v>
      </c>
      <c r="D10" s="1128"/>
      <c r="E10" s="964">
        <f>SUM(M10+U10+AC10+AK10)</f>
        <v>107238032</v>
      </c>
      <c r="F10" s="968"/>
      <c r="G10" s="968">
        <f>SUM(O10+W10+AE10+AL10)</f>
        <v>109293465</v>
      </c>
      <c r="H10" s="968"/>
      <c r="I10" s="1093">
        <f>SUM(Q10+Y10+AG10+AN10)</f>
        <v>96147029</v>
      </c>
      <c r="J10" s="1049">
        <f>SUM(R10+Z10+AH10+AO10)</f>
        <v>96147029</v>
      </c>
      <c r="K10" s="963"/>
      <c r="L10" s="964"/>
      <c r="M10" s="972">
        <v>83183</v>
      </c>
      <c r="N10" s="972"/>
      <c r="O10" s="972">
        <v>83183</v>
      </c>
      <c r="P10" s="972"/>
      <c r="Q10" s="972"/>
      <c r="R10" s="973"/>
      <c r="S10" s="963">
        <v>50659583</v>
      </c>
      <c r="T10" s="963"/>
      <c r="U10" s="964">
        <v>66217219</v>
      </c>
      <c r="V10" s="968"/>
      <c r="W10" s="964">
        <v>67420944</v>
      </c>
      <c r="X10" s="968"/>
      <c r="Y10" s="964">
        <v>56471859</v>
      </c>
      <c r="Z10" s="970">
        <v>56471859</v>
      </c>
      <c r="AA10" s="969">
        <v>36868589</v>
      </c>
      <c r="AB10" s="963"/>
      <c r="AC10" s="964">
        <v>39067260</v>
      </c>
      <c r="AD10" s="964"/>
      <c r="AE10" s="964">
        <v>39177839</v>
      </c>
      <c r="AF10" s="964"/>
      <c r="AG10" s="964">
        <v>36098956</v>
      </c>
      <c r="AH10" s="970">
        <v>36098956</v>
      </c>
      <c r="AI10" s="963"/>
      <c r="AJ10" s="963"/>
      <c r="AK10" s="963">
        <v>1870370</v>
      </c>
      <c r="AL10" s="1050">
        <v>2611499</v>
      </c>
      <c r="AM10" s="964"/>
      <c r="AN10" s="1050">
        <v>3576214</v>
      </c>
      <c r="AO10" s="974">
        <v>3576214</v>
      </c>
      <c r="AP10" s="1171"/>
      <c r="AQ10" s="1171"/>
      <c r="AR10" s="1074"/>
      <c r="AS10" s="3158"/>
      <c r="AT10" s="1070"/>
    </row>
    <row r="11" spans="1:46" s="951" customFormat="1" ht="20.25" customHeight="1" x14ac:dyDescent="0.25">
      <c r="A11" s="4622" t="s">
        <v>967</v>
      </c>
      <c r="B11" s="4623"/>
      <c r="C11" s="1072">
        <f t="shared" si="0"/>
        <v>0</v>
      </c>
      <c r="D11" s="1128"/>
      <c r="E11" s="964">
        <f>SUM(M11+U11+AC11+AK11)</f>
        <v>0</v>
      </c>
      <c r="F11" s="978"/>
      <c r="G11" s="968">
        <f>SUM(O11+W11+AE11+AP11)</f>
        <v>0</v>
      </c>
      <c r="H11" s="978"/>
      <c r="I11" s="2851">
        <f>SUM(Q11+Y11+AG11+AN11)</f>
        <v>402500</v>
      </c>
      <c r="J11" s="1049">
        <f>SUM(R11+Z11+AH11)</f>
        <v>402500</v>
      </c>
      <c r="K11" s="963"/>
      <c r="L11" s="964"/>
      <c r="M11" s="972"/>
      <c r="N11" s="972"/>
      <c r="O11" s="972"/>
      <c r="P11" s="972"/>
      <c r="Q11" s="972"/>
      <c r="R11" s="973"/>
      <c r="S11" s="979"/>
      <c r="T11" s="979"/>
      <c r="U11" s="977">
        <v>0</v>
      </c>
      <c r="V11" s="978"/>
      <c r="W11" s="977">
        <v>0</v>
      </c>
      <c r="X11" s="978"/>
      <c r="Y11" s="977">
        <v>402500</v>
      </c>
      <c r="Z11" s="1000">
        <v>402500</v>
      </c>
      <c r="AA11" s="976"/>
      <c r="AB11" s="979"/>
      <c r="AC11" s="964"/>
      <c r="AD11" s="964"/>
      <c r="AE11" s="964"/>
      <c r="AF11" s="964"/>
      <c r="AG11" s="964"/>
      <c r="AH11" s="1000"/>
      <c r="AI11" s="979"/>
      <c r="AJ11" s="964"/>
      <c r="AK11" s="977"/>
      <c r="AL11" s="980"/>
      <c r="AM11" s="964"/>
      <c r="AN11" s="980"/>
      <c r="AO11" s="981"/>
      <c r="AP11" s="1171"/>
      <c r="AQ11" s="1171"/>
      <c r="AR11" s="1074"/>
      <c r="AS11" s="3158"/>
      <c r="AT11" s="1070"/>
    </row>
    <row r="12" spans="1:46" s="951" customFormat="1" ht="20.25" customHeight="1" x14ac:dyDescent="0.25">
      <c r="A12" s="4531" t="s">
        <v>966</v>
      </c>
      <c r="B12" s="4552"/>
      <c r="C12" s="1072">
        <f t="shared" si="0"/>
        <v>0</v>
      </c>
      <c r="D12" s="1128"/>
      <c r="E12" s="964">
        <f>SUM(M12+U12+AC12+AK12+AR12)</f>
        <v>402500</v>
      </c>
      <c r="F12" s="964">
        <f>SUM(N12+V12+AD12+AO12+AT12)</f>
        <v>0</v>
      </c>
      <c r="G12" s="964">
        <f>SUM(O12+W12+AE12+AP12+AU12)</f>
        <v>402500</v>
      </c>
      <c r="H12" s="964">
        <f>SUM(P12+X12+AF12+AQ12+AV12)</f>
        <v>0</v>
      </c>
      <c r="I12" s="964">
        <f>SUM(Q12+Y12+AG12+AR12+AW12+AN12)</f>
        <v>0</v>
      </c>
      <c r="J12" s="970">
        <f>SUM(R12+Z12+AH12+AT12+AX12)</f>
        <v>0</v>
      </c>
      <c r="K12" s="963"/>
      <c r="L12" s="964"/>
      <c r="M12" s="972"/>
      <c r="N12" s="972"/>
      <c r="O12" s="972"/>
      <c r="P12" s="972"/>
      <c r="Q12" s="972"/>
      <c r="R12" s="973"/>
      <c r="S12" s="979"/>
      <c r="T12" s="979"/>
      <c r="U12" s="977">
        <v>402500</v>
      </c>
      <c r="V12" s="978"/>
      <c r="W12" s="977">
        <v>402500</v>
      </c>
      <c r="X12" s="978"/>
      <c r="Y12" s="977"/>
      <c r="Z12" s="1000"/>
      <c r="AA12" s="976"/>
      <c r="AB12" s="979"/>
      <c r="AC12" s="964"/>
      <c r="AD12" s="964"/>
      <c r="AE12" s="964"/>
      <c r="AF12" s="964"/>
      <c r="AG12" s="964"/>
      <c r="AH12" s="1000"/>
      <c r="AI12" s="979"/>
      <c r="AJ12" s="964"/>
      <c r="AK12" s="964"/>
      <c r="AL12" s="980"/>
      <c r="AM12" s="964"/>
      <c r="AN12" s="980"/>
      <c r="AO12" s="981"/>
      <c r="AP12" s="1171"/>
      <c r="AQ12" s="1171"/>
      <c r="AR12" s="1074"/>
      <c r="AS12" s="3158">
        <v>0</v>
      </c>
      <c r="AT12" s="1070">
        <v>0</v>
      </c>
    </row>
    <row r="13" spans="1:46" s="636" customFormat="1" ht="24.75" customHeight="1" thickBot="1" x14ac:dyDescent="0.3">
      <c r="A13" s="4553" t="s">
        <v>299</v>
      </c>
      <c r="B13" s="4560"/>
      <c r="C13" s="2233">
        <f t="shared" si="0"/>
        <v>137356131</v>
      </c>
      <c r="D13" s="2228"/>
      <c r="E13" s="985">
        <f>SUM(M13+U13+AC13+AK13+AR13)</f>
        <v>159427943</v>
      </c>
      <c r="F13" s="985">
        <f>SUM(N13+V13+AD13+AL13+AT13)</f>
        <v>2611499</v>
      </c>
      <c r="G13" s="985">
        <f>SUM(O13+W13+AE13+AL13)</f>
        <v>162812964</v>
      </c>
      <c r="H13" s="985">
        <f>SUM(P13+X13+AF13+AP13+AV13)</f>
        <v>0</v>
      </c>
      <c r="I13" s="985">
        <f>SUM(Q13+Y13+AG13+AQ13+AW13+AN13)</f>
        <v>143860335</v>
      </c>
      <c r="J13" s="1102">
        <f>SUM(R13+Z13+AH13+AT13+AO13)</f>
        <v>143860335</v>
      </c>
      <c r="K13" s="984">
        <f>SUM(K7+K9+K10)</f>
        <v>7620000</v>
      </c>
      <c r="L13" s="1002"/>
      <c r="M13" s="985">
        <f>SUM(M7+M9+M10)</f>
        <v>7703183</v>
      </c>
      <c r="N13" s="985"/>
      <c r="O13" s="985">
        <f>SUM(O7+O9+O10)</f>
        <v>7703183</v>
      </c>
      <c r="P13" s="985"/>
      <c r="Q13" s="985">
        <f>SUM(Q7+Q9+Q10)</f>
        <v>8479499</v>
      </c>
      <c r="R13" s="1120">
        <f>SUM(R7+R9+R10)</f>
        <v>8479499</v>
      </c>
      <c r="S13" s="984">
        <f>SUM(S7+S9+S10)</f>
        <v>92867542</v>
      </c>
      <c r="T13" s="984"/>
      <c r="U13" s="985">
        <f>SUM(U7+U9+U10+U11+U12)</f>
        <v>110787130</v>
      </c>
      <c r="V13" s="988"/>
      <c r="W13" s="985">
        <f>SUM(W7+W9+W10+W11+W12)</f>
        <v>113320443</v>
      </c>
      <c r="X13" s="988"/>
      <c r="Y13" s="985">
        <f>SUM(Y7+Y9+Y10+Y11+Y12)</f>
        <v>95705659</v>
      </c>
      <c r="Z13" s="1120">
        <f>SUM(Z7+Z9+Z10)+Z11+Z12</f>
        <v>95705659</v>
      </c>
      <c r="AA13" s="987">
        <f>SUM(AA7+AA9+AA10)</f>
        <v>36868589</v>
      </c>
      <c r="AB13" s="984"/>
      <c r="AC13" s="1002">
        <f>SUM(AC7+AC9+AC10)</f>
        <v>39067260</v>
      </c>
      <c r="AD13" s="1002"/>
      <c r="AE13" s="1002">
        <f>SUM(AE7+AE9+AE10)</f>
        <v>39177839</v>
      </c>
      <c r="AF13" s="1002"/>
      <c r="AG13" s="1002">
        <f>SUM(AG7+AG9+AG10)</f>
        <v>36098963</v>
      </c>
      <c r="AH13" s="1120">
        <f>SUM(AH7+AH9+AH10)</f>
        <v>36098963</v>
      </c>
      <c r="AI13" s="984">
        <f>SUM(AI7+AI9+AI10)</f>
        <v>0</v>
      </c>
      <c r="AJ13" s="1002"/>
      <c r="AK13" s="985">
        <f>SUM(AK7+AK9+AK10)</f>
        <v>1870370</v>
      </c>
      <c r="AL13" s="989">
        <f>SUM(AL7+AL9+AL10)</f>
        <v>2611499</v>
      </c>
      <c r="AM13" s="985"/>
      <c r="AN13" s="989">
        <f>SUM(AN7+AN9+AN10)</f>
        <v>3576214</v>
      </c>
      <c r="AO13" s="990">
        <f>SUM(AO7+AO9+AO10)</f>
        <v>3576214</v>
      </c>
      <c r="AP13" s="1003">
        <f>SUM(AP7+AP9+AP10)</f>
        <v>0</v>
      </c>
      <c r="AQ13" s="989"/>
      <c r="AR13" s="985">
        <f>SUM(AR7+AR9+AR10+AR11+AR12)</f>
        <v>0</v>
      </c>
      <c r="AS13" s="985">
        <f>SUM(AS7+AS9+AS10+AS11+AS12)</f>
        <v>0</v>
      </c>
      <c r="AT13" s="1117">
        <f>SUM(AT7+AT9+AT10+AT11+AT12)</f>
        <v>0</v>
      </c>
    </row>
    <row r="14" spans="1:46" ht="20.25" customHeight="1" thickTop="1" thickBot="1" x14ac:dyDescent="0.3">
      <c r="A14" s="2147"/>
      <c r="B14" s="953"/>
      <c r="C14" s="953"/>
      <c r="D14" s="953"/>
      <c r="E14" s="953"/>
      <c r="F14" s="953"/>
      <c r="G14" s="953"/>
      <c r="H14" s="953"/>
      <c r="I14" s="953"/>
      <c r="J14" s="953"/>
      <c r="K14" s="953"/>
      <c r="L14" s="953"/>
      <c r="M14" s="953"/>
      <c r="N14" s="953"/>
      <c r="O14" s="953"/>
      <c r="P14" s="953"/>
      <c r="Q14" s="953"/>
      <c r="R14" s="953"/>
      <c r="S14" s="953"/>
      <c r="T14" s="953"/>
      <c r="U14" s="953"/>
      <c r="V14" s="953"/>
      <c r="W14" s="953"/>
      <c r="X14" s="953"/>
      <c r="Y14" s="953"/>
      <c r="Z14" s="953"/>
      <c r="AA14" s="953"/>
      <c r="AB14" s="953"/>
      <c r="AC14" s="953"/>
      <c r="AD14" s="953"/>
      <c r="AE14" s="953"/>
      <c r="AF14" s="953"/>
      <c r="AG14" s="953"/>
      <c r="AH14" s="954"/>
      <c r="AI14" s="953"/>
      <c r="AJ14" s="953"/>
      <c r="AK14" s="953"/>
      <c r="AL14" s="953"/>
      <c r="AM14" s="953"/>
      <c r="AN14" s="953"/>
      <c r="AO14" s="2138"/>
      <c r="AP14" s="1855"/>
      <c r="AQ14" s="1855"/>
      <c r="AR14" s="1855"/>
      <c r="AS14" s="1855"/>
      <c r="AT14" s="1856"/>
    </row>
    <row r="15" spans="1:46" ht="32.25" customHeight="1" thickTop="1" thickBot="1" x14ac:dyDescent="0.3">
      <c r="A15" s="4533" t="s">
        <v>841</v>
      </c>
      <c r="B15" s="4534"/>
      <c r="C15" s="4534"/>
      <c r="D15" s="4534"/>
      <c r="E15" s="4534"/>
      <c r="F15" s="4534"/>
      <c r="G15" s="4534"/>
      <c r="H15" s="4534"/>
      <c r="I15" s="4534"/>
      <c r="J15" s="4534"/>
      <c r="K15" s="4534"/>
      <c r="L15" s="4534"/>
      <c r="M15" s="4534"/>
      <c r="N15" s="4534"/>
      <c r="O15" s="4534"/>
      <c r="P15" s="4534"/>
      <c r="Q15" s="4534"/>
      <c r="R15" s="4534"/>
      <c r="S15" s="4534"/>
      <c r="T15" s="4534"/>
      <c r="U15" s="4534"/>
      <c r="V15" s="4534"/>
      <c r="W15" s="4534"/>
      <c r="X15" s="4534"/>
      <c r="Y15" s="4534"/>
      <c r="Z15" s="4534"/>
      <c r="AA15" s="4534"/>
      <c r="AB15" s="4534"/>
      <c r="AC15" s="4534"/>
      <c r="AD15" s="4534"/>
      <c r="AE15" s="4534"/>
      <c r="AF15" s="4534"/>
      <c r="AG15" s="4534"/>
      <c r="AH15" s="4534"/>
      <c r="AI15" s="4534"/>
      <c r="AJ15" s="4534"/>
      <c r="AK15" s="4534"/>
      <c r="AL15" s="4534"/>
      <c r="AM15" s="4534"/>
      <c r="AN15" s="4534"/>
      <c r="AO15" s="4535"/>
      <c r="AP15" s="1056"/>
      <c r="AQ15" s="1056"/>
      <c r="AR15" s="1056"/>
      <c r="AS15" s="1056"/>
      <c r="AT15" s="1057"/>
    </row>
    <row r="16" spans="1:46" s="951" customFormat="1" ht="20.25" customHeight="1" thickTop="1" x14ac:dyDescent="0.25">
      <c r="A16" s="4527" t="s">
        <v>842</v>
      </c>
      <c r="B16" s="4555"/>
      <c r="C16" s="993">
        <f>SUM(K16+S16+AA16+AI16+AP16)</f>
        <v>43541874</v>
      </c>
      <c r="D16" s="994"/>
      <c r="E16" s="994">
        <f>SUM(M16+U16+AC16+AK16+AR16)</f>
        <v>46112935</v>
      </c>
      <c r="F16" s="994">
        <f>SUM(N16+V16+AD16+AO16+AT16)</f>
        <v>0</v>
      </c>
      <c r="G16" s="994">
        <f>SUM(O16+W16+AE16+AK16+AS16)</f>
        <v>47660233</v>
      </c>
      <c r="H16" s="1034">
        <f>SUM(P16+X16+AF16+AR16+AV16)</f>
        <v>0</v>
      </c>
      <c r="I16" s="2328">
        <f t="shared" ref="I16:I21" si="1">SUM(Q16+Y16+AG16+AN16)</f>
        <v>48366669</v>
      </c>
      <c r="J16" s="2331">
        <f>SUM(R16+Z16+AH16)</f>
        <v>48366669</v>
      </c>
      <c r="K16" s="997">
        <v>2975000</v>
      </c>
      <c r="L16" s="994"/>
      <c r="M16" s="994">
        <v>2975000</v>
      </c>
      <c r="N16" s="994"/>
      <c r="O16" s="994">
        <v>2975000</v>
      </c>
      <c r="P16" s="994"/>
      <c r="Q16" s="994">
        <v>2608942</v>
      </c>
      <c r="R16" s="995">
        <v>2608942</v>
      </c>
      <c r="S16" s="996">
        <v>40566874</v>
      </c>
      <c r="T16" s="996"/>
      <c r="U16" s="994">
        <v>43137935</v>
      </c>
      <c r="V16" s="1034"/>
      <c r="W16" s="1034">
        <v>44685233</v>
      </c>
      <c r="X16" s="1034"/>
      <c r="Y16" s="1034">
        <v>45757727</v>
      </c>
      <c r="Z16" s="995">
        <v>45757727</v>
      </c>
      <c r="AA16" s="997"/>
      <c r="AB16" s="996"/>
      <c r="AC16" s="996"/>
      <c r="AD16" s="994"/>
      <c r="AE16" s="994"/>
      <c r="AF16" s="994"/>
      <c r="AG16" s="994"/>
      <c r="AH16" s="2318"/>
      <c r="AI16" s="1094"/>
      <c r="AJ16" s="1094"/>
      <c r="AK16" s="1094"/>
      <c r="AL16" s="3144"/>
      <c r="AM16"/>
      <c r="AN16" s="3144"/>
      <c r="AO16" s="1052"/>
      <c r="AP16" s="1231"/>
      <c r="AQ16" s="1231"/>
      <c r="AR16" s="1863"/>
      <c r="AS16" s="3159"/>
      <c r="AT16" s="1864"/>
    </row>
    <row r="17" spans="1:46" s="951" customFormat="1" ht="20.25" customHeight="1" x14ac:dyDescent="0.25">
      <c r="A17" s="4531" t="s">
        <v>843</v>
      </c>
      <c r="B17" s="4552"/>
      <c r="C17" s="962">
        <f>SUM(K17+S17+AA17+AI17+AP17)</f>
        <v>8696079</v>
      </c>
      <c r="D17" s="964"/>
      <c r="E17" s="964">
        <f>SUM(M17+U17+AC17+AK17+AR17)</f>
        <v>9203890</v>
      </c>
      <c r="F17" s="964">
        <f>SUM(N17+V17+AD17+AO17+AT17)</f>
        <v>0</v>
      </c>
      <c r="G17" s="964">
        <f>SUM(O17+W17+AE17+AP17+AU17)</f>
        <v>9505613</v>
      </c>
      <c r="H17" s="964">
        <f>SUM(P17+X17+AF17+AR17+AV17)</f>
        <v>0</v>
      </c>
      <c r="I17" s="964">
        <f t="shared" si="1"/>
        <v>9672353</v>
      </c>
      <c r="J17" s="970">
        <f>SUM(R17+Z17+AH17)</f>
        <v>9672353</v>
      </c>
      <c r="K17" s="969">
        <v>581000</v>
      </c>
      <c r="L17" s="964"/>
      <c r="M17" s="1035">
        <v>581000</v>
      </c>
      <c r="N17" s="1035"/>
      <c r="O17" s="1035">
        <v>581000</v>
      </c>
      <c r="P17" s="1035"/>
      <c r="Q17" s="1035">
        <v>508749</v>
      </c>
      <c r="R17" s="970">
        <v>508749</v>
      </c>
      <c r="S17" s="963">
        <v>8115079</v>
      </c>
      <c r="T17" s="963"/>
      <c r="U17" s="1035">
        <v>8622890</v>
      </c>
      <c r="V17" s="1065"/>
      <c r="W17" s="1065">
        <v>8924613</v>
      </c>
      <c r="X17" s="1065"/>
      <c r="Y17" s="1065">
        <v>9163604</v>
      </c>
      <c r="Z17" s="970">
        <v>9163604</v>
      </c>
      <c r="AA17" s="969"/>
      <c r="AB17" s="963"/>
      <c r="AC17" s="1036"/>
      <c r="AD17" s="1035"/>
      <c r="AE17" s="1035"/>
      <c r="AF17" s="1035"/>
      <c r="AG17" s="1035"/>
      <c r="AH17" s="2309"/>
      <c r="AI17" s="1036"/>
      <c r="AJ17" s="1036"/>
      <c r="AK17" s="1036"/>
      <c r="AL17" s="1128"/>
      <c r="AM17" s="1035"/>
      <c r="AN17" s="1128"/>
      <c r="AO17" s="1053"/>
      <c r="AP17" s="1171"/>
      <c r="AQ17" s="1171"/>
      <c r="AR17" s="1074"/>
      <c r="AS17" s="3158"/>
      <c r="AT17" s="1070"/>
    </row>
    <row r="18" spans="1:46" s="951" customFormat="1" ht="20.25" customHeight="1" x14ac:dyDescent="0.25">
      <c r="A18" s="4546" t="s">
        <v>844</v>
      </c>
      <c r="B18" s="4547"/>
      <c r="C18" s="962">
        <f>SUM(K18+S18+AA18+AI18+AP18)</f>
        <v>84102178</v>
      </c>
      <c r="D18" s="964"/>
      <c r="E18" s="964">
        <f>SUM(M18+U18+AC18+AK18+AR18)</f>
        <v>103229918</v>
      </c>
      <c r="F18" s="964">
        <f>SUM(N18+V18+AD18+AO18+AT18)</f>
        <v>3576214</v>
      </c>
      <c r="G18" s="964">
        <f>SUM(O18+W18+AE18+AL18+AS18)</f>
        <v>103229918</v>
      </c>
      <c r="H18" s="964">
        <f>SUM(P18+X18+AF18+AR18+AV18)</f>
        <v>0</v>
      </c>
      <c r="I18" s="2330">
        <f t="shared" si="1"/>
        <v>84012022</v>
      </c>
      <c r="J18" s="970">
        <f>SUM(R18+Z18+AH18+AO18)</f>
        <v>83850779</v>
      </c>
      <c r="K18" s="969">
        <v>4064000</v>
      </c>
      <c r="L18" s="964"/>
      <c r="M18" s="1035">
        <v>4147183</v>
      </c>
      <c r="N18" s="1035"/>
      <c r="O18" s="1035">
        <v>4147183</v>
      </c>
      <c r="P18" s="1035"/>
      <c r="Q18" s="1035">
        <v>5361808</v>
      </c>
      <c r="R18" s="970">
        <v>5361808</v>
      </c>
      <c r="S18" s="963">
        <v>43169589</v>
      </c>
      <c r="T18" s="963"/>
      <c r="U18" s="1035">
        <v>58145105</v>
      </c>
      <c r="V18" s="1065"/>
      <c r="W18" s="1065">
        <v>57293397</v>
      </c>
      <c r="X18" s="1065"/>
      <c r="Y18" s="1065">
        <v>38975037</v>
      </c>
      <c r="Z18" s="970">
        <v>38813794</v>
      </c>
      <c r="AA18" s="969">
        <v>36868589</v>
      </c>
      <c r="AB18" s="963"/>
      <c r="AC18" s="1036">
        <v>39067260</v>
      </c>
      <c r="AD18" s="1035"/>
      <c r="AE18" s="1035">
        <v>39177839</v>
      </c>
      <c r="AF18" s="1035"/>
      <c r="AG18" s="1035">
        <v>36098963</v>
      </c>
      <c r="AH18" s="2309">
        <v>36098963</v>
      </c>
      <c r="AI18" s="1036"/>
      <c r="AJ18" s="1036"/>
      <c r="AK18" s="1036">
        <v>1870370</v>
      </c>
      <c r="AL18" s="1128">
        <v>2611499</v>
      </c>
      <c r="AM18" s="1035"/>
      <c r="AN18" s="1128">
        <v>3576214</v>
      </c>
      <c r="AO18" s="1053">
        <v>3576214</v>
      </c>
      <c r="AP18" s="1171">
        <v>0</v>
      </c>
      <c r="AQ18" s="1171"/>
      <c r="AR18" s="1074"/>
      <c r="AS18" s="3158"/>
      <c r="AT18" s="1070"/>
    </row>
    <row r="19" spans="1:46" s="951" customFormat="1" ht="20.25" customHeight="1" x14ac:dyDescent="0.25">
      <c r="A19" s="4546" t="s">
        <v>886</v>
      </c>
      <c r="B19" s="4547"/>
      <c r="C19" s="962">
        <f>SUM(K19+S19+AA19+AI19+AP19)</f>
        <v>0</v>
      </c>
      <c r="D19" s="964"/>
      <c r="E19" s="964">
        <f>SUM(M19+U19+AC19+AK19+AR19)</f>
        <v>0</v>
      </c>
      <c r="F19" s="964">
        <f>SUM(N19+V19+AD19+AO19+AT19)</f>
        <v>0</v>
      </c>
      <c r="G19" s="964">
        <f>SUM(O19+W19+AE19+AL19+AS19)</f>
        <v>0</v>
      </c>
      <c r="H19" s="964">
        <f>SUM(P19+X19+AF19+AR19+AV19)</f>
        <v>0</v>
      </c>
      <c r="I19" s="964">
        <f t="shared" si="1"/>
        <v>0</v>
      </c>
      <c r="J19" s="970">
        <f>SUM(R19+Z19+AH19)</f>
        <v>0</v>
      </c>
      <c r="K19" s="969"/>
      <c r="L19" s="964"/>
      <c r="M19" s="1035"/>
      <c r="N19" s="1035"/>
      <c r="O19" s="1035"/>
      <c r="P19" s="1035"/>
      <c r="Q19" s="1035"/>
      <c r="R19" s="970"/>
      <c r="S19" s="963">
        <v>0</v>
      </c>
      <c r="T19" s="963"/>
      <c r="U19" s="1035"/>
      <c r="V19" s="1065"/>
      <c r="W19" s="1065"/>
      <c r="X19" s="1065"/>
      <c r="Y19" s="1065"/>
      <c r="Z19" s="970"/>
      <c r="AA19" s="969"/>
      <c r="AB19" s="963"/>
      <c r="AC19" s="1036"/>
      <c r="AD19" s="1035"/>
      <c r="AE19" s="1035"/>
      <c r="AF19" s="1035"/>
      <c r="AG19" s="1035"/>
      <c r="AH19" s="2309"/>
      <c r="AI19" s="1036"/>
      <c r="AJ19" s="1036"/>
      <c r="AK19" s="1036"/>
      <c r="AL19" s="1128"/>
      <c r="AM19" s="1035"/>
      <c r="AN19" s="1128"/>
      <c r="AO19" s="1053"/>
      <c r="AP19" s="1171"/>
      <c r="AQ19" s="1171"/>
      <c r="AR19" s="1074"/>
      <c r="AS19" s="3158"/>
      <c r="AT19" s="1070"/>
    </row>
    <row r="20" spans="1:46" s="951" customFormat="1" ht="20.25" customHeight="1" x14ac:dyDescent="0.25">
      <c r="A20" s="4546" t="s">
        <v>887</v>
      </c>
      <c r="B20" s="4547"/>
      <c r="C20" s="962">
        <f>SUM(K20+S20+AA20+AI20+AP20)</f>
        <v>1016000</v>
      </c>
      <c r="D20" s="964"/>
      <c r="E20" s="964">
        <f>SUM(M20+U20+AC20+AK20+AR20)</f>
        <v>881200</v>
      </c>
      <c r="F20" s="964">
        <f>SUM(N20+V20+AD20+AO20+AT20)</f>
        <v>0</v>
      </c>
      <c r="G20" s="964">
        <f>SUM(O20+W20+AE20+AS20+AL20)</f>
        <v>2417200</v>
      </c>
      <c r="H20" s="964">
        <f>SUM(P20+X20+AF20+AR20+AV20)</f>
        <v>0</v>
      </c>
      <c r="I20" s="2330">
        <f t="shared" si="1"/>
        <v>1809291</v>
      </c>
      <c r="J20" s="970">
        <f>SUM(R20+Z20+AH20)</f>
        <v>1809291</v>
      </c>
      <c r="K20" s="969"/>
      <c r="L20" s="964"/>
      <c r="M20" s="1035"/>
      <c r="N20" s="1035"/>
      <c r="O20" s="1035"/>
      <c r="P20" s="1035"/>
      <c r="Q20" s="1035"/>
      <c r="R20" s="1095"/>
      <c r="S20" s="963">
        <v>1016000</v>
      </c>
      <c r="T20" s="963"/>
      <c r="U20" s="1035">
        <v>881200</v>
      </c>
      <c r="V20" s="1065"/>
      <c r="W20" s="1065">
        <v>2417200</v>
      </c>
      <c r="X20" s="1065"/>
      <c r="Y20" s="1065">
        <v>1809291</v>
      </c>
      <c r="Z20" s="970">
        <v>1809291</v>
      </c>
      <c r="AA20" s="969"/>
      <c r="AB20" s="963"/>
      <c r="AC20" s="1036"/>
      <c r="AD20" s="1035"/>
      <c r="AE20" s="1035"/>
      <c r="AF20" s="1035"/>
      <c r="AG20" s="1035"/>
      <c r="AH20" s="2309"/>
      <c r="AI20" s="1036"/>
      <c r="AJ20" s="1036"/>
      <c r="AK20" s="1036"/>
      <c r="AL20" s="1128"/>
      <c r="AM20" s="1035"/>
      <c r="AN20" s="1128"/>
      <c r="AO20" s="1053"/>
      <c r="AP20" s="1171"/>
      <c r="AQ20" s="1171"/>
      <c r="AR20" s="1074"/>
      <c r="AS20" s="3158"/>
      <c r="AT20" s="1070"/>
    </row>
    <row r="21" spans="1:46" s="659" customFormat="1" ht="24.75" customHeight="1" thickBot="1" x14ac:dyDescent="0.3">
      <c r="A21" s="4550" t="s">
        <v>517</v>
      </c>
      <c r="B21" s="4551"/>
      <c r="C21" s="983">
        <f>SUM(C16:C20)</f>
        <v>137356131</v>
      </c>
      <c r="D21" s="1002"/>
      <c r="E21" s="1002">
        <f t="shared" ref="E21:K21" si="2">SUM(E16:E20)</f>
        <v>159427943</v>
      </c>
      <c r="F21" s="1002">
        <f t="shared" si="2"/>
        <v>3576214</v>
      </c>
      <c r="G21" s="1002">
        <f>SUM(G16:G20)</f>
        <v>162812964</v>
      </c>
      <c r="H21" s="2266">
        <f t="shared" si="2"/>
        <v>0</v>
      </c>
      <c r="I21" s="964">
        <f t="shared" si="1"/>
        <v>143860335</v>
      </c>
      <c r="J21" s="2319">
        <f t="shared" si="2"/>
        <v>143699092</v>
      </c>
      <c r="K21" s="1078">
        <f t="shared" si="2"/>
        <v>7620000</v>
      </c>
      <c r="L21" s="1079"/>
      <c r="M21" s="985">
        <f t="shared" ref="M21:S21" si="3">SUM(M16:M20)</f>
        <v>7703183</v>
      </c>
      <c r="N21" s="985">
        <f t="shared" si="3"/>
        <v>0</v>
      </c>
      <c r="O21" s="985">
        <f t="shared" si="3"/>
        <v>7703183</v>
      </c>
      <c r="P21" s="985">
        <f t="shared" si="3"/>
        <v>0</v>
      </c>
      <c r="Q21" s="985">
        <f t="shared" si="3"/>
        <v>8479499</v>
      </c>
      <c r="R21" s="1080">
        <f t="shared" si="3"/>
        <v>8479499</v>
      </c>
      <c r="S21" s="1078">
        <f t="shared" si="3"/>
        <v>92867542</v>
      </c>
      <c r="T21" s="2237"/>
      <c r="U21" s="985">
        <f t="shared" ref="U21:AA21" si="4">SUM(U16:U20)</f>
        <v>110787130</v>
      </c>
      <c r="V21" s="985">
        <f t="shared" si="4"/>
        <v>0</v>
      </c>
      <c r="W21" s="985">
        <f t="shared" si="4"/>
        <v>113320443</v>
      </c>
      <c r="X21" s="988">
        <f t="shared" si="4"/>
        <v>0</v>
      </c>
      <c r="Y21" s="985">
        <f t="shared" si="4"/>
        <v>95705659</v>
      </c>
      <c r="Z21" s="1125">
        <f t="shared" si="4"/>
        <v>95544416</v>
      </c>
      <c r="AA21" s="1076">
        <f t="shared" si="4"/>
        <v>36868589</v>
      </c>
      <c r="AB21" s="1119"/>
      <c r="AC21" s="1082">
        <f>SUM(AC16:AC20)</f>
        <v>39067260</v>
      </c>
      <c r="AD21" s="1082">
        <f>SUM(AD16:AD20)</f>
        <v>0</v>
      </c>
      <c r="AE21" s="1082">
        <f>SUM(AE16:AE20)</f>
        <v>39177839</v>
      </c>
      <c r="AF21" s="1082">
        <f>SUM(AF16:AF20)</f>
        <v>0</v>
      </c>
      <c r="AG21" s="1082">
        <f>SUM(AG16:AG20)</f>
        <v>36098963</v>
      </c>
      <c r="AH21" s="2332">
        <f t="shared" ref="AH21:AT21" si="5">SUM(AH16:AH20)</f>
        <v>36098963</v>
      </c>
      <c r="AI21" s="1003">
        <f>SUM(AI16:AI20)</f>
        <v>0</v>
      </c>
      <c r="AJ21" s="1003">
        <f t="shared" si="5"/>
        <v>0</v>
      </c>
      <c r="AK21" s="1003">
        <f t="shared" si="5"/>
        <v>1870370</v>
      </c>
      <c r="AL21" s="1003">
        <f t="shared" si="5"/>
        <v>2611499</v>
      </c>
      <c r="AM21" s="1003">
        <f t="shared" si="5"/>
        <v>0</v>
      </c>
      <c r="AN21" s="1003">
        <f>SUM(AN16:AN20)</f>
        <v>3576214</v>
      </c>
      <c r="AO21" s="1083">
        <f>SUM(AO16:AO20)</f>
        <v>3576214</v>
      </c>
      <c r="AP21" s="2229">
        <f t="shared" si="5"/>
        <v>0</v>
      </c>
      <c r="AQ21" s="2850"/>
      <c r="AR21" s="1125">
        <f t="shared" si="5"/>
        <v>0</v>
      </c>
      <c r="AS21" s="1125">
        <f t="shared" si="5"/>
        <v>0</v>
      </c>
      <c r="AT21" s="1083">
        <f t="shared" si="5"/>
        <v>0</v>
      </c>
    </row>
    <row r="22" spans="1:46" ht="15.75" thickTop="1" x14ac:dyDescent="0.25">
      <c r="A22" s="992"/>
      <c r="B22" s="992"/>
      <c r="C22" s="992"/>
      <c r="D22" s="992"/>
      <c r="E22" s="992"/>
      <c r="F22" s="992"/>
      <c r="G22" s="992"/>
      <c r="H22" s="992"/>
      <c r="I22" s="992"/>
      <c r="J22" s="992"/>
      <c r="K22" s="992"/>
      <c r="L22" s="992"/>
      <c r="M22" s="992"/>
      <c r="N22" s="992"/>
      <c r="O22" s="992"/>
      <c r="P22" s="992"/>
      <c r="Q22" s="992"/>
      <c r="R22" s="992"/>
      <c r="S22" s="992"/>
      <c r="T22" s="992"/>
      <c r="U22" s="992"/>
      <c r="V22" s="992"/>
      <c r="W22" s="992"/>
      <c r="X22" s="992"/>
      <c r="Y22" s="992"/>
      <c r="Z22" s="992"/>
      <c r="AA22" s="952"/>
      <c r="AB22" s="952"/>
      <c r="AC22" s="952"/>
      <c r="AD22" s="952"/>
      <c r="AE22" s="952"/>
      <c r="AF22" s="952"/>
      <c r="AG22" s="952"/>
      <c r="AH22" s="952"/>
      <c r="AI22" s="952"/>
      <c r="AJ22" s="952"/>
      <c r="AK22" s="952"/>
      <c r="AL22" s="952"/>
      <c r="AM22" s="952"/>
      <c r="AN22" s="952"/>
      <c r="AO22" s="952"/>
      <c r="AP22" s="952"/>
      <c r="AQ22" s="952"/>
      <c r="AR22" s="952"/>
      <c r="AS22" s="952"/>
      <c r="AT22" s="952"/>
    </row>
    <row r="23" spans="1:46" x14ac:dyDescent="0.25">
      <c r="A23" s="992"/>
      <c r="B23" s="992"/>
      <c r="C23" s="992"/>
      <c r="D23" s="992"/>
      <c r="E23" s="992"/>
      <c r="F23" s="992"/>
      <c r="G23" s="992"/>
      <c r="H23" s="992"/>
      <c r="I23" s="992"/>
      <c r="J23" s="992"/>
      <c r="K23" s="1007"/>
      <c r="L23" s="1007"/>
      <c r="M23" s="1007"/>
      <c r="N23" s="1007"/>
      <c r="O23" s="1007"/>
      <c r="P23" s="1007"/>
      <c r="Q23" s="1007"/>
      <c r="R23" s="1007"/>
      <c r="S23" s="1007"/>
      <c r="T23" s="1007"/>
      <c r="U23" s="1007"/>
      <c r="V23" s="1007"/>
      <c r="W23" s="1007"/>
      <c r="X23" s="1007"/>
      <c r="Y23" s="1007"/>
      <c r="Z23" s="1007"/>
      <c r="AA23" s="1007"/>
      <c r="AB23" s="1007"/>
      <c r="AC23" s="1007"/>
      <c r="AD23" s="1007"/>
      <c r="AE23" s="1007"/>
      <c r="AF23" s="1007"/>
      <c r="AG23" s="1007"/>
      <c r="AH23" s="1007"/>
      <c r="AI23" s="1007"/>
      <c r="AJ23" s="1007"/>
      <c r="AK23" s="1007"/>
      <c r="AL23" s="1007"/>
      <c r="AM23" s="1007"/>
      <c r="AN23" s="1007"/>
      <c r="AO23" s="1007"/>
      <c r="AP23" s="952"/>
      <c r="AQ23" s="952"/>
      <c r="AR23" s="952"/>
      <c r="AS23" s="952"/>
      <c r="AT23" s="952"/>
    </row>
    <row r="24" spans="1:46" s="637" customFormat="1" ht="15.75" x14ac:dyDescent="0.25">
      <c r="A24" s="1006" t="s">
        <v>279</v>
      </c>
      <c r="B24" s="1097"/>
      <c r="C24" s="1011">
        <f>SUM(C21-C13)</f>
        <v>0</v>
      </c>
      <c r="D24" s="1011"/>
      <c r="E24" s="1011">
        <f t="shared" ref="E24:K24" si="6">SUM(E21-E13)</f>
        <v>0</v>
      </c>
      <c r="F24" s="1011">
        <f t="shared" si="6"/>
        <v>964715</v>
      </c>
      <c r="G24" s="1011">
        <f t="shared" si="6"/>
        <v>0</v>
      </c>
      <c r="H24" s="1011">
        <f t="shared" si="6"/>
        <v>0</v>
      </c>
      <c r="I24" s="1011">
        <f t="shared" si="6"/>
        <v>0</v>
      </c>
      <c r="J24" s="1011">
        <f t="shared" si="6"/>
        <v>-161243</v>
      </c>
      <c r="K24" s="1011">
        <f t="shared" si="6"/>
        <v>0</v>
      </c>
      <c r="L24" s="1011"/>
      <c r="M24" s="1011">
        <f t="shared" ref="M24:S24" si="7">SUM(M21-M13)</f>
        <v>0</v>
      </c>
      <c r="N24" s="1011">
        <f t="shared" si="7"/>
        <v>0</v>
      </c>
      <c r="O24" s="1011">
        <f t="shared" si="7"/>
        <v>0</v>
      </c>
      <c r="P24" s="1011">
        <f t="shared" si="7"/>
        <v>0</v>
      </c>
      <c r="Q24" s="1011">
        <f t="shared" si="7"/>
        <v>0</v>
      </c>
      <c r="R24" s="1011">
        <f t="shared" si="7"/>
        <v>0</v>
      </c>
      <c r="S24" s="1011">
        <f t="shared" si="7"/>
        <v>0</v>
      </c>
      <c r="T24" s="1011"/>
      <c r="U24" s="1011">
        <f t="shared" ref="U24:AA24" si="8">SUM(U21-U13)</f>
        <v>0</v>
      </c>
      <c r="V24" s="1011">
        <f t="shared" si="8"/>
        <v>0</v>
      </c>
      <c r="W24" s="1011">
        <f t="shared" si="8"/>
        <v>0</v>
      </c>
      <c r="X24" s="1011">
        <f t="shared" si="8"/>
        <v>0</v>
      </c>
      <c r="Y24" s="1011">
        <f t="shared" si="8"/>
        <v>0</v>
      </c>
      <c r="Z24" s="1011">
        <f t="shared" si="8"/>
        <v>-161243</v>
      </c>
      <c r="AA24" s="1011">
        <f t="shared" si="8"/>
        <v>0</v>
      </c>
      <c r="AB24" s="1011"/>
      <c r="AC24" s="1011">
        <f t="shared" ref="AC24:AO24" si="9">SUM(AC21-AC13)</f>
        <v>0</v>
      </c>
      <c r="AD24" s="1011">
        <f t="shared" si="9"/>
        <v>0</v>
      </c>
      <c r="AE24" s="1011">
        <f t="shared" si="9"/>
        <v>0</v>
      </c>
      <c r="AF24" s="1011">
        <f t="shared" si="9"/>
        <v>0</v>
      </c>
      <c r="AG24" s="1011">
        <f t="shared" si="9"/>
        <v>0</v>
      </c>
      <c r="AH24" s="1011">
        <f t="shared" si="9"/>
        <v>0</v>
      </c>
      <c r="AI24" s="1011">
        <f t="shared" si="9"/>
        <v>0</v>
      </c>
      <c r="AJ24" s="1011">
        <f t="shared" si="9"/>
        <v>0</v>
      </c>
      <c r="AK24" s="1011">
        <f t="shared" si="9"/>
        <v>0</v>
      </c>
      <c r="AL24" s="1011">
        <f t="shared" si="9"/>
        <v>0</v>
      </c>
      <c r="AM24" s="1011">
        <f t="shared" si="9"/>
        <v>0</v>
      </c>
      <c r="AN24" s="1011">
        <f t="shared" si="9"/>
        <v>0</v>
      </c>
      <c r="AO24" s="1011">
        <f t="shared" si="9"/>
        <v>0</v>
      </c>
      <c r="AP24" s="1096"/>
      <c r="AQ24" s="1096"/>
      <c r="AR24" s="1096"/>
      <c r="AS24" s="1096"/>
      <c r="AT24" s="1096"/>
    </row>
    <row r="25" spans="1:46" x14ac:dyDescent="0.25">
      <c r="A25" s="992"/>
      <c r="B25" s="992"/>
      <c r="C25" s="992"/>
      <c r="D25" s="992"/>
      <c r="E25" s="992"/>
      <c r="F25" s="992"/>
      <c r="G25" s="992"/>
      <c r="H25" s="992"/>
      <c r="I25" s="992"/>
      <c r="J25" s="992"/>
      <c r="K25" s="992"/>
      <c r="L25" s="992"/>
      <c r="M25" s="992"/>
      <c r="N25" s="992"/>
      <c r="O25" s="992"/>
      <c r="P25" s="992"/>
      <c r="Q25" s="992"/>
      <c r="R25" s="992"/>
      <c r="S25" s="992"/>
      <c r="T25" s="992"/>
      <c r="U25" s="992"/>
      <c r="V25" s="992"/>
      <c r="W25" s="992"/>
      <c r="X25" s="992"/>
      <c r="Y25" s="992"/>
      <c r="Z25" s="992"/>
      <c r="AA25" s="952"/>
      <c r="AB25" s="952"/>
      <c r="AC25" s="952"/>
      <c r="AD25" s="952"/>
      <c r="AE25" s="952"/>
      <c r="AF25" s="952"/>
      <c r="AG25" s="952"/>
      <c r="AH25" s="952"/>
      <c r="AI25" s="952"/>
      <c r="AJ25" s="952"/>
      <c r="AK25" s="952"/>
      <c r="AL25" s="952"/>
      <c r="AM25" s="952"/>
      <c r="AN25" s="952"/>
      <c r="AO25" s="952"/>
      <c r="AP25" s="952"/>
      <c r="AQ25" s="952"/>
      <c r="AR25" s="952"/>
      <c r="AS25" s="952"/>
      <c r="AT25" s="952"/>
    </row>
    <row r="26" spans="1:46" ht="15.75" x14ac:dyDescent="0.25">
      <c r="A26" s="4558" t="s">
        <v>902</v>
      </c>
      <c r="B26" s="4558"/>
      <c r="C26" s="1008"/>
      <c r="D26" s="1008"/>
      <c r="E26" s="1008"/>
      <c r="F26" s="1008"/>
      <c r="G26" s="1008"/>
      <c r="H26" s="1008"/>
      <c r="I26" s="1008"/>
      <c r="J26" s="1008"/>
      <c r="K26" s="992"/>
      <c r="L26" s="992"/>
      <c r="M26" s="992"/>
      <c r="N26" s="992"/>
      <c r="O26" s="992"/>
      <c r="P26" s="992"/>
      <c r="Q26" s="992"/>
      <c r="R26" s="992"/>
      <c r="S26" s="992"/>
      <c r="T26" s="992"/>
      <c r="U26" s="992"/>
      <c r="V26" s="992"/>
      <c r="W26" s="992"/>
      <c r="X26" s="992"/>
      <c r="Y26" s="992"/>
      <c r="Z26" s="992"/>
      <c r="AA26" s="952"/>
      <c r="AB26" s="952"/>
      <c r="AC26" s="952"/>
      <c r="AD26" s="952"/>
      <c r="AE26" s="952"/>
      <c r="AF26" s="952"/>
      <c r="AG26" s="952"/>
      <c r="AH26" s="952"/>
      <c r="AI26" s="952"/>
      <c r="AJ26" s="952"/>
      <c r="AK26" s="952"/>
      <c r="AL26" s="952"/>
      <c r="AM26" s="952"/>
      <c r="AN26" s="952"/>
      <c r="AO26" s="952"/>
      <c r="AP26" s="952"/>
      <c r="AQ26" s="952"/>
      <c r="AR26" s="952"/>
      <c r="AS26" s="952"/>
      <c r="AT26" s="952"/>
    </row>
    <row r="27" spans="1:46" x14ac:dyDescent="0.25">
      <c r="A27" s="992"/>
      <c r="B27" s="992"/>
      <c r="C27" s="992"/>
      <c r="D27" s="992"/>
      <c r="E27" s="992"/>
      <c r="F27" s="992"/>
      <c r="G27" s="992"/>
      <c r="H27" s="992"/>
      <c r="I27" s="992"/>
      <c r="J27" s="992"/>
      <c r="K27" s="992"/>
      <c r="L27" s="992"/>
      <c r="M27" s="992"/>
      <c r="N27" s="992"/>
      <c r="O27" s="992"/>
      <c r="P27" s="992"/>
      <c r="Q27" s="992"/>
      <c r="R27" s="992"/>
      <c r="S27" s="992"/>
      <c r="T27" s="992"/>
      <c r="U27" s="992"/>
      <c r="V27" s="992"/>
      <c r="W27" s="992"/>
      <c r="X27" s="992"/>
      <c r="Y27" s="992"/>
      <c r="Z27" s="992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  <c r="AQ27" s="952"/>
      <c r="AR27" s="952"/>
      <c r="AS27" s="952"/>
      <c r="AT27" s="952"/>
    </row>
    <row r="28" spans="1:46" ht="15.75" x14ac:dyDescent="0.25">
      <c r="A28" s="4548" t="s">
        <v>786</v>
      </c>
      <c r="B28" s="4548"/>
      <c r="C28" s="1007">
        <f>SUM('5.7. sz. mell.'!F8)</f>
        <v>37053989</v>
      </c>
      <c r="D28" s="1007">
        <f>SUM('5.7. sz. mell.'!G8)</f>
        <v>400940</v>
      </c>
      <c r="E28" s="1007">
        <f>SUM('5.7. sz. mell.'!H8)</f>
        <v>37454929</v>
      </c>
      <c r="F28" s="1007">
        <f>SUM('5.7. sz. mell.'!I8)</f>
        <v>-6953284</v>
      </c>
      <c r="G28" s="1007">
        <f>SUM('5.7. sz. mell.'!J8)</f>
        <v>30501645</v>
      </c>
      <c r="H28" s="1007">
        <f>SUM('5.7. sz. mell.'!K8)</f>
        <v>0</v>
      </c>
      <c r="I28" s="1007">
        <f>SUM('5.7. sz. mell.'!L8)</f>
        <v>30501645</v>
      </c>
      <c r="J28" s="1007">
        <f>SUM('5.7. sz. mell.'!M8)</f>
        <v>30501645</v>
      </c>
      <c r="K28" s="992"/>
      <c r="L28" s="992"/>
      <c r="M28" s="4548" t="s">
        <v>236</v>
      </c>
      <c r="N28" s="4548"/>
      <c r="O28" s="4548"/>
      <c r="P28" s="4548"/>
      <c r="Q28" s="4548"/>
      <c r="R28" s="4548"/>
      <c r="S28" s="1010">
        <f>SUM('5.7. sz. mell.'!F51)</f>
        <v>43541874</v>
      </c>
      <c r="T28" s="1010">
        <f>SUM('5.7. sz. mell.'!G51)</f>
        <v>2571061</v>
      </c>
      <c r="U28" s="1010">
        <f>SUM('5.7. sz. mell.'!H51)</f>
        <v>46112935</v>
      </c>
      <c r="V28" s="1010">
        <f>SUM('5.7. sz. mell.'!I51)</f>
        <v>2253734</v>
      </c>
      <c r="W28" s="1010">
        <f>SUM('5.7. sz. mell.'!J51)</f>
        <v>48366669</v>
      </c>
      <c r="X28" s="1010">
        <f>SUM('5.7. sz. mell.'!K51)</f>
        <v>0</v>
      </c>
      <c r="Y28" s="1010">
        <f>SUM('5.7. sz. mell.'!L51)</f>
        <v>48366669</v>
      </c>
      <c r="Z28" s="1010">
        <f>SUM('5.7. sz. mell.'!M51)</f>
        <v>48366669</v>
      </c>
      <c r="AA28" s="952"/>
      <c r="AB28" s="952"/>
      <c r="AC28" s="952"/>
      <c r="AD28" s="952"/>
      <c r="AE28" s="952"/>
      <c r="AF28" s="952"/>
      <c r="AG28" s="952"/>
      <c r="AH28" s="952"/>
      <c r="AI28" s="952"/>
      <c r="AJ28" s="952"/>
      <c r="AK28" s="952"/>
      <c r="AL28" s="952"/>
      <c r="AM28" s="952"/>
      <c r="AN28" s="952"/>
      <c r="AO28" s="952"/>
      <c r="AP28" s="952"/>
      <c r="AQ28" s="952"/>
      <c r="AR28" s="952"/>
      <c r="AS28" s="952"/>
      <c r="AT28" s="952"/>
    </row>
    <row r="29" spans="1:46" ht="15.75" x14ac:dyDescent="0.25">
      <c r="A29" s="1006" t="s">
        <v>893</v>
      </c>
      <c r="B29" s="1006"/>
      <c r="C29" s="1011">
        <f>SUM(C28-C7)</f>
        <v>0</v>
      </c>
      <c r="D29" s="1011"/>
      <c r="E29" s="1011">
        <f>SUM(E28-E7)</f>
        <v>0</v>
      </c>
      <c r="F29" s="1011"/>
      <c r="G29" s="1011">
        <f>SUM(G28-G7)</f>
        <v>-6953284</v>
      </c>
      <c r="H29" s="1011"/>
      <c r="I29" s="1011">
        <f>SUM(I28-I7)</f>
        <v>0</v>
      </c>
      <c r="J29" s="1011">
        <f>SUM(J28-J7)</f>
        <v>0</v>
      </c>
      <c r="K29" s="992"/>
      <c r="L29" s="992"/>
      <c r="M29" s="1006" t="s">
        <v>893</v>
      </c>
      <c r="N29" s="1006"/>
      <c r="O29" s="1006"/>
      <c r="P29" s="1006"/>
      <c r="Q29" s="1006"/>
      <c r="R29" s="992"/>
      <c r="S29" s="1012">
        <f>SUM(S28-C16)</f>
        <v>0</v>
      </c>
      <c r="T29" s="1012"/>
      <c r="U29" s="1012">
        <f>SUM(U28-E16)</f>
        <v>0</v>
      </c>
      <c r="V29" s="1012"/>
      <c r="W29" s="1012">
        <f>SUM(W28-G16)</f>
        <v>706436</v>
      </c>
      <c r="X29" s="1012"/>
      <c r="Y29" s="1012">
        <f>SUM(Y28-I16)</f>
        <v>0</v>
      </c>
      <c r="Z29" s="1012">
        <f>SUM(Z28-J16)</f>
        <v>0</v>
      </c>
      <c r="AA29" s="952"/>
      <c r="AB29" s="952"/>
      <c r="AC29" s="952"/>
      <c r="AD29" s="952"/>
      <c r="AE29" s="952"/>
      <c r="AF29" s="952"/>
      <c r="AG29" s="952"/>
      <c r="AH29" s="952"/>
      <c r="AI29" s="952"/>
      <c r="AJ29" s="952"/>
      <c r="AK29" s="952"/>
      <c r="AL29" s="952"/>
      <c r="AM29" s="952"/>
      <c r="AN29" s="952"/>
      <c r="AO29" s="952"/>
      <c r="AP29" s="952"/>
      <c r="AQ29" s="952"/>
      <c r="AR29" s="952"/>
      <c r="AS29" s="952"/>
      <c r="AT29" s="952"/>
    </row>
    <row r="30" spans="1:46" ht="15.75" x14ac:dyDescent="0.25">
      <c r="A30" s="1008"/>
      <c r="B30" s="1008"/>
      <c r="C30" s="992"/>
      <c r="D30" s="992"/>
      <c r="E30" s="992"/>
      <c r="F30" s="992"/>
      <c r="G30" s="992"/>
      <c r="H30" s="992"/>
      <c r="I30" s="992"/>
      <c r="J30" s="992"/>
      <c r="K30" s="992"/>
      <c r="L30" s="992"/>
      <c r="M30" s="992"/>
      <c r="N30" s="992"/>
      <c r="O30" s="992"/>
      <c r="P30" s="992"/>
      <c r="Q30" s="992"/>
      <c r="R30" s="992"/>
      <c r="S30" s="1008"/>
      <c r="T30" s="1008"/>
      <c r="U30" s="1008"/>
      <c r="V30" s="1008"/>
      <c r="W30" s="1008"/>
      <c r="X30" s="1008"/>
      <c r="Y30" s="1008"/>
      <c r="Z30" s="1008"/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  <c r="AR30" s="952"/>
      <c r="AS30" s="952"/>
      <c r="AT30" s="952"/>
    </row>
    <row r="31" spans="1:46" ht="15.75" x14ac:dyDescent="0.25">
      <c r="A31" s="4548" t="s">
        <v>892</v>
      </c>
      <c r="B31" s="4548"/>
      <c r="C31" s="1007">
        <f>SUM('5.7. sz. mell.'!F40)</f>
        <v>100302142</v>
      </c>
      <c r="D31" s="1007">
        <f>SUM('5.7. sz. mell.'!G40)</f>
        <v>21268372</v>
      </c>
      <c r="E31" s="1007">
        <f>SUM('5.7. sz. mell.'!H40)</f>
        <v>121570514</v>
      </c>
      <c r="F31" s="1007">
        <f>SUM('5.7. sz. mell.'!I40)</f>
        <v>-8614324</v>
      </c>
      <c r="G31" s="1007">
        <f>SUM('5.7. sz. mell.'!J40)</f>
        <v>112956190</v>
      </c>
      <c r="H31" s="1007"/>
      <c r="I31" s="1007">
        <f>SUM('5.7. sz. mell.'!L40)</f>
        <v>112956190</v>
      </c>
      <c r="J31" s="1007">
        <f>SUM('5.7. sz. mell.'!M40)</f>
        <v>112956190</v>
      </c>
      <c r="K31" s="992"/>
      <c r="L31" s="992"/>
      <c r="M31" s="4548" t="s">
        <v>895</v>
      </c>
      <c r="N31" s="4548"/>
      <c r="O31" s="4548"/>
      <c r="P31" s="4548"/>
      <c r="Q31" s="4548"/>
      <c r="R31" s="4548"/>
      <c r="S31" s="1010">
        <f>SUM('5.7. sz. mell.'!F52)</f>
        <v>8696079</v>
      </c>
      <c r="T31" s="1010">
        <f>SUM('5.7. sz. mell.'!G52)</f>
        <v>507811</v>
      </c>
      <c r="U31" s="1010">
        <f>SUM('5.7. sz. mell.'!H52)</f>
        <v>9203890</v>
      </c>
      <c r="V31" s="1010">
        <f>SUM('5.7. sz. mell.'!I52)</f>
        <v>468463</v>
      </c>
      <c r="W31" s="1010">
        <f>SUM('5.7. sz. mell.'!J52)</f>
        <v>9672353</v>
      </c>
      <c r="X31" s="1010">
        <f>SUM('5.7. sz. mell.'!K52)</f>
        <v>0</v>
      </c>
      <c r="Y31" s="1010">
        <f>SUM('5.7. sz. mell.'!L52)</f>
        <v>9672353</v>
      </c>
      <c r="Z31" s="1010">
        <f>SUM('5.7. sz. mell.'!M52)</f>
        <v>9672353</v>
      </c>
      <c r="AA31" s="952"/>
      <c r="AB31" s="952"/>
      <c r="AC31" s="952"/>
      <c r="AD31" s="952"/>
      <c r="AE31" s="952"/>
      <c r="AF31" s="952"/>
      <c r="AG31" s="952"/>
      <c r="AH31" s="952"/>
      <c r="AI31" s="952"/>
      <c r="AJ31" s="952"/>
      <c r="AK31" s="952"/>
      <c r="AL31" s="952"/>
      <c r="AM31" s="952"/>
      <c r="AN31" s="952"/>
      <c r="AO31" s="952"/>
      <c r="AP31" s="952"/>
      <c r="AQ31" s="952"/>
      <c r="AR31" s="952"/>
      <c r="AS31" s="952"/>
      <c r="AT31" s="952"/>
    </row>
    <row r="32" spans="1:46" ht="15.75" x14ac:dyDescent="0.25">
      <c r="A32" s="1006" t="s">
        <v>893</v>
      </c>
      <c r="B32" s="1008"/>
      <c r="C32" s="1011">
        <f>SUM(C31-C8)</f>
        <v>0</v>
      </c>
      <c r="D32" s="1011"/>
      <c r="E32" s="1011">
        <f>SUM(E31-E8)</f>
        <v>0</v>
      </c>
      <c r="F32" s="1011"/>
      <c r="G32" s="1011">
        <f>SUM(G31-G8)</f>
        <v>-11999345</v>
      </c>
      <c r="H32" s="1011"/>
      <c r="I32" s="1011">
        <f>SUM(I31-I8)</f>
        <v>0</v>
      </c>
      <c r="J32" s="1011">
        <f>SUM(J31-J8)</f>
        <v>0</v>
      </c>
      <c r="K32" s="992"/>
      <c r="L32" s="992"/>
      <c r="M32" s="1006" t="s">
        <v>893</v>
      </c>
      <c r="N32" s="1006"/>
      <c r="O32" s="1006"/>
      <c r="P32" s="1006"/>
      <c r="Q32" s="1006"/>
      <c r="R32" s="992"/>
      <c r="S32" s="1012">
        <f>SUM(S31-C17)</f>
        <v>0</v>
      </c>
      <c r="T32" s="1012"/>
      <c r="U32" s="1012">
        <f>SUM(U31-E17)</f>
        <v>0</v>
      </c>
      <c r="V32" s="1012"/>
      <c r="W32" s="1012">
        <f>SUM(W31-G17)</f>
        <v>166740</v>
      </c>
      <c r="X32" s="1012"/>
      <c r="Y32" s="1012">
        <f>SUM(Y31-I17)</f>
        <v>0</v>
      </c>
      <c r="Z32" s="1012">
        <f>SUM(Z31-J17)</f>
        <v>0</v>
      </c>
      <c r="AA32" s="952"/>
      <c r="AB32" s="952"/>
      <c r="AC32" s="952"/>
      <c r="AD32" s="952"/>
      <c r="AE32" s="952"/>
      <c r="AF32" s="952"/>
      <c r="AG32" s="952"/>
      <c r="AH32" s="952"/>
      <c r="AI32" s="952"/>
      <c r="AJ32" s="952"/>
      <c r="AK32" s="952"/>
      <c r="AL32" s="952"/>
      <c r="AM32" s="952"/>
      <c r="AN32" s="952"/>
      <c r="AO32" s="952"/>
      <c r="AP32" s="952"/>
      <c r="AQ32" s="952"/>
      <c r="AR32" s="952"/>
      <c r="AS32" s="952"/>
      <c r="AT32" s="952"/>
    </row>
    <row r="33" spans="1:46" ht="15.75" x14ac:dyDescent="0.25">
      <c r="A33" s="1008"/>
      <c r="B33" s="1008"/>
      <c r="C33" s="992"/>
      <c r="D33" s="992"/>
      <c r="E33" s="992"/>
      <c r="F33" s="992"/>
      <c r="G33" s="992"/>
      <c r="H33" s="992"/>
      <c r="I33" s="992"/>
      <c r="J33" s="992"/>
      <c r="K33" s="992"/>
      <c r="L33" s="992"/>
      <c r="M33" s="992"/>
      <c r="N33" s="992"/>
      <c r="O33" s="992"/>
      <c r="P33" s="992"/>
      <c r="Q33" s="992"/>
      <c r="R33" s="992"/>
      <c r="S33" s="1008"/>
      <c r="T33" s="1008"/>
      <c r="U33" s="1008"/>
      <c r="V33" s="1008"/>
      <c r="W33" s="1008"/>
      <c r="X33" s="1008"/>
      <c r="Y33" s="1008"/>
      <c r="Z33" s="1008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  <c r="AR33" s="952"/>
      <c r="AS33" s="952"/>
      <c r="AT33" s="952"/>
    </row>
    <row r="34" spans="1:46" ht="15.75" x14ac:dyDescent="0.25">
      <c r="A34" s="4548" t="s">
        <v>891</v>
      </c>
      <c r="B34" s="4548"/>
      <c r="C34" s="1007">
        <f>SUM('5.7. sz. mell.'!F44)</f>
        <v>12773970</v>
      </c>
      <c r="D34" s="1007">
        <f>SUM('5.7. sz. mell.'!G44)</f>
        <v>1558512</v>
      </c>
      <c r="E34" s="1007">
        <f>SUM('5.7. sz. mell.'!H44)</f>
        <v>14332482</v>
      </c>
      <c r="F34" s="1007">
        <f>SUM('5.7. sz. mell.'!I44)</f>
        <v>2476679</v>
      </c>
      <c r="G34" s="1007">
        <f>SUM('5.7. sz. mell.'!J44)</f>
        <v>16809161</v>
      </c>
      <c r="H34" s="1007"/>
      <c r="I34" s="1007">
        <f>SUM('5.7. sz. mell.'!L44)</f>
        <v>16809161</v>
      </c>
      <c r="J34" s="1007">
        <f>SUM('5.7. sz. mell.'!M44)</f>
        <v>16809161</v>
      </c>
      <c r="K34" s="992"/>
      <c r="L34" s="992"/>
      <c r="M34" s="4549" t="s">
        <v>896</v>
      </c>
      <c r="N34" s="4549"/>
      <c r="O34" s="4549"/>
      <c r="P34" s="4549"/>
      <c r="Q34" s="4549"/>
      <c r="R34" s="4549"/>
      <c r="S34" s="1010">
        <f>SUM('5.7. sz. mell.'!F53)</f>
        <v>84102178</v>
      </c>
      <c r="T34" s="1010">
        <f>SUM('5.7. sz. mell.'!G53)</f>
        <v>19127740</v>
      </c>
      <c r="U34" s="1010">
        <f>SUM('5.7. sz. mell.'!H53)</f>
        <v>103229918</v>
      </c>
      <c r="V34" s="1010">
        <f>SUM('5.7. sz. mell.'!I53)</f>
        <v>-19217896</v>
      </c>
      <c r="W34" s="1010">
        <f>SUM('5.7. sz. mell.'!J53)</f>
        <v>84012022</v>
      </c>
      <c r="X34" s="1010">
        <f>SUM('5.7. sz. mell.'!K53)</f>
        <v>0</v>
      </c>
      <c r="Y34" s="1010">
        <f>SUM('5.7. sz. mell.'!L53)</f>
        <v>84012022</v>
      </c>
      <c r="Z34" s="1010">
        <f>SUM('5.7. sz. mell.'!M53)</f>
        <v>83850779</v>
      </c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  <c r="AN34" s="952"/>
      <c r="AO34" s="952"/>
      <c r="AP34" s="952"/>
      <c r="AQ34" s="952"/>
      <c r="AR34" s="952"/>
      <c r="AS34" s="952"/>
      <c r="AT34" s="952"/>
    </row>
    <row r="35" spans="1:46" ht="15.75" x14ac:dyDescent="0.25">
      <c r="A35" s="1006" t="s">
        <v>893</v>
      </c>
      <c r="B35" s="1008"/>
      <c r="C35" s="1011">
        <f>SUM(C34-C9)</f>
        <v>0</v>
      </c>
      <c r="D35" s="1011"/>
      <c r="E35" s="1011">
        <f>SUM(E34-E9)</f>
        <v>0</v>
      </c>
      <c r="F35" s="1011"/>
      <c r="G35" s="1011">
        <f>SUM(G34-G9)</f>
        <v>1147091</v>
      </c>
      <c r="H35" s="1011"/>
      <c r="I35" s="1011">
        <f>SUM(I34-I9)</f>
        <v>0</v>
      </c>
      <c r="J35" s="1011">
        <f>SUM(J34-J9)</f>
        <v>0</v>
      </c>
      <c r="K35" s="992"/>
      <c r="L35" s="992"/>
      <c r="M35" s="1006" t="s">
        <v>893</v>
      </c>
      <c r="N35" s="1006"/>
      <c r="O35" s="1006"/>
      <c r="P35" s="1006"/>
      <c r="Q35" s="1006"/>
      <c r="R35" s="992"/>
      <c r="S35" s="1012">
        <f>SUM(S34-C18)</f>
        <v>0</v>
      </c>
      <c r="T35" s="1012"/>
      <c r="U35" s="1012">
        <f>SUM(U34-E18)</f>
        <v>0</v>
      </c>
      <c r="V35" s="1012"/>
      <c r="W35" s="1012">
        <f>SUM(W34-G18)</f>
        <v>-19217896</v>
      </c>
      <c r="X35" s="1012"/>
      <c r="Y35" s="1012">
        <f>SUM(Y34-I18)</f>
        <v>0</v>
      </c>
      <c r="Z35" s="1012">
        <f>SUM(Z34-J18)</f>
        <v>0</v>
      </c>
      <c r="AA35" s="952"/>
      <c r="AB35" s="952"/>
      <c r="AC35" s="952"/>
      <c r="AD35" s="952"/>
      <c r="AE35" s="952"/>
      <c r="AF35" s="952"/>
      <c r="AG35" s="952"/>
      <c r="AH35" s="952"/>
      <c r="AI35" s="952"/>
      <c r="AJ35" s="952"/>
      <c r="AK35" s="952"/>
      <c r="AL35" s="952"/>
      <c r="AM35" s="952"/>
      <c r="AN35" s="952"/>
      <c r="AO35" s="952"/>
      <c r="AP35" s="952"/>
      <c r="AQ35" s="952"/>
      <c r="AR35" s="952"/>
      <c r="AS35" s="952"/>
      <c r="AT35" s="952"/>
    </row>
    <row r="36" spans="1:46" ht="15.75" x14ac:dyDescent="0.25">
      <c r="A36" s="1008"/>
      <c r="B36" s="1008"/>
      <c r="C36" s="992"/>
      <c r="D36" s="992"/>
      <c r="E36" s="992"/>
      <c r="F36" s="992"/>
      <c r="G36" s="992"/>
      <c r="H36" s="992"/>
      <c r="I36" s="992"/>
      <c r="J36" s="992"/>
      <c r="K36" s="992"/>
      <c r="L36" s="992"/>
      <c r="M36" s="992"/>
      <c r="N36" s="992"/>
      <c r="O36" s="992"/>
      <c r="P36" s="992"/>
      <c r="Q36" s="992"/>
      <c r="R36" s="992"/>
      <c r="S36" s="1008"/>
      <c r="T36" s="1008"/>
      <c r="U36" s="1008"/>
      <c r="V36" s="1008"/>
      <c r="W36" s="1008"/>
      <c r="X36" s="1008"/>
      <c r="Y36" s="1008"/>
      <c r="Z36" s="1008"/>
      <c r="AA36" s="952"/>
      <c r="AB36" s="952"/>
      <c r="AC36" s="952"/>
      <c r="AD36" s="952"/>
      <c r="AE36" s="952"/>
      <c r="AF36" s="952"/>
      <c r="AG36" s="952"/>
      <c r="AH36" s="952"/>
      <c r="AI36" s="952"/>
      <c r="AJ36" s="952"/>
      <c r="AK36" s="952"/>
      <c r="AL36" s="952"/>
      <c r="AM36" s="952"/>
      <c r="AN36" s="952"/>
      <c r="AO36" s="952"/>
      <c r="AP36" s="952"/>
      <c r="AQ36" s="952"/>
      <c r="AR36" s="952"/>
      <c r="AS36" s="952"/>
      <c r="AT36" s="952"/>
    </row>
    <row r="37" spans="1:46" ht="15.75" x14ac:dyDescent="0.25">
      <c r="A37" s="4548" t="s">
        <v>890</v>
      </c>
      <c r="B37" s="4548"/>
      <c r="C37" s="1007">
        <f>SUM('5.7. sz. mell.'!F45+'5.7. sz. mell.'!F41)</f>
        <v>87528172</v>
      </c>
      <c r="D37" s="1007">
        <f>SUM('5.7. sz. mell.'!G45+'5.7. sz. mell.'!G41)</f>
        <v>19709860</v>
      </c>
      <c r="E37" s="1007">
        <f>SUM('5.7. sz. mell.'!H45+'5.7. sz. mell.'!H41)</f>
        <v>107238032</v>
      </c>
      <c r="F37" s="1007">
        <f>SUM('5.7. sz. mell.'!I45+'5.7. sz. mell.'!I41)</f>
        <v>-11091003</v>
      </c>
      <c r="G37" s="1007">
        <f>SUM('5.7. sz. mell.'!J45+'5.7. sz. mell.'!J41)</f>
        <v>96147029</v>
      </c>
      <c r="H37" s="1007"/>
      <c r="I37" s="1007">
        <f>SUM('5.7. sz. mell.'!L45+'5.7. sz. mell.'!L41)</f>
        <v>96147029</v>
      </c>
      <c r="J37" s="1007">
        <f>SUM('5.7. sz. mell.'!M45+'5.7. sz. mell.'!M41)</f>
        <v>96147029</v>
      </c>
      <c r="K37" s="992"/>
      <c r="L37" s="992"/>
      <c r="M37" s="4549" t="s">
        <v>897</v>
      </c>
      <c r="N37" s="4549"/>
      <c r="O37" s="4549"/>
      <c r="P37" s="4549"/>
      <c r="Q37" s="4549"/>
      <c r="R37" s="4549"/>
      <c r="S37" s="1010">
        <f>SUM('5.7. sz. mell.'!F55)</f>
        <v>0</v>
      </c>
      <c r="T37" s="1010"/>
      <c r="U37" s="1010">
        <f>SUM('5.7. sz. mell.'!J55)</f>
        <v>0</v>
      </c>
      <c r="V37" s="1010"/>
      <c r="W37" s="1010">
        <f>SUM('5.7. sz. mell.'!L55)</f>
        <v>0</v>
      </c>
      <c r="X37" s="1010"/>
      <c r="Y37" s="1010">
        <f>SUM('5.7. sz. mell.'!N55)</f>
        <v>0</v>
      </c>
      <c r="Z37" s="1010">
        <f>SUM('5.7. sz. mell.'!M55)</f>
        <v>0</v>
      </c>
      <c r="AA37" s="952"/>
      <c r="AB37" s="952"/>
      <c r="AC37" s="952"/>
      <c r="AD37" s="952"/>
      <c r="AE37" s="952"/>
      <c r="AF37" s="952"/>
      <c r="AG37" s="952"/>
      <c r="AH37" s="952"/>
      <c r="AI37" s="952"/>
      <c r="AJ37" s="952"/>
      <c r="AK37" s="952"/>
      <c r="AL37" s="952"/>
      <c r="AM37" s="952"/>
      <c r="AN37" s="952"/>
      <c r="AO37" s="952"/>
      <c r="AP37" s="952"/>
      <c r="AQ37" s="952"/>
      <c r="AR37" s="952"/>
      <c r="AS37" s="952"/>
      <c r="AT37" s="952"/>
    </row>
    <row r="38" spans="1:46" ht="15.75" x14ac:dyDescent="0.25">
      <c r="A38" s="1006" t="s">
        <v>893</v>
      </c>
      <c r="B38" s="1008"/>
      <c r="C38" s="1011">
        <f>SUM(C37-C10)</f>
        <v>0</v>
      </c>
      <c r="D38" s="1011"/>
      <c r="E38" s="1011">
        <f>SUM(E37-E10)</f>
        <v>0</v>
      </c>
      <c r="F38" s="1011"/>
      <c r="G38" s="1011">
        <f>SUM(G37-G10)</f>
        <v>-13146436</v>
      </c>
      <c r="H38" s="1011"/>
      <c r="I38" s="1011">
        <f>SUM(I37-I10)</f>
        <v>0</v>
      </c>
      <c r="J38" s="1011">
        <f>SUM(J37-J10)</f>
        <v>0</v>
      </c>
      <c r="K38" s="992"/>
      <c r="L38" s="992"/>
      <c r="M38" s="1006" t="s">
        <v>893</v>
      </c>
      <c r="N38" s="1006"/>
      <c r="O38" s="1006"/>
      <c r="P38" s="1006"/>
      <c r="Q38" s="1006"/>
      <c r="R38" s="992"/>
      <c r="S38" s="1012">
        <f>SUM(S37-C19)</f>
        <v>0</v>
      </c>
      <c r="T38" s="1012">
        <f t="shared" ref="T38:Y38" si="10">SUM(T37-D19)</f>
        <v>0</v>
      </c>
      <c r="U38" s="1012">
        <f t="shared" si="10"/>
        <v>0</v>
      </c>
      <c r="V38" s="1012">
        <f t="shared" si="10"/>
        <v>0</v>
      </c>
      <c r="W38" s="1012">
        <f t="shared" si="10"/>
        <v>0</v>
      </c>
      <c r="X38" s="1012">
        <f t="shared" si="10"/>
        <v>0</v>
      </c>
      <c r="Y38" s="1012">
        <f t="shared" si="10"/>
        <v>0</v>
      </c>
      <c r="Z38" s="1012">
        <f>SUM(Z37-J19)</f>
        <v>0</v>
      </c>
      <c r="AA38" s="952"/>
      <c r="AB38" s="952"/>
      <c r="AC38" s="952"/>
      <c r="AD38" s="952"/>
      <c r="AE38" s="952"/>
      <c r="AF38" s="952"/>
      <c r="AG38" s="952"/>
      <c r="AH38" s="952"/>
      <c r="AI38" s="952"/>
      <c r="AJ38" s="952"/>
      <c r="AK38" s="952"/>
      <c r="AL38" s="952"/>
      <c r="AM38" s="952"/>
      <c r="AN38" s="952"/>
      <c r="AO38" s="952"/>
      <c r="AP38" s="952"/>
      <c r="AQ38" s="952"/>
      <c r="AR38" s="952"/>
      <c r="AS38" s="952"/>
      <c r="AT38" s="952"/>
    </row>
    <row r="39" spans="1:46" ht="15.75" x14ac:dyDescent="0.25">
      <c r="A39" s="1006"/>
      <c r="B39" s="1008"/>
      <c r="C39" s="1011"/>
      <c r="D39" s="1011"/>
      <c r="E39" s="1011"/>
      <c r="F39" s="1011"/>
      <c r="G39" s="1011"/>
      <c r="H39" s="1011"/>
      <c r="I39" s="1011"/>
      <c r="J39" s="1011"/>
      <c r="K39" s="992"/>
      <c r="L39" s="992"/>
      <c r="M39" s="1006"/>
      <c r="N39" s="1006"/>
      <c r="O39" s="1006"/>
      <c r="P39" s="1006"/>
      <c r="Q39" s="1006"/>
      <c r="R39" s="992"/>
      <c r="S39" s="1012"/>
      <c r="T39" s="1012"/>
      <c r="U39" s="1012"/>
      <c r="V39" s="1012"/>
      <c r="W39" s="1012"/>
      <c r="X39" s="1012"/>
      <c r="Y39" s="1012"/>
      <c r="Z39" s="1012"/>
      <c r="AA39" s="952"/>
      <c r="AB39" s="952"/>
      <c r="AC39" s="952"/>
      <c r="AD39" s="952"/>
      <c r="AE39" s="952"/>
      <c r="AF39" s="952"/>
      <c r="AG39" s="952"/>
      <c r="AH39" s="952"/>
      <c r="AI39" s="952"/>
      <c r="AJ39" s="952"/>
      <c r="AK39" s="952"/>
      <c r="AL39" s="952"/>
      <c r="AM39" s="952"/>
      <c r="AN39" s="952"/>
      <c r="AO39" s="952"/>
      <c r="AP39" s="952"/>
      <c r="AQ39" s="952"/>
      <c r="AR39" s="952"/>
      <c r="AS39" s="952"/>
      <c r="AT39" s="952"/>
    </row>
    <row r="40" spans="1:46" ht="15.75" x14ac:dyDescent="0.25">
      <c r="A40" s="4624" t="s">
        <v>2015</v>
      </c>
      <c r="B40" s="4624"/>
      <c r="C40" s="1011">
        <f>SUM('5.7. sz. mell.'!F27)</f>
        <v>0</v>
      </c>
      <c r="D40" s="1011">
        <f>SUM('5.7. sz. mell.'!G27)</f>
        <v>402500</v>
      </c>
      <c r="E40" s="1011">
        <f>SUM('5.7. sz. mell.'!H27)</f>
        <v>402500</v>
      </c>
      <c r="F40" s="1011">
        <f>SUM('5.7. sz. mell.'!I27)</f>
        <v>0</v>
      </c>
      <c r="G40" s="1011">
        <v>0</v>
      </c>
      <c r="H40" s="1011">
        <f>SUM('5.7. sz. mell.'!K27)</f>
        <v>0</v>
      </c>
      <c r="I40" s="1007">
        <f>SUM('5.7. sz. mell.'!L27)</f>
        <v>402500</v>
      </c>
      <c r="J40" s="1007">
        <f>SUM('5.7. sz. mell.'!M27)</f>
        <v>402500</v>
      </c>
      <c r="K40" s="992"/>
      <c r="L40" s="992"/>
      <c r="M40" s="1006"/>
      <c r="N40" s="1006"/>
      <c r="O40" s="1006"/>
      <c r="P40" s="1006"/>
      <c r="Q40" s="4468"/>
      <c r="R40" s="4302"/>
      <c r="S40" s="1012"/>
      <c r="T40" s="1012"/>
      <c r="U40" s="1012"/>
      <c r="V40" s="1012"/>
      <c r="W40" s="1012"/>
      <c r="X40" s="1012"/>
      <c r="Y40" s="1012"/>
      <c r="Z40" s="1012"/>
      <c r="AA40" s="952"/>
      <c r="AB40" s="952"/>
      <c r="AC40" s="952"/>
      <c r="AD40" s="952"/>
      <c r="AE40" s="952"/>
      <c r="AF40" s="952"/>
      <c r="AG40" s="952"/>
      <c r="AH40" s="952"/>
      <c r="AI40" s="952"/>
      <c r="AJ40" s="952"/>
      <c r="AK40" s="952"/>
      <c r="AL40" s="952"/>
      <c r="AM40" s="952"/>
      <c r="AN40" s="952"/>
      <c r="AO40" s="952"/>
      <c r="AP40" s="952"/>
      <c r="AQ40" s="952"/>
      <c r="AR40" s="952"/>
      <c r="AS40" s="952"/>
      <c r="AT40" s="952"/>
    </row>
    <row r="41" spans="1:46" ht="15.75" x14ac:dyDescent="0.25">
      <c r="A41" s="1006" t="s">
        <v>893</v>
      </c>
      <c r="B41" s="1008"/>
      <c r="C41" s="1011">
        <f t="shared" ref="C41:J41" si="11">SUM(C40-C11)</f>
        <v>0</v>
      </c>
      <c r="D41" s="1011">
        <f t="shared" si="11"/>
        <v>402500</v>
      </c>
      <c r="E41" s="1011">
        <f t="shared" si="11"/>
        <v>402500</v>
      </c>
      <c r="F41" s="1011">
        <f t="shared" si="11"/>
        <v>0</v>
      </c>
      <c r="G41" s="1011">
        <f t="shared" si="11"/>
        <v>0</v>
      </c>
      <c r="H41" s="1011">
        <f t="shared" si="11"/>
        <v>0</v>
      </c>
      <c r="I41" s="1011">
        <f t="shared" si="11"/>
        <v>0</v>
      </c>
      <c r="J41" s="1011">
        <f t="shared" si="11"/>
        <v>0</v>
      </c>
      <c r="K41" s="992"/>
      <c r="L41" s="992"/>
      <c r="M41" s="1006"/>
      <c r="N41" s="1006"/>
      <c r="O41" s="1006"/>
      <c r="P41" s="1006"/>
      <c r="Q41" s="4468"/>
      <c r="R41" s="4302"/>
      <c r="S41" s="1012"/>
      <c r="T41" s="1012"/>
      <c r="U41" s="1012"/>
      <c r="V41" s="1012"/>
      <c r="W41" s="1012"/>
      <c r="X41" s="1012"/>
      <c r="Y41" s="1012"/>
      <c r="Z41" s="1012"/>
      <c r="AA41" s="952"/>
      <c r="AB41" s="952"/>
      <c r="AC41" s="952"/>
      <c r="AD41" s="952"/>
      <c r="AE41" s="952"/>
      <c r="AF41" s="952"/>
      <c r="AG41" s="952"/>
      <c r="AH41" s="952"/>
      <c r="AI41" s="952"/>
      <c r="AJ41" s="952"/>
      <c r="AK41" s="952"/>
      <c r="AL41" s="952"/>
      <c r="AM41" s="952"/>
      <c r="AN41" s="952"/>
      <c r="AO41" s="952"/>
      <c r="AP41" s="952"/>
      <c r="AQ41" s="952"/>
      <c r="AR41" s="952"/>
      <c r="AS41" s="952"/>
      <c r="AT41" s="952"/>
    </row>
    <row r="42" spans="1:46" ht="15.75" x14ac:dyDescent="0.25">
      <c r="A42" s="1006"/>
      <c r="B42" s="1008"/>
      <c r="C42" s="1011"/>
      <c r="D42" s="1011"/>
      <c r="E42" s="1011"/>
      <c r="F42" s="1011"/>
      <c r="G42" s="1011"/>
      <c r="H42" s="1011"/>
      <c r="I42" s="1011"/>
      <c r="J42" s="1011"/>
      <c r="K42" s="992"/>
      <c r="L42" s="992"/>
      <c r="M42" s="1006"/>
      <c r="N42" s="1006"/>
      <c r="O42" s="1006"/>
      <c r="P42" s="1006"/>
      <c r="Q42" s="3310"/>
      <c r="R42" s="3308"/>
      <c r="S42" s="1012"/>
      <c r="T42" s="1012"/>
      <c r="U42" s="1012"/>
      <c r="V42" s="1012"/>
      <c r="W42" s="1012"/>
      <c r="X42" s="1012"/>
      <c r="Y42" s="1012"/>
      <c r="Z42" s="1012"/>
      <c r="AA42" s="952"/>
      <c r="AB42" s="952"/>
      <c r="AC42" s="952"/>
      <c r="AD42" s="952"/>
      <c r="AE42" s="952"/>
      <c r="AF42" s="952"/>
      <c r="AG42" s="952"/>
      <c r="AH42" s="952"/>
      <c r="AI42" s="952"/>
      <c r="AJ42" s="952"/>
      <c r="AK42" s="952"/>
      <c r="AL42" s="952"/>
      <c r="AM42" s="952"/>
      <c r="AN42" s="952"/>
      <c r="AO42" s="952"/>
      <c r="AP42" s="952"/>
      <c r="AQ42" s="952"/>
      <c r="AR42" s="952"/>
      <c r="AS42" s="952"/>
      <c r="AT42" s="952"/>
    </row>
    <row r="43" spans="1:46" ht="15.75" x14ac:dyDescent="0.25">
      <c r="A43" s="1008" t="s">
        <v>2027</v>
      </c>
      <c r="B43" s="1008"/>
      <c r="C43" s="1011"/>
      <c r="D43" s="1011"/>
      <c r="E43" s="1011"/>
      <c r="F43" s="1011"/>
      <c r="G43" s="1007">
        <v>402500</v>
      </c>
      <c r="H43" s="1011"/>
      <c r="I43" s="1011"/>
      <c r="J43" s="1011"/>
      <c r="K43" s="992"/>
      <c r="L43" s="992"/>
      <c r="M43" s="1006"/>
      <c r="N43" s="1006"/>
      <c r="O43" s="1006"/>
      <c r="P43" s="1006"/>
      <c r="Q43" s="3310"/>
      <c r="R43" s="3308"/>
      <c r="S43" s="1012"/>
      <c r="T43" s="1012"/>
      <c r="U43" s="1012"/>
      <c r="V43" s="1012"/>
      <c r="W43" s="1012"/>
      <c r="X43" s="1012"/>
      <c r="Y43" s="1012"/>
      <c r="Z43" s="1012"/>
      <c r="AA43" s="952"/>
      <c r="AB43" s="952"/>
      <c r="AC43" s="952"/>
      <c r="AD43" s="952"/>
      <c r="AE43" s="952"/>
      <c r="AF43" s="952"/>
      <c r="AG43" s="952"/>
      <c r="AH43" s="952"/>
      <c r="AI43" s="952"/>
      <c r="AJ43" s="952"/>
      <c r="AK43" s="952"/>
      <c r="AL43" s="952"/>
      <c r="AM43" s="952"/>
      <c r="AN43" s="952"/>
      <c r="AO43" s="952"/>
      <c r="AP43" s="952"/>
      <c r="AQ43" s="952"/>
      <c r="AR43" s="952"/>
      <c r="AS43" s="952"/>
      <c r="AT43" s="952"/>
    </row>
    <row r="44" spans="1:46" ht="15.75" x14ac:dyDescent="0.25">
      <c r="A44" s="1006" t="s">
        <v>893</v>
      </c>
      <c r="B44" s="1008"/>
      <c r="C44" s="1011"/>
      <c r="D44" s="1011"/>
      <c r="E44" s="1011"/>
      <c r="F44" s="1011"/>
      <c r="G44" s="1011">
        <f>SUM(G43-G12)</f>
        <v>0</v>
      </c>
      <c r="H44" s="1011"/>
      <c r="I44" s="1011"/>
      <c r="J44" s="1011"/>
      <c r="K44" s="992"/>
      <c r="L44" s="992"/>
      <c r="M44" s="1006"/>
      <c r="N44" s="1006"/>
      <c r="O44" s="1006"/>
      <c r="P44" s="1006"/>
      <c r="Q44" s="3310"/>
      <c r="R44" s="3308"/>
      <c r="S44" s="1012"/>
      <c r="T44" s="1012"/>
      <c r="U44" s="1012"/>
      <c r="V44" s="1012"/>
      <c r="W44" s="1012"/>
      <c r="X44" s="1012"/>
      <c r="Y44" s="1012"/>
      <c r="Z44" s="1012"/>
      <c r="AA44" s="952"/>
      <c r="AB44" s="952"/>
      <c r="AC44" s="952"/>
      <c r="AD44" s="952"/>
      <c r="AE44" s="952"/>
      <c r="AF44" s="952"/>
      <c r="AG44" s="952"/>
      <c r="AH44" s="952"/>
      <c r="AI44" s="952"/>
      <c r="AJ44" s="952"/>
      <c r="AK44" s="952"/>
      <c r="AL44" s="952"/>
      <c r="AM44" s="952"/>
      <c r="AN44" s="952"/>
      <c r="AO44" s="952"/>
      <c r="AP44" s="952"/>
      <c r="AQ44" s="952"/>
      <c r="AR44" s="952"/>
      <c r="AS44" s="952"/>
      <c r="AT44" s="952"/>
    </row>
    <row r="45" spans="1:46" ht="15.75" thickBot="1" x14ac:dyDescent="0.3">
      <c r="A45" s="992"/>
      <c r="B45" s="992"/>
      <c r="C45" s="992"/>
      <c r="D45" s="992"/>
      <c r="E45" s="992"/>
      <c r="F45" s="992"/>
      <c r="G45" s="992"/>
      <c r="H45" s="992"/>
      <c r="I45" s="992"/>
      <c r="J45" s="992"/>
      <c r="K45" s="992"/>
      <c r="L45" s="992"/>
      <c r="M45" s="952"/>
      <c r="N45" s="952"/>
      <c r="O45" s="952"/>
      <c r="P45" s="952"/>
      <c r="Q45" s="4468"/>
      <c r="R45" s="4302"/>
      <c r="S45" s="952"/>
      <c r="T45" s="952"/>
      <c r="U45" s="952"/>
      <c r="V45" s="952"/>
      <c r="W45" s="952"/>
      <c r="X45" s="952"/>
      <c r="Y45" s="952"/>
      <c r="Z45" s="952"/>
      <c r="AA45" s="952"/>
      <c r="AB45" s="952"/>
      <c r="AC45" s="952"/>
      <c r="AD45" s="952"/>
      <c r="AE45" s="952"/>
      <c r="AF45" s="952"/>
      <c r="AG45" s="952"/>
      <c r="AH45" s="952"/>
      <c r="AI45" s="952"/>
      <c r="AJ45" s="952"/>
      <c r="AK45" s="952"/>
      <c r="AL45" s="952"/>
      <c r="AM45" s="952"/>
      <c r="AN45" s="952"/>
      <c r="AO45" s="952"/>
      <c r="AP45" s="952"/>
      <c r="AQ45" s="952"/>
      <c r="AR45" s="952"/>
      <c r="AS45" s="952"/>
      <c r="AT45" s="952"/>
    </row>
    <row r="46" spans="1:46" ht="16.5" thickTop="1" x14ac:dyDescent="0.25">
      <c r="A46" s="4556" t="s">
        <v>889</v>
      </c>
      <c r="B46" s="4557"/>
      <c r="C46" s="1015">
        <f>SUM('5.7. sz. mell.'!F47)</f>
        <v>137356131</v>
      </c>
      <c r="D46" s="1015">
        <f>SUM('5.7. sz. mell.'!G47)</f>
        <v>22071812</v>
      </c>
      <c r="E46" s="1015">
        <f>SUM('5.7. sz. mell.'!H47)</f>
        <v>159427943</v>
      </c>
      <c r="F46" s="1015">
        <f>SUM('5.7. sz. mell.'!I47)</f>
        <v>-15567608</v>
      </c>
      <c r="G46" s="1015">
        <f>SUM('5.7. sz. mell.'!J47)</f>
        <v>143860335</v>
      </c>
      <c r="H46" s="1015">
        <f>SUM('5.7. sz. mell.'!K47)</f>
        <v>0</v>
      </c>
      <c r="I46" s="1015">
        <f>SUM('5.7. sz. mell.'!L47)</f>
        <v>143860335</v>
      </c>
      <c r="J46" s="1016">
        <f>SUM('5.7. sz. mell.'!M47)</f>
        <v>143860335</v>
      </c>
      <c r="K46" s="992"/>
      <c r="L46" s="992"/>
      <c r="M46" s="4549" t="s">
        <v>898</v>
      </c>
      <c r="N46" s="4549"/>
      <c r="O46" s="4549"/>
      <c r="P46" s="4549"/>
      <c r="Q46" s="4549"/>
      <c r="R46" s="4549"/>
      <c r="S46" s="1010">
        <f>SUM('5.7. sz. mell.'!F58)</f>
        <v>1016000</v>
      </c>
      <c r="T46" s="1010">
        <f>SUM('5.7. sz. mell.'!G58)</f>
        <v>-134800</v>
      </c>
      <c r="U46" s="1010">
        <f>SUM('5.7. sz. mell.'!H58)</f>
        <v>881200</v>
      </c>
      <c r="V46" s="1010">
        <f>SUM('5.7. sz. mell.'!I58)</f>
        <v>928091</v>
      </c>
      <c r="W46" s="1010">
        <f>SUM('5.7. sz. mell.'!J58)</f>
        <v>1809291</v>
      </c>
      <c r="X46" s="1010">
        <f>SUM('5.7. sz. mell.'!K58)</f>
        <v>0</v>
      </c>
      <c r="Y46" s="1010">
        <f>SUM('5.7. sz. mell.'!L58)</f>
        <v>1809291</v>
      </c>
      <c r="Z46" s="1010">
        <f>SUM('5.7. sz. mell.'!M58)</f>
        <v>1809291</v>
      </c>
      <c r="AA46" s="952"/>
      <c r="AB46" s="952"/>
      <c r="AC46" s="952"/>
      <c r="AD46" s="952"/>
      <c r="AE46" s="952"/>
      <c r="AF46" s="952"/>
      <c r="AG46" s="952"/>
      <c r="AH46" s="952"/>
      <c r="AI46" s="952"/>
      <c r="AJ46" s="952"/>
      <c r="AK46" s="952"/>
      <c r="AL46" s="952"/>
      <c r="AM46" s="952"/>
      <c r="AN46" s="952"/>
      <c r="AO46" s="952"/>
      <c r="AP46" s="952"/>
      <c r="AQ46" s="952"/>
      <c r="AR46" s="952"/>
      <c r="AS46" s="952"/>
      <c r="AT46" s="952"/>
    </row>
    <row r="47" spans="1:46" ht="16.5" thickBot="1" x14ac:dyDescent="0.3">
      <c r="A47" s="1020" t="s">
        <v>961</v>
      </c>
      <c r="B47" s="1021"/>
      <c r="C47" s="1077">
        <f>SUM(C46-C13)</f>
        <v>0</v>
      </c>
      <c r="D47" s="1077"/>
      <c r="E47" s="1077">
        <f t="shared" ref="E47:J47" si="12">SUM(E46-E13)</f>
        <v>0</v>
      </c>
      <c r="F47" s="1077">
        <f t="shared" si="12"/>
        <v>-18179107</v>
      </c>
      <c r="G47" s="1077">
        <f t="shared" si="12"/>
        <v>-18952629</v>
      </c>
      <c r="H47" s="1077">
        <f t="shared" si="12"/>
        <v>0</v>
      </c>
      <c r="I47" s="1077">
        <f t="shared" si="12"/>
        <v>0</v>
      </c>
      <c r="J47" s="1077">
        <f t="shared" si="12"/>
        <v>0</v>
      </c>
      <c r="K47" s="992"/>
      <c r="L47" s="992"/>
      <c r="M47" s="1006" t="s">
        <v>893</v>
      </c>
      <c r="N47" s="1006"/>
      <c r="O47" s="1006"/>
      <c r="P47" s="1006"/>
      <c r="Q47" s="1006"/>
      <c r="R47" s="992"/>
      <c r="S47" s="1012">
        <f>SUM(S46-C20)</f>
        <v>0</v>
      </c>
      <c r="T47" s="1012"/>
      <c r="U47" s="1012">
        <f>SUM(U46-E20)</f>
        <v>0</v>
      </c>
      <c r="V47" s="1012"/>
      <c r="W47" s="1012">
        <f>SUM(W46-G20)</f>
        <v>-607909</v>
      </c>
      <c r="X47" s="1012"/>
      <c r="Y47" s="1012">
        <f>SUM(Y46-I20)</f>
        <v>0</v>
      </c>
      <c r="Z47" s="1012">
        <f>SUM(Z46-J20)</f>
        <v>0</v>
      </c>
      <c r="AA47" s="952"/>
      <c r="AB47" s="952"/>
      <c r="AC47" s="952"/>
      <c r="AD47" s="952"/>
      <c r="AE47" s="952"/>
      <c r="AF47" s="952"/>
      <c r="AG47" s="952"/>
      <c r="AH47" s="952"/>
      <c r="AI47" s="952"/>
      <c r="AJ47" s="952"/>
      <c r="AK47" s="952"/>
      <c r="AL47" s="952"/>
      <c r="AM47" s="952"/>
      <c r="AN47" s="952"/>
      <c r="AO47" s="952"/>
      <c r="AP47" s="952"/>
      <c r="AQ47" s="952"/>
      <c r="AR47" s="952"/>
      <c r="AS47" s="952"/>
      <c r="AT47" s="952"/>
    </row>
    <row r="48" spans="1:46" ht="16.5" thickTop="1" thickBot="1" x14ac:dyDescent="0.3">
      <c r="A48" s="992"/>
      <c r="B48" s="992"/>
      <c r="C48" s="992"/>
      <c r="D48" s="992"/>
      <c r="E48" s="992"/>
      <c r="F48" s="992"/>
      <c r="G48" s="992"/>
      <c r="H48" s="992"/>
      <c r="I48" s="992"/>
      <c r="J48" s="992"/>
      <c r="K48" s="992"/>
      <c r="L48" s="992"/>
      <c r="M48" s="952"/>
      <c r="N48" s="952"/>
      <c r="O48" s="952"/>
      <c r="P48" s="952"/>
      <c r="Q48" s="952"/>
      <c r="R48" s="952"/>
      <c r="S48" s="952"/>
      <c r="T48" s="952"/>
      <c r="U48" s="952"/>
      <c r="V48" s="952"/>
      <c r="W48" s="952"/>
      <c r="X48" s="952"/>
      <c r="Y48" s="952"/>
      <c r="Z48" s="952"/>
      <c r="AA48" s="952"/>
      <c r="AB48" s="952"/>
      <c r="AC48" s="952"/>
      <c r="AD48" s="952"/>
      <c r="AE48" s="952"/>
      <c r="AF48" s="952"/>
      <c r="AG48" s="952"/>
      <c r="AH48" s="952"/>
      <c r="AI48" s="952"/>
      <c r="AJ48" s="952"/>
      <c r="AK48" s="952"/>
      <c r="AL48" s="952"/>
      <c r="AM48" s="952"/>
      <c r="AN48" s="952"/>
      <c r="AO48" s="952"/>
      <c r="AP48" s="952"/>
      <c r="AQ48" s="952"/>
      <c r="AR48" s="952"/>
      <c r="AS48" s="952"/>
      <c r="AT48" s="952"/>
    </row>
    <row r="49" spans="1:46" ht="16.5" thickTop="1" x14ac:dyDescent="0.25">
      <c r="A49" s="992"/>
      <c r="B49" s="992"/>
      <c r="C49" s="992"/>
      <c r="D49" s="992"/>
      <c r="E49" s="992"/>
      <c r="F49" s="992"/>
      <c r="G49" s="992"/>
      <c r="H49" s="992"/>
      <c r="I49" s="992"/>
      <c r="J49" s="992"/>
      <c r="K49" s="992"/>
      <c r="L49" s="992"/>
      <c r="M49" s="1014" t="s">
        <v>899</v>
      </c>
      <c r="N49" s="2214"/>
      <c r="O49" s="2214"/>
      <c r="P49" s="2214"/>
      <c r="Q49" s="1014" t="s">
        <v>517</v>
      </c>
      <c r="R49" s="1017"/>
      <c r="S49" s="1018">
        <f>SUM('5.7. sz. mell.'!F66)</f>
        <v>137356131</v>
      </c>
      <c r="T49" s="1018">
        <f>SUM('5.7. sz. mell.'!G66)</f>
        <v>22071812</v>
      </c>
      <c r="U49" s="1018">
        <f>SUM('5.7. sz. mell.'!H66)</f>
        <v>159427943</v>
      </c>
      <c r="V49" s="1018">
        <f>SUM('5.7. sz. mell.'!I66)</f>
        <v>-15567608</v>
      </c>
      <c r="W49" s="1018">
        <f>SUM('5.7. sz. mell.'!J66)</f>
        <v>143860335</v>
      </c>
      <c r="X49" s="1018">
        <f>SUM('5.7. sz. mell.'!K66)</f>
        <v>0</v>
      </c>
      <c r="Y49" s="1018">
        <f>SUM('5.7. sz. mell.'!L66)</f>
        <v>143860335</v>
      </c>
      <c r="Z49" s="1018">
        <f>SUM('5.7. sz. mell.'!M66)</f>
        <v>143699092</v>
      </c>
      <c r="AA49" s="952"/>
      <c r="AB49" s="952"/>
      <c r="AC49" s="952"/>
      <c r="AD49" s="952"/>
      <c r="AE49" s="952"/>
      <c r="AF49" s="952"/>
      <c r="AG49" s="952"/>
      <c r="AH49" s="952"/>
      <c r="AI49" s="952"/>
      <c r="AJ49" s="952"/>
      <c r="AK49" s="952"/>
      <c r="AL49" s="952"/>
      <c r="AM49" s="952"/>
      <c r="AN49" s="952"/>
      <c r="AO49" s="952"/>
      <c r="AP49" s="952"/>
      <c r="AQ49" s="952"/>
      <c r="AR49" s="952"/>
      <c r="AS49" s="952"/>
      <c r="AT49" s="952"/>
    </row>
    <row r="50" spans="1:46" ht="16.5" thickBot="1" x14ac:dyDescent="0.3">
      <c r="A50" s="992"/>
      <c r="B50" s="992"/>
      <c r="C50" s="992"/>
      <c r="D50" s="992"/>
      <c r="E50" s="992"/>
      <c r="F50" s="992"/>
      <c r="G50" s="992"/>
      <c r="H50" s="992"/>
      <c r="I50" s="992"/>
      <c r="J50" s="992"/>
      <c r="K50" s="992"/>
      <c r="L50" s="992"/>
      <c r="M50" s="1020" t="s">
        <v>893</v>
      </c>
      <c r="N50" s="2222"/>
      <c r="O50" s="2222"/>
      <c r="P50" s="2222"/>
      <c r="Q50" s="1020" t="s">
        <v>893</v>
      </c>
      <c r="R50" s="1024"/>
      <c r="S50" s="1025">
        <f>SUM(S49-C21)</f>
        <v>0</v>
      </c>
      <c r="T50" s="1025"/>
      <c r="U50" s="1025">
        <f>SUM(U49-E21)</f>
        <v>0</v>
      </c>
      <c r="V50" s="1025"/>
      <c r="W50" s="1025">
        <f>SUM(W49-G21)</f>
        <v>-18952629</v>
      </c>
      <c r="X50" s="1025"/>
      <c r="Y50" s="1025">
        <f>SUM(Y49-I21)</f>
        <v>0</v>
      </c>
      <c r="Z50" s="1026">
        <f>SUM(Z49-J21)</f>
        <v>0</v>
      </c>
      <c r="AA50" s="952"/>
      <c r="AB50" s="952"/>
      <c r="AC50" s="952"/>
      <c r="AD50" s="952"/>
      <c r="AE50" s="952"/>
      <c r="AF50" s="952"/>
      <c r="AG50" s="952"/>
      <c r="AH50" s="952"/>
      <c r="AI50" s="952"/>
      <c r="AJ50" s="952"/>
      <c r="AK50" s="952"/>
      <c r="AL50" s="952"/>
      <c r="AM50" s="952"/>
      <c r="AN50" s="952"/>
      <c r="AO50" s="952"/>
      <c r="AP50" s="952"/>
      <c r="AQ50" s="952"/>
      <c r="AR50" s="952"/>
      <c r="AS50" s="952"/>
      <c r="AT50" s="952"/>
    </row>
    <row r="51" spans="1:46" ht="15.75" thickTop="1" x14ac:dyDescent="0.25">
      <c r="A51" s="992"/>
      <c r="B51" s="992"/>
      <c r="C51" s="992"/>
      <c r="D51" s="992"/>
      <c r="E51" s="992"/>
      <c r="F51" s="992"/>
      <c r="G51" s="992"/>
      <c r="H51" s="992"/>
      <c r="I51" s="992"/>
      <c r="J51" s="992"/>
      <c r="K51" s="992"/>
      <c r="L51" s="992"/>
      <c r="M51" s="992"/>
      <c r="N51" s="992"/>
      <c r="O51" s="992"/>
      <c r="P51" s="992"/>
      <c r="Q51" s="992"/>
      <c r="R51" s="992"/>
      <c r="S51" s="992"/>
      <c r="T51" s="992"/>
      <c r="U51" s="992"/>
      <c r="V51" s="992"/>
      <c r="W51" s="992"/>
      <c r="X51" s="992"/>
      <c r="Y51" s="992"/>
      <c r="Z51" s="992"/>
      <c r="AA51" s="952"/>
      <c r="AB51" s="952"/>
      <c r="AC51" s="952"/>
      <c r="AD51" s="952"/>
      <c r="AE51" s="952"/>
      <c r="AF51" s="952"/>
      <c r="AG51" s="952"/>
      <c r="AH51" s="952"/>
      <c r="AI51" s="952"/>
      <c r="AJ51" s="952"/>
      <c r="AK51" s="952"/>
      <c r="AL51" s="952"/>
      <c r="AM51" s="952"/>
      <c r="AN51" s="952"/>
      <c r="AO51" s="952"/>
      <c r="AP51" s="952"/>
      <c r="AQ51" s="952"/>
      <c r="AR51" s="952"/>
      <c r="AS51" s="952"/>
      <c r="AT51" s="952"/>
    </row>
    <row r="52" spans="1:46" x14ac:dyDescent="0.25">
      <c r="A52" s="992"/>
      <c r="B52" s="992"/>
      <c r="C52" s="992"/>
      <c r="D52" s="992"/>
      <c r="E52" s="992"/>
      <c r="F52" s="992"/>
      <c r="G52" s="992"/>
      <c r="H52" s="992"/>
      <c r="I52" s="992"/>
      <c r="J52" s="992"/>
      <c r="K52" s="992"/>
      <c r="L52" s="992"/>
      <c r="M52" s="992"/>
      <c r="N52" s="992"/>
      <c r="O52" s="992"/>
      <c r="P52" s="992"/>
      <c r="Q52" s="992"/>
      <c r="R52" s="992"/>
      <c r="S52" s="992"/>
      <c r="T52" s="992"/>
      <c r="U52" s="992"/>
      <c r="V52" s="992"/>
      <c r="W52" s="992"/>
      <c r="X52" s="992"/>
      <c r="Y52" s="992"/>
      <c r="Z52" s="992"/>
      <c r="AA52" s="952"/>
      <c r="AB52" s="952"/>
      <c r="AC52" s="952"/>
      <c r="AD52" s="952"/>
      <c r="AE52" s="952"/>
      <c r="AF52" s="952"/>
      <c r="AG52" s="952"/>
      <c r="AH52" s="952"/>
      <c r="AI52" s="952"/>
      <c r="AJ52" s="952"/>
      <c r="AK52" s="952"/>
      <c r="AL52" s="952"/>
      <c r="AM52" s="952"/>
      <c r="AN52" s="952"/>
      <c r="AO52" s="952"/>
      <c r="AP52" s="952"/>
      <c r="AQ52" s="952"/>
      <c r="AR52" s="952"/>
      <c r="AS52" s="952"/>
      <c r="AT52" s="952"/>
    </row>
    <row r="53" spans="1:46" x14ac:dyDescent="0.25">
      <c r="A53" s="992"/>
      <c r="B53" s="992"/>
      <c r="C53" s="992"/>
      <c r="D53" s="992"/>
      <c r="E53" s="992"/>
      <c r="F53" s="992"/>
      <c r="G53" s="992"/>
      <c r="H53" s="992"/>
      <c r="I53" s="992"/>
      <c r="J53" s="992"/>
      <c r="K53" s="992"/>
      <c r="L53" s="992"/>
      <c r="M53" s="992"/>
      <c r="N53" s="992"/>
      <c r="O53" s="992"/>
      <c r="P53" s="992"/>
      <c r="Q53" s="992"/>
      <c r="R53" s="992"/>
      <c r="S53" s="992"/>
      <c r="T53" s="992"/>
      <c r="U53" s="992"/>
      <c r="V53" s="992"/>
      <c r="W53" s="992"/>
      <c r="X53" s="992"/>
      <c r="Y53" s="992"/>
      <c r="Z53" s="992"/>
      <c r="AA53" s="952"/>
      <c r="AB53" s="952"/>
      <c r="AC53" s="952"/>
      <c r="AD53" s="952"/>
      <c r="AE53" s="952"/>
      <c r="AF53" s="952"/>
      <c r="AG53" s="952"/>
      <c r="AH53" s="952"/>
      <c r="AI53" s="952"/>
      <c r="AJ53" s="952"/>
      <c r="AK53" s="952"/>
      <c r="AL53" s="952"/>
      <c r="AM53" s="952"/>
      <c r="AN53" s="952"/>
      <c r="AO53" s="952"/>
      <c r="AP53" s="952"/>
      <c r="AQ53" s="952"/>
      <c r="AR53" s="952"/>
      <c r="AS53" s="952"/>
      <c r="AT53" s="952"/>
    </row>
    <row r="54" spans="1:46" x14ac:dyDescent="0.25">
      <c r="A54" s="992"/>
      <c r="B54" s="992"/>
      <c r="C54" s="992"/>
      <c r="D54" s="992"/>
      <c r="E54" s="992"/>
      <c r="F54" s="992"/>
      <c r="G54" s="992"/>
      <c r="H54" s="992"/>
      <c r="I54" s="992"/>
      <c r="J54" s="992"/>
      <c r="K54" s="992"/>
      <c r="L54" s="992"/>
      <c r="M54" s="992"/>
      <c r="N54" s="992"/>
      <c r="O54" s="992"/>
      <c r="P54" s="992"/>
      <c r="Q54" s="992"/>
      <c r="R54" s="992"/>
      <c r="S54" s="992"/>
      <c r="T54" s="992"/>
      <c r="U54" s="992"/>
      <c r="V54" s="992"/>
      <c r="W54" s="992"/>
      <c r="X54" s="992"/>
      <c r="Y54" s="992"/>
      <c r="Z54" s="992"/>
      <c r="AA54" s="952"/>
      <c r="AB54" s="952"/>
      <c r="AC54" s="952"/>
      <c r="AD54" s="952"/>
      <c r="AE54" s="952"/>
      <c r="AF54" s="952"/>
      <c r="AG54" s="952"/>
      <c r="AH54" s="952"/>
      <c r="AI54" s="952"/>
      <c r="AJ54" s="952"/>
      <c r="AK54" s="952"/>
      <c r="AL54" s="952"/>
      <c r="AM54" s="952"/>
      <c r="AN54" s="952"/>
      <c r="AO54" s="952"/>
      <c r="AP54" s="952"/>
      <c r="AQ54" s="952"/>
      <c r="AR54" s="952"/>
      <c r="AS54" s="952"/>
      <c r="AT54" s="952"/>
    </row>
    <row r="55" spans="1:46" x14ac:dyDescent="0.25">
      <c r="A55" s="992"/>
      <c r="B55" s="992"/>
      <c r="C55" s="992"/>
      <c r="D55" s="992"/>
      <c r="E55" s="992"/>
      <c r="F55" s="992"/>
      <c r="G55" s="992"/>
      <c r="H55" s="992"/>
      <c r="I55" s="992"/>
      <c r="J55" s="992"/>
      <c r="K55" s="992"/>
      <c r="L55" s="992"/>
      <c r="M55" s="992"/>
      <c r="N55" s="992"/>
      <c r="O55" s="992"/>
      <c r="P55" s="992"/>
      <c r="Q55" s="992"/>
      <c r="R55" s="992"/>
      <c r="S55" s="992"/>
      <c r="T55" s="992"/>
      <c r="U55" s="992"/>
      <c r="V55" s="992"/>
      <c r="W55" s="992"/>
      <c r="X55" s="992"/>
      <c r="Y55" s="992"/>
      <c r="Z55" s="992"/>
      <c r="AA55" s="952"/>
      <c r="AB55" s="952"/>
      <c r="AC55" s="952"/>
      <c r="AD55" s="952"/>
      <c r="AE55" s="952"/>
      <c r="AF55" s="952"/>
      <c r="AG55" s="952"/>
      <c r="AH55" s="952"/>
      <c r="AI55" s="952"/>
      <c r="AJ55" s="952"/>
      <c r="AK55" s="952"/>
      <c r="AL55" s="952"/>
      <c r="AM55" s="952"/>
      <c r="AN55" s="952"/>
      <c r="AO55" s="952"/>
      <c r="AP55" s="952"/>
      <c r="AQ55" s="952"/>
      <c r="AR55" s="952"/>
      <c r="AS55" s="952"/>
      <c r="AT55" s="952"/>
    </row>
  </sheetData>
  <mergeCells count="40">
    <mergeCell ref="A46:B46"/>
    <mergeCell ref="A20:B20"/>
    <mergeCell ref="A17:B17"/>
    <mergeCell ref="A18:B18"/>
    <mergeCell ref="A13:B13"/>
    <mergeCell ref="A19:B19"/>
    <mergeCell ref="A15:AO15"/>
    <mergeCell ref="M46:R46"/>
    <mergeCell ref="A26:B26"/>
    <mergeCell ref="A28:B28"/>
    <mergeCell ref="M28:R28"/>
    <mergeCell ref="A31:B31"/>
    <mergeCell ref="A40:B40"/>
    <mergeCell ref="Q40:R40"/>
    <mergeCell ref="Q41:R41"/>
    <mergeCell ref="Q45:R45"/>
    <mergeCell ref="M37:R37"/>
    <mergeCell ref="A34:B34"/>
    <mergeCell ref="M34:R34"/>
    <mergeCell ref="A37:B37"/>
    <mergeCell ref="M31:R31"/>
    <mergeCell ref="A7:B7"/>
    <mergeCell ref="A8:B8"/>
    <mergeCell ref="A11:B11"/>
    <mergeCell ref="A9:B9"/>
    <mergeCell ref="A21:B21"/>
    <mergeCell ref="A10:B10"/>
    <mergeCell ref="A16:B16"/>
    <mergeCell ref="A12:B12"/>
    <mergeCell ref="A1:AO1"/>
    <mergeCell ref="A2:AO2"/>
    <mergeCell ref="A4:AO4"/>
    <mergeCell ref="A6:B6"/>
    <mergeCell ref="A5:B5"/>
    <mergeCell ref="AP5:AT5"/>
    <mergeCell ref="AI5:AO5"/>
    <mergeCell ref="C5:J5"/>
    <mergeCell ref="S5:Z5"/>
    <mergeCell ref="K5:R5"/>
    <mergeCell ref="AA5:AH5"/>
  </mergeCells>
  <printOptions horizontalCentered="1"/>
  <pageMargins left="0.19685039370078741" right="0.19685039370078741" top="0.62992125984251968" bottom="0.59055118110236227" header="0.31496062992125984" footer="0.31496062992125984"/>
  <pageSetup paperSize="9" scale="57" firstPageNumber="78" orientation="landscape" useFirstPageNumber="1" r:id="rId1"/>
  <headerFooter>
    <oddHeader>&amp;R&amp;12 5.7.d. sz. melléklet
Forint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F79"/>
  <sheetViews>
    <sheetView view="pageBreakPreview" topLeftCell="J34" zoomScaleNormal="100" zoomScaleSheetLayoutView="100" zoomScalePageLayoutView="60" workbookViewId="0">
      <selection activeCell="J74" sqref="J74:J75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6640625" style="115" customWidth="1"/>
    <col min="4" max="5" width="9.33203125" style="115" hidden="1" customWidth="1"/>
    <col min="6" max="6" width="13.33203125" style="115" customWidth="1"/>
    <col min="7" max="7" width="14.6640625" style="1390" hidden="1" customWidth="1"/>
    <col min="8" max="8" width="13.5" style="115" hidden="1" customWidth="1"/>
    <col min="9" max="9" width="12.1640625" style="1390" hidden="1" customWidth="1"/>
    <col min="10" max="10" width="15.1640625" style="115" customWidth="1"/>
    <col min="11" max="11" width="16.1640625" style="1390" customWidth="1"/>
    <col min="12" max="12" width="13.83203125" style="115" customWidth="1"/>
    <col min="13" max="13" width="13.5" style="115" customWidth="1"/>
    <col min="14" max="15" width="16.33203125" style="115" customWidth="1"/>
    <col min="16" max="16" width="9.33203125" style="115"/>
    <col min="17" max="17" width="16.1640625" style="1923" customWidth="1"/>
    <col min="18" max="18" width="16.1640625" style="1923" hidden="1" customWidth="1"/>
    <col min="19" max="19" width="12.83203125" style="1930" bestFit="1" customWidth="1"/>
    <col min="20" max="20" width="12.83203125" style="1930" hidden="1" customWidth="1"/>
    <col min="21" max="21" width="14.33203125" style="459" customWidth="1"/>
    <col min="22" max="22" width="14.33203125" style="459" hidden="1" customWidth="1"/>
    <col min="23" max="23" width="15" style="1159" customWidth="1"/>
    <col min="24" max="24" width="12.6640625" style="1942" customWidth="1"/>
    <col min="25" max="25" width="13.5" style="1923" customWidth="1"/>
    <col min="26" max="26" width="13.5" style="1923" hidden="1" customWidth="1"/>
    <col min="27" max="27" width="16.1640625" style="1930" customWidth="1"/>
    <col min="28" max="28" width="16.1640625" style="1930" hidden="1" customWidth="1"/>
    <col min="29" max="29" width="16.1640625" style="459" customWidth="1"/>
    <col min="30" max="30" width="16.1640625" style="459" hidden="1" customWidth="1"/>
    <col min="31" max="31" width="16.1640625" style="1159" customWidth="1"/>
    <col min="32" max="32" width="18.83203125" style="1892" customWidth="1"/>
    <col min="33" max="16384" width="9.33203125" style="115"/>
  </cols>
  <sheetData>
    <row r="1" spans="1:32" s="98" customFormat="1" ht="15" customHeight="1" thickBot="1" x14ac:dyDescent="0.25">
      <c r="A1" s="240"/>
      <c r="B1" s="241"/>
      <c r="C1" s="4526" t="s">
        <v>743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  <c r="Q1" s="1917"/>
      <c r="R1" s="1917"/>
      <c r="S1" s="1924"/>
      <c r="T1" s="1924"/>
      <c r="U1" s="456"/>
      <c r="V1" s="456"/>
      <c r="W1" s="1931"/>
      <c r="X1" s="1936"/>
      <c r="Y1" s="1917"/>
      <c r="Z1" s="1917"/>
      <c r="AA1" s="1924"/>
      <c r="AB1" s="1924"/>
      <c r="AC1" s="456"/>
      <c r="AD1" s="456"/>
      <c r="AE1" s="1931"/>
      <c r="AF1" s="1888"/>
    </row>
    <row r="2" spans="1:32" s="303" customFormat="1" ht="30" customHeight="1" thickBot="1" x14ac:dyDescent="0.25">
      <c r="A2" s="4516" t="s">
        <v>411</v>
      </c>
      <c r="B2" s="4516"/>
      <c r="C2" s="117" t="s">
        <v>485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440" t="s">
        <v>1950</v>
      </c>
      <c r="N2" s="460"/>
      <c r="O2" s="460"/>
      <c r="Q2" s="1918"/>
      <c r="R2" s="1918"/>
      <c r="S2" s="1925"/>
      <c r="T2" s="1925"/>
      <c r="U2" s="457"/>
      <c r="V2" s="457"/>
      <c r="W2" s="1932"/>
      <c r="X2" s="1937"/>
      <c r="Y2" s="1918"/>
      <c r="Z2" s="1918"/>
      <c r="AA2" s="1925"/>
      <c r="AB2" s="1925"/>
      <c r="AC2" s="457"/>
      <c r="AD2" s="457"/>
      <c r="AE2" s="1932"/>
      <c r="AF2" s="1889"/>
    </row>
    <row r="3" spans="1:32" s="303" customFormat="1" ht="30" customHeight="1" thickBot="1" x14ac:dyDescent="0.25">
      <c r="A3" s="4506" t="s">
        <v>283</v>
      </c>
      <c r="B3" s="4506"/>
      <c r="C3" s="204" t="s">
        <v>486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50"/>
      <c r="L3" s="4416"/>
      <c r="M3" s="4441"/>
      <c r="N3" s="460"/>
      <c r="O3" s="460"/>
      <c r="Q3" s="1918"/>
      <c r="R3" s="1918"/>
      <c r="S3" s="1925"/>
      <c r="T3" s="1925"/>
      <c r="U3" s="457"/>
      <c r="V3" s="457"/>
      <c r="W3" s="1932"/>
      <c r="X3" s="1937"/>
      <c r="Y3" s="1918"/>
      <c r="Z3" s="1918"/>
      <c r="AA3" s="1925"/>
      <c r="AB3" s="1925"/>
      <c r="AC3" s="457"/>
      <c r="AD3" s="457"/>
      <c r="AE3" s="1932"/>
      <c r="AF3" s="1889"/>
    </row>
    <row r="4" spans="1:32" s="303" customFormat="1" ht="15" customHeight="1" thickBot="1" x14ac:dyDescent="0.25">
      <c r="A4" s="1300"/>
      <c r="B4" s="1301"/>
      <c r="C4" s="1301"/>
      <c r="D4" s="4446"/>
      <c r="E4" s="4446"/>
      <c r="F4" s="4470"/>
      <c r="G4" s="1440"/>
      <c r="H4" s="1454"/>
      <c r="I4" s="1454"/>
      <c r="J4" s="1454"/>
      <c r="K4" s="1454"/>
      <c r="L4" s="1454"/>
      <c r="M4" s="1508" t="s">
        <v>935</v>
      </c>
      <c r="Q4" s="1919"/>
      <c r="R4" s="1919"/>
      <c r="S4" s="4625" t="s">
        <v>1056</v>
      </c>
      <c r="T4" s="1927"/>
      <c r="U4" s="4442" t="s">
        <v>1076</v>
      </c>
      <c r="V4" s="305"/>
      <c r="W4" s="4430" t="s">
        <v>1058</v>
      </c>
      <c r="X4" s="1938"/>
      <c r="Y4" s="1919"/>
      <c r="Z4" s="1919"/>
      <c r="AA4" s="4625" t="s">
        <v>1056</v>
      </c>
      <c r="AB4" s="1927"/>
      <c r="AC4" s="4442" t="s">
        <v>1057</v>
      </c>
      <c r="AD4" s="305"/>
      <c r="AE4" s="4430" t="s">
        <v>1058</v>
      </c>
      <c r="AF4" s="1889"/>
    </row>
    <row r="5" spans="1:32" s="145" customFormat="1" ht="37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  <c r="N5" s="461"/>
      <c r="O5" s="461"/>
      <c r="Q5" s="1920" t="s">
        <v>771</v>
      </c>
      <c r="R5" s="1920"/>
      <c r="S5" s="4625"/>
      <c r="T5" s="1927"/>
      <c r="U5" s="4442"/>
      <c r="V5" s="305"/>
      <c r="W5" s="4430"/>
      <c r="X5" s="1939" t="s">
        <v>289</v>
      </c>
      <c r="Y5" s="2293" t="s">
        <v>771</v>
      </c>
      <c r="Z5" s="2296"/>
      <c r="AA5" s="4625"/>
      <c r="AB5" s="1927"/>
      <c r="AC5" s="4442"/>
      <c r="AD5" s="305"/>
      <c r="AE5" s="4430"/>
      <c r="AF5" s="1887" t="s">
        <v>289</v>
      </c>
    </row>
    <row r="6" spans="1:32" s="305" customFormat="1" ht="15" customHeight="1" thickBot="1" x14ac:dyDescent="0.25">
      <c r="A6" s="124"/>
      <c r="B6" s="127"/>
      <c r="C6" s="127"/>
      <c r="D6" s="128">
        <v>4</v>
      </c>
      <c r="E6" s="128">
        <v>5</v>
      </c>
      <c r="F6" s="128"/>
      <c r="G6" s="2455"/>
      <c r="H6" s="128">
        <v>5</v>
      </c>
      <c r="I6" s="1372"/>
      <c r="J6" s="128"/>
      <c r="K6" s="3330"/>
      <c r="L6" s="128"/>
      <c r="M6" s="128"/>
      <c r="N6" s="461"/>
      <c r="O6" s="461"/>
      <c r="Q6" s="1921" t="s">
        <v>767</v>
      </c>
      <c r="R6" s="1921"/>
      <c r="S6" s="1926" t="s">
        <v>767</v>
      </c>
      <c r="T6" s="1926"/>
      <c r="U6" s="2292" t="s">
        <v>767</v>
      </c>
      <c r="V6" s="2292"/>
      <c r="W6" s="2291" t="s">
        <v>767</v>
      </c>
      <c r="X6" s="1940" t="s">
        <v>767</v>
      </c>
      <c r="Y6" s="2294" t="s">
        <v>770</v>
      </c>
      <c r="Z6" s="2297"/>
      <c r="AA6" s="1926" t="s">
        <v>770</v>
      </c>
      <c r="AB6" s="1926"/>
      <c r="AC6" s="453" t="s">
        <v>770</v>
      </c>
      <c r="AD6" s="453"/>
      <c r="AE6" s="1933" t="s">
        <v>770</v>
      </c>
      <c r="AF6" s="1943" t="s">
        <v>770</v>
      </c>
    </row>
    <row r="7" spans="1:32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3343"/>
      <c r="L7" s="162"/>
      <c r="M7" s="162"/>
      <c r="N7" s="195"/>
      <c r="O7" s="195"/>
      <c r="Q7" s="1920"/>
      <c r="R7" s="1920"/>
      <c r="S7" s="1927"/>
      <c r="T7" s="1927"/>
      <c r="U7" s="2292"/>
      <c r="V7" s="2292"/>
      <c r="W7" s="2291"/>
      <c r="X7" s="1939"/>
      <c r="Y7" s="2293"/>
      <c r="Z7" s="2296"/>
      <c r="AA7" s="1927"/>
      <c r="AB7" s="1927"/>
      <c r="AE7" s="2288"/>
      <c r="AF7" s="1891"/>
    </row>
    <row r="8" spans="1:32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685</v>
      </c>
      <c r="E8" s="137">
        <f>SUM(E9:E18)</f>
        <v>685</v>
      </c>
      <c r="F8" s="137">
        <f>SUM(F9:F18)</f>
        <v>844000</v>
      </c>
      <c r="G8" s="1382">
        <f t="shared" ref="G8:K23" si="0">SUM(H8-F8)</f>
        <v>10681</v>
      </c>
      <c r="H8" s="137">
        <f>SUM(H9:H18)</f>
        <v>854681</v>
      </c>
      <c r="I8" s="1421">
        <f t="shared" si="0"/>
        <v>254567</v>
      </c>
      <c r="J8" s="137">
        <f>SUM(J9:J18)</f>
        <v>1109248</v>
      </c>
      <c r="K8" s="3394">
        <f>SUM(L8-J8)</f>
        <v>0</v>
      </c>
      <c r="L8" s="137">
        <f>SUM(L9:L18)</f>
        <v>1109248</v>
      </c>
      <c r="M8" s="137">
        <f>SUM(M9:M18)</f>
        <v>1109248</v>
      </c>
      <c r="N8" s="286"/>
      <c r="O8" s="286"/>
      <c r="Q8" s="1922">
        <f t="shared" ref="Q8:Q55" si="1">SUM(F8-Y8)</f>
        <v>0</v>
      </c>
      <c r="R8" s="1922"/>
      <c r="S8" s="1928">
        <f t="shared" ref="S8:S55" si="2">SUM(H8-AA8)</f>
        <v>0</v>
      </c>
      <c r="T8" s="1928"/>
      <c r="U8" s="458">
        <f t="shared" ref="U8:U55" si="3">SUM(J8-AC8)</f>
        <v>0</v>
      </c>
      <c r="V8" s="458"/>
      <c r="W8" s="1934">
        <f t="shared" ref="W8:W55" si="4">SUM(L8-AE8)</f>
        <v>0</v>
      </c>
      <c r="X8" s="1941">
        <f t="shared" ref="X8:X55" si="5">SUM(M8-AF8)</f>
        <v>0</v>
      </c>
      <c r="Y8" s="2295">
        <f>SUM('5.8.a. sz. mell.'!F8+'5.8.b. sz. mell.'!F8+'5.8.c. sz. mell.'!F8)</f>
        <v>844000</v>
      </c>
      <c r="Z8" s="2298"/>
      <c r="AA8" s="1928">
        <f>SUM('5.8.a. sz. mell.'!H8+'5.8.b. sz. mell.'!H8+'5.8.c. sz. mell.'!H8)</f>
        <v>854681</v>
      </c>
      <c r="AB8" s="1928"/>
      <c r="AC8" s="458">
        <f>SUM('5.8.a. sz. mell.'!J8+'5.8.b. sz. mell.'!I8+'5.8.c. sz. mell.'!J8)</f>
        <v>1109248</v>
      </c>
      <c r="AD8" s="458"/>
      <c r="AE8" s="1934">
        <f>SUM('5.8.a. sz. mell.'!L8+'5.8.b. sz. mell.'!K8+'5.8.c. sz. mell.'!L8)</f>
        <v>1109248</v>
      </c>
      <c r="AF8" s="1944">
        <f>SUM('5.8.a. sz. mell.'!M8+'5.8.b. sz. mell.'!M8+'5.8.c. sz. mell.'!M8)</f>
        <v>1109248</v>
      </c>
    </row>
    <row r="9" spans="1:32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/>
      <c r="G9" s="1415">
        <f t="shared" si="0"/>
        <v>0</v>
      </c>
      <c r="H9" s="150"/>
      <c r="I9" s="1386">
        <f t="shared" si="0"/>
        <v>0</v>
      </c>
      <c r="J9" s="1326"/>
      <c r="K9" s="3345">
        <f t="shared" si="0"/>
        <v>0</v>
      </c>
      <c r="L9" s="1326"/>
      <c r="M9" s="150">
        <v>0</v>
      </c>
      <c r="N9" s="463"/>
      <c r="O9" s="463"/>
      <c r="Q9" s="1922">
        <f t="shared" si="1"/>
        <v>0</v>
      </c>
      <c r="R9" s="1922"/>
      <c r="S9" s="1928">
        <f t="shared" si="2"/>
        <v>0</v>
      </c>
      <c r="T9" s="1928"/>
      <c r="U9" s="458">
        <f t="shared" si="3"/>
        <v>0</v>
      </c>
      <c r="V9" s="458"/>
      <c r="W9" s="1934">
        <f t="shared" si="4"/>
        <v>0</v>
      </c>
      <c r="X9" s="1941">
        <f t="shared" si="5"/>
        <v>0</v>
      </c>
      <c r="Y9" s="2295">
        <f>SUM('5.8.a. sz. mell.'!F9+'5.8.b. sz. mell.'!F9+'5.8.c. sz. mell.'!F9)</f>
        <v>0</v>
      </c>
      <c r="Z9" s="2298"/>
      <c r="AA9" s="1928">
        <f>SUM('5.8.a. sz. mell.'!H9+'5.8.b. sz. mell.'!H9+'5.8.c. sz. mell.'!H9)</f>
        <v>0</v>
      </c>
      <c r="AB9" s="1928"/>
      <c r="AC9" s="458">
        <f>SUM('5.8.a. sz. mell.'!J9+'5.8.b. sz. mell.'!I9+'5.8.c. sz. mell.'!J9)</f>
        <v>0</v>
      </c>
      <c r="AD9" s="458"/>
      <c r="AE9" s="1934">
        <f>SUM('5.8.a. sz. mell.'!L9+'5.8.b. sz. mell.'!K9+'5.8.c. sz. mell.'!L9)</f>
        <v>0</v>
      </c>
      <c r="AF9" s="1944">
        <f>SUM('5.8.a. sz. mell.'!M9+'5.8.b. sz. mell.'!M9+'5.8.c. sz. mell.'!M9)</f>
        <v>0</v>
      </c>
    </row>
    <row r="10" spans="1:32" s="141" customFormat="1" ht="15" customHeight="1" x14ac:dyDescent="0.2">
      <c r="A10" s="142"/>
      <c r="B10" s="143" t="s">
        <v>154</v>
      </c>
      <c r="C10" s="55" t="s">
        <v>50</v>
      </c>
      <c r="D10" s="144">
        <v>485</v>
      </c>
      <c r="E10" s="144">
        <v>485</v>
      </c>
      <c r="F10" s="144">
        <v>544000</v>
      </c>
      <c r="G10" s="1415">
        <f t="shared" si="0"/>
        <v>0</v>
      </c>
      <c r="H10" s="144">
        <v>544000</v>
      </c>
      <c r="I10" s="1376">
        <f t="shared" si="0"/>
        <v>154505</v>
      </c>
      <c r="J10" s="825">
        <v>698505</v>
      </c>
      <c r="K10" s="3334">
        <f t="shared" si="0"/>
        <v>0</v>
      </c>
      <c r="L10" s="825">
        <v>698505</v>
      </c>
      <c r="M10" s="144">
        <v>698505</v>
      </c>
      <c r="N10" s="463"/>
      <c r="O10" s="463"/>
      <c r="Q10" s="1922">
        <f t="shared" si="1"/>
        <v>0</v>
      </c>
      <c r="R10" s="1922"/>
      <c r="S10" s="1928">
        <f t="shared" si="2"/>
        <v>0</v>
      </c>
      <c r="T10" s="1928"/>
      <c r="U10" s="458">
        <f t="shared" si="3"/>
        <v>0</v>
      </c>
      <c r="V10" s="458"/>
      <c r="W10" s="1934">
        <f t="shared" si="4"/>
        <v>0</v>
      </c>
      <c r="X10" s="1941">
        <f t="shared" si="5"/>
        <v>0</v>
      </c>
      <c r="Y10" s="2295">
        <f>SUM('5.8.a. sz. mell.'!F10+'5.8.b. sz. mell.'!F10+'5.8.c. sz. mell.'!F10)</f>
        <v>544000</v>
      </c>
      <c r="Z10" s="2298"/>
      <c r="AA10" s="1928">
        <f>SUM('5.8.a. sz. mell.'!H10+'5.8.b. sz. mell.'!H10+'5.8.c. sz. mell.'!H10)</f>
        <v>544000</v>
      </c>
      <c r="AB10" s="1928"/>
      <c r="AC10" s="458">
        <f>SUM('5.8.a. sz. mell.'!J10+'5.8.b. sz. mell.'!I10+'5.8.c. sz. mell.'!J10)</f>
        <v>698505</v>
      </c>
      <c r="AD10" s="458"/>
      <c r="AE10" s="1934">
        <f>SUM('5.8.a. sz. mell.'!L10+'5.8.b. sz. mell.'!K10+'5.8.c. sz. mell.'!L10)</f>
        <v>698505</v>
      </c>
      <c r="AF10" s="1944">
        <f>SUM('5.8.a. sz. mell.'!M10+'5.8.b. sz. mell.'!M10+'5.8.c. sz. mell.'!M10)</f>
        <v>698505</v>
      </c>
    </row>
    <row r="11" spans="1:32" s="141" customFormat="1" ht="15" customHeight="1" x14ac:dyDescent="0.2">
      <c r="A11" s="142"/>
      <c r="B11" s="143" t="s">
        <v>156</v>
      </c>
      <c r="C11" s="55" t="s">
        <v>414</v>
      </c>
      <c r="D11" s="144">
        <v>200</v>
      </c>
      <c r="E11" s="144">
        <v>200</v>
      </c>
      <c r="F11" s="144">
        <v>300000</v>
      </c>
      <c r="G11" s="1415">
        <f t="shared" si="0"/>
        <v>0</v>
      </c>
      <c r="H11" s="144">
        <v>300000</v>
      </c>
      <c r="I11" s="1376">
        <f t="shared" si="0"/>
        <v>95200</v>
      </c>
      <c r="J11" s="483">
        <v>395200</v>
      </c>
      <c r="K11" s="3334">
        <f t="shared" si="0"/>
        <v>0</v>
      </c>
      <c r="L11" s="483">
        <v>395200</v>
      </c>
      <c r="M11" s="144">
        <v>395200</v>
      </c>
      <c r="N11" s="463"/>
      <c r="O11" s="463"/>
      <c r="Q11" s="1922">
        <f t="shared" si="1"/>
        <v>0</v>
      </c>
      <c r="R11" s="1922"/>
      <c r="S11" s="1928">
        <f t="shared" si="2"/>
        <v>0</v>
      </c>
      <c r="T11" s="1928"/>
      <c r="U11" s="458">
        <f t="shared" si="3"/>
        <v>0</v>
      </c>
      <c r="V11" s="458"/>
      <c r="W11" s="1934">
        <f t="shared" si="4"/>
        <v>0</v>
      </c>
      <c r="X11" s="1941">
        <f t="shared" si="5"/>
        <v>0</v>
      </c>
      <c r="Y11" s="2295">
        <f>SUM('5.8.a. sz. mell.'!F11+'5.8.b. sz. mell.'!F11+'5.8.c. sz. mell.'!F11)</f>
        <v>300000</v>
      </c>
      <c r="Z11" s="2298"/>
      <c r="AA11" s="1928">
        <f>SUM('5.8.a. sz. mell.'!H11+'5.8.b. sz. mell.'!H11+'5.8.c. sz. mell.'!H11)</f>
        <v>300000</v>
      </c>
      <c r="AB11" s="1928"/>
      <c r="AC11" s="458">
        <f>SUM('5.8.a. sz. mell.'!J11+'5.8.b. sz. mell.'!I11+'5.8.c. sz. mell.'!J11)</f>
        <v>395200</v>
      </c>
      <c r="AD11" s="458"/>
      <c r="AE11" s="1934">
        <f>SUM('5.8.a. sz. mell.'!L11+'5.8.b. sz. mell.'!K11+'5.8.c. sz. mell.'!L11)</f>
        <v>395200</v>
      </c>
      <c r="AF11" s="1944">
        <f>SUM('5.8.a. sz. mell.'!M11+'5.8.b. sz. mell.'!M11+'5.8.c. sz. mell.'!M11)</f>
        <v>395200</v>
      </c>
    </row>
    <row r="12" spans="1:32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/>
      <c r="G12" s="1415">
        <f t="shared" si="0"/>
        <v>0</v>
      </c>
      <c r="H12" s="144"/>
      <c r="I12" s="1376">
        <f t="shared" si="0"/>
        <v>0</v>
      </c>
      <c r="J12" s="824"/>
      <c r="K12" s="3334">
        <f>SUM(L12-J12)</f>
        <v>0</v>
      </c>
      <c r="L12" s="824"/>
      <c r="M12" s="144"/>
      <c r="N12" s="463"/>
      <c r="O12" s="463"/>
      <c r="Q12" s="1922">
        <f t="shared" si="1"/>
        <v>0</v>
      </c>
      <c r="R12" s="1922"/>
      <c r="S12" s="1928">
        <f t="shared" si="2"/>
        <v>0</v>
      </c>
      <c r="T12" s="1928"/>
      <c r="U12" s="458">
        <f t="shared" si="3"/>
        <v>0</v>
      </c>
      <c r="V12" s="458"/>
      <c r="W12" s="1934">
        <f t="shared" si="4"/>
        <v>0</v>
      </c>
      <c r="X12" s="1941">
        <f t="shared" si="5"/>
        <v>0</v>
      </c>
      <c r="Y12" s="2295">
        <f>SUM('5.8.a. sz. mell.'!F12+'5.8.b. sz. mell.'!F12+'5.8.c. sz. mell.'!F12)</f>
        <v>0</v>
      </c>
      <c r="Z12" s="2298"/>
      <c r="AA12" s="1928">
        <f>SUM('5.8.a. sz. mell.'!H12+'5.8.b. sz. mell.'!H12+'5.8.c. sz. mell.'!H12)</f>
        <v>0</v>
      </c>
      <c r="AB12" s="1928"/>
      <c r="AC12" s="458">
        <f>SUM('5.8.a. sz. mell.'!J12+'5.8.b. sz. mell.'!I12+'5.8.c. sz. mell.'!J12)</f>
        <v>0</v>
      </c>
      <c r="AD12" s="458"/>
      <c r="AE12" s="1934">
        <f>SUM('5.8.a. sz. mell.'!L12+'5.8.b. sz. mell.'!K12+'5.8.c. sz. mell.'!L12)</f>
        <v>0</v>
      </c>
      <c r="AF12" s="1944">
        <f>SUM('5.8.a. sz. mell.'!M12+'5.8.b. sz. mell.'!M12+'5.8.c. sz. mell.'!M12)</f>
        <v>0</v>
      </c>
    </row>
    <row r="13" spans="1:32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/>
      <c r="G13" s="1415">
        <f t="shared" si="0"/>
        <v>0</v>
      </c>
      <c r="H13" s="144"/>
      <c r="I13" s="1376">
        <f t="shared" si="0"/>
        <v>0</v>
      </c>
      <c r="J13" s="483"/>
      <c r="K13" s="3334">
        <f t="shared" si="0"/>
        <v>0</v>
      </c>
      <c r="L13" s="483"/>
      <c r="M13" s="144"/>
      <c r="N13" s="463"/>
      <c r="O13" s="463"/>
      <c r="Q13" s="1922">
        <f t="shared" si="1"/>
        <v>0</v>
      </c>
      <c r="R13" s="1922"/>
      <c r="S13" s="1928">
        <f t="shared" si="2"/>
        <v>0</v>
      </c>
      <c r="T13" s="1928"/>
      <c r="U13" s="458">
        <f t="shared" si="3"/>
        <v>0</v>
      </c>
      <c r="V13" s="458"/>
      <c r="W13" s="1934">
        <f t="shared" si="4"/>
        <v>0</v>
      </c>
      <c r="X13" s="1941">
        <f t="shared" si="5"/>
        <v>0</v>
      </c>
      <c r="Y13" s="2295">
        <f>SUM('5.8.a. sz. mell.'!F13+'5.8.b. sz. mell.'!F13+'5.8.c. sz. mell.'!F13)</f>
        <v>0</v>
      </c>
      <c r="Z13" s="2298"/>
      <c r="AA13" s="1928">
        <f>SUM('5.8.a. sz. mell.'!H13+'5.8.b. sz. mell.'!H13+'5.8.c. sz. mell.'!H13)</f>
        <v>0</v>
      </c>
      <c r="AB13" s="1928"/>
      <c r="AC13" s="458">
        <f>SUM('5.8.a. sz. mell.'!J13+'5.8.b. sz. mell.'!I13+'5.8.c. sz. mell.'!J13)</f>
        <v>0</v>
      </c>
      <c r="AD13" s="458"/>
      <c r="AE13" s="1934">
        <f>SUM('5.8.a. sz. mell.'!L13+'5.8.b. sz. mell.'!K13+'5.8.c. sz. mell.'!L13)</f>
        <v>0</v>
      </c>
      <c r="AF13" s="1944">
        <f>SUM('5.8.a. sz. mell.'!M13+'5.8.b. sz. mell.'!M13+'5.8.c. sz. mell.'!M13)</f>
        <v>0</v>
      </c>
    </row>
    <row r="14" spans="1:32" s="141" customFormat="1" ht="15" customHeight="1" x14ac:dyDescent="0.2">
      <c r="A14" s="146"/>
      <c r="B14" s="143" t="s">
        <v>162</v>
      </c>
      <c r="C14" s="55" t="s">
        <v>340</v>
      </c>
      <c r="D14" s="147"/>
      <c r="E14" s="147"/>
      <c r="F14" s="147"/>
      <c r="G14" s="1415">
        <f t="shared" si="0"/>
        <v>0</v>
      </c>
      <c r="H14" s="147"/>
      <c r="I14" s="1376">
        <f t="shared" si="0"/>
        <v>0</v>
      </c>
      <c r="J14" s="824"/>
      <c r="K14" s="3334">
        <f t="shared" si="0"/>
        <v>0</v>
      </c>
      <c r="L14" s="824"/>
      <c r="M14" s="147"/>
      <c r="N14" s="463"/>
      <c r="O14" s="463"/>
      <c r="Q14" s="1922">
        <f t="shared" si="1"/>
        <v>0</v>
      </c>
      <c r="R14" s="1922"/>
      <c r="S14" s="1928">
        <f t="shared" si="2"/>
        <v>0</v>
      </c>
      <c r="T14" s="1928"/>
      <c r="U14" s="458">
        <f t="shared" si="3"/>
        <v>0</v>
      </c>
      <c r="V14" s="458"/>
      <c r="W14" s="1934">
        <f t="shared" si="4"/>
        <v>0</v>
      </c>
      <c r="X14" s="1941">
        <f t="shared" si="5"/>
        <v>0</v>
      </c>
      <c r="Y14" s="2295">
        <f>SUM('5.8.a. sz. mell.'!F14+'5.8.b. sz. mell.'!F14+'5.8.c. sz. mell.'!F14)</f>
        <v>0</v>
      </c>
      <c r="Z14" s="2298"/>
      <c r="AA14" s="1928">
        <f>SUM('5.8.a. sz. mell.'!H14+'5.8.b. sz. mell.'!H14+'5.8.c. sz. mell.'!H14)</f>
        <v>0</v>
      </c>
      <c r="AB14" s="1928"/>
      <c r="AC14" s="458">
        <f>SUM('5.8.a. sz. mell.'!J14+'5.8.b. sz. mell.'!I14+'5.8.c. sz. mell.'!J14)</f>
        <v>0</v>
      </c>
      <c r="AD14" s="458"/>
      <c r="AE14" s="1934">
        <f>SUM('5.8.a. sz. mell.'!L14+'5.8.b. sz. mell.'!K14+'5.8.c. sz. mell.'!L14)</f>
        <v>0</v>
      </c>
      <c r="AF14" s="1944">
        <f>SUM('5.8.a. sz. mell.'!M14+'5.8.b. sz. mell.'!M14+'5.8.c. sz. mell.'!M14)</f>
        <v>0</v>
      </c>
    </row>
    <row r="15" spans="1:32" s="145" customFormat="1" ht="15" customHeight="1" x14ac:dyDescent="0.2">
      <c r="A15" s="142"/>
      <c r="B15" s="143" t="s">
        <v>164</v>
      </c>
      <c r="C15" s="55" t="s">
        <v>60</v>
      </c>
      <c r="D15" s="144"/>
      <c r="E15" s="144"/>
      <c r="F15" s="144"/>
      <c r="G15" s="1415">
        <f t="shared" si="0"/>
        <v>0</v>
      </c>
      <c r="H15" s="144"/>
      <c r="I15" s="1376">
        <f t="shared" si="0"/>
        <v>0</v>
      </c>
      <c r="J15" s="483"/>
      <c r="K15" s="3334">
        <f t="shared" si="0"/>
        <v>0</v>
      </c>
      <c r="L15" s="483"/>
      <c r="M15" s="144"/>
      <c r="N15" s="463"/>
      <c r="O15" s="463"/>
      <c r="Q15" s="1922">
        <f t="shared" si="1"/>
        <v>0</v>
      </c>
      <c r="R15" s="1922"/>
      <c r="S15" s="1928">
        <f t="shared" si="2"/>
        <v>0</v>
      </c>
      <c r="T15" s="1928"/>
      <c r="U15" s="458">
        <f t="shared" si="3"/>
        <v>0</v>
      </c>
      <c r="V15" s="458"/>
      <c r="W15" s="1934">
        <f t="shared" si="4"/>
        <v>0</v>
      </c>
      <c r="X15" s="1941">
        <f t="shared" si="5"/>
        <v>0</v>
      </c>
      <c r="Y15" s="2295">
        <f>SUM('5.8.a. sz. mell.'!F15+'5.8.b. sz. mell.'!F15+'5.8.c. sz. mell.'!F15)</f>
        <v>0</v>
      </c>
      <c r="Z15" s="2298"/>
      <c r="AA15" s="1928">
        <f>SUM('5.8.a. sz. mell.'!H15+'5.8.b. sz. mell.'!H15+'5.8.c. sz. mell.'!H15)</f>
        <v>0</v>
      </c>
      <c r="AB15" s="1928"/>
      <c r="AC15" s="458">
        <f>SUM('5.8.a. sz. mell.'!J15+'5.8.b. sz. mell.'!I15+'5.8.c. sz. mell.'!J15)</f>
        <v>0</v>
      </c>
      <c r="AD15" s="458"/>
      <c r="AE15" s="1934">
        <f>SUM('5.8.a. sz. mell.'!L15+'5.8.b. sz. mell.'!K15+'5.8.c. sz. mell.'!L15)</f>
        <v>0</v>
      </c>
      <c r="AF15" s="1944">
        <f>SUM('5.8.a. sz. mell.'!M15+'5.8.b. sz. mell.'!M15+'5.8.c. sz. mell.'!M15)</f>
        <v>0</v>
      </c>
    </row>
    <row r="16" spans="1:32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/>
      <c r="G16" s="1415">
        <f t="shared" si="0"/>
        <v>0</v>
      </c>
      <c r="H16" s="153"/>
      <c r="I16" s="1376">
        <f t="shared" si="0"/>
        <v>1</v>
      </c>
      <c r="J16" s="483">
        <v>1</v>
      </c>
      <c r="K16" s="3334">
        <f t="shared" si="0"/>
        <v>0</v>
      </c>
      <c r="L16" s="483">
        <v>1</v>
      </c>
      <c r="M16" s="153">
        <v>1</v>
      </c>
      <c r="N16" s="463"/>
      <c r="O16" s="463"/>
      <c r="Q16" s="1922">
        <f t="shared" si="1"/>
        <v>0</v>
      </c>
      <c r="R16" s="1922"/>
      <c r="S16" s="1928">
        <f t="shared" si="2"/>
        <v>0</v>
      </c>
      <c r="T16" s="1928"/>
      <c r="U16" s="458">
        <f t="shared" si="3"/>
        <v>0</v>
      </c>
      <c r="V16" s="458"/>
      <c r="W16" s="1934">
        <f t="shared" si="4"/>
        <v>0</v>
      </c>
      <c r="X16" s="1941">
        <f t="shared" si="5"/>
        <v>0</v>
      </c>
      <c r="Y16" s="2295">
        <f>SUM('5.8.a. sz. mell.'!F16+'5.8.b. sz. mell.'!F16+'5.8.c. sz. mell.'!F16)</f>
        <v>0</v>
      </c>
      <c r="Z16" s="2298"/>
      <c r="AA16" s="1928">
        <f>SUM('5.8.a. sz. mell.'!H16+'5.8.b. sz. mell.'!H16+'5.8.c. sz. mell.'!H16)</f>
        <v>0</v>
      </c>
      <c r="AB16" s="1928"/>
      <c r="AC16" s="458">
        <f>SUM('5.8.a. sz. mell.'!J16+'5.8.b. sz. mell.'!I16+'5.8.c. sz. mell.'!J16)</f>
        <v>1</v>
      </c>
      <c r="AD16" s="458"/>
      <c r="AE16" s="1934">
        <f>SUM('5.8.a. sz. mell.'!L16+'5.8.b. sz. mell.'!K16+'5.8.c. sz. mell.'!L16)</f>
        <v>1</v>
      </c>
      <c r="AF16" s="1944">
        <f>SUM('5.8.a. sz. mell.'!M16+'5.8.b. sz. mell.'!M16+'5.8.c. sz. mell.'!M16)</f>
        <v>1</v>
      </c>
    </row>
    <row r="17" spans="1:32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415">
        <f t="shared" si="0"/>
        <v>0</v>
      </c>
      <c r="H17" s="153"/>
      <c r="I17" s="1404">
        <f t="shared" si="0"/>
        <v>0</v>
      </c>
      <c r="J17" s="831"/>
      <c r="K17" s="3351">
        <f t="shared" si="0"/>
        <v>0</v>
      </c>
      <c r="L17" s="831"/>
      <c r="M17" s="153"/>
      <c r="N17" s="463"/>
      <c r="O17" s="463"/>
      <c r="Q17" s="1922">
        <f t="shared" si="1"/>
        <v>0</v>
      </c>
      <c r="R17" s="1922"/>
      <c r="S17" s="1928">
        <f t="shared" si="2"/>
        <v>0</v>
      </c>
      <c r="T17" s="1928"/>
      <c r="U17" s="458">
        <f t="shared" si="3"/>
        <v>0</v>
      </c>
      <c r="V17" s="458"/>
      <c r="W17" s="1934">
        <f t="shared" si="4"/>
        <v>0</v>
      </c>
      <c r="X17" s="1941">
        <f t="shared" si="5"/>
        <v>0</v>
      </c>
      <c r="Y17" s="2295">
        <f>SUM('5.8.a. sz. mell.'!F17+'5.8.b. sz. mell.'!F17+'5.8.c. sz. mell.'!F17)</f>
        <v>0</v>
      </c>
      <c r="Z17" s="2298"/>
      <c r="AA17" s="1928">
        <f>SUM('5.8.a. sz. mell.'!H17+'5.8.b. sz. mell.'!H17+'5.8.c. sz. mell.'!H17)</f>
        <v>0</v>
      </c>
      <c r="AB17" s="1928"/>
      <c r="AC17" s="458">
        <f>SUM('5.8.a. sz. mell.'!J17+'5.8.b. sz. mell.'!I17+'5.8.c. sz. mell.'!J17)</f>
        <v>0</v>
      </c>
      <c r="AD17" s="458"/>
      <c r="AE17" s="1934">
        <f>SUM('5.8.a. sz. mell.'!L17+'5.8.b. sz. mell.'!K17+'5.8.c. sz. mell.'!L17)</f>
        <v>0</v>
      </c>
      <c r="AF17" s="1944">
        <f>SUM('5.8.a. sz. mell.'!M17+'5.8.b. sz. mell.'!M17+'5.8.c. sz. mell.'!M17)</f>
        <v>0</v>
      </c>
    </row>
    <row r="18" spans="1:32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415">
        <f t="shared" si="0"/>
        <v>10681</v>
      </c>
      <c r="H18" s="153">
        <v>10681</v>
      </c>
      <c r="I18" s="1376">
        <f t="shared" si="0"/>
        <v>4861</v>
      </c>
      <c r="J18" s="175">
        <v>15542</v>
      </c>
      <c r="K18" s="3334">
        <f t="shared" si="0"/>
        <v>0</v>
      </c>
      <c r="L18" s="175">
        <v>15542</v>
      </c>
      <c r="M18" s="153">
        <v>15542</v>
      </c>
      <c r="N18" s="463"/>
      <c r="O18" s="463"/>
      <c r="Q18" s="1922">
        <f t="shared" si="1"/>
        <v>0</v>
      </c>
      <c r="R18" s="1922"/>
      <c r="S18" s="1928">
        <f t="shared" si="2"/>
        <v>0</v>
      </c>
      <c r="T18" s="1928"/>
      <c r="U18" s="458">
        <f t="shared" si="3"/>
        <v>0</v>
      </c>
      <c r="V18" s="458"/>
      <c r="W18" s="1934">
        <f t="shared" si="4"/>
        <v>0</v>
      </c>
      <c r="X18" s="1941">
        <f t="shared" si="5"/>
        <v>0</v>
      </c>
      <c r="Y18" s="2295">
        <f>SUM('5.8.a. sz. mell.'!F18+'5.8.b. sz. mell.'!F18+'5.8.c. sz. mell.'!F18)</f>
        <v>0</v>
      </c>
      <c r="Z18" s="2298"/>
      <c r="AA18" s="1928">
        <f>SUM('5.8.a. sz. mell.'!H18+'5.8.b. sz. mell.'!H18+'5.8.c. sz. mell.'!H18)</f>
        <v>10681</v>
      </c>
      <c r="AB18" s="1928"/>
      <c r="AC18" s="458">
        <f>SUM('5.8.a. sz. mell.'!J18+'5.8.b. sz. mell.'!I18+'5.8.c. sz. mell.'!J18)</f>
        <v>15542</v>
      </c>
      <c r="AD18" s="458"/>
      <c r="AE18" s="1934">
        <f>SUM('5.8.a. sz. mell.'!L18+'5.8.b. sz. mell.'!K18+'5.8.c. sz. mell.'!L18)</f>
        <v>15542</v>
      </c>
      <c r="AF18" s="1944">
        <f>SUM('5.8.a. sz. mell.'!M18+'5.8.b. sz. mell.'!M18+'5.8.c. sz. mell.'!M18)</f>
        <v>15542</v>
      </c>
    </row>
    <row r="19" spans="1:32" s="141" customFormat="1" ht="31.5" customHeight="1" thickBot="1" x14ac:dyDescent="0.25">
      <c r="A19" s="134" t="s">
        <v>17</v>
      </c>
      <c r="B19" s="148"/>
      <c r="C19" s="247" t="s">
        <v>419</v>
      </c>
      <c r="D19" s="137">
        <f>SUM(D20:D25)</f>
        <v>11613</v>
      </c>
      <c r="E19" s="137">
        <f>SUM(E20:E25)</f>
        <v>12461</v>
      </c>
      <c r="F19" s="137">
        <f>SUM(F20:F25)</f>
        <v>0</v>
      </c>
      <c r="G19" s="1382">
        <f t="shared" si="0"/>
        <v>0</v>
      </c>
      <c r="H19" s="137">
        <f>SUM(H20:H25)</f>
        <v>0</v>
      </c>
      <c r="I19" s="1374">
        <f t="shared" si="0"/>
        <v>0</v>
      </c>
      <c r="J19" s="137">
        <f>SUM(J20:J25)</f>
        <v>0</v>
      </c>
      <c r="K19" s="3332">
        <f t="shared" si="0"/>
        <v>0</v>
      </c>
      <c r="L19" s="137">
        <f>SUM(L20:L25)</f>
        <v>0</v>
      </c>
      <c r="M19" s="137">
        <f>SUM(M20:M25)</f>
        <v>0</v>
      </c>
      <c r="N19" s="286"/>
      <c r="O19" s="286"/>
      <c r="Q19" s="1922">
        <f t="shared" si="1"/>
        <v>0</v>
      </c>
      <c r="R19" s="1922"/>
      <c r="S19" s="1928">
        <f t="shared" si="2"/>
        <v>0</v>
      </c>
      <c r="T19" s="1928"/>
      <c r="U19" s="458">
        <f t="shared" si="3"/>
        <v>0</v>
      </c>
      <c r="V19" s="458"/>
      <c r="W19" s="1934">
        <f t="shared" si="4"/>
        <v>0</v>
      </c>
      <c r="X19" s="1941">
        <f t="shared" si="5"/>
        <v>0</v>
      </c>
      <c r="Y19" s="2295">
        <f>SUM('5.8.a. sz. mell.'!F19+'5.8.b. sz. mell.'!F19+'5.8.c. sz. mell.'!F19)</f>
        <v>0</v>
      </c>
      <c r="Z19" s="2298"/>
      <c r="AA19" s="1928">
        <f>SUM('5.8.a. sz. mell.'!H19+'5.8.b. sz. mell.'!H19+'5.8.c. sz. mell.'!H19)</f>
        <v>0</v>
      </c>
      <c r="AB19" s="1928"/>
      <c r="AC19" s="458">
        <f>SUM('5.8.a. sz. mell.'!J19+'5.8.b. sz. mell.'!I19+'5.8.c. sz. mell.'!J19)</f>
        <v>0</v>
      </c>
      <c r="AD19" s="458"/>
      <c r="AE19" s="1934">
        <f>SUM('5.8.a. sz. mell.'!L19+'5.8.b. sz. mell.'!K19+'5.8.c. sz. mell.'!L19)</f>
        <v>0</v>
      </c>
      <c r="AF19" s="1944">
        <f>SUM('5.8.a. sz. mell.'!M19+'5.8.b. sz. mell.'!M19+'5.8.c. sz. mell.'!M19)</f>
        <v>0</v>
      </c>
    </row>
    <row r="20" spans="1:32" s="145" customFormat="1" ht="28.5" customHeight="1" x14ac:dyDescent="0.2">
      <c r="A20" s="142"/>
      <c r="B20" s="143" t="s">
        <v>5</v>
      </c>
      <c r="C20" s="251" t="s">
        <v>420</v>
      </c>
      <c r="D20" s="144">
        <v>11613</v>
      </c>
      <c r="E20" s="144">
        <v>12062</v>
      </c>
      <c r="F20" s="144"/>
      <c r="G20" s="1415">
        <f t="shared" si="0"/>
        <v>0</v>
      </c>
      <c r="H20" s="144">
        <v>0</v>
      </c>
      <c r="I20" s="1376">
        <f t="shared" si="0"/>
        <v>0</v>
      </c>
      <c r="J20" s="1326"/>
      <c r="K20" s="3334">
        <f t="shared" si="0"/>
        <v>0</v>
      </c>
      <c r="L20" s="1326"/>
      <c r="M20" s="144">
        <v>0</v>
      </c>
      <c r="N20" s="463"/>
      <c r="O20" s="463"/>
      <c r="Q20" s="1922">
        <f t="shared" si="1"/>
        <v>0</v>
      </c>
      <c r="R20" s="1922"/>
      <c r="S20" s="1928">
        <f t="shared" si="2"/>
        <v>0</v>
      </c>
      <c r="T20" s="1928"/>
      <c r="U20" s="458">
        <f t="shared" si="3"/>
        <v>0</v>
      </c>
      <c r="V20" s="458"/>
      <c r="W20" s="1934">
        <f t="shared" si="4"/>
        <v>0</v>
      </c>
      <c r="X20" s="1941">
        <f t="shared" si="5"/>
        <v>0</v>
      </c>
      <c r="Y20" s="2295">
        <f>SUM('5.8.a. sz. mell.'!F20+'5.8.b. sz. mell.'!F20+'5.8.c. sz. mell.'!F20)</f>
        <v>0</v>
      </c>
      <c r="Z20" s="2298"/>
      <c r="AA20" s="1928">
        <f>SUM('5.8.a. sz. mell.'!H20+'5.8.b. sz. mell.'!H20+'5.8.c. sz. mell.'!H20)</f>
        <v>0</v>
      </c>
      <c r="AB20" s="1928"/>
      <c r="AC20" s="458">
        <f>SUM('5.8.a. sz. mell.'!J20+'5.8.b. sz. mell.'!I20+'5.8.c. sz. mell.'!J20)</f>
        <v>0</v>
      </c>
      <c r="AD20" s="458"/>
      <c r="AE20" s="1934">
        <f>SUM('5.8.a. sz. mell.'!L20+'5.8.b. sz. mell.'!K20+'5.8.c. sz. mell.'!L20)</f>
        <v>0</v>
      </c>
      <c r="AF20" s="1944">
        <f>SUM('5.8.a. sz. mell.'!M20+'5.8.b. sz. mell.'!M20+'5.8.c. sz. mell.'!M20)</f>
        <v>0</v>
      </c>
    </row>
    <row r="21" spans="1:32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/>
      <c r="G21" s="1415">
        <f t="shared" si="0"/>
        <v>0</v>
      </c>
      <c r="H21" s="144"/>
      <c r="I21" s="1376">
        <f t="shared" si="0"/>
        <v>0</v>
      </c>
      <c r="J21" s="483"/>
      <c r="K21" s="3334">
        <f t="shared" si="0"/>
        <v>0</v>
      </c>
      <c r="L21" s="483"/>
      <c r="M21" s="144"/>
      <c r="N21" s="463"/>
      <c r="O21" s="463"/>
      <c r="Q21" s="1922">
        <f t="shared" si="1"/>
        <v>0</v>
      </c>
      <c r="R21" s="1922"/>
      <c r="S21" s="1928">
        <f t="shared" si="2"/>
        <v>0</v>
      </c>
      <c r="T21" s="1928"/>
      <c r="U21" s="458">
        <f t="shared" si="3"/>
        <v>0</v>
      </c>
      <c r="V21" s="458"/>
      <c r="W21" s="1934">
        <f t="shared" si="4"/>
        <v>0</v>
      </c>
      <c r="X21" s="1941">
        <f t="shared" si="5"/>
        <v>0</v>
      </c>
      <c r="Y21" s="2295">
        <f>SUM('5.8.a. sz. mell.'!F21+'5.8.b. sz. mell.'!F21+'5.8.c. sz. mell.'!F21)</f>
        <v>0</v>
      </c>
      <c r="Z21" s="2298"/>
      <c r="AA21" s="1928">
        <f>SUM('5.8.a. sz. mell.'!H21+'5.8.b. sz. mell.'!H21+'5.8.c. sz. mell.'!H21)</f>
        <v>0</v>
      </c>
      <c r="AB21" s="1928"/>
      <c r="AC21" s="458">
        <f>SUM('5.8.a. sz. mell.'!J21+'5.8.b. sz. mell.'!I21+'5.8.c. sz. mell.'!J21)</f>
        <v>0</v>
      </c>
      <c r="AD21" s="458"/>
      <c r="AE21" s="1934">
        <f>SUM('5.8.a. sz. mell.'!L21+'5.8.b. sz. mell.'!K21+'5.8.c. sz. mell.'!L21)</f>
        <v>0</v>
      </c>
      <c r="AF21" s="1944">
        <f>SUM('5.8.a. sz. mell.'!M21+'5.8.b. sz. mell.'!M21+'5.8.c. sz. mell.'!M21)</f>
        <v>0</v>
      </c>
    </row>
    <row r="22" spans="1:32" s="145" customFormat="1" ht="15" customHeight="1" x14ac:dyDescent="0.2">
      <c r="A22" s="142"/>
      <c r="B22" s="143" t="s">
        <v>360</v>
      </c>
      <c r="C22" s="55" t="s">
        <v>1430</v>
      </c>
      <c r="D22" s="144">
        <v>0</v>
      </c>
      <c r="E22" s="144">
        <v>399</v>
      </c>
      <c r="F22" s="144"/>
      <c r="G22" s="1415">
        <f t="shared" si="0"/>
        <v>0</v>
      </c>
      <c r="H22" s="144"/>
      <c r="I22" s="1376">
        <f t="shared" si="0"/>
        <v>0</v>
      </c>
      <c r="J22" s="147"/>
      <c r="K22" s="3334">
        <f t="shared" si="0"/>
        <v>0</v>
      </c>
      <c r="L22" s="147"/>
      <c r="M22" s="144"/>
      <c r="N22" s="463"/>
      <c r="O22" s="463"/>
      <c r="Q22" s="1922">
        <f t="shared" si="1"/>
        <v>0</v>
      </c>
      <c r="R22" s="1922"/>
      <c r="S22" s="1928">
        <f t="shared" si="2"/>
        <v>0</v>
      </c>
      <c r="T22" s="1928"/>
      <c r="U22" s="458">
        <f t="shared" si="3"/>
        <v>0</v>
      </c>
      <c r="V22" s="458"/>
      <c r="W22" s="1934">
        <f t="shared" si="4"/>
        <v>0</v>
      </c>
      <c r="X22" s="1941">
        <f t="shared" si="5"/>
        <v>0</v>
      </c>
      <c r="Y22" s="2295">
        <f>SUM('5.8.a. sz. mell.'!F22+'5.8.b. sz. mell.'!F22+'5.8.c. sz. mell.'!F22)</f>
        <v>0</v>
      </c>
      <c r="Z22" s="2298"/>
      <c r="AA22" s="1928">
        <f>SUM('5.8.a. sz. mell.'!H22+'5.8.b. sz. mell.'!H22+'5.8.c. sz. mell.'!H22)</f>
        <v>0</v>
      </c>
      <c r="AB22" s="1928"/>
      <c r="AC22" s="458">
        <f>SUM('5.8.a. sz. mell.'!J22+'5.8.b. sz. mell.'!I22+'5.8.c. sz. mell.'!J22)</f>
        <v>0</v>
      </c>
      <c r="AD22" s="458"/>
      <c r="AE22" s="1934">
        <f>SUM('5.8.a. sz. mell.'!L22+'5.8.b. sz. mell.'!K22+'5.8.c. sz. mell.'!L22)</f>
        <v>0</v>
      </c>
      <c r="AF22" s="1944">
        <f>SUM('5.8.a. sz. mell.'!M22+'5.8.b. sz. mell.'!M22+'5.8.c. sz. mell.'!M22)</f>
        <v>0</v>
      </c>
    </row>
    <row r="23" spans="1:32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/>
      <c r="G23" s="1415">
        <f t="shared" si="0"/>
        <v>0</v>
      </c>
      <c r="H23" s="144"/>
      <c r="I23" s="1376">
        <f t="shared" si="0"/>
        <v>0</v>
      </c>
      <c r="J23" s="483"/>
      <c r="K23" s="3334">
        <f t="shared" si="0"/>
        <v>0</v>
      </c>
      <c r="L23" s="483"/>
      <c r="M23" s="144"/>
      <c r="N23" s="463"/>
      <c r="O23" s="463"/>
      <c r="Q23" s="1922">
        <f t="shared" si="1"/>
        <v>0</v>
      </c>
      <c r="R23" s="1922"/>
      <c r="S23" s="1928">
        <f t="shared" si="2"/>
        <v>0</v>
      </c>
      <c r="T23" s="1928"/>
      <c r="U23" s="458">
        <f t="shared" si="3"/>
        <v>0</v>
      </c>
      <c r="V23" s="458"/>
      <c r="W23" s="1934">
        <f t="shared" si="4"/>
        <v>0</v>
      </c>
      <c r="X23" s="1941">
        <f t="shared" si="5"/>
        <v>0</v>
      </c>
      <c r="Y23" s="2295">
        <f>SUM('5.8.a. sz. mell.'!F23+'5.8.b. sz. mell.'!F23+'5.8.c. sz. mell.'!F23)</f>
        <v>0</v>
      </c>
      <c r="Z23" s="2298"/>
      <c r="AA23" s="1928">
        <f>SUM('5.8.a. sz. mell.'!H23+'5.8.b. sz. mell.'!H23+'5.8.c. sz. mell.'!H23)</f>
        <v>0</v>
      </c>
      <c r="AB23" s="1928"/>
      <c r="AC23" s="458">
        <f>SUM('5.8.a. sz. mell.'!J23+'5.8.b. sz. mell.'!I23+'5.8.c. sz. mell.'!J23)</f>
        <v>0</v>
      </c>
      <c r="AD23" s="458"/>
      <c r="AE23" s="1934">
        <f>SUM('5.8.a. sz. mell.'!L23+'5.8.b. sz. mell.'!K23+'5.8.c. sz. mell.'!L23)</f>
        <v>0</v>
      </c>
      <c r="AF23" s="1944">
        <f>SUM('5.8.a. sz. mell.'!M23+'5.8.b. sz. mell.'!M23+'5.8.c. sz. mell.'!M23)</f>
        <v>0</v>
      </c>
    </row>
    <row r="24" spans="1:32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/>
      <c r="G24" s="1415">
        <f>SUM(H24-F24)</f>
        <v>0</v>
      </c>
      <c r="H24" s="144"/>
      <c r="I24" s="1376">
        <f>SUM(J24-H24)</f>
        <v>0</v>
      </c>
      <c r="J24" s="147"/>
      <c r="K24" s="3334">
        <f>SUM(L24-J24)</f>
        <v>0</v>
      </c>
      <c r="L24" s="147"/>
      <c r="M24" s="144"/>
      <c r="N24" s="463"/>
      <c r="O24" s="463"/>
      <c r="Q24" s="1922">
        <f t="shared" si="1"/>
        <v>0</v>
      </c>
      <c r="R24" s="1922"/>
      <c r="S24" s="1928">
        <f t="shared" si="2"/>
        <v>0</v>
      </c>
      <c r="T24" s="1928"/>
      <c r="U24" s="458">
        <f t="shared" si="3"/>
        <v>0</v>
      </c>
      <c r="V24" s="458"/>
      <c r="W24" s="1934">
        <f t="shared" si="4"/>
        <v>0</v>
      </c>
      <c r="X24" s="1941">
        <f t="shared" si="5"/>
        <v>0</v>
      </c>
      <c r="Y24" s="2295">
        <f>SUM('5.8.a. sz. mell.'!F24+'5.8.b. sz. mell.'!F24+'5.8.c. sz. mell.'!F24)</f>
        <v>0</v>
      </c>
      <c r="Z24" s="2298"/>
      <c r="AA24" s="1928">
        <f>SUM('5.8.a. sz. mell.'!H24+'5.8.b. sz. mell.'!H24+'5.8.c. sz. mell.'!H24)</f>
        <v>0</v>
      </c>
      <c r="AB24" s="1928"/>
      <c r="AC24" s="458">
        <f>SUM('5.8.a. sz. mell.'!J24+'5.8.b. sz. mell.'!I24+'5.8.c. sz. mell.'!J24)</f>
        <v>0</v>
      </c>
      <c r="AD24" s="458"/>
      <c r="AE24" s="1934">
        <f>SUM('5.8.a. sz. mell.'!L24+'5.8.b. sz. mell.'!K24+'5.8.c. sz. mell.'!L24)</f>
        <v>0</v>
      </c>
      <c r="AF24" s="1944">
        <f>SUM('5.8.a. sz. mell.'!M24+'5.8.b. sz. mell.'!M24+'5.8.c. sz. mell.'!M24)</f>
        <v>0</v>
      </c>
    </row>
    <row r="25" spans="1:32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53">
        <v>0</v>
      </c>
      <c r="G25" s="1518">
        <f>SUM(H25-F25)</f>
        <v>0</v>
      </c>
      <c r="H25" s="153">
        <v>0</v>
      </c>
      <c r="I25" s="1378">
        <f>SUM(J25-H25)</f>
        <v>0</v>
      </c>
      <c r="J25" s="829"/>
      <c r="K25" s="3336">
        <f>SUM(L25-J25)</f>
        <v>0</v>
      </c>
      <c r="L25" s="829"/>
      <c r="M25" s="153">
        <v>0</v>
      </c>
      <c r="N25" s="463"/>
      <c r="O25" s="463"/>
      <c r="Q25" s="1922">
        <f t="shared" si="1"/>
        <v>0</v>
      </c>
      <c r="R25" s="1922"/>
      <c r="S25" s="1928">
        <f t="shared" si="2"/>
        <v>0</v>
      </c>
      <c r="T25" s="1928"/>
      <c r="U25" s="458">
        <f t="shared" si="3"/>
        <v>0</v>
      </c>
      <c r="V25" s="458"/>
      <c r="W25" s="1934">
        <f t="shared" si="4"/>
        <v>0</v>
      </c>
      <c r="X25" s="1941">
        <f t="shared" si="5"/>
        <v>0</v>
      </c>
      <c r="Y25" s="2295">
        <f>SUM('5.8.a. sz. mell.'!F25+'5.8.b. sz. mell.'!F25+'5.8.c. sz. mell.'!F25)</f>
        <v>0</v>
      </c>
      <c r="Z25" s="2298"/>
      <c r="AA25" s="1928">
        <f>SUM('5.8.a. sz. mell.'!H25+'5.8.b. sz. mell.'!H25+'5.8.c. sz. mell.'!H25)</f>
        <v>0</v>
      </c>
      <c r="AB25" s="1928"/>
      <c r="AC25" s="458">
        <f>SUM('5.8.a. sz. mell.'!J25+'5.8.b. sz. mell.'!I25+'5.8.c. sz. mell.'!J25)</f>
        <v>0</v>
      </c>
      <c r="AD25" s="458"/>
      <c r="AE25" s="1934">
        <f>SUM('5.8.a. sz. mell.'!L25+'5.8.b. sz. mell.'!K25+'5.8.c. sz. mell.'!L25)</f>
        <v>0</v>
      </c>
      <c r="AF25" s="1944">
        <f>SUM('5.8.a. sz. mell.'!M25+'5.8.b. sz. mell.'!M25+'5.8.c. sz. mell.'!M25)</f>
        <v>0</v>
      </c>
    </row>
    <row r="26" spans="1:32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674">
        <f>SUM(F27)</f>
        <v>0</v>
      </c>
      <c r="G26" s="1509"/>
      <c r="H26" s="674">
        <f>SUM(H27)</f>
        <v>0</v>
      </c>
      <c r="I26" s="1436"/>
      <c r="J26" s="674">
        <f>SUM(J27)</f>
        <v>0</v>
      </c>
      <c r="K26" s="3348"/>
      <c r="L26" s="674">
        <f>SUM(L27)</f>
        <v>0</v>
      </c>
      <c r="M26" s="252"/>
      <c r="N26" s="463"/>
      <c r="O26" s="463"/>
      <c r="Q26" s="1922">
        <f t="shared" si="1"/>
        <v>0</v>
      </c>
      <c r="R26" s="1922"/>
      <c r="S26" s="1928">
        <f t="shared" si="2"/>
        <v>0</v>
      </c>
      <c r="T26" s="1928"/>
      <c r="U26" s="458">
        <f t="shared" si="3"/>
        <v>0</v>
      </c>
      <c r="V26" s="458"/>
      <c r="W26" s="1934">
        <f t="shared" si="4"/>
        <v>0</v>
      </c>
      <c r="X26" s="1941">
        <f t="shared" si="5"/>
        <v>0</v>
      </c>
      <c r="Y26" s="2295">
        <f>SUM('5.8.a. sz. mell.'!F26+'5.8.b. sz. mell.'!F26+'5.8.c. sz. mell.'!F26)</f>
        <v>0</v>
      </c>
      <c r="Z26" s="2298"/>
      <c r="AA26" s="1928">
        <f>SUM('5.8.a. sz. mell.'!H26+'5.8.b. sz. mell.'!H26+'5.8.c. sz. mell.'!H26)</f>
        <v>0</v>
      </c>
      <c r="AB26" s="1928"/>
      <c r="AC26" s="458">
        <f>SUM('5.8.a. sz. mell.'!J26+'5.8.b. sz. mell.'!I26+'5.8.c. sz. mell.'!J26)</f>
        <v>0</v>
      </c>
      <c r="AD26" s="458"/>
      <c r="AE26" s="1934">
        <f>SUM('5.8.a. sz. mell.'!L26+'5.8.b. sz. mell.'!K26+'5.8.c. sz. mell.'!L26)</f>
        <v>0</v>
      </c>
      <c r="AF26" s="1944">
        <f>SUM('5.8.a. sz. mell.'!M26+'5.8.b. sz. mell.'!M26+'5.8.c. sz. mell.'!M26)</f>
        <v>0</v>
      </c>
    </row>
    <row r="27" spans="1:32" s="145" customFormat="1" ht="15" customHeight="1" thickBot="1" x14ac:dyDescent="0.25">
      <c r="A27" s="134"/>
      <c r="B27" s="143" t="s">
        <v>19</v>
      </c>
      <c r="C27" s="55" t="s">
        <v>427</v>
      </c>
      <c r="D27" s="147"/>
      <c r="E27" s="147"/>
      <c r="F27" s="147"/>
      <c r="G27" s="1518">
        <f>SUM(H27-F27)</f>
        <v>0</v>
      </c>
      <c r="H27" s="147"/>
      <c r="I27" s="1378">
        <f>SUM(J27-H27)</f>
        <v>0</v>
      </c>
      <c r="J27" s="150"/>
      <c r="K27" s="3336">
        <f>SUM(L27-J27)</f>
        <v>0</v>
      </c>
      <c r="L27" s="150"/>
      <c r="M27" s="147"/>
      <c r="N27" s="463"/>
      <c r="O27" s="463"/>
      <c r="Q27" s="1922">
        <f t="shared" si="1"/>
        <v>0</v>
      </c>
      <c r="R27" s="1922"/>
      <c r="S27" s="1928">
        <f t="shared" si="2"/>
        <v>0</v>
      </c>
      <c r="T27" s="1928"/>
      <c r="U27" s="458">
        <f t="shared" si="3"/>
        <v>0</v>
      </c>
      <c r="V27" s="458"/>
      <c r="W27" s="1934">
        <f t="shared" si="4"/>
        <v>0</v>
      </c>
      <c r="X27" s="1941">
        <f t="shared" si="5"/>
        <v>0</v>
      </c>
      <c r="Y27" s="2295">
        <f>SUM('5.8.a. sz. mell.'!F27+'5.8.b. sz. mell.'!F27+'5.8.c. sz. mell.'!F27)</f>
        <v>0</v>
      </c>
      <c r="Z27" s="2298"/>
      <c r="AA27" s="1928">
        <f>SUM('5.8.a. sz. mell.'!H27+'5.8.b. sz. mell.'!H27+'5.8.c. sz. mell.'!H27)</f>
        <v>0</v>
      </c>
      <c r="AB27" s="1928"/>
      <c r="AC27" s="458">
        <f>SUM('5.8.a. sz. mell.'!J27+'5.8.b. sz. mell.'!I27+'5.8.c. sz. mell.'!J27)</f>
        <v>0</v>
      </c>
      <c r="AD27" s="458"/>
      <c r="AE27" s="1934">
        <f>SUM('5.8.a. sz. mell.'!L27+'5.8.b. sz. mell.'!K27+'5.8.c. sz. mell.'!L27)</f>
        <v>0</v>
      </c>
      <c r="AF27" s="1944">
        <f>SUM('5.8.a. sz. mell.'!M27+'5.8.b. sz. mell.'!M27+'5.8.c. sz. mell.'!M27)</f>
        <v>0</v>
      </c>
    </row>
    <row r="28" spans="1:32" s="145" customFormat="1" ht="15" customHeight="1" thickBot="1" x14ac:dyDescent="0.25">
      <c r="A28" s="134" t="s">
        <v>45</v>
      </c>
      <c r="B28" s="148"/>
      <c r="C28" s="170" t="s">
        <v>428</v>
      </c>
      <c r="D28" s="155">
        <v>0</v>
      </c>
      <c r="E28" s="155">
        <v>0</v>
      </c>
      <c r="F28" s="155">
        <f>SUM(F29:F31)</f>
        <v>0</v>
      </c>
      <c r="G28" s="1381"/>
      <c r="H28" s="155">
        <f>SUM(H29:H31)</f>
        <v>0</v>
      </c>
      <c r="I28" s="1380"/>
      <c r="J28" s="155">
        <f>SUM(J29:J31)</f>
        <v>0</v>
      </c>
      <c r="K28" s="3338"/>
      <c r="L28" s="155">
        <f>SUM(L29:L31)</f>
        <v>0</v>
      </c>
      <c r="M28" s="155">
        <v>0</v>
      </c>
      <c r="N28" s="465"/>
      <c r="O28" s="465"/>
      <c r="Q28" s="1922">
        <f t="shared" si="1"/>
        <v>0</v>
      </c>
      <c r="R28" s="1922"/>
      <c r="S28" s="1928">
        <f t="shared" si="2"/>
        <v>0</v>
      </c>
      <c r="T28" s="1928"/>
      <c r="U28" s="458">
        <f t="shared" si="3"/>
        <v>0</v>
      </c>
      <c r="V28" s="458"/>
      <c r="W28" s="1934">
        <f t="shared" si="4"/>
        <v>0</v>
      </c>
      <c r="X28" s="1941">
        <f t="shared" si="5"/>
        <v>0</v>
      </c>
      <c r="Y28" s="2295">
        <f>SUM('5.8.a. sz. mell.'!F28+'5.8.b. sz. mell.'!F28+'5.8.c. sz. mell.'!F28)</f>
        <v>0</v>
      </c>
      <c r="Z28" s="2298"/>
      <c r="AA28" s="1928">
        <f>SUM('5.8.a. sz. mell.'!H28+'5.8.b. sz. mell.'!H28+'5.8.c. sz. mell.'!H28)</f>
        <v>0</v>
      </c>
      <c r="AB28" s="1928"/>
      <c r="AC28" s="458">
        <f>SUM('5.8.a. sz. mell.'!J28+'5.8.b. sz. mell.'!I28+'5.8.c. sz. mell.'!J28)</f>
        <v>0</v>
      </c>
      <c r="AD28" s="458"/>
      <c r="AE28" s="1934">
        <f>SUM('5.8.a. sz. mell.'!L28+'5.8.b. sz. mell.'!K28+'5.8.c. sz. mell.'!L28)</f>
        <v>0</v>
      </c>
      <c r="AF28" s="1944">
        <f>SUM('5.8.a. sz. mell.'!M28+'5.8.b. sz. mell.'!M28+'5.8.c. sz. mell.'!M28)</f>
        <v>0</v>
      </c>
    </row>
    <row r="29" spans="1:32" s="145" customFormat="1" ht="15" customHeight="1" thickBot="1" x14ac:dyDescent="0.25">
      <c r="A29" s="149"/>
      <c r="B29" s="253" t="s">
        <v>33</v>
      </c>
      <c r="C29" s="249" t="s">
        <v>359</v>
      </c>
      <c r="D29" s="2681"/>
      <c r="E29" s="2681"/>
      <c r="F29" s="273"/>
      <c r="G29" s="1383">
        <f>SUM(H29-F29)</f>
        <v>0</v>
      </c>
      <c r="H29" s="273"/>
      <c r="I29" s="1410">
        <f>SUM(J29-H29)</f>
        <v>0</v>
      </c>
      <c r="J29" s="150"/>
      <c r="K29" s="3380">
        <f>SUM(L29-J29)</f>
        <v>0</v>
      </c>
      <c r="L29" s="150"/>
      <c r="M29" s="273"/>
      <c r="N29" s="465"/>
      <c r="O29" s="465"/>
      <c r="Q29" s="1922">
        <f t="shared" si="1"/>
        <v>0</v>
      </c>
      <c r="R29" s="1922"/>
      <c r="S29" s="1928">
        <f t="shared" si="2"/>
        <v>0</v>
      </c>
      <c r="T29" s="1928"/>
      <c r="U29" s="458">
        <f t="shared" si="3"/>
        <v>0</v>
      </c>
      <c r="V29" s="458"/>
      <c r="W29" s="1934">
        <f t="shared" si="4"/>
        <v>0</v>
      </c>
      <c r="X29" s="1941">
        <f t="shared" si="5"/>
        <v>0</v>
      </c>
      <c r="Y29" s="2295">
        <f>SUM('5.8.a. sz. mell.'!F29+'5.8.b. sz. mell.'!F29+'5.8.c. sz. mell.'!F29)</f>
        <v>0</v>
      </c>
      <c r="Z29" s="2298"/>
      <c r="AA29" s="1928">
        <f>SUM('5.8.a. sz. mell.'!H29+'5.8.b. sz. mell.'!H29+'5.8.c. sz. mell.'!H29)</f>
        <v>0</v>
      </c>
      <c r="AB29" s="1928"/>
      <c r="AC29" s="458">
        <f>SUM('5.8.a. sz. mell.'!J29+'5.8.b. sz. mell.'!I29+'5.8.c. sz. mell.'!J29)</f>
        <v>0</v>
      </c>
      <c r="AD29" s="458"/>
      <c r="AE29" s="1934">
        <f>SUM('5.8.a. sz. mell.'!L29+'5.8.b. sz. mell.'!K29+'5.8.c. sz. mell.'!L29)</f>
        <v>0</v>
      </c>
      <c r="AF29" s="1944">
        <f>SUM('5.8.a. sz. mell.'!M29+'5.8.b. sz. mell.'!M29+'5.8.c. sz. mell.'!M29)</f>
        <v>0</v>
      </c>
    </row>
    <row r="30" spans="1:32" s="145" customFormat="1" ht="15" customHeight="1" thickBot="1" x14ac:dyDescent="0.25">
      <c r="A30" s="146"/>
      <c r="B30" s="253" t="s">
        <v>39</v>
      </c>
      <c r="C30" s="55" t="s">
        <v>72</v>
      </c>
      <c r="D30" s="2681"/>
      <c r="E30" s="2681"/>
      <c r="F30" s="283"/>
      <c r="G30" s="1415">
        <f>SUM(H30-F30)</f>
        <v>0</v>
      </c>
      <c r="H30" s="283"/>
      <c r="I30" s="1404">
        <f>SUM(J30-H30)</f>
        <v>0</v>
      </c>
      <c r="J30" s="831"/>
      <c r="K30" s="3351">
        <f>SUM(L30-J30)</f>
        <v>0</v>
      </c>
      <c r="L30" s="831"/>
      <c r="M30" s="283"/>
      <c r="N30" s="465"/>
      <c r="O30" s="465"/>
      <c r="Q30" s="1922">
        <f t="shared" si="1"/>
        <v>0</v>
      </c>
      <c r="R30" s="1922"/>
      <c r="S30" s="1928">
        <f t="shared" si="2"/>
        <v>0</v>
      </c>
      <c r="T30" s="1928"/>
      <c r="U30" s="458">
        <f t="shared" si="3"/>
        <v>0</v>
      </c>
      <c r="V30" s="458"/>
      <c r="W30" s="1934">
        <f t="shared" si="4"/>
        <v>0</v>
      </c>
      <c r="X30" s="1941">
        <f t="shared" si="5"/>
        <v>0</v>
      </c>
      <c r="Y30" s="2295">
        <f>SUM('5.8.a. sz. mell.'!F30+'5.8.b. sz. mell.'!F30+'5.8.c. sz. mell.'!F30)</f>
        <v>0</v>
      </c>
      <c r="Z30" s="2298"/>
      <c r="AA30" s="1928">
        <f>SUM('5.8.a. sz. mell.'!H30+'5.8.b. sz. mell.'!H30+'5.8.c. sz. mell.'!H30)</f>
        <v>0</v>
      </c>
      <c r="AB30" s="1928"/>
      <c r="AC30" s="458">
        <f>SUM('5.8.a. sz. mell.'!J30+'5.8.b. sz. mell.'!I30+'5.8.c. sz. mell.'!J30)</f>
        <v>0</v>
      </c>
      <c r="AD30" s="458"/>
      <c r="AE30" s="1934">
        <f>SUM('5.8.a. sz. mell.'!L30+'5.8.b. sz. mell.'!K30+'5.8.c. sz. mell.'!L30)</f>
        <v>0</v>
      </c>
      <c r="AF30" s="1944">
        <f>SUM('5.8.a. sz. mell.'!M30+'5.8.b. sz. mell.'!M30+'5.8.c. sz. mell.'!M30)</f>
        <v>0</v>
      </c>
    </row>
    <row r="31" spans="1:32" s="145" customFormat="1" ht="15" customHeight="1" thickBot="1" x14ac:dyDescent="0.25">
      <c r="A31" s="178"/>
      <c r="B31" s="253" t="s">
        <v>41</v>
      </c>
      <c r="C31" s="180" t="s">
        <v>74</v>
      </c>
      <c r="D31" s="2681"/>
      <c r="E31" s="2681"/>
      <c r="F31" s="297"/>
      <c r="G31" s="1432">
        <f>SUM(H31-F31)</f>
        <v>0</v>
      </c>
      <c r="H31" s="297"/>
      <c r="I31" s="1411">
        <f>SUM(J31-H31)</f>
        <v>0</v>
      </c>
      <c r="J31" s="175"/>
      <c r="K31" s="3381">
        <f>SUM(L31-J31)</f>
        <v>0</v>
      </c>
      <c r="L31" s="175"/>
      <c r="M31" s="297"/>
      <c r="N31" s="465"/>
      <c r="O31" s="465"/>
      <c r="Q31" s="1922">
        <f t="shared" si="1"/>
        <v>0</v>
      </c>
      <c r="R31" s="1922"/>
      <c r="S31" s="1928">
        <f t="shared" si="2"/>
        <v>0</v>
      </c>
      <c r="T31" s="1928"/>
      <c r="U31" s="458">
        <f t="shared" si="3"/>
        <v>0</v>
      </c>
      <c r="V31" s="458"/>
      <c r="W31" s="1934">
        <f t="shared" si="4"/>
        <v>0</v>
      </c>
      <c r="X31" s="1941">
        <f t="shared" si="5"/>
        <v>0</v>
      </c>
      <c r="Y31" s="2295">
        <f>SUM('5.8.a. sz. mell.'!F31+'5.8.b. sz. mell.'!F31+'5.8.c. sz. mell.'!F31)</f>
        <v>0</v>
      </c>
      <c r="Z31" s="2298"/>
      <c r="AA31" s="1928">
        <f>SUM('5.8.a. sz. mell.'!H31+'5.8.b. sz. mell.'!H31+'5.8.c. sz. mell.'!H31)</f>
        <v>0</v>
      </c>
      <c r="AB31" s="1928"/>
      <c r="AC31" s="458">
        <f>SUM('5.8.a. sz. mell.'!J31+'5.8.b. sz. mell.'!I31+'5.8.c. sz. mell.'!J31)</f>
        <v>0</v>
      </c>
      <c r="AD31" s="458"/>
      <c r="AE31" s="1934">
        <f>SUM('5.8.a. sz. mell.'!L31+'5.8.b. sz. mell.'!K31+'5.8.c. sz. mell.'!L31)</f>
        <v>0</v>
      </c>
      <c r="AF31" s="1944">
        <f>SUM('5.8.a. sz. mell.'!M31+'5.8.b. sz. mell.'!M31+'5.8.c. sz. mell.'!M31)</f>
        <v>0</v>
      </c>
    </row>
    <row r="32" spans="1:32" s="141" customFormat="1" ht="30.75" customHeight="1" thickBot="1" x14ac:dyDescent="0.25">
      <c r="A32" s="134" t="s">
        <v>67</v>
      </c>
      <c r="B32" s="254"/>
      <c r="C32" s="170" t="s">
        <v>429</v>
      </c>
      <c r="D32" s="155">
        <v>0</v>
      </c>
      <c r="E32" s="155">
        <v>0</v>
      </c>
      <c r="F32" s="155">
        <f>SUM(F33)</f>
        <v>0</v>
      </c>
      <c r="G32" s="1381"/>
      <c r="H32" s="155">
        <f>SUM(H33)</f>
        <v>0</v>
      </c>
      <c r="I32" s="1380"/>
      <c r="J32" s="155">
        <f>SUM(J33)</f>
        <v>0</v>
      </c>
      <c r="K32" s="3338"/>
      <c r="L32" s="155">
        <f>SUM(L33)</f>
        <v>0</v>
      </c>
      <c r="M32" s="155">
        <v>0</v>
      </c>
      <c r="N32" s="465"/>
      <c r="O32" s="465"/>
      <c r="Q32" s="1922">
        <f t="shared" si="1"/>
        <v>0</v>
      </c>
      <c r="R32" s="1922"/>
      <c r="S32" s="1928">
        <f t="shared" si="2"/>
        <v>0</v>
      </c>
      <c r="T32" s="1928"/>
      <c r="U32" s="458">
        <f t="shared" si="3"/>
        <v>0</v>
      </c>
      <c r="V32" s="458"/>
      <c r="W32" s="1934">
        <f t="shared" si="4"/>
        <v>0</v>
      </c>
      <c r="X32" s="1941">
        <f t="shared" si="5"/>
        <v>0</v>
      </c>
      <c r="Y32" s="2295">
        <f>SUM('5.8.a. sz. mell.'!F32+'5.8.b. sz. mell.'!F32+'5.8.c. sz. mell.'!F32)</f>
        <v>0</v>
      </c>
      <c r="Z32" s="2298"/>
      <c r="AA32" s="1928">
        <f>SUM('5.8.a. sz. mell.'!H32+'5.8.b. sz. mell.'!H32+'5.8.c. sz. mell.'!H32)</f>
        <v>0</v>
      </c>
      <c r="AB32" s="1928"/>
      <c r="AC32" s="458">
        <f>SUM('5.8.a. sz. mell.'!J32+'5.8.b. sz. mell.'!I32+'5.8.c. sz. mell.'!J32)</f>
        <v>0</v>
      </c>
      <c r="AD32" s="458"/>
      <c r="AE32" s="1934">
        <f>SUM('5.8.a. sz. mell.'!L32+'5.8.b. sz. mell.'!K32+'5.8.c. sz. mell.'!L32)</f>
        <v>0</v>
      </c>
      <c r="AF32" s="1944">
        <f>SUM('5.8.a. sz. mell.'!M32+'5.8.b. sz. mell.'!M32+'5.8.c. sz. mell.'!M32)</f>
        <v>0</v>
      </c>
    </row>
    <row r="33" spans="1:32" s="141" customFormat="1" ht="30" customHeight="1" thickBot="1" x14ac:dyDescent="0.25">
      <c r="A33" s="146"/>
      <c r="B33" s="255" t="s">
        <v>47</v>
      </c>
      <c r="C33" s="251" t="s">
        <v>430</v>
      </c>
      <c r="D33" s="295"/>
      <c r="E33" s="295"/>
      <c r="F33" s="295"/>
      <c r="G33" s="1381"/>
      <c r="H33" s="295"/>
      <c r="I33" s="1381"/>
      <c r="J33" s="150"/>
      <c r="K33" s="3339"/>
      <c r="L33" s="150"/>
      <c r="M33" s="295"/>
      <c r="N33" s="465"/>
      <c r="O33" s="465"/>
      <c r="Q33" s="1922">
        <f t="shared" si="1"/>
        <v>0</v>
      </c>
      <c r="R33" s="1922"/>
      <c r="S33" s="1928">
        <f t="shared" si="2"/>
        <v>0</v>
      </c>
      <c r="T33" s="1928"/>
      <c r="U33" s="458">
        <f t="shared" si="3"/>
        <v>0</v>
      </c>
      <c r="V33" s="458"/>
      <c r="W33" s="1934">
        <f t="shared" si="4"/>
        <v>0</v>
      </c>
      <c r="X33" s="1941">
        <f t="shared" si="5"/>
        <v>0</v>
      </c>
      <c r="Y33" s="2295">
        <f>SUM('5.8.a. sz. mell.'!F33+'5.8.b. sz. mell.'!F33+'5.8.c. sz. mell.'!F33)</f>
        <v>0</v>
      </c>
      <c r="Z33" s="2298"/>
      <c r="AA33" s="1928">
        <f>SUM('5.8.a. sz. mell.'!H33+'5.8.b. sz. mell.'!H33+'5.8.c. sz. mell.'!H33)</f>
        <v>0</v>
      </c>
      <c r="AB33" s="1928"/>
      <c r="AC33" s="458">
        <f>SUM('5.8.a. sz. mell.'!J33+'5.8.b. sz. mell.'!I33+'5.8.c. sz. mell.'!J33)</f>
        <v>0</v>
      </c>
      <c r="AD33" s="458"/>
      <c r="AE33" s="1934">
        <f>SUM('5.8.a. sz. mell.'!L33+'5.8.b. sz. mell.'!K33+'5.8.c. sz. mell.'!L33)</f>
        <v>0</v>
      </c>
      <c r="AF33" s="1944">
        <f>SUM('5.8.a. sz. mell.'!M33+'5.8.b. sz. mell.'!M33+'5.8.c. sz. mell.'!M33)</f>
        <v>0</v>
      </c>
    </row>
    <row r="34" spans="1:32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>
        <f>SUM(F35)</f>
        <v>0</v>
      </c>
      <c r="G34" s="1381">
        <f t="shared" ref="G34:L34" si="6">SUM(G35)</f>
        <v>0</v>
      </c>
      <c r="H34" s="295">
        <f t="shared" si="6"/>
        <v>0</v>
      </c>
      <c r="I34" s="1381">
        <f t="shared" si="6"/>
        <v>0</v>
      </c>
      <c r="J34" s="295">
        <f t="shared" si="6"/>
        <v>0</v>
      </c>
      <c r="K34" s="3339">
        <f t="shared" si="6"/>
        <v>0</v>
      </c>
      <c r="L34" s="295">
        <f t="shared" si="6"/>
        <v>0</v>
      </c>
      <c r="M34" s="295"/>
      <c r="N34" s="465"/>
      <c r="O34" s="465"/>
      <c r="Q34" s="1922">
        <f t="shared" si="1"/>
        <v>0</v>
      </c>
      <c r="R34" s="1922"/>
      <c r="S34" s="1928">
        <f t="shared" si="2"/>
        <v>0</v>
      </c>
      <c r="T34" s="1928"/>
      <c r="U34" s="458">
        <f t="shared" si="3"/>
        <v>0</v>
      </c>
      <c r="V34" s="458"/>
      <c r="W34" s="1934">
        <f t="shared" si="4"/>
        <v>0</v>
      </c>
      <c r="X34" s="1941">
        <f t="shared" si="5"/>
        <v>0</v>
      </c>
      <c r="Y34" s="2295">
        <f>SUM('5.8.a. sz. mell.'!F34+'5.8.b. sz. mell.'!F34+'5.8.c. sz. mell.'!F34)</f>
        <v>0</v>
      </c>
      <c r="Z34" s="2298"/>
      <c r="AA34" s="1928">
        <f>SUM('5.8.a. sz. mell.'!H34+'5.8.b. sz. mell.'!H34+'5.8.c. sz. mell.'!H34)</f>
        <v>0</v>
      </c>
      <c r="AB34" s="1928"/>
      <c r="AC34" s="458">
        <f>SUM('5.8.a. sz. mell.'!J34+'5.8.b. sz. mell.'!I34+'5.8.c. sz. mell.'!J34)</f>
        <v>0</v>
      </c>
      <c r="AD34" s="458"/>
      <c r="AE34" s="1934">
        <f>SUM('5.8.a. sz. mell.'!L34+'5.8.b. sz. mell.'!K34+'5.8.c. sz. mell.'!L34)</f>
        <v>0</v>
      </c>
      <c r="AF34" s="1944">
        <f>SUM('5.8.a. sz. mell.'!M34+'5.8.b. sz. mell.'!M34+'5.8.c. sz. mell.'!M34)</f>
        <v>0</v>
      </c>
    </row>
    <row r="35" spans="1:32" s="141" customFormat="1" ht="15" customHeight="1" thickBot="1" x14ac:dyDescent="0.25">
      <c r="A35" s="258"/>
      <c r="B35" s="257" t="s">
        <v>69</v>
      </c>
      <c r="C35" s="55" t="s">
        <v>432</v>
      </c>
      <c r="D35" s="295"/>
      <c r="E35" s="295"/>
      <c r="F35" s="295"/>
      <c r="G35" s="1381"/>
      <c r="H35" s="295"/>
      <c r="I35" s="1382">
        <f t="shared" ref="I35:I41" si="7">SUM(J35-H35)</f>
        <v>0</v>
      </c>
      <c r="J35" s="150"/>
      <c r="K35" s="3340">
        <f t="shared" ref="K35:K41" si="8">SUM(L35-J35)</f>
        <v>0</v>
      </c>
      <c r="L35" s="150"/>
      <c r="M35" s="295"/>
      <c r="N35" s="465"/>
      <c r="O35" s="465"/>
      <c r="Q35" s="1922">
        <f t="shared" si="1"/>
        <v>0</v>
      </c>
      <c r="R35" s="1922"/>
      <c r="S35" s="1928">
        <f t="shared" si="2"/>
        <v>0</v>
      </c>
      <c r="T35" s="1928"/>
      <c r="U35" s="458">
        <f t="shared" si="3"/>
        <v>0</v>
      </c>
      <c r="V35" s="458"/>
      <c r="W35" s="1934">
        <f t="shared" si="4"/>
        <v>0</v>
      </c>
      <c r="X35" s="1941">
        <f t="shared" si="5"/>
        <v>0</v>
      </c>
      <c r="Y35" s="2295">
        <f>SUM('5.8.a. sz. mell.'!F35+'5.8.b. sz. mell.'!F35+'5.8.c. sz. mell.'!F35)</f>
        <v>0</v>
      </c>
      <c r="Z35" s="2298"/>
      <c r="AA35" s="1928">
        <f>SUM('5.8.a. sz. mell.'!H35+'5.8.b. sz. mell.'!H35+'5.8.c. sz. mell.'!H35)</f>
        <v>0</v>
      </c>
      <c r="AB35" s="1928"/>
      <c r="AC35" s="458">
        <f>SUM('5.8.a. sz. mell.'!J35+'5.8.b. sz. mell.'!I35+'5.8.c. sz. mell.'!J35)</f>
        <v>0</v>
      </c>
      <c r="AD35" s="458"/>
      <c r="AE35" s="1934">
        <f>SUM('5.8.a. sz. mell.'!L35+'5.8.b. sz. mell.'!K35+'5.8.c. sz. mell.'!L35)</f>
        <v>0</v>
      </c>
      <c r="AF35" s="1944">
        <f>SUM('5.8.a. sz. mell.'!M35+'5.8.b. sz. mell.'!M35+'5.8.c. sz. mell.'!M35)</f>
        <v>0</v>
      </c>
    </row>
    <row r="36" spans="1:32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67</v>
      </c>
      <c r="F36" s="285">
        <f>SUM(F37:F39)</f>
        <v>31752481</v>
      </c>
      <c r="G36" s="1382">
        <f t="shared" ref="G36:G42" si="9">SUM(H36-F36)</f>
        <v>3082768</v>
      </c>
      <c r="H36" s="285">
        <f>SUM(H37:H39)</f>
        <v>34835249</v>
      </c>
      <c r="I36" s="1421">
        <f t="shared" si="7"/>
        <v>1435217</v>
      </c>
      <c r="J36" s="285">
        <f>SUM(J37:J39)</f>
        <v>36270466</v>
      </c>
      <c r="K36" s="3348">
        <f t="shared" si="8"/>
        <v>0</v>
      </c>
      <c r="L36" s="285">
        <f>SUM(L37:L39)</f>
        <v>36270466</v>
      </c>
      <c r="M36" s="285">
        <f>SUM(M37:M39)</f>
        <v>36270466</v>
      </c>
      <c r="N36" s="286"/>
      <c r="O36" s="286"/>
      <c r="Q36" s="1922">
        <f t="shared" si="1"/>
        <v>0</v>
      </c>
      <c r="R36" s="1922"/>
      <c r="S36" s="1928">
        <f t="shared" si="2"/>
        <v>0</v>
      </c>
      <c r="T36" s="1928"/>
      <c r="U36" s="458">
        <f t="shared" si="3"/>
        <v>0</v>
      </c>
      <c r="V36" s="458"/>
      <c r="W36" s="1934">
        <f t="shared" si="4"/>
        <v>0</v>
      </c>
      <c r="X36" s="1941">
        <f t="shared" si="5"/>
        <v>0</v>
      </c>
      <c r="Y36" s="2295">
        <f>SUM('5.8.a. sz. mell.'!F36+'5.8.b. sz. mell.'!F36+'5.8.c. sz. mell.'!F36)</f>
        <v>31752481</v>
      </c>
      <c r="Z36" s="2298"/>
      <c r="AA36" s="1928">
        <f>SUM('5.8.a. sz. mell.'!H36+'5.8.b. sz. mell.'!H36+'5.8.c. sz. mell.'!H36)</f>
        <v>34835249</v>
      </c>
      <c r="AB36" s="1928"/>
      <c r="AC36" s="458">
        <f>SUM('5.8.a. sz. mell.'!J36+'5.8.b. sz. mell.'!I36+'5.8.c. sz. mell.'!J36)</f>
        <v>36270466</v>
      </c>
      <c r="AD36" s="458"/>
      <c r="AE36" s="1934">
        <f>SUM('5.8.a. sz. mell.'!L36+'5.8.b. sz. mell.'!K36+'5.8.c. sz. mell.'!L36)</f>
        <v>36270466</v>
      </c>
      <c r="AF36" s="1944">
        <f>SUM('5.8.a. sz. mell.'!M36+'5.8.b. sz. mell.'!M36+'5.8.c. sz. mell.'!M36)</f>
        <v>36270466</v>
      </c>
    </row>
    <row r="37" spans="1:32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1325">
        <v>67</v>
      </c>
      <c r="F37" s="1326"/>
      <c r="G37" s="1533">
        <f t="shared" si="9"/>
        <v>120000</v>
      </c>
      <c r="H37" s="1325">
        <v>120000</v>
      </c>
      <c r="I37" s="1680">
        <f t="shared" si="7"/>
        <v>0</v>
      </c>
      <c r="J37" s="306">
        <v>120000</v>
      </c>
      <c r="K37" s="3373">
        <f t="shared" si="8"/>
        <v>0</v>
      </c>
      <c r="L37" s="306">
        <v>120000</v>
      </c>
      <c r="M37" s="306">
        <v>120000</v>
      </c>
      <c r="N37" s="463"/>
      <c r="O37" s="463"/>
      <c r="Q37" s="1922">
        <f t="shared" si="1"/>
        <v>0</v>
      </c>
      <c r="R37" s="1922"/>
      <c r="S37" s="1928">
        <f t="shared" si="2"/>
        <v>0</v>
      </c>
      <c r="T37" s="1928"/>
      <c r="U37" s="458">
        <f t="shared" si="3"/>
        <v>0</v>
      </c>
      <c r="V37" s="458"/>
      <c r="W37" s="1934">
        <f t="shared" si="4"/>
        <v>0</v>
      </c>
      <c r="X37" s="1941">
        <f t="shared" si="5"/>
        <v>0</v>
      </c>
      <c r="Y37" s="2295">
        <f>SUM('5.8.a. sz. mell.'!F37+'5.8.b. sz. mell.'!F37+'5.8.c. sz. mell.'!F37)</f>
        <v>0</v>
      </c>
      <c r="Z37" s="2298"/>
      <c r="AA37" s="1928">
        <f>SUM('5.8.a. sz. mell.'!H37+'5.8.b. sz. mell.'!H37+'5.8.c. sz. mell.'!H37)</f>
        <v>120000</v>
      </c>
      <c r="AB37" s="1928"/>
      <c r="AC37" s="458">
        <f>SUM('5.8.a. sz. mell.'!J37+'5.8.b. sz. mell.'!I37+'5.8.c. sz. mell.'!J37)</f>
        <v>120000</v>
      </c>
      <c r="AD37" s="458"/>
      <c r="AE37" s="1934">
        <f>SUM('5.8.a. sz. mell.'!L37+'5.8.b. sz. mell.'!K37+'5.8.c. sz. mell.'!L37)</f>
        <v>120000</v>
      </c>
      <c r="AF37" s="1944">
        <f>SUM('5.8.a. sz. mell.'!M37+'5.8.b. sz. mell.'!M37+'5.8.c. sz. mell.'!M37)</f>
        <v>120000</v>
      </c>
    </row>
    <row r="38" spans="1:32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692">
        <v>0</v>
      </c>
      <c r="F38" s="144">
        <v>0</v>
      </c>
      <c r="G38" s="1415">
        <f t="shared" si="9"/>
        <v>0</v>
      </c>
      <c r="H38" s="1677"/>
      <c r="I38" s="1681">
        <f t="shared" si="7"/>
        <v>0</v>
      </c>
      <c r="J38" s="1295"/>
      <c r="K38" s="3351">
        <f t="shared" si="8"/>
        <v>0</v>
      </c>
      <c r="L38" s="1295"/>
      <c r="M38" s="144"/>
      <c r="N38" s="463"/>
      <c r="O38" s="463"/>
      <c r="Q38" s="1922">
        <f t="shared" si="1"/>
        <v>0</v>
      </c>
      <c r="R38" s="1922"/>
      <c r="S38" s="1928">
        <f t="shared" si="2"/>
        <v>0</v>
      </c>
      <c r="T38" s="1928"/>
      <c r="U38" s="458">
        <f t="shared" si="3"/>
        <v>0</v>
      </c>
      <c r="V38" s="458"/>
      <c r="W38" s="1934">
        <f t="shared" si="4"/>
        <v>0</v>
      </c>
      <c r="X38" s="1941">
        <f t="shared" si="5"/>
        <v>0</v>
      </c>
      <c r="Y38" s="2295">
        <f>SUM('5.8.a. sz. mell.'!F38+'5.8.b. sz. mell.'!F38+'5.8.c. sz. mell.'!F38)</f>
        <v>0</v>
      </c>
      <c r="Z38" s="2298"/>
      <c r="AA38" s="1928">
        <f>SUM('5.8.a. sz. mell.'!H38+'5.8.b. sz. mell.'!H38+'5.8.c. sz. mell.'!H38)</f>
        <v>0</v>
      </c>
      <c r="AB38" s="1928"/>
      <c r="AC38" s="458">
        <f>SUM('5.8.a. sz. mell.'!J38+'5.8.b. sz. mell.'!I38+'5.8.c. sz. mell.'!J38)</f>
        <v>0</v>
      </c>
      <c r="AD38" s="458"/>
      <c r="AE38" s="1934">
        <f>SUM('5.8.a. sz. mell.'!L38+'5.8.b. sz. mell.'!K38+'5.8.c. sz. mell.'!L38)</f>
        <v>0</v>
      </c>
      <c r="AF38" s="1944">
        <f>SUM('5.8.a. sz. mell.'!M38+'5.8.b. sz. mell.'!M38+'5.8.c. sz. mell.'!M38)</f>
        <v>0</v>
      </c>
    </row>
    <row r="39" spans="1:32" s="145" customFormat="1" ht="15" customHeight="1" thickBot="1" x14ac:dyDescent="0.25">
      <c r="A39" s="142"/>
      <c r="B39" s="253" t="s">
        <v>85</v>
      </c>
      <c r="C39" s="55" t="s">
        <v>1433</v>
      </c>
      <c r="D39" s="155">
        <v>19426</v>
      </c>
      <c r="E39" s="668">
        <v>20644</v>
      </c>
      <c r="F39" s="144">
        <f>SUM(F40:F41)</f>
        <v>31752481</v>
      </c>
      <c r="G39" s="1415">
        <f t="shared" si="9"/>
        <v>2962768</v>
      </c>
      <c r="H39" s="1677">
        <f>SUM(H40:H41)</f>
        <v>34715249</v>
      </c>
      <c r="I39" s="1681">
        <f t="shared" si="7"/>
        <v>1435217</v>
      </c>
      <c r="J39" s="144">
        <f>SUM(J40:J41)</f>
        <v>36150466</v>
      </c>
      <c r="K39" s="3351">
        <f t="shared" si="8"/>
        <v>0</v>
      </c>
      <c r="L39" s="144">
        <f>SUM(L40:L41)</f>
        <v>36150466</v>
      </c>
      <c r="M39" s="144">
        <f>SUM(M40:M41)</f>
        <v>36150466</v>
      </c>
      <c r="N39" s="463"/>
      <c r="O39" s="463"/>
      <c r="Q39" s="1922">
        <f t="shared" si="1"/>
        <v>0</v>
      </c>
      <c r="R39" s="1922"/>
      <c r="S39" s="1928">
        <f t="shared" si="2"/>
        <v>0</v>
      </c>
      <c r="T39" s="1928"/>
      <c r="U39" s="458">
        <f t="shared" si="3"/>
        <v>0</v>
      </c>
      <c r="V39" s="458"/>
      <c r="W39" s="1934">
        <f t="shared" si="4"/>
        <v>0</v>
      </c>
      <c r="X39" s="1941">
        <f t="shared" si="5"/>
        <v>0</v>
      </c>
      <c r="Y39" s="2295">
        <f>SUM('5.8.a. sz. mell.'!F39+'5.8.b. sz. mell.'!F39+'5.8.c. sz. mell.'!F39)</f>
        <v>31752481</v>
      </c>
      <c r="Z39" s="2298"/>
      <c r="AA39" s="1928">
        <f>SUM('5.8.a. sz. mell.'!H39+'5.8.b. sz. mell.'!H39+'5.8.c. sz. mell.'!H39)</f>
        <v>34715249</v>
      </c>
      <c r="AB39" s="1928"/>
      <c r="AC39" s="458">
        <f>SUM('5.8.a. sz. mell.'!J39+'5.8.b. sz. mell.'!I39+'5.8.c. sz. mell.'!J39)</f>
        <v>36150466</v>
      </c>
      <c r="AD39" s="458"/>
      <c r="AE39" s="1934">
        <f>SUM('5.8.a. sz. mell.'!L39+'5.8.b. sz. mell.'!K39+'5.8.c. sz. mell.'!L39)</f>
        <v>36150466</v>
      </c>
      <c r="AF39" s="1944">
        <f>SUM('5.8.a. sz. mell.'!M39+'5.8.b. sz. mell.'!M39+'5.8.c. sz. mell.'!M39)</f>
        <v>36150466</v>
      </c>
    </row>
    <row r="40" spans="1:32" s="145" customFormat="1" ht="15" customHeight="1" thickBot="1" x14ac:dyDescent="0.25">
      <c r="A40" s="142"/>
      <c r="B40" s="2685" t="s">
        <v>437</v>
      </c>
      <c r="C40" s="2686" t="s">
        <v>891</v>
      </c>
      <c r="D40" s="1813"/>
      <c r="E40" s="2729"/>
      <c r="F40" s="1306">
        <v>12773970</v>
      </c>
      <c r="G40" s="1415">
        <f t="shared" si="9"/>
        <v>716267</v>
      </c>
      <c r="H40" s="1677">
        <v>13490237</v>
      </c>
      <c r="I40" s="1681">
        <f t="shared" si="7"/>
        <v>2261629</v>
      </c>
      <c r="J40" s="1295">
        <v>15751866</v>
      </c>
      <c r="K40" s="3351">
        <f t="shared" si="8"/>
        <v>0</v>
      </c>
      <c r="L40" s="1295">
        <v>15751866</v>
      </c>
      <c r="M40" s="144">
        <v>15751866</v>
      </c>
      <c r="N40" s="463"/>
      <c r="O40" s="463"/>
      <c r="Q40" s="1922">
        <f t="shared" si="1"/>
        <v>0</v>
      </c>
      <c r="R40" s="1922"/>
      <c r="S40" s="1928">
        <f t="shared" si="2"/>
        <v>0</v>
      </c>
      <c r="T40" s="1928"/>
      <c r="U40" s="458">
        <f t="shared" si="3"/>
        <v>0</v>
      </c>
      <c r="V40" s="458"/>
      <c r="W40" s="1934">
        <f t="shared" si="4"/>
        <v>0</v>
      </c>
      <c r="X40" s="1941">
        <f t="shared" si="5"/>
        <v>0</v>
      </c>
      <c r="Y40" s="2295">
        <f>SUM('5.8.a. sz. mell.'!F40+'5.8.b. sz. mell.'!F40+'5.8.c. sz. mell.'!F40)</f>
        <v>12773970</v>
      </c>
      <c r="Z40" s="2298"/>
      <c r="AA40" s="1928">
        <f>SUM('5.8.a. sz. mell.'!H40+'5.8.b. sz. mell.'!H40+'5.8.c. sz. mell.'!H40)</f>
        <v>13490237</v>
      </c>
      <c r="AB40" s="1928"/>
      <c r="AC40" s="458">
        <f>SUM('5.8.a. sz. mell.'!J40+'5.8.b. sz. mell.'!I40+'5.8.c. sz. mell.'!J40)</f>
        <v>15751866</v>
      </c>
      <c r="AD40" s="458"/>
      <c r="AE40" s="1934">
        <f>SUM('5.8.a. sz. mell.'!L40+'5.8.b. sz. mell.'!K40+'5.8.c. sz. mell.'!L40)</f>
        <v>15751866</v>
      </c>
      <c r="AF40" s="1944">
        <f>SUM('5.8.a. sz. mell.'!M40+'5.8.b. sz. mell.'!M40+'5.8.c. sz. mell.'!M40)</f>
        <v>15751866</v>
      </c>
    </row>
    <row r="41" spans="1:32" s="145" customFormat="1" ht="15" customHeight="1" thickBot="1" x14ac:dyDescent="0.25">
      <c r="A41" s="178"/>
      <c r="B41" s="2685" t="s">
        <v>439</v>
      </c>
      <c r="C41" s="2686" t="s">
        <v>532</v>
      </c>
      <c r="D41" s="1813"/>
      <c r="E41" s="2729"/>
      <c r="F41" s="2701">
        <v>18978511</v>
      </c>
      <c r="G41" s="2667">
        <f t="shared" si="9"/>
        <v>2246501</v>
      </c>
      <c r="H41" s="1678">
        <v>21225012</v>
      </c>
      <c r="I41" s="1682">
        <f t="shared" si="7"/>
        <v>-826412</v>
      </c>
      <c r="J41" s="1679">
        <v>20398600</v>
      </c>
      <c r="K41" s="3397">
        <f t="shared" si="8"/>
        <v>0</v>
      </c>
      <c r="L41" s="1679">
        <v>20398600</v>
      </c>
      <c r="M41" s="294">
        <v>20398600</v>
      </c>
      <c r="N41" s="463"/>
      <c r="O41" s="463"/>
      <c r="Q41" s="1922">
        <f t="shared" si="1"/>
        <v>0</v>
      </c>
      <c r="R41" s="1922"/>
      <c r="S41" s="1928">
        <f t="shared" si="2"/>
        <v>0</v>
      </c>
      <c r="T41" s="1928"/>
      <c r="U41" s="458">
        <f t="shared" si="3"/>
        <v>0</v>
      </c>
      <c r="V41" s="458"/>
      <c r="W41" s="1934">
        <f t="shared" si="4"/>
        <v>0</v>
      </c>
      <c r="X41" s="1941">
        <f t="shared" si="5"/>
        <v>0</v>
      </c>
      <c r="Y41" s="2295">
        <f>SUM('5.8.a. sz. mell.'!F41+'5.8.b. sz. mell.'!F41+'5.8.c. sz. mell.'!F41)</f>
        <v>18978511</v>
      </c>
      <c r="Z41" s="2298"/>
      <c r="AA41" s="1928">
        <f>SUM('5.8.a. sz. mell.'!H41+'5.8.b. sz. mell.'!H41+'5.8.c. sz. mell.'!H41)</f>
        <v>21225012</v>
      </c>
      <c r="AB41" s="1928"/>
      <c r="AC41" s="458">
        <f>SUM('5.8.a. sz. mell.'!J41+'5.8.b. sz. mell.'!I41+'5.8.c. sz. mell.'!J41)</f>
        <v>20398600</v>
      </c>
      <c r="AD41" s="458"/>
      <c r="AE41" s="1934">
        <f>SUM('5.8.a. sz. mell.'!L41+'5.8.b. sz. mell.'!K41+'5.8.c. sz. mell.'!L41)</f>
        <v>20398600</v>
      </c>
      <c r="AF41" s="1944">
        <f>SUM('5.8.a. sz. mell.'!M41+'5.8.b. sz. mell.'!M41+'5.8.c. sz. mell.'!M41)</f>
        <v>20398600</v>
      </c>
    </row>
    <row r="42" spans="1:32" s="145" customFormat="1" ht="15" customHeight="1" thickBot="1" x14ac:dyDescent="0.25">
      <c r="A42" s="192" t="s">
        <v>99</v>
      </c>
      <c r="B42" s="160"/>
      <c r="C42" s="274" t="s">
        <v>441</v>
      </c>
      <c r="D42" s="162">
        <f>SUM(D8,D19,D28,D32,D36,D39)</f>
        <v>31724</v>
      </c>
      <c r="E42" s="162">
        <f>SUM(E8,E19,E28,E32,E36,E39)</f>
        <v>33857</v>
      </c>
      <c r="F42" s="162">
        <f>SUM(F8,F19,F28,F32,F36)</f>
        <v>32596481</v>
      </c>
      <c r="G42" s="1437">
        <f t="shared" si="9"/>
        <v>3093449</v>
      </c>
      <c r="H42" s="162">
        <f t="shared" ref="H42:M42" si="10">SUM(H8,H19,H28,H32,H36)</f>
        <v>35689930</v>
      </c>
      <c r="I42" s="1401">
        <f t="shared" si="10"/>
        <v>1689784</v>
      </c>
      <c r="J42" s="162">
        <f t="shared" ref="J42" si="11">SUM(J8,J19,J28,J32,J36)</f>
        <v>37379714</v>
      </c>
      <c r="K42" s="3343">
        <f>SUM(L42-J42)</f>
        <v>0</v>
      </c>
      <c r="L42" s="162">
        <f t="shared" si="10"/>
        <v>37379714</v>
      </c>
      <c r="M42" s="162">
        <f t="shared" si="10"/>
        <v>37379714</v>
      </c>
      <c r="N42" s="195"/>
      <c r="O42" s="195"/>
      <c r="Q42" s="1922">
        <f t="shared" si="1"/>
        <v>0</v>
      </c>
      <c r="R42" s="1922"/>
      <c r="S42" s="1928">
        <f t="shared" si="2"/>
        <v>0</v>
      </c>
      <c r="T42" s="1928"/>
      <c r="U42" s="458">
        <f t="shared" si="3"/>
        <v>0</v>
      </c>
      <c r="V42" s="458"/>
      <c r="W42" s="1934">
        <f t="shared" si="4"/>
        <v>0</v>
      </c>
      <c r="X42" s="1941">
        <f t="shared" si="5"/>
        <v>0</v>
      </c>
      <c r="Y42" s="2295">
        <f>SUM('5.8.a. sz. mell.'!F42+'5.8.b. sz. mell.'!F42+'5.8.c. sz. mell.'!F42)</f>
        <v>32596481</v>
      </c>
      <c r="Z42" s="2298"/>
      <c r="AA42" s="1928">
        <f>SUM('5.8.a. sz. mell.'!H42+'5.8.b. sz. mell.'!H42+'5.8.c. sz. mell.'!H42)</f>
        <v>35689930</v>
      </c>
      <c r="AB42" s="1928"/>
      <c r="AC42" s="458">
        <f>SUM('5.8.a. sz. mell.'!J42+'5.8.b. sz. mell.'!I42+'5.8.c. sz. mell.'!J42)</f>
        <v>37379714</v>
      </c>
      <c r="AD42" s="458"/>
      <c r="AE42" s="1934">
        <f>SUM('5.8.a. sz. mell.'!L42+'5.8.b. sz. mell.'!K42+'5.8.c. sz. mell.'!L42)</f>
        <v>37379714</v>
      </c>
      <c r="AF42" s="1944">
        <f>SUM('5.8.a. sz. mell.'!M42+'5.8.b. sz. mell.'!M42+'5.8.c. sz. mell.'!M42)</f>
        <v>37379714</v>
      </c>
    </row>
    <row r="43" spans="1:32" s="145" customFormat="1" ht="15" customHeight="1" thickBot="1" x14ac:dyDescent="0.25">
      <c r="A43" s="2098"/>
      <c r="B43" s="266"/>
      <c r="C43" s="275"/>
      <c r="D43" s="286"/>
      <c r="E43" s="286"/>
      <c r="F43" s="2163"/>
      <c r="G43" s="1438"/>
      <c r="H43" s="1443"/>
      <c r="I43" s="1448"/>
      <c r="J43" s="1438"/>
      <c r="K43" s="1448"/>
      <c r="L43" s="1438"/>
      <c r="M43" s="1458"/>
      <c r="N43" s="286"/>
      <c r="O43" s="286"/>
      <c r="Q43" s="1922">
        <f t="shared" si="1"/>
        <v>0</v>
      </c>
      <c r="R43" s="1922"/>
      <c r="S43" s="1928">
        <f t="shared" si="2"/>
        <v>0</v>
      </c>
      <c r="T43" s="1928"/>
      <c r="U43" s="458">
        <f t="shared" si="3"/>
        <v>0</v>
      </c>
      <c r="V43" s="458"/>
      <c r="W43" s="1934">
        <f t="shared" si="4"/>
        <v>0</v>
      </c>
      <c r="X43" s="1941">
        <f t="shared" si="5"/>
        <v>0</v>
      </c>
      <c r="Y43" s="2295">
        <f>SUM('5.8.a. sz. mell.'!F43+'5.8.b. sz. mell.'!F43+'5.8.c. sz. mell.'!F43)</f>
        <v>0</v>
      </c>
      <c r="Z43" s="2298"/>
      <c r="AA43" s="1928">
        <f>SUM('5.8.a. sz. mell.'!H43+'5.8.b. sz. mell.'!H43+'5.8.c. sz. mell.'!H43)</f>
        <v>0</v>
      </c>
      <c r="AB43" s="1928"/>
      <c r="AC43" s="458">
        <f>SUM('5.8.a. sz. mell.'!J43+'5.8.b. sz. mell.'!I43+'5.8.c. sz. mell.'!J43)</f>
        <v>0</v>
      </c>
      <c r="AD43" s="458"/>
      <c r="AE43" s="1934">
        <f>SUM('5.8.a. sz. mell.'!L43+'5.8.b. sz. mell.'!K43+'5.8.c. sz. mell.'!L43)</f>
        <v>0</v>
      </c>
      <c r="AF43" s="1944">
        <f>SUM('5.8.a. sz. mell.'!M43+'5.8.b. sz. mell.'!M43+'5.8.c. sz. mell.'!M43)</f>
        <v>0</v>
      </c>
    </row>
    <row r="44" spans="1:32" s="305" customFormat="1" ht="15" customHeight="1" thickBot="1" x14ac:dyDescent="0.25">
      <c r="A44" s="192"/>
      <c r="B44" s="160"/>
      <c r="C44" s="282" t="s">
        <v>231</v>
      </c>
      <c r="D44" s="162"/>
      <c r="E44" s="162"/>
      <c r="F44" s="162"/>
      <c r="G44" s="1437"/>
      <c r="H44" s="162"/>
      <c r="I44" s="1374"/>
      <c r="J44" s="162"/>
      <c r="K44" s="3332"/>
      <c r="L44" s="162"/>
      <c r="M44" s="162"/>
      <c r="N44" s="195"/>
      <c r="O44" s="195"/>
      <c r="Q44" s="1922">
        <f t="shared" si="1"/>
        <v>0</v>
      </c>
      <c r="R44" s="1922"/>
      <c r="S44" s="1928">
        <f t="shared" si="2"/>
        <v>0</v>
      </c>
      <c r="T44" s="1928"/>
      <c r="U44" s="458">
        <f t="shared" si="3"/>
        <v>0</v>
      </c>
      <c r="V44" s="458"/>
      <c r="W44" s="1934">
        <f t="shared" si="4"/>
        <v>0</v>
      </c>
      <c r="X44" s="1941">
        <f t="shared" si="5"/>
        <v>0</v>
      </c>
      <c r="Y44" s="2295">
        <f>SUM('5.8.a. sz. mell.'!F44+'5.8.b. sz. mell.'!F44+'5.8.c. sz. mell.'!F44)</f>
        <v>0</v>
      </c>
      <c r="Z44" s="2298"/>
      <c r="AA44" s="1928">
        <f>SUM('5.8.a. sz. mell.'!H44+'5.8.b. sz. mell.'!H44+'5.8.c. sz. mell.'!H44)</f>
        <v>0</v>
      </c>
      <c r="AB44" s="1928"/>
      <c r="AC44" s="458">
        <f>SUM('5.8.a. sz. mell.'!J44+'5.8.b. sz. mell.'!I44+'5.8.c. sz. mell.'!J44)</f>
        <v>0</v>
      </c>
      <c r="AD44" s="458"/>
      <c r="AE44" s="1934">
        <f>SUM('5.8.a. sz. mell.'!L44+'5.8.b. sz. mell.'!K44+'5.8.c. sz. mell.'!L44)</f>
        <v>0</v>
      </c>
      <c r="AF44" s="1944">
        <f>SUM('5.8.a. sz. mell.'!M44+'5.8.b. sz. mell.'!M44+'5.8.c. sz. mell.'!M44)</f>
        <v>0</v>
      </c>
    </row>
    <row r="45" spans="1:32" s="141" customFormat="1" ht="15" customHeight="1" thickBot="1" x14ac:dyDescent="0.25">
      <c r="A45" s="134" t="s">
        <v>3</v>
      </c>
      <c r="B45" s="170"/>
      <c r="C45" s="171" t="s">
        <v>442</v>
      </c>
      <c r="D45" s="137">
        <f>SUM(D46:D50)</f>
        <v>31724</v>
      </c>
      <c r="E45" s="137">
        <f>SUM(E46:E50)</f>
        <v>33253</v>
      </c>
      <c r="F45" s="137">
        <f>SUM(F46:F50)</f>
        <v>29706481</v>
      </c>
      <c r="G45" s="1382">
        <f t="shared" ref="G45:G55" si="12">SUM(H45-F45)</f>
        <v>3093449</v>
      </c>
      <c r="H45" s="137">
        <f>SUM(H46:H50)</f>
        <v>32799930</v>
      </c>
      <c r="I45" s="1421">
        <f t="shared" ref="I45:I55" si="13">SUM(J45-H45)</f>
        <v>345731</v>
      </c>
      <c r="J45" s="137">
        <f>SUM(J46:J50)</f>
        <v>33145661</v>
      </c>
      <c r="K45" s="3398">
        <f t="shared" ref="K45:K55" si="14">SUM(L45-J45)</f>
        <v>0</v>
      </c>
      <c r="L45" s="137">
        <f>SUM(L46:L50)</f>
        <v>33145661</v>
      </c>
      <c r="M45" s="137">
        <f>SUM(M46:M50)</f>
        <v>33145661</v>
      </c>
      <c r="N45" s="286"/>
      <c r="O45" s="286"/>
      <c r="Q45" s="1922">
        <f t="shared" si="1"/>
        <v>0</v>
      </c>
      <c r="R45" s="1922"/>
      <c r="S45" s="1928">
        <f t="shared" si="2"/>
        <v>0</v>
      </c>
      <c r="T45" s="1928"/>
      <c r="U45" s="458">
        <f t="shared" si="3"/>
        <v>0</v>
      </c>
      <c r="V45" s="458"/>
      <c r="W45" s="1934">
        <f t="shared" si="4"/>
        <v>0</v>
      </c>
      <c r="X45" s="1941">
        <f t="shared" si="5"/>
        <v>0</v>
      </c>
      <c r="Y45" s="2295">
        <f>SUM('5.8.a. sz. mell.'!F45+'5.8.b. sz. mell.'!F45+'5.8.c. sz. mell.'!F45)</f>
        <v>29706481</v>
      </c>
      <c r="Z45" s="2298"/>
      <c r="AA45" s="1928">
        <f>SUM('5.8.a. sz. mell.'!H45+'5.8.b. sz. mell.'!H45+'5.8.c. sz. mell.'!H45)</f>
        <v>32799930</v>
      </c>
      <c r="AB45" s="1928"/>
      <c r="AC45" s="458">
        <f>SUM('5.8.a. sz. mell.'!J45+'5.8.b. sz. mell.'!I45+'5.8.c. sz. mell.'!J45)</f>
        <v>33145661</v>
      </c>
      <c r="AD45" s="458"/>
      <c r="AE45" s="1934">
        <f>SUM('5.8.a. sz. mell.'!L45+'5.8.b. sz. mell.'!K45+'5.8.c. sz. mell.'!L45)</f>
        <v>33145661</v>
      </c>
      <c r="AF45" s="1944">
        <f>SUM('5.8.a. sz. mell.'!M45+'5.8.b. sz. mell.'!M45+'5.8.c. sz. mell.'!M45)</f>
        <v>33145661</v>
      </c>
    </row>
    <row r="46" spans="1:32" s="145" customFormat="1" ht="15" customHeight="1" x14ac:dyDescent="0.2">
      <c r="A46" s="173"/>
      <c r="B46" s="174" t="s">
        <v>152</v>
      </c>
      <c r="C46" s="251" t="s">
        <v>153</v>
      </c>
      <c r="D46" s="175">
        <v>14740</v>
      </c>
      <c r="E46" s="175">
        <v>15580</v>
      </c>
      <c r="F46" s="175">
        <v>17222776</v>
      </c>
      <c r="G46" s="1415">
        <f t="shared" si="12"/>
        <v>2503073</v>
      </c>
      <c r="H46" s="175">
        <v>19725849</v>
      </c>
      <c r="I46" s="1386">
        <f t="shared" si="13"/>
        <v>731367</v>
      </c>
      <c r="J46" s="1326">
        <v>20457216</v>
      </c>
      <c r="K46" s="3381">
        <f t="shared" si="14"/>
        <v>0</v>
      </c>
      <c r="L46" s="1326">
        <v>20457216</v>
      </c>
      <c r="M46" s="175">
        <v>20457216</v>
      </c>
      <c r="N46" s="463"/>
      <c r="O46" s="463"/>
      <c r="Q46" s="1922">
        <f t="shared" si="1"/>
        <v>0</v>
      </c>
      <c r="R46" s="1922"/>
      <c r="S46" s="1928">
        <f t="shared" si="2"/>
        <v>0</v>
      </c>
      <c r="T46" s="1928"/>
      <c r="U46" s="458">
        <f t="shared" si="3"/>
        <v>0</v>
      </c>
      <c r="V46" s="458"/>
      <c r="W46" s="1934">
        <f t="shared" si="4"/>
        <v>0</v>
      </c>
      <c r="X46" s="1941">
        <f t="shared" si="5"/>
        <v>0</v>
      </c>
      <c r="Y46" s="2295">
        <f>SUM('5.8.a. sz. mell.'!F46+'5.8.b. sz. mell.'!F46+'5.8.c. sz. mell.'!F46)</f>
        <v>17222776</v>
      </c>
      <c r="Z46" s="2298"/>
      <c r="AA46" s="1928">
        <f>SUM('5.8.a. sz. mell.'!H46+'5.8.b. sz. mell.'!H46+'5.8.c. sz. mell.'!H46)</f>
        <v>19725849</v>
      </c>
      <c r="AB46" s="1928"/>
      <c r="AC46" s="458">
        <f>SUM('5.8.a. sz. mell.'!J46+'5.8.b. sz. mell.'!I46+'5.8.c. sz. mell.'!J46)</f>
        <v>20457216</v>
      </c>
      <c r="AD46" s="458"/>
      <c r="AE46" s="1934">
        <f>SUM('5.8.a. sz. mell.'!L46+'5.8.b. sz. mell.'!K46+'5.8.c. sz. mell.'!L46)</f>
        <v>20457216</v>
      </c>
      <c r="AF46" s="1944">
        <f>SUM('5.8.a. sz. mell.'!M46+'5.8.b. sz. mell.'!M46+'5.8.c. sz. mell.'!M46)</f>
        <v>20457216</v>
      </c>
    </row>
    <row r="47" spans="1:32" s="145" customFormat="1" ht="15" customHeight="1" x14ac:dyDescent="0.2">
      <c r="A47" s="142"/>
      <c r="B47" s="176" t="s">
        <v>154</v>
      </c>
      <c r="C47" s="55" t="s">
        <v>155</v>
      </c>
      <c r="D47" s="144">
        <v>3918</v>
      </c>
      <c r="E47" s="144">
        <v>4145</v>
      </c>
      <c r="F47" s="144">
        <v>3502115</v>
      </c>
      <c r="G47" s="1415">
        <f t="shared" si="12"/>
        <v>142303</v>
      </c>
      <c r="H47" s="144">
        <v>3644418</v>
      </c>
      <c r="I47" s="1376">
        <f t="shared" si="13"/>
        <v>442678</v>
      </c>
      <c r="J47" s="483">
        <v>4087096</v>
      </c>
      <c r="K47" s="3334">
        <f t="shared" si="14"/>
        <v>0</v>
      </c>
      <c r="L47" s="483">
        <v>4087096</v>
      </c>
      <c r="M47" s="144">
        <v>4087096</v>
      </c>
      <c r="N47" s="463"/>
      <c r="O47" s="463"/>
      <c r="Q47" s="1922">
        <f t="shared" si="1"/>
        <v>0</v>
      </c>
      <c r="R47" s="1922"/>
      <c r="S47" s="1928">
        <f t="shared" si="2"/>
        <v>0</v>
      </c>
      <c r="T47" s="1928"/>
      <c r="U47" s="458">
        <f t="shared" si="3"/>
        <v>0</v>
      </c>
      <c r="V47" s="458"/>
      <c r="W47" s="1934">
        <f t="shared" si="4"/>
        <v>0</v>
      </c>
      <c r="X47" s="1941">
        <f t="shared" si="5"/>
        <v>0</v>
      </c>
      <c r="Y47" s="2295">
        <f>SUM('5.8.a. sz. mell.'!F47+'5.8.b. sz. mell.'!F47+'5.8.c. sz. mell.'!F47)</f>
        <v>3502115</v>
      </c>
      <c r="Z47" s="2298"/>
      <c r="AA47" s="1928">
        <f>SUM('5.8.a. sz. mell.'!H47+'5.8.b. sz. mell.'!H47+'5.8.c. sz. mell.'!H47)</f>
        <v>3644418</v>
      </c>
      <c r="AB47" s="1928"/>
      <c r="AC47" s="458">
        <f>SUM('5.8.a. sz. mell.'!J47+'5.8.b. sz. mell.'!I47+'5.8.c. sz. mell.'!J47)</f>
        <v>4087096</v>
      </c>
      <c r="AD47" s="458"/>
      <c r="AE47" s="1934">
        <f>SUM('5.8.a. sz. mell.'!L47+'5.8.b. sz. mell.'!K47+'5.8.c. sz. mell.'!L47)</f>
        <v>4087096</v>
      </c>
      <c r="AF47" s="1944">
        <f>SUM('5.8.a. sz. mell.'!M47+'5.8.b. sz. mell.'!M47+'5.8.c. sz. mell.'!M47)</f>
        <v>4087096</v>
      </c>
    </row>
    <row r="48" spans="1:32" s="145" customFormat="1" ht="15" customHeight="1" x14ac:dyDescent="0.2">
      <c r="A48" s="142"/>
      <c r="B48" s="176" t="s">
        <v>156</v>
      </c>
      <c r="C48" s="55" t="s">
        <v>157</v>
      </c>
      <c r="D48" s="322">
        <v>13066</v>
      </c>
      <c r="E48" s="322">
        <v>13528</v>
      </c>
      <c r="F48" s="4241">
        <v>8981590</v>
      </c>
      <c r="G48" s="1415">
        <f t="shared" si="12"/>
        <v>448073</v>
      </c>
      <c r="H48" s="322">
        <v>9429663</v>
      </c>
      <c r="I48" s="1376">
        <f t="shared" si="13"/>
        <v>-828314</v>
      </c>
      <c r="J48" s="147">
        <v>8601349</v>
      </c>
      <c r="K48" s="3334">
        <f t="shared" si="14"/>
        <v>0</v>
      </c>
      <c r="L48" s="147">
        <v>8601349</v>
      </c>
      <c r="M48" s="4241">
        <v>8601349</v>
      </c>
      <c r="N48" s="484"/>
      <c r="O48" s="484"/>
      <c r="Q48" s="1922">
        <f t="shared" si="1"/>
        <v>0</v>
      </c>
      <c r="R48" s="1922"/>
      <c r="S48" s="1928">
        <f t="shared" si="2"/>
        <v>0</v>
      </c>
      <c r="T48" s="1928"/>
      <c r="U48" s="458">
        <f t="shared" si="3"/>
        <v>0</v>
      </c>
      <c r="V48" s="458"/>
      <c r="W48" s="1934">
        <f t="shared" si="4"/>
        <v>0</v>
      </c>
      <c r="X48" s="1941">
        <f t="shared" si="5"/>
        <v>0</v>
      </c>
      <c r="Y48" s="2295">
        <f>SUM('5.8.a. sz. mell.'!F48+'5.8.b. sz. mell.'!F48+'5.8.c. sz. mell.'!F48)</f>
        <v>8981590</v>
      </c>
      <c r="Z48" s="2298"/>
      <c r="AA48" s="1928">
        <f>SUM('5.8.a. sz. mell.'!H48+'5.8.b. sz. mell.'!H48+'5.8.c. sz. mell.'!H48)</f>
        <v>9429663</v>
      </c>
      <c r="AB48" s="1928"/>
      <c r="AC48" s="458">
        <f>SUM('5.8.a. sz. mell.'!J48+'5.8.b. sz. mell.'!I48+'5.8.c. sz. mell.'!J48)</f>
        <v>8601349</v>
      </c>
      <c r="AD48" s="458"/>
      <c r="AE48" s="1934">
        <f>SUM('5.8.a. sz. mell.'!L48+'5.8.b. sz. mell.'!K48+'5.8.c. sz. mell.'!L48)</f>
        <v>8601349</v>
      </c>
      <c r="AF48" s="1944">
        <f>SUM('5.8.a. sz. mell.'!M48+'5.8.b. sz. mell.'!M48+'5.8.c. sz. mell.'!M48)</f>
        <v>8601349</v>
      </c>
    </row>
    <row r="49" spans="1:32" s="145" customFormat="1" ht="15" customHeight="1" x14ac:dyDescent="0.2">
      <c r="A49" s="142"/>
      <c r="B49" s="176" t="s">
        <v>158</v>
      </c>
      <c r="C49" s="55" t="s">
        <v>159</v>
      </c>
      <c r="D49" s="144"/>
      <c r="E49" s="144"/>
      <c r="F49" s="144"/>
      <c r="G49" s="1415">
        <f t="shared" si="12"/>
        <v>0</v>
      </c>
      <c r="H49" s="144"/>
      <c r="I49" s="1378">
        <f t="shared" si="13"/>
        <v>0</v>
      </c>
      <c r="J49" s="483"/>
      <c r="K49" s="3336">
        <f t="shared" si="14"/>
        <v>0</v>
      </c>
      <c r="L49" s="483"/>
      <c r="M49" s="144"/>
      <c r="N49" s="463"/>
      <c r="O49" s="463"/>
      <c r="Q49" s="1922">
        <f t="shared" si="1"/>
        <v>0</v>
      </c>
      <c r="R49" s="1922"/>
      <c r="S49" s="1928">
        <f t="shared" si="2"/>
        <v>0</v>
      </c>
      <c r="T49" s="1928"/>
      <c r="U49" s="458">
        <f t="shared" si="3"/>
        <v>0</v>
      </c>
      <c r="V49" s="458"/>
      <c r="W49" s="1934">
        <f t="shared" si="4"/>
        <v>0</v>
      </c>
      <c r="X49" s="1941">
        <f t="shared" si="5"/>
        <v>0</v>
      </c>
      <c r="Y49" s="2295">
        <f>SUM('5.8.a. sz. mell.'!F49+'5.8.b. sz. mell.'!F49+'5.8.c. sz. mell.'!F49)</f>
        <v>0</v>
      </c>
      <c r="Z49" s="2298"/>
      <c r="AA49" s="1928">
        <f>SUM('5.8.a. sz. mell.'!H49+'5.8.b. sz. mell.'!H49+'5.8.c. sz. mell.'!H49)</f>
        <v>0</v>
      </c>
      <c r="AB49" s="1928"/>
      <c r="AC49" s="458">
        <f>SUM('5.8.a. sz. mell.'!J49+'5.8.b. sz. mell.'!I49+'5.8.c. sz. mell.'!J49)</f>
        <v>0</v>
      </c>
      <c r="AD49" s="458"/>
      <c r="AE49" s="1934">
        <f>SUM('5.8.a. sz. mell.'!L49+'5.8.b. sz. mell.'!K49+'5.8.c. sz. mell.'!L49)</f>
        <v>0</v>
      </c>
      <c r="AF49" s="1944">
        <f>SUM('5.8.a. sz. mell.'!M49+'5.8.b. sz. mell.'!M49+'5.8.c. sz. mell.'!M49)</f>
        <v>0</v>
      </c>
    </row>
    <row r="50" spans="1:32" s="145" customFormat="1" ht="15" customHeight="1" thickBot="1" x14ac:dyDescent="0.25">
      <c r="A50" s="142"/>
      <c r="B50" s="176" t="s">
        <v>160</v>
      </c>
      <c r="C50" s="55" t="s">
        <v>161</v>
      </c>
      <c r="D50" s="144"/>
      <c r="E50" s="144"/>
      <c r="F50" s="144"/>
      <c r="G50" s="1415">
        <f t="shared" si="12"/>
        <v>0</v>
      </c>
      <c r="H50" s="144"/>
      <c r="I50" s="1475">
        <f t="shared" si="13"/>
        <v>0</v>
      </c>
      <c r="J50" s="175"/>
      <c r="K50" s="3399">
        <f t="shared" si="14"/>
        <v>0</v>
      </c>
      <c r="L50" s="175"/>
      <c r="M50" s="144"/>
      <c r="N50" s="463"/>
      <c r="O50" s="463"/>
      <c r="Q50" s="1922">
        <f t="shared" si="1"/>
        <v>0</v>
      </c>
      <c r="R50" s="1922"/>
      <c r="S50" s="1928">
        <f t="shared" si="2"/>
        <v>0</v>
      </c>
      <c r="T50" s="1928"/>
      <c r="U50" s="458">
        <f t="shared" si="3"/>
        <v>0</v>
      </c>
      <c r="V50" s="458"/>
      <c r="W50" s="1934">
        <f t="shared" si="4"/>
        <v>0</v>
      </c>
      <c r="X50" s="1941">
        <f t="shared" si="5"/>
        <v>0</v>
      </c>
      <c r="Y50" s="2295">
        <f>SUM('5.8.a. sz. mell.'!F50+'5.8.b. sz. mell.'!F50+'5.8.c. sz. mell.'!F50)</f>
        <v>0</v>
      </c>
      <c r="Z50" s="2298"/>
      <c r="AA50" s="1928">
        <f>SUM('5.8.a. sz. mell.'!H50+'5.8.b. sz. mell.'!H50+'5.8.c. sz. mell.'!H50)</f>
        <v>0</v>
      </c>
      <c r="AB50" s="1928"/>
      <c r="AC50" s="458">
        <f>SUM('5.8.a. sz. mell.'!J50+'5.8.b. sz. mell.'!I50+'5.8.c. sz. mell.'!J50)</f>
        <v>0</v>
      </c>
      <c r="AD50" s="458"/>
      <c r="AE50" s="1934">
        <f>SUM('5.8.a. sz. mell.'!L50+'5.8.b. sz. mell.'!K50+'5.8.c. sz. mell.'!L50)</f>
        <v>0</v>
      </c>
      <c r="AF50" s="1944">
        <f>SUM('5.8.a. sz. mell.'!M50+'5.8.b. sz. mell.'!M50+'5.8.c. sz. mell.'!M50)</f>
        <v>0</v>
      </c>
    </row>
    <row r="51" spans="1:32" s="145" customFormat="1" ht="15" customHeight="1" thickBot="1" x14ac:dyDescent="0.25">
      <c r="A51" s="134" t="s">
        <v>17</v>
      </c>
      <c r="B51" s="170"/>
      <c r="C51" s="170" t="s">
        <v>443</v>
      </c>
      <c r="D51" s="137">
        <f>SUM(D52:D54)</f>
        <v>0</v>
      </c>
      <c r="E51" s="137">
        <f>SUM(E52:E54)</f>
        <v>604</v>
      </c>
      <c r="F51" s="137">
        <f>SUM(F52:F54)</f>
        <v>2890000</v>
      </c>
      <c r="G51" s="1382">
        <f t="shared" si="12"/>
        <v>0</v>
      </c>
      <c r="H51" s="137">
        <f>SUM(H52:H54)</f>
        <v>2890000</v>
      </c>
      <c r="I51" s="1477">
        <f t="shared" si="13"/>
        <v>1344053</v>
      </c>
      <c r="J51" s="137">
        <f>SUM(J52:J54)</f>
        <v>4234053</v>
      </c>
      <c r="K51" s="3398">
        <f t="shared" si="14"/>
        <v>0</v>
      </c>
      <c r="L51" s="137">
        <f>SUM(L52:L54)</f>
        <v>4234053</v>
      </c>
      <c r="M51" s="137">
        <f>SUM(M52:M54)</f>
        <v>4234053</v>
      </c>
      <c r="N51" s="286"/>
      <c r="O51" s="286"/>
      <c r="Q51" s="1922">
        <f t="shared" si="1"/>
        <v>0</v>
      </c>
      <c r="R51" s="1922"/>
      <c r="S51" s="1928">
        <f t="shared" si="2"/>
        <v>0</v>
      </c>
      <c r="T51" s="1928"/>
      <c r="U51" s="458">
        <f t="shared" si="3"/>
        <v>0</v>
      </c>
      <c r="V51" s="458"/>
      <c r="W51" s="1934">
        <f t="shared" si="4"/>
        <v>0</v>
      </c>
      <c r="X51" s="1941">
        <f t="shared" si="5"/>
        <v>0</v>
      </c>
      <c r="Y51" s="2295">
        <f>SUM('5.8.a. sz. mell.'!F51+'5.8.b. sz. mell.'!F51+'5.8.c. sz. mell.'!F51)</f>
        <v>2890000</v>
      </c>
      <c r="Z51" s="2298"/>
      <c r="AA51" s="1928">
        <f>SUM('5.8.a. sz. mell.'!H51+'5.8.b. sz. mell.'!H51+'5.8.c. sz. mell.'!H51)</f>
        <v>2890000</v>
      </c>
      <c r="AB51" s="1928"/>
      <c r="AC51" s="458">
        <f>SUM('5.8.a. sz. mell.'!J51+'5.8.b. sz. mell.'!I51+'5.8.c. sz. mell.'!J51)</f>
        <v>4234053</v>
      </c>
      <c r="AD51" s="458"/>
      <c r="AE51" s="1934">
        <f>SUM('5.8.a. sz. mell.'!L51+'5.8.b. sz. mell.'!K51+'5.8.c. sz. mell.'!L51)</f>
        <v>4234053</v>
      </c>
      <c r="AF51" s="1944">
        <f>SUM('5.8.a. sz. mell.'!M51+'5.8.b. sz. mell.'!M51+'5.8.c. sz. mell.'!M51)</f>
        <v>4234053</v>
      </c>
    </row>
    <row r="52" spans="1:32" s="141" customFormat="1" ht="15" customHeight="1" x14ac:dyDescent="0.2">
      <c r="A52" s="173"/>
      <c r="B52" s="267" t="s">
        <v>5</v>
      </c>
      <c r="C52" s="251" t="s">
        <v>183</v>
      </c>
      <c r="D52" s="175">
        <v>0</v>
      </c>
      <c r="E52" s="175">
        <v>604</v>
      </c>
      <c r="F52" s="175">
        <v>2890000</v>
      </c>
      <c r="G52" s="1415">
        <f t="shared" si="12"/>
        <v>0</v>
      </c>
      <c r="H52" s="175">
        <v>2890000</v>
      </c>
      <c r="I52" s="1386">
        <f t="shared" si="13"/>
        <v>1344053</v>
      </c>
      <c r="J52" s="1326">
        <v>4234053</v>
      </c>
      <c r="K52" s="3345">
        <f t="shared" si="14"/>
        <v>0</v>
      </c>
      <c r="L52" s="1326">
        <v>4234053</v>
      </c>
      <c r="M52" s="175">
        <v>4234053</v>
      </c>
      <c r="N52" s="463"/>
      <c r="O52" s="463"/>
      <c r="Q52" s="1922">
        <f t="shared" si="1"/>
        <v>0</v>
      </c>
      <c r="R52" s="1922"/>
      <c r="S52" s="1928">
        <f t="shared" si="2"/>
        <v>0</v>
      </c>
      <c r="T52" s="1928"/>
      <c r="U52" s="458">
        <f t="shared" si="3"/>
        <v>0</v>
      </c>
      <c r="V52" s="458"/>
      <c r="W52" s="1934">
        <f t="shared" si="4"/>
        <v>0</v>
      </c>
      <c r="X52" s="1941">
        <f t="shared" si="5"/>
        <v>0</v>
      </c>
      <c r="Y52" s="2295">
        <f>SUM('5.8.a. sz. mell.'!F52+'5.8.b. sz. mell.'!F52+'5.8.c. sz. mell.'!F52)</f>
        <v>2890000</v>
      </c>
      <c r="Z52" s="2298"/>
      <c r="AA52" s="1928">
        <f>SUM('5.8.a. sz. mell.'!H52+'5.8.b. sz. mell.'!H52+'5.8.c. sz. mell.'!H52)</f>
        <v>2890000</v>
      </c>
      <c r="AB52" s="1928"/>
      <c r="AC52" s="458">
        <f>SUM('5.8.a. sz. mell.'!J52+'5.8.b. sz. mell.'!I52+'5.8.c. sz. mell.'!J52)</f>
        <v>4234053</v>
      </c>
      <c r="AD52" s="458"/>
      <c r="AE52" s="1934">
        <f>SUM('5.8.a. sz. mell.'!L52+'5.8.b. sz. mell.'!K52+'5.8.c. sz. mell.'!L52)</f>
        <v>4234053</v>
      </c>
      <c r="AF52" s="1944">
        <f>SUM('5.8.a. sz. mell.'!M52+'5.8.b. sz. mell.'!M52+'5.8.c. sz. mell.'!M52)</f>
        <v>4234053</v>
      </c>
    </row>
    <row r="53" spans="1:32" s="145" customFormat="1" ht="15" customHeight="1" x14ac:dyDescent="0.2">
      <c r="A53" s="142"/>
      <c r="B53" s="253" t="s">
        <v>7</v>
      </c>
      <c r="C53" s="55" t="s">
        <v>185</v>
      </c>
      <c r="D53" s="144">
        <v>0</v>
      </c>
      <c r="E53" s="144">
        <v>0</v>
      </c>
      <c r="F53" s="144"/>
      <c r="G53" s="1415">
        <f t="shared" si="12"/>
        <v>0</v>
      </c>
      <c r="H53" s="144"/>
      <c r="I53" s="1404">
        <f t="shared" si="13"/>
        <v>0</v>
      </c>
      <c r="J53" s="483"/>
      <c r="K53" s="3334">
        <f t="shared" si="14"/>
        <v>0</v>
      </c>
      <c r="L53" s="483"/>
      <c r="M53" s="144">
        <v>0</v>
      </c>
      <c r="N53" s="463"/>
      <c r="O53" s="463"/>
      <c r="Q53" s="1922">
        <f t="shared" si="1"/>
        <v>0</v>
      </c>
      <c r="R53" s="1922"/>
      <c r="S53" s="1928">
        <f t="shared" si="2"/>
        <v>0</v>
      </c>
      <c r="T53" s="1928"/>
      <c r="U53" s="458">
        <f t="shared" si="3"/>
        <v>0</v>
      </c>
      <c r="V53" s="458"/>
      <c r="W53" s="1934">
        <f t="shared" si="4"/>
        <v>0</v>
      </c>
      <c r="X53" s="1941">
        <f t="shared" si="5"/>
        <v>0</v>
      </c>
      <c r="Y53" s="2295">
        <f>SUM('5.8.a. sz. mell.'!F53+'5.8.b. sz. mell.'!F53+'5.8.c. sz. mell.'!F53)</f>
        <v>0</v>
      </c>
      <c r="Z53" s="2298"/>
      <c r="AA53" s="1928">
        <f>SUM('5.8.a. sz. mell.'!H53+'5.8.b. sz. mell.'!H53+'5.8.c. sz. mell.'!H53)</f>
        <v>0</v>
      </c>
      <c r="AB53" s="1928"/>
      <c r="AC53" s="458">
        <f>SUM('5.8.a. sz. mell.'!J53+'5.8.b. sz. mell.'!I53+'5.8.c. sz. mell.'!J53)</f>
        <v>0</v>
      </c>
      <c r="AD53" s="458"/>
      <c r="AE53" s="1934">
        <f>SUM('5.8.a. sz. mell.'!L53+'5.8.b. sz. mell.'!K53+'5.8.c. sz. mell.'!L53)</f>
        <v>0</v>
      </c>
      <c r="AF53" s="1944">
        <f>SUM('5.8.a. sz. mell.'!M53+'5.8.b. sz. mell.'!M53+'5.8.c. sz. mell.'!M53)</f>
        <v>0</v>
      </c>
    </row>
    <row r="54" spans="1:32" s="145" customFormat="1" ht="30" customHeight="1" thickBot="1" x14ac:dyDescent="0.25">
      <c r="A54" s="142"/>
      <c r="B54" s="253" t="s">
        <v>9</v>
      </c>
      <c r="C54" s="55" t="s">
        <v>444</v>
      </c>
      <c r="D54" s="144">
        <v>0</v>
      </c>
      <c r="E54" s="144">
        <v>0</v>
      </c>
      <c r="F54" s="144">
        <v>0</v>
      </c>
      <c r="G54" s="1415">
        <f t="shared" si="12"/>
        <v>0</v>
      </c>
      <c r="H54" s="144">
        <v>0</v>
      </c>
      <c r="I54" s="1478">
        <f t="shared" si="13"/>
        <v>0</v>
      </c>
      <c r="J54" s="175"/>
      <c r="K54" s="3396">
        <f t="shared" si="14"/>
        <v>0</v>
      </c>
      <c r="L54" s="175"/>
      <c r="M54" s="144">
        <v>0</v>
      </c>
      <c r="N54" s="463"/>
      <c r="O54" s="463"/>
      <c r="Q54" s="1922">
        <f t="shared" si="1"/>
        <v>0</v>
      </c>
      <c r="R54" s="1922"/>
      <c r="S54" s="1928">
        <f t="shared" si="2"/>
        <v>0</v>
      </c>
      <c r="T54" s="1928"/>
      <c r="U54" s="458">
        <f t="shared" si="3"/>
        <v>0</v>
      </c>
      <c r="V54" s="458"/>
      <c r="W54" s="1934">
        <f t="shared" si="4"/>
        <v>0</v>
      </c>
      <c r="X54" s="1941">
        <f t="shared" si="5"/>
        <v>0</v>
      </c>
      <c r="Y54" s="2295">
        <f>SUM('5.8.a. sz. mell.'!F54+'5.8.b. sz. mell.'!F54+'5.8.c. sz. mell.'!F54)</f>
        <v>0</v>
      </c>
      <c r="Z54" s="2298"/>
      <c r="AA54" s="1928">
        <f>SUM('5.8.a. sz. mell.'!H54+'5.8.b. sz. mell.'!H54+'5.8.c. sz. mell.'!H54)</f>
        <v>0</v>
      </c>
      <c r="AB54" s="1928"/>
      <c r="AC54" s="458">
        <f>SUM('5.8.a. sz. mell.'!J54+'5.8.b. sz. mell.'!I54+'5.8.c. sz. mell.'!J54)</f>
        <v>0</v>
      </c>
      <c r="AD54" s="458"/>
      <c r="AE54" s="1934">
        <f>SUM('5.8.a. sz. mell.'!L54+'5.8.b. sz. mell.'!K54+'5.8.c. sz. mell.'!L54)</f>
        <v>0</v>
      </c>
      <c r="AF54" s="1944">
        <f>SUM('5.8.a. sz. mell.'!M54+'5.8.b. sz. mell.'!M54+'5.8.c. sz. mell.'!M54)</f>
        <v>0</v>
      </c>
    </row>
    <row r="55" spans="1:32" s="145" customFormat="1" ht="15" customHeight="1" thickBot="1" x14ac:dyDescent="0.25">
      <c r="A55" s="192" t="s">
        <v>31</v>
      </c>
      <c r="B55" s="160"/>
      <c r="C55" s="274" t="s">
        <v>465</v>
      </c>
      <c r="D55" s="162" t="e">
        <f>+D45+D51+#REF!</f>
        <v>#REF!</v>
      </c>
      <c r="E55" s="162" t="e">
        <f>+E45+E51+#REF!</f>
        <v>#REF!</v>
      </c>
      <c r="F55" s="162">
        <f>+F45+F51</f>
        <v>32596481</v>
      </c>
      <c r="G55" s="1437">
        <f t="shared" si="12"/>
        <v>3093449</v>
      </c>
      <c r="H55" s="162">
        <f>H45+H51</f>
        <v>35689930</v>
      </c>
      <c r="I55" s="1373">
        <f t="shared" si="13"/>
        <v>1689784</v>
      </c>
      <c r="J55" s="162">
        <f>J45+J51</f>
        <v>37379714</v>
      </c>
      <c r="K55" s="3343">
        <f t="shared" si="14"/>
        <v>0</v>
      </c>
      <c r="L55" s="162">
        <f>L45+L51</f>
        <v>37379714</v>
      </c>
      <c r="M55" s="162">
        <f>+M45+M51</f>
        <v>37379714</v>
      </c>
      <c r="N55" s="195"/>
      <c r="O55" s="195"/>
      <c r="Q55" s="1922">
        <f t="shared" si="1"/>
        <v>0</v>
      </c>
      <c r="R55" s="1922"/>
      <c r="S55" s="1928">
        <f t="shared" si="2"/>
        <v>0</v>
      </c>
      <c r="T55" s="1928"/>
      <c r="U55" s="458">
        <f t="shared" si="3"/>
        <v>0</v>
      </c>
      <c r="V55" s="458"/>
      <c r="W55" s="1934">
        <f t="shared" si="4"/>
        <v>0</v>
      </c>
      <c r="X55" s="1941">
        <f t="shared" si="5"/>
        <v>0</v>
      </c>
      <c r="Y55" s="2295">
        <f>SUM('5.8.a. sz. mell.'!F55+'5.8.b. sz. mell.'!F55+'5.8.c. sz. mell.'!F55)</f>
        <v>32596481</v>
      </c>
      <c r="Z55" s="2298"/>
      <c r="AA55" s="1928">
        <f>SUM('5.8.a. sz. mell.'!H55+'5.8.b. sz. mell.'!H55+'5.8.c. sz. mell.'!H55)</f>
        <v>35689930</v>
      </c>
      <c r="AB55" s="1928"/>
      <c r="AC55" s="458">
        <f>SUM('5.8.a. sz. mell.'!J55+'5.8.b. sz. mell.'!I55+'5.8.c. sz. mell.'!J55)</f>
        <v>37379714</v>
      </c>
      <c r="AD55" s="458"/>
      <c r="AE55" s="1934">
        <f>SUM('5.8.a. sz. mell.'!L55+'5.8.b. sz. mell.'!K55+'5.8.c. sz. mell.'!L55)</f>
        <v>37379714</v>
      </c>
      <c r="AF55" s="1944">
        <f>SUM('5.8.a. sz. mell.'!M55+'5.8.b. sz. mell.'!M55+'5.8.c. sz. mell.'!M55)</f>
        <v>37379714</v>
      </c>
    </row>
    <row r="56" spans="1:32" s="145" customFormat="1" ht="15" customHeight="1" thickBot="1" x14ac:dyDescent="0.25">
      <c r="A56" s="1303"/>
      <c r="B56" s="886"/>
      <c r="C56" s="886"/>
      <c r="D56" s="886"/>
      <c r="E56" s="886"/>
      <c r="F56" s="1304"/>
      <c r="G56" s="2162"/>
      <c r="H56" s="1550"/>
      <c r="I56" s="2162"/>
      <c r="J56" s="886"/>
      <c r="K56" s="1550"/>
      <c r="L56" s="886"/>
      <c r="M56" s="1304"/>
      <c r="N56" s="198"/>
      <c r="O56" s="198"/>
      <c r="Q56" s="1919"/>
      <c r="R56" s="1919"/>
      <c r="S56" s="1929"/>
      <c r="T56" s="1929"/>
      <c r="U56" s="455"/>
      <c r="V56" s="455"/>
      <c r="W56" s="1935"/>
      <c r="X56" s="1938"/>
      <c r="Y56" s="1919"/>
      <c r="Z56" s="1919"/>
      <c r="AA56" s="1929"/>
      <c r="AB56" s="1929"/>
      <c r="AC56" s="455"/>
      <c r="AD56" s="455"/>
      <c r="AE56" s="1935"/>
      <c r="AF56" s="1890"/>
    </row>
    <row r="57" spans="1:32" s="145" customFormat="1" ht="15" customHeight="1" thickBot="1" x14ac:dyDescent="0.25">
      <c r="A57" s="276" t="s">
        <v>324</v>
      </c>
      <c r="B57" s="277"/>
      <c r="C57" s="278"/>
      <c r="D57" s="200">
        <v>6</v>
      </c>
      <c r="E57" s="200">
        <v>6</v>
      </c>
      <c r="F57" s="200">
        <v>6</v>
      </c>
      <c r="G57" s="1559">
        <f>SUM(H57-F57)</f>
        <v>0</v>
      </c>
      <c r="H57" s="200">
        <v>6</v>
      </c>
      <c r="I57" s="1373">
        <f>SUM(J57-H57)</f>
        <v>2</v>
      </c>
      <c r="J57" s="200">
        <v>8</v>
      </c>
      <c r="K57" s="3346">
        <f>SUM(L57-J57)</f>
        <v>0</v>
      </c>
      <c r="L57" s="200">
        <v>8</v>
      </c>
      <c r="M57" s="200">
        <v>8</v>
      </c>
      <c r="N57" s="485"/>
      <c r="O57" s="485"/>
      <c r="Q57" s="1919"/>
      <c r="R57" s="1919"/>
      <c r="S57" s="1929"/>
      <c r="T57" s="1929"/>
      <c r="U57" s="455"/>
      <c r="V57" s="455"/>
      <c r="W57" s="1935"/>
      <c r="X57" s="1938"/>
      <c r="Y57" s="1919"/>
      <c r="Z57" s="1919"/>
      <c r="AA57" s="1929"/>
      <c r="AB57" s="1929"/>
      <c r="AC57" s="455"/>
      <c r="AD57" s="455"/>
      <c r="AE57" s="1935"/>
      <c r="AF57" s="1890"/>
    </row>
    <row r="58" spans="1:32" s="145" customFormat="1" ht="15" customHeight="1" thickBot="1" x14ac:dyDescent="0.25">
      <c r="A58" s="276" t="s">
        <v>325</v>
      </c>
      <c r="B58" s="277"/>
      <c r="C58" s="278"/>
      <c r="D58" s="279"/>
      <c r="E58" s="279"/>
      <c r="F58" s="279"/>
      <c r="G58" s="1560"/>
      <c r="H58" s="279"/>
      <c r="I58" s="1389"/>
      <c r="J58" s="279"/>
      <c r="K58" s="3347"/>
      <c r="L58" s="279"/>
      <c r="M58" s="279"/>
      <c r="N58" s="486"/>
      <c r="O58" s="486"/>
      <c r="Q58" s="1919"/>
      <c r="R58" s="1919"/>
      <c r="S58" s="1929"/>
      <c r="T58" s="1929"/>
      <c r="U58" s="455"/>
      <c r="V58" s="455"/>
      <c r="W58" s="1935"/>
      <c r="X58" s="1938"/>
      <c r="Y58" s="1919"/>
      <c r="Z58" s="1919"/>
      <c r="AA58" s="1929"/>
      <c r="AB58" s="1929"/>
      <c r="AC58" s="455"/>
      <c r="AD58" s="455"/>
      <c r="AE58" s="1935"/>
      <c r="AF58" s="1890"/>
    </row>
    <row r="63" spans="1:32" ht="15.75" x14ac:dyDescent="0.2">
      <c r="C63" s="116" t="s">
        <v>945</v>
      </c>
    </row>
    <row r="64" spans="1:32" ht="15.75" x14ac:dyDescent="0.2">
      <c r="C64" s="116" t="s">
        <v>942</v>
      </c>
      <c r="H64" s="203">
        <v>35689930</v>
      </c>
      <c r="I64" s="1470"/>
      <c r="J64" s="203">
        <v>37379714</v>
      </c>
      <c r="K64" s="1470"/>
      <c r="L64" s="203">
        <v>37379714</v>
      </c>
      <c r="M64" s="203">
        <v>37379714</v>
      </c>
    </row>
    <row r="65" spans="3:13" ht="15.75" x14ac:dyDescent="0.2">
      <c r="C65" s="116" t="s">
        <v>943</v>
      </c>
      <c r="H65" s="203">
        <v>0</v>
      </c>
      <c r="I65" s="1470"/>
      <c r="J65" s="203"/>
      <c r="K65" s="1470"/>
      <c r="L65" s="203"/>
      <c r="M65" s="203">
        <v>0</v>
      </c>
    </row>
    <row r="66" spans="3:13" ht="18.75" x14ac:dyDescent="0.2">
      <c r="C66" s="781" t="s">
        <v>944</v>
      </c>
      <c r="H66" s="203">
        <f t="shared" ref="H66:M66" si="15">SUM(H64:H65)</f>
        <v>35689930</v>
      </c>
      <c r="I66" s="203">
        <f t="shared" si="15"/>
        <v>0</v>
      </c>
      <c r="J66" s="203">
        <f t="shared" si="15"/>
        <v>37379714</v>
      </c>
      <c r="K66" s="203">
        <f t="shared" si="15"/>
        <v>0</v>
      </c>
      <c r="L66" s="203">
        <f t="shared" si="15"/>
        <v>37379714</v>
      </c>
      <c r="M66" s="203">
        <f t="shared" si="15"/>
        <v>37379714</v>
      </c>
    </row>
    <row r="67" spans="3:13" ht="15.75" x14ac:dyDescent="0.2">
      <c r="C67" s="116"/>
      <c r="H67" s="203"/>
      <c r="I67" s="1470"/>
      <c r="J67" s="203"/>
      <c r="K67" s="203"/>
      <c r="L67" s="203"/>
      <c r="M67" s="203"/>
    </row>
    <row r="68" spans="3:13" ht="15.75" x14ac:dyDescent="0.2">
      <c r="C68" s="780" t="s">
        <v>893</v>
      </c>
      <c r="H68" s="482">
        <f>SUM(H55-H66)</f>
        <v>0</v>
      </c>
      <c r="I68" s="482"/>
      <c r="J68" s="482">
        <f>SUM(J55-J66)</f>
        <v>0</v>
      </c>
      <c r="K68" s="482"/>
      <c r="L68" s="482">
        <f>SUM(L55-L66)</f>
        <v>0</v>
      </c>
      <c r="M68" s="482">
        <f>SUM(M55-M66)</f>
        <v>0</v>
      </c>
    </row>
    <row r="69" spans="3:13" ht="15.75" x14ac:dyDescent="0.2">
      <c r="H69" s="116"/>
      <c r="I69" s="1416"/>
      <c r="J69" s="116"/>
      <c r="K69" s="1416"/>
      <c r="L69" s="116"/>
      <c r="M69" s="116"/>
    </row>
    <row r="70" spans="3:13" ht="15.75" x14ac:dyDescent="0.2">
      <c r="H70" s="116"/>
      <c r="I70" s="1416"/>
      <c r="J70" s="116"/>
      <c r="K70" s="1416"/>
      <c r="L70" s="116"/>
      <c r="M70" s="116"/>
    </row>
    <row r="71" spans="3:13" ht="15.75" x14ac:dyDescent="0.2">
      <c r="H71" s="116"/>
      <c r="I71" s="1416"/>
      <c r="J71" s="116"/>
      <c r="K71" s="1416"/>
      <c r="L71" s="116"/>
      <c r="M71" s="116"/>
    </row>
    <row r="72" spans="3:13" ht="15.75" x14ac:dyDescent="0.2">
      <c r="C72" s="116" t="s">
        <v>946</v>
      </c>
      <c r="H72" s="116"/>
      <c r="I72" s="1416"/>
      <c r="J72" s="116"/>
      <c r="K72" s="1416"/>
      <c r="L72" s="116"/>
      <c r="M72" s="116"/>
    </row>
    <row r="73" spans="3:13" ht="15.75" x14ac:dyDescent="0.2">
      <c r="C73" s="116"/>
      <c r="H73" s="116"/>
      <c r="I73" s="1416"/>
      <c r="J73" s="116"/>
      <c r="K73" s="1416"/>
      <c r="L73" s="116"/>
      <c r="M73" s="116"/>
    </row>
    <row r="74" spans="3:13" ht="15.75" x14ac:dyDescent="0.2">
      <c r="C74" s="116" t="s">
        <v>947</v>
      </c>
      <c r="H74" s="203">
        <v>854681</v>
      </c>
      <c r="I74" s="1470"/>
      <c r="J74" s="203">
        <v>1109248</v>
      </c>
      <c r="K74" s="1470"/>
      <c r="L74" s="203">
        <v>1109248</v>
      </c>
      <c r="M74" s="203">
        <v>1109248</v>
      </c>
    </row>
    <row r="75" spans="3:13" ht="15.75" x14ac:dyDescent="0.2">
      <c r="C75" s="116" t="s">
        <v>948</v>
      </c>
      <c r="H75" s="203">
        <v>34835249</v>
      </c>
      <c r="I75" s="1470"/>
      <c r="J75" s="203">
        <v>36270466</v>
      </c>
      <c r="K75" s="1470"/>
      <c r="L75" s="203">
        <v>36270466</v>
      </c>
      <c r="M75" s="203">
        <v>36270466</v>
      </c>
    </row>
    <row r="76" spans="3:13" ht="18.75" x14ac:dyDescent="0.2">
      <c r="C76" s="471" t="s">
        <v>944</v>
      </c>
      <c r="H76" s="203">
        <f t="shared" ref="H76:M76" si="16">SUM(H74:H75)</f>
        <v>35689930</v>
      </c>
      <c r="I76" s="203">
        <f t="shared" si="16"/>
        <v>0</v>
      </c>
      <c r="J76" s="203">
        <f t="shared" si="16"/>
        <v>37379714</v>
      </c>
      <c r="K76" s="203">
        <f t="shared" si="16"/>
        <v>0</v>
      </c>
      <c r="L76" s="203">
        <f t="shared" si="16"/>
        <v>37379714</v>
      </c>
      <c r="M76" s="203">
        <f t="shared" si="16"/>
        <v>37379714</v>
      </c>
    </row>
    <row r="77" spans="3:13" ht="15.75" x14ac:dyDescent="0.2">
      <c r="C77" s="116"/>
      <c r="H77" s="116"/>
      <c r="I77" s="1416"/>
      <c r="J77" s="116"/>
      <c r="K77" s="116"/>
      <c r="L77" s="116"/>
      <c r="M77" s="116"/>
    </row>
    <row r="78" spans="3:13" ht="15.75" x14ac:dyDescent="0.2">
      <c r="C78" s="780" t="s">
        <v>279</v>
      </c>
      <c r="H78" s="482">
        <f>SUM(H42-H76)</f>
        <v>0</v>
      </c>
      <c r="I78" s="482"/>
      <c r="J78" s="482">
        <f>SUM(J42-J76)</f>
        <v>0</v>
      </c>
      <c r="K78" s="482">
        <f>SUM(K42-K76)</f>
        <v>0</v>
      </c>
      <c r="L78" s="482">
        <f>SUM(L42-L76)</f>
        <v>0</v>
      </c>
      <c r="M78" s="482">
        <f>SUM(M42-M76)</f>
        <v>0</v>
      </c>
    </row>
    <row r="79" spans="3:13" ht="15.75" x14ac:dyDescent="0.2">
      <c r="C79" s="116"/>
    </row>
  </sheetData>
  <mergeCells count="20">
    <mergeCell ref="AE4:AE5"/>
    <mergeCell ref="I2:I3"/>
    <mergeCell ref="J2:J3"/>
    <mergeCell ref="K2:K3"/>
    <mergeCell ref="L2:L3"/>
    <mergeCell ref="S4:S5"/>
    <mergeCell ref="U4:U5"/>
    <mergeCell ref="W4:W5"/>
    <mergeCell ref="AA4:AA5"/>
    <mergeCell ref="AC4:AC5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7559055118110237" right="0.23622047244094491" top="0.35433070866141736" bottom="0.43307086614173229" header="0.51181102362204722" footer="0.15748031496062992"/>
  <pageSetup paperSize="9" scale="73" firstPageNumber="79" orientation="portrait" useFirstPageNumber="1" r:id="rId1"/>
  <headerFooter>
    <oddFooter>&amp;C- &amp;P -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R58"/>
  <sheetViews>
    <sheetView view="pageBreakPreview" topLeftCell="A34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6640625" style="115" customWidth="1"/>
    <col min="4" max="5" width="9.33203125" style="115" hidden="1" customWidth="1"/>
    <col min="6" max="6" width="13.33203125" style="115" customWidth="1"/>
    <col min="7" max="7" width="10.6640625" style="1390" hidden="1" customWidth="1"/>
    <col min="8" max="8" width="12.5" style="115" hidden="1" customWidth="1"/>
    <col min="9" max="9" width="11.5" style="1390" hidden="1" customWidth="1"/>
    <col min="10" max="10" width="14.33203125" style="115" customWidth="1"/>
    <col min="11" max="11" width="15.1640625" style="1390" customWidth="1"/>
    <col min="12" max="12" width="15.1640625" style="115" customWidth="1"/>
    <col min="13" max="13" width="14.5" style="115" customWidth="1"/>
    <col min="14" max="15" width="9.33203125" style="115"/>
    <col min="16" max="16" width="13.6640625" style="115" customWidth="1"/>
    <col min="17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744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626"/>
      <c r="C2" s="1472" t="s">
        <v>485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627"/>
      <c r="C3" s="1473" t="s">
        <v>487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50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64"/>
      <c r="E4" s="4464"/>
      <c r="F4" s="4465"/>
      <c r="G4" s="1440"/>
      <c r="H4" s="1454"/>
      <c r="I4" s="1454"/>
      <c r="J4" s="1454"/>
      <c r="K4" s="1454"/>
      <c r="L4" s="1455"/>
      <c r="M4" s="1508" t="s">
        <v>935</v>
      </c>
    </row>
    <row r="5" spans="1:13" s="145" customFormat="1" ht="37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3330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334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685</v>
      </c>
      <c r="E8" s="137">
        <f>SUM(E9:E18)</f>
        <v>685</v>
      </c>
      <c r="F8" s="137">
        <f>SUM(F9:F18)</f>
        <v>844000</v>
      </c>
      <c r="G8" s="1382">
        <f t="shared" ref="G8:K18" si="0">SUM(H8-F8)</f>
        <v>10681</v>
      </c>
      <c r="H8" s="137">
        <f>SUM(H9:H18)</f>
        <v>854681</v>
      </c>
      <c r="I8" s="1374">
        <f t="shared" si="0"/>
        <v>254567</v>
      </c>
      <c r="J8" s="137">
        <f>SUM('5.8. sz. mell.'!J8)</f>
        <v>1109248</v>
      </c>
      <c r="K8" s="3332">
        <f t="shared" si="0"/>
        <v>0</v>
      </c>
      <c r="L8" s="137">
        <f>SUM('5.8. sz. mell.'!L8)</f>
        <v>1109248</v>
      </c>
      <c r="M8" s="137">
        <f>SUM(M9:M18)</f>
        <v>1109248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44">
        <f>SUM('5.8. sz. mell.'!F9)</f>
        <v>0</v>
      </c>
      <c r="G9" s="1415">
        <f t="shared" si="0"/>
        <v>0</v>
      </c>
      <c r="H9" s="144">
        <f>SUM('5.8. sz. mell.'!H9)</f>
        <v>0</v>
      </c>
      <c r="I9" s="1376">
        <f t="shared" si="0"/>
        <v>0</v>
      </c>
      <c r="J9" s="144">
        <f>SUM('5.8. sz. mell.'!J9)</f>
        <v>0</v>
      </c>
      <c r="K9" s="3334">
        <f t="shared" si="0"/>
        <v>0</v>
      </c>
      <c r="L9" s="144">
        <f>SUM('5.8. sz. mell.'!L9)</f>
        <v>0</v>
      </c>
      <c r="M9" s="144">
        <f>SUM('5.8. sz. mell.'!M9)</f>
        <v>0</v>
      </c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485</v>
      </c>
      <c r="E10" s="144">
        <v>485</v>
      </c>
      <c r="F10" s="144">
        <f>SUM('5.8. sz. mell.'!F10)</f>
        <v>544000</v>
      </c>
      <c r="G10" s="1415">
        <f t="shared" si="0"/>
        <v>0</v>
      </c>
      <c r="H10" s="144">
        <f>SUM('5.8. sz. mell.'!H10)</f>
        <v>544000</v>
      </c>
      <c r="I10" s="144">
        <f>SUM('5.8. sz. mell.'!I10)</f>
        <v>154505</v>
      </c>
      <c r="J10" s="144">
        <f>SUM('5.8. sz. mell.'!J10)</f>
        <v>698505</v>
      </c>
      <c r="K10" s="3334">
        <f t="shared" si="0"/>
        <v>0</v>
      </c>
      <c r="L10" s="144">
        <f>SUM('5.8. sz. mell.'!L10)</f>
        <v>698505</v>
      </c>
      <c r="M10" s="144">
        <f>SUM('5.8. sz. mell.'!M10)</f>
        <v>698505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200</v>
      </c>
      <c r="E11" s="144">
        <v>200</v>
      </c>
      <c r="F11" s="144">
        <f>SUM('5.8. sz. mell.'!F11)</f>
        <v>300000</v>
      </c>
      <c r="G11" s="1415">
        <f t="shared" si="0"/>
        <v>0</v>
      </c>
      <c r="H11" s="144">
        <f>SUM('5.8. sz. mell.'!H11)</f>
        <v>300000</v>
      </c>
      <c r="I11" s="144">
        <f>SUM('5.8. sz. mell.'!I11)</f>
        <v>95200</v>
      </c>
      <c r="J11" s="144">
        <f>SUM('5.8. sz. mell.'!J11)</f>
        <v>395200</v>
      </c>
      <c r="K11" s="3334">
        <f t="shared" si="0"/>
        <v>0</v>
      </c>
      <c r="L11" s="144">
        <f>SUM('5.8. sz. mell.'!L11)</f>
        <v>395200</v>
      </c>
      <c r="M11" s="144">
        <f>SUM('5.8. sz. mell.'!M11)</f>
        <v>395200</v>
      </c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>
        <f>SUM('5.8. sz. mell.'!F12)</f>
        <v>0</v>
      </c>
      <c r="G12" s="1415">
        <f t="shared" si="0"/>
        <v>0</v>
      </c>
      <c r="H12" s="144">
        <f>SUM('5.8. sz. mell.'!H12)</f>
        <v>0</v>
      </c>
      <c r="I12" s="1376">
        <f t="shared" si="0"/>
        <v>0</v>
      </c>
      <c r="J12" s="144">
        <f>SUM('5.8. sz. mell.'!J12)</f>
        <v>0</v>
      </c>
      <c r="K12" s="3334">
        <f t="shared" si="0"/>
        <v>0</v>
      </c>
      <c r="L12" s="144">
        <f>SUM('5.8. sz. mell.'!L12)</f>
        <v>0</v>
      </c>
      <c r="M12" s="144">
        <f>SUM('5.8. sz. mell.'!M12)</f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>
        <f>SUM('5.8. sz. mell.'!F13)</f>
        <v>0</v>
      </c>
      <c r="G13" s="1415">
        <f t="shared" si="0"/>
        <v>0</v>
      </c>
      <c r="H13" s="144">
        <f>SUM('5.8. sz. mell.'!H13)</f>
        <v>0</v>
      </c>
      <c r="I13" s="1376">
        <f t="shared" si="0"/>
        <v>0</v>
      </c>
      <c r="J13" s="144">
        <f>SUM('5.8. sz. mell.'!J13)</f>
        <v>0</v>
      </c>
      <c r="K13" s="3334">
        <f t="shared" si="0"/>
        <v>0</v>
      </c>
      <c r="L13" s="144">
        <f>SUM('5.8. sz. mell.'!L13)</f>
        <v>0</v>
      </c>
      <c r="M13" s="144">
        <f>SUM('5.8. sz. mell.'!M13)</f>
        <v>0</v>
      </c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7"/>
      <c r="E14" s="147"/>
      <c r="F14" s="144">
        <f>SUM('5.8. sz. mell.'!F14)</f>
        <v>0</v>
      </c>
      <c r="G14" s="1415">
        <f t="shared" si="0"/>
        <v>0</v>
      </c>
      <c r="H14" s="144">
        <f>SUM('5.8. sz. mell.'!H14)</f>
        <v>0</v>
      </c>
      <c r="I14" s="1376">
        <f t="shared" si="0"/>
        <v>0</v>
      </c>
      <c r="J14" s="144">
        <f>SUM('5.8. sz. mell.'!J14)</f>
        <v>0</v>
      </c>
      <c r="K14" s="3334">
        <f t="shared" si="0"/>
        <v>0</v>
      </c>
      <c r="L14" s="144">
        <f>SUM('5.8. sz. mell.'!L14)</f>
        <v>0</v>
      </c>
      <c r="M14" s="144">
        <f>SUM('5.8. sz. mell.'!M14)</f>
        <v>0</v>
      </c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/>
      <c r="E15" s="144"/>
      <c r="F15" s="144">
        <f>SUM('5.8. sz. mell.'!F15)</f>
        <v>0</v>
      </c>
      <c r="G15" s="1415">
        <f t="shared" si="0"/>
        <v>0</v>
      </c>
      <c r="H15" s="144">
        <f>SUM('5.8. sz. mell.'!H15)</f>
        <v>0</v>
      </c>
      <c r="I15" s="1376">
        <f t="shared" si="0"/>
        <v>0</v>
      </c>
      <c r="J15" s="144">
        <f>SUM('5.8. sz. mell.'!J15)</f>
        <v>0</v>
      </c>
      <c r="K15" s="3334">
        <f t="shared" si="0"/>
        <v>0</v>
      </c>
      <c r="L15" s="144">
        <f>SUM('5.8. sz. mell.'!L15)</f>
        <v>0</v>
      </c>
      <c r="M15" s="144">
        <f>SUM('5.8. sz. mell.'!M15)</f>
        <v>0</v>
      </c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44">
        <f>SUM('5.8. sz. mell.'!F16)</f>
        <v>0</v>
      </c>
      <c r="G16" s="1415">
        <f t="shared" si="0"/>
        <v>0</v>
      </c>
      <c r="H16" s="144">
        <f>SUM('5.8. sz. mell.'!H16)</f>
        <v>0</v>
      </c>
      <c r="I16" s="1376">
        <f t="shared" si="0"/>
        <v>1</v>
      </c>
      <c r="J16" s="144">
        <f>SUM('5.8. sz. mell.'!J16)</f>
        <v>1</v>
      </c>
      <c r="K16" s="3334">
        <f t="shared" si="0"/>
        <v>0</v>
      </c>
      <c r="L16" s="144">
        <f>SUM('5.8. sz. mell.'!L16)</f>
        <v>1</v>
      </c>
      <c r="M16" s="144">
        <f>SUM('5.8. sz. mell.'!M16)</f>
        <v>1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44">
        <f>SUM('5.8. sz. mell.'!F17)</f>
        <v>0</v>
      </c>
      <c r="G17" s="1415">
        <f t="shared" si="0"/>
        <v>0</v>
      </c>
      <c r="H17" s="144"/>
      <c r="I17" s="1378">
        <f t="shared" si="0"/>
        <v>0</v>
      </c>
      <c r="J17" s="144">
        <f>SUM('5.8. sz. mell.'!J17)</f>
        <v>0</v>
      </c>
      <c r="K17" s="3336">
        <f t="shared" si="0"/>
        <v>0</v>
      </c>
      <c r="L17" s="144"/>
      <c r="M17" s="144">
        <f>SUM('5.8. sz. mell.'!M17)</f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44">
        <f>SUM('5.8. sz. mell.'!F18)</f>
        <v>0</v>
      </c>
      <c r="G18" s="1415">
        <f t="shared" si="0"/>
        <v>10681</v>
      </c>
      <c r="H18" s="144">
        <f>SUM('5.8. sz. mell.'!H18)</f>
        <v>10681</v>
      </c>
      <c r="I18" s="1378">
        <f t="shared" si="0"/>
        <v>4861</v>
      </c>
      <c r="J18" s="144">
        <f>SUM('5.8. sz. mell.'!J18)</f>
        <v>15542</v>
      </c>
      <c r="K18" s="3336">
        <f t="shared" si="0"/>
        <v>0</v>
      </c>
      <c r="L18" s="144">
        <f>SUM('5.8. sz. mell.'!L18)</f>
        <v>15542</v>
      </c>
      <c r="M18" s="144">
        <f>SUM('5.8. sz. mell.'!M18)</f>
        <v>15542</v>
      </c>
    </row>
    <row r="19" spans="1:13" s="141" customFormat="1" ht="33.75" customHeight="1" thickBot="1" x14ac:dyDescent="0.25">
      <c r="A19" s="134" t="s">
        <v>17</v>
      </c>
      <c r="B19" s="148"/>
      <c r="C19" s="247" t="s">
        <v>419</v>
      </c>
      <c r="D19" s="137">
        <f>SUM(D20:D25)</f>
        <v>11613</v>
      </c>
      <c r="E19" s="137">
        <f>SUM(E20:E25)</f>
        <v>12461</v>
      </c>
      <c r="F19" s="137">
        <f>SUM(F20:F25)</f>
        <v>0</v>
      </c>
      <c r="G19" s="1382"/>
      <c r="H19" s="137">
        <f>SUM(H20:H25)</f>
        <v>0</v>
      </c>
      <c r="I19" s="1421"/>
      <c r="J19" s="844">
        <f>SUM('5.8. sz. mell.'!J19)</f>
        <v>0</v>
      </c>
      <c r="K19" s="3350"/>
      <c r="L19" s="844">
        <f>SUM('5.8. sz. mell.'!L19)</f>
        <v>0</v>
      </c>
      <c r="M19" s="137">
        <f>SUM(M20:M25)</f>
        <v>0</v>
      </c>
    </row>
    <row r="20" spans="1:13" s="145" customFormat="1" ht="30.75" customHeight="1" x14ac:dyDescent="0.2">
      <c r="A20" s="142"/>
      <c r="B20" s="143" t="s">
        <v>5</v>
      </c>
      <c r="C20" s="251" t="s">
        <v>420</v>
      </c>
      <c r="D20" s="144">
        <v>11613</v>
      </c>
      <c r="E20" s="144">
        <v>12062</v>
      </c>
      <c r="F20" s="144">
        <f>SUM('5.8. sz. mell.'!F20)</f>
        <v>0</v>
      </c>
      <c r="G20" s="1415"/>
      <c r="H20" s="144">
        <f>SUM('5.8. sz. mell.'!H20)</f>
        <v>0</v>
      </c>
      <c r="I20" s="1386"/>
      <c r="J20" s="175"/>
      <c r="K20" s="3345"/>
      <c r="L20" s="175">
        <f>SUM('5.8. sz. mell.'!L20)</f>
        <v>0</v>
      </c>
      <c r="M20" s="144">
        <f>SUM('5.8. sz. mell.'!M20)</f>
        <v>0</v>
      </c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/>
      <c r="G21" s="1415"/>
      <c r="H21" s="144"/>
      <c r="I21" s="1376"/>
      <c r="J21" s="144">
        <f>SUM('5.8. sz. mell.'!J21)</f>
        <v>0</v>
      </c>
      <c r="K21" s="3334"/>
      <c r="L21" s="144">
        <f>SUM('5.8. sz. mell.'!L21)</f>
        <v>0</v>
      </c>
      <c r="M21" s="144"/>
    </row>
    <row r="22" spans="1:13" s="145" customFormat="1" ht="15" customHeight="1" x14ac:dyDescent="0.2">
      <c r="A22" s="142"/>
      <c r="B22" s="143" t="s">
        <v>360</v>
      </c>
      <c r="C22" s="55" t="s">
        <v>1430</v>
      </c>
      <c r="D22" s="144">
        <v>0</v>
      </c>
      <c r="E22" s="144">
        <v>399</v>
      </c>
      <c r="F22" s="144">
        <f>SUM('5.8. sz. mell.'!F22)</f>
        <v>0</v>
      </c>
      <c r="G22" s="1415"/>
      <c r="H22" s="144">
        <f>SUM('5.8. sz. mell.'!H22)</f>
        <v>0</v>
      </c>
      <c r="I22" s="1376"/>
      <c r="J22" s="144">
        <f>SUM('5.8. sz. mell.'!J22)</f>
        <v>0</v>
      </c>
      <c r="K22" s="3334"/>
      <c r="L22" s="144">
        <f>SUM('5.8. sz. mell.'!L22)</f>
        <v>0</v>
      </c>
      <c r="M22" s="144">
        <f>SUM('5.8. sz. mell.'!M22)</f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f>SUM('5.8. sz. mell.'!F23)</f>
        <v>0</v>
      </c>
      <c r="G23" s="1415"/>
      <c r="H23" s="144">
        <f>SUM('5.8. sz. mell.'!H23)</f>
        <v>0</v>
      </c>
      <c r="I23" s="1376"/>
      <c r="J23" s="144"/>
      <c r="K23" s="3334"/>
      <c r="L23" s="153">
        <f>SUM('5.8. sz. mell.'!L23)</f>
        <v>0</v>
      </c>
      <c r="M23" s="144">
        <f>SUM('5.8. sz. mell.'!M23)</f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/>
      <c r="G24" s="1415"/>
      <c r="H24" s="144"/>
      <c r="I24" s="1378"/>
      <c r="J24" s="153">
        <f>SUM('5.8. sz. mell.'!J24)</f>
        <v>0</v>
      </c>
      <c r="K24" s="3336"/>
      <c r="L24" s="832">
        <v>0</v>
      </c>
      <c r="M24" s="144"/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f>SUM('5.8. sz. mell.'!F25)</f>
        <v>0</v>
      </c>
      <c r="G25" s="1415"/>
      <c r="H25" s="144">
        <f>SUM('5.8. sz. mell.'!H25)</f>
        <v>0</v>
      </c>
      <c r="I25" s="1409"/>
      <c r="J25" s="841">
        <v>0</v>
      </c>
      <c r="K25" s="3379"/>
      <c r="L25" s="832">
        <v>0</v>
      </c>
      <c r="M25" s="144">
        <f>SUM('5.8. sz. mell.'!M25)</f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v>0</v>
      </c>
      <c r="G26" s="1381"/>
      <c r="H26" s="155">
        <v>0</v>
      </c>
      <c r="I26" s="1380"/>
      <c r="J26" s="155"/>
      <c r="K26" s="3338"/>
      <c r="L26" s="155"/>
      <c r="M26" s="155">
        <v>0</v>
      </c>
    </row>
    <row r="27" spans="1:13" s="145" customFormat="1" ht="1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155"/>
      <c r="G27" s="1381"/>
      <c r="H27" s="155"/>
      <c r="I27" s="1380"/>
      <c r="J27" s="155"/>
      <c r="K27" s="3338"/>
      <c r="L27" s="155"/>
      <c r="M27" s="155"/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/>
      <c r="E28" s="155"/>
      <c r="F28" s="155"/>
      <c r="G28" s="1381"/>
      <c r="H28" s="155"/>
      <c r="I28" s="1380"/>
      <c r="J28" s="155"/>
      <c r="K28" s="3338"/>
      <c r="L28" s="155"/>
      <c r="M28" s="155"/>
    </row>
    <row r="29" spans="1:1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55"/>
      <c r="G29" s="1381"/>
      <c r="H29" s="155"/>
      <c r="I29" s="1380"/>
      <c r="J29" s="155"/>
      <c r="K29" s="3338"/>
      <c r="L29" s="155"/>
      <c r="M29" s="155"/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55"/>
      <c r="G30" s="1381"/>
      <c r="H30" s="155"/>
      <c r="I30" s="1380"/>
      <c r="J30" s="155"/>
      <c r="K30" s="3338"/>
      <c r="L30" s="155">
        <v>0</v>
      </c>
      <c r="M30" s="155"/>
    </row>
    <row r="31" spans="1:1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55"/>
      <c r="G31" s="1381"/>
      <c r="H31" s="155"/>
      <c r="I31" s="1380"/>
      <c r="J31" s="155">
        <v>0</v>
      </c>
      <c r="K31" s="3338"/>
      <c r="L31" s="295"/>
      <c r="M31" s="155"/>
    </row>
    <row r="32" spans="1:13" s="141" customFormat="1" ht="30" customHeight="1" thickBot="1" x14ac:dyDescent="0.25">
      <c r="A32" s="134" t="s">
        <v>67</v>
      </c>
      <c r="B32" s="254"/>
      <c r="C32" s="170" t="s">
        <v>429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1"/>
      <c r="J32" s="295"/>
      <c r="K32" s="3339"/>
      <c r="L32" s="295"/>
      <c r="M32" s="155">
        <v>0</v>
      </c>
    </row>
    <row r="33" spans="1:18" s="141" customFormat="1" ht="31.5" customHeight="1" thickBot="1" x14ac:dyDescent="0.25">
      <c r="A33" s="146"/>
      <c r="B33" s="255" t="s">
        <v>47</v>
      </c>
      <c r="C33" s="251" t="s">
        <v>430</v>
      </c>
      <c r="D33" s="295"/>
      <c r="E33" s="295"/>
      <c r="F33" s="295"/>
      <c r="G33" s="1381"/>
      <c r="H33" s="295"/>
      <c r="I33" s="1381"/>
      <c r="J33" s="295"/>
      <c r="K33" s="3339"/>
      <c r="L33" s="295"/>
      <c r="M33" s="295"/>
    </row>
    <row r="34" spans="1:18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/>
      <c r="G34" s="1381"/>
      <c r="H34" s="295"/>
      <c r="I34" s="1381"/>
      <c r="J34" s="295"/>
      <c r="K34" s="3339">
        <f>SUM(L34-J34)</f>
        <v>0</v>
      </c>
      <c r="L34" s="285"/>
      <c r="M34" s="285"/>
    </row>
    <row r="35" spans="1:18" s="141" customFormat="1" ht="29.25" customHeight="1" thickBot="1" x14ac:dyDescent="0.25">
      <c r="A35" s="258"/>
      <c r="B35" s="257" t="s">
        <v>69</v>
      </c>
      <c r="C35" s="55" t="s">
        <v>432</v>
      </c>
      <c r="D35" s="295"/>
      <c r="E35" s="295"/>
      <c r="F35" s="295"/>
      <c r="G35" s="1381"/>
      <c r="H35" s="295"/>
      <c r="I35" s="1382">
        <f>SUM(J35-H35)</f>
        <v>0</v>
      </c>
      <c r="J35" s="312"/>
      <c r="K35" s="3393">
        <f>SUM(L35-J35)</f>
        <v>0</v>
      </c>
      <c r="L35" s="306"/>
      <c r="M35" s="295"/>
    </row>
    <row r="36" spans="1:18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67</v>
      </c>
      <c r="F36" s="285">
        <f>SUM(F37:F39)</f>
        <v>31752481</v>
      </c>
      <c r="G36" s="1382">
        <f t="shared" ref="G36:G42" si="1">SUM(H36-F36)</f>
        <v>3082768</v>
      </c>
      <c r="H36" s="285">
        <f>SUM(H37:H39)</f>
        <v>34835249</v>
      </c>
      <c r="I36" s="1421">
        <f>SUM(J36-H36)</f>
        <v>1435217</v>
      </c>
      <c r="J36" s="285">
        <f>SUM(J37:J39)</f>
        <v>36270466</v>
      </c>
      <c r="K36" s="3394">
        <f>SUM(L36-J36)</f>
        <v>0</v>
      </c>
      <c r="L36" s="285">
        <f>SUM(L37:L39)</f>
        <v>36270466</v>
      </c>
      <c r="M36" s="285">
        <f>SUM(M37:M39)</f>
        <v>36270466</v>
      </c>
    </row>
    <row r="37" spans="1:18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306">
        <v>67</v>
      </c>
      <c r="F37" s="306"/>
      <c r="G37" s="1415">
        <f t="shared" si="1"/>
        <v>120000</v>
      </c>
      <c r="H37" s="306">
        <f>SUM('5.8. sz. mell.'!H37)</f>
        <v>120000</v>
      </c>
      <c r="I37" s="306">
        <f>SUM('5.8. sz. mell.'!I37)</f>
        <v>0</v>
      </c>
      <c r="J37" s="306">
        <f>SUM('5.8. sz. mell.'!J37)</f>
        <v>120000</v>
      </c>
      <c r="K37" s="3334">
        <f t="shared" ref="K37:K40" si="2">SUM(L37-J37)</f>
        <v>0</v>
      </c>
      <c r="L37" s="306">
        <f>SUM('5.8. sz. mell.'!L37)</f>
        <v>120000</v>
      </c>
      <c r="M37" s="306">
        <f>SUM('5.8. sz. mell.'!M37)</f>
        <v>120000</v>
      </c>
    </row>
    <row r="38" spans="1:18" s="141" customFormat="1" ht="15" customHeight="1" thickBot="1" x14ac:dyDescent="0.25">
      <c r="A38" s="142"/>
      <c r="B38" s="253" t="s">
        <v>83</v>
      </c>
      <c r="C38" s="55" t="s">
        <v>435</v>
      </c>
      <c r="D38" s="294">
        <v>0</v>
      </c>
      <c r="E38" s="692">
        <v>0</v>
      </c>
      <c r="F38" s="144">
        <v>0</v>
      </c>
      <c r="G38" s="1467">
        <f t="shared" si="1"/>
        <v>0</v>
      </c>
      <c r="H38" s="500"/>
      <c r="I38" s="1355">
        <f>SUM(J38-H38)</f>
        <v>0</v>
      </c>
      <c r="J38" s="500"/>
      <c r="K38" s="3334">
        <f t="shared" si="2"/>
        <v>0</v>
      </c>
      <c r="L38" s="500"/>
      <c r="M38" s="144"/>
    </row>
    <row r="39" spans="1:18" s="145" customFormat="1" ht="16.5" customHeight="1" thickBot="1" x14ac:dyDescent="0.25">
      <c r="A39" s="142"/>
      <c r="B39" s="253" t="s">
        <v>85</v>
      </c>
      <c r="C39" s="55" t="s">
        <v>1432</v>
      </c>
      <c r="D39" s="155">
        <v>19426</v>
      </c>
      <c r="E39" s="668">
        <v>20644</v>
      </c>
      <c r="F39" s="1324">
        <f>SUM(F40:F41)</f>
        <v>31752481</v>
      </c>
      <c r="G39" s="1467">
        <f t="shared" si="1"/>
        <v>2962768</v>
      </c>
      <c r="H39" s="1323">
        <f>SUM(H40:H41)</f>
        <v>34715249</v>
      </c>
      <c r="I39" s="1355">
        <f>SUM(J39-H39)</f>
        <v>1435217</v>
      </c>
      <c r="J39" s="1323">
        <f>SUM(J40:J41)</f>
        <v>36150466</v>
      </c>
      <c r="K39" s="3334">
        <f t="shared" si="2"/>
        <v>0</v>
      </c>
      <c r="L39" s="1323">
        <f>SUM(L40:L41)</f>
        <v>36150466</v>
      </c>
      <c r="M39" s="1324">
        <f>SUM(M40:M41)</f>
        <v>36150466</v>
      </c>
    </row>
    <row r="40" spans="1:18" s="145" customFormat="1" ht="16.5" customHeight="1" thickBot="1" x14ac:dyDescent="0.25">
      <c r="A40" s="142"/>
      <c r="B40" s="2685" t="s">
        <v>437</v>
      </c>
      <c r="C40" s="2686" t="s">
        <v>891</v>
      </c>
      <c r="D40" s="1813"/>
      <c r="E40" s="2729"/>
      <c r="F40" s="1306">
        <f>SUM('5.8. sz. mell.'!F40)</f>
        <v>12773970</v>
      </c>
      <c r="G40" s="1467">
        <f t="shared" si="1"/>
        <v>716267</v>
      </c>
      <c r="H40" s="144">
        <f>SUM('5.8. sz. mell.'!H40)</f>
        <v>13490237</v>
      </c>
      <c r="I40" s="1355">
        <f>SUM('5.8. sz. mell.'!I40)</f>
        <v>2261629</v>
      </c>
      <c r="J40" s="144">
        <f>SUM('5.8. sz. mell.'!J40)</f>
        <v>15751866</v>
      </c>
      <c r="K40" s="3334">
        <f t="shared" si="2"/>
        <v>0</v>
      </c>
      <c r="L40" s="144">
        <f>SUM('5.8. sz. mell.'!L40)</f>
        <v>15751866</v>
      </c>
      <c r="M40" s="144">
        <f>SUM('5.8. sz. mell.'!M40)</f>
        <v>15751866</v>
      </c>
    </row>
    <row r="41" spans="1:18" s="145" customFormat="1" ht="15" customHeight="1" thickBot="1" x14ac:dyDescent="0.25">
      <c r="A41" s="178"/>
      <c r="B41" s="2698" t="s">
        <v>439</v>
      </c>
      <c r="C41" s="2699" t="s">
        <v>532</v>
      </c>
      <c r="D41" s="1813"/>
      <c r="E41" s="2729"/>
      <c r="F41" s="2701">
        <f>SUM('5.8. sz. mell.'!F41)</f>
        <v>18978511</v>
      </c>
      <c r="G41" s="2680">
        <f t="shared" si="1"/>
        <v>2246501</v>
      </c>
      <c r="H41" s="294">
        <f>SUM('5.8. sz. mell.'!H41)</f>
        <v>21225012</v>
      </c>
      <c r="I41" s="1355">
        <f>SUM('5.8. sz. mell.'!I41)</f>
        <v>-826412</v>
      </c>
      <c r="J41" s="294">
        <f>SUM('5.8. sz. mell.'!J41)</f>
        <v>20398600</v>
      </c>
      <c r="K41" s="3342">
        <f>SUM(L41-J41)</f>
        <v>0</v>
      </c>
      <c r="L41" s="294">
        <f>SUM('5.8. sz. mell.'!L41)</f>
        <v>20398600</v>
      </c>
      <c r="M41" s="294">
        <f>SUM('5.8. sz. mell.'!M41)</f>
        <v>20398600</v>
      </c>
    </row>
    <row r="42" spans="1:18" s="145" customFormat="1" ht="15" customHeight="1" thickBot="1" x14ac:dyDescent="0.25">
      <c r="A42" s="192" t="s">
        <v>99</v>
      </c>
      <c r="B42" s="160"/>
      <c r="C42" s="274" t="s">
        <v>441</v>
      </c>
      <c r="D42" s="162">
        <f>SUM(D8,D19,D26,D32,D36,D39)</f>
        <v>31724</v>
      </c>
      <c r="E42" s="162">
        <f>SUM(E8,E19,E26,E32,E36,E39)</f>
        <v>33857</v>
      </c>
      <c r="F42" s="162">
        <f>SUM(F8,F19,F26,F32,F36)</f>
        <v>32596481</v>
      </c>
      <c r="G42" s="1437">
        <f t="shared" si="1"/>
        <v>3093449</v>
      </c>
      <c r="H42" s="162">
        <f>SUM(H8,H19,H26,H32,H36)</f>
        <v>35689930</v>
      </c>
      <c r="I42" s="1373">
        <f>SUM(J42-H42)</f>
        <v>1689784</v>
      </c>
      <c r="J42" s="162">
        <f>SUM(J8,J19,J26,J32,J36)</f>
        <v>37379714</v>
      </c>
      <c r="K42" s="3343">
        <f>SUM(L42-J42)</f>
        <v>0</v>
      </c>
      <c r="L42" s="162">
        <f>SUM(L8,L19,L26,L32,L36)</f>
        <v>37379714</v>
      </c>
      <c r="M42" s="162">
        <f>SUM(M8,M19,M26,M32,M36)</f>
        <v>37379714</v>
      </c>
      <c r="N42" s="205"/>
      <c r="O42" s="205">
        <f>SUM(F55-F42)</f>
        <v>0</v>
      </c>
      <c r="P42" s="205">
        <f>SUM(H55-H42)</f>
        <v>0</v>
      </c>
      <c r="Q42" s="205">
        <f>SUM(J55-J42)</f>
        <v>0</v>
      </c>
      <c r="R42" s="205">
        <f>SUM(L55-L42)</f>
        <v>0</v>
      </c>
    </row>
    <row r="43" spans="1:18" s="145" customFormat="1" ht="15" customHeight="1" thickBot="1" x14ac:dyDescent="0.25">
      <c r="A43" s="2098"/>
      <c r="B43" s="266"/>
      <c r="C43" s="275"/>
      <c r="D43" s="286"/>
      <c r="E43" s="286"/>
      <c r="F43" s="2163"/>
      <c r="G43" s="2674"/>
      <c r="H43" s="1460"/>
      <c r="I43" s="1448"/>
      <c r="J43" s="1451"/>
      <c r="K43" s="3355"/>
      <c r="L43" s="137"/>
      <c r="M43" s="1458"/>
    </row>
    <row r="44" spans="1:18" s="305" customFormat="1" ht="15" customHeight="1" thickBot="1" x14ac:dyDescent="0.25">
      <c r="A44" s="192"/>
      <c r="B44" s="160"/>
      <c r="C44" s="282" t="s">
        <v>231</v>
      </c>
      <c r="D44" s="162"/>
      <c r="E44" s="162"/>
      <c r="F44" s="162"/>
      <c r="G44" s="1437"/>
      <c r="H44" s="162"/>
      <c r="I44" s="1374"/>
      <c r="J44" s="499"/>
      <c r="K44" s="3395"/>
      <c r="L44" s="153"/>
      <c r="M44" s="162"/>
    </row>
    <row r="45" spans="1:18" s="141" customFormat="1" ht="15" customHeight="1" thickBot="1" x14ac:dyDescent="0.25">
      <c r="A45" s="134" t="s">
        <v>3</v>
      </c>
      <c r="B45" s="170"/>
      <c r="C45" s="171" t="s">
        <v>442</v>
      </c>
      <c r="D45" s="137">
        <f>SUM(D46:D50)</f>
        <v>31724</v>
      </c>
      <c r="E45" s="137">
        <f>SUM(E46:E50)</f>
        <v>33253</v>
      </c>
      <c r="F45" s="137">
        <f>SUM(F46:F50)</f>
        <v>29706481</v>
      </c>
      <c r="G45" s="1382">
        <f t="shared" ref="G45:G55" si="3">SUM(H45-F45)</f>
        <v>3093449</v>
      </c>
      <c r="H45" s="137">
        <f>SUM(H46:H50)</f>
        <v>32799930</v>
      </c>
      <c r="I45" s="1477">
        <f>SUM(J45-H45)</f>
        <v>345731</v>
      </c>
      <c r="J45" s="674">
        <f>SUM('5.8. sz. mell.'!J45)</f>
        <v>33145661</v>
      </c>
      <c r="K45" s="3394">
        <f>SUM(L45-J45)</f>
        <v>0</v>
      </c>
      <c r="L45" s="445">
        <f>SUM('5.8. sz. mell.'!L45)</f>
        <v>33145661</v>
      </c>
      <c r="M45" s="137">
        <f>SUM(M46:M50)</f>
        <v>33145661</v>
      </c>
    </row>
    <row r="46" spans="1:18" s="145" customFormat="1" ht="15" customHeight="1" x14ac:dyDescent="0.2">
      <c r="A46" s="173"/>
      <c r="B46" s="174" t="s">
        <v>152</v>
      </c>
      <c r="C46" s="251" t="s">
        <v>153</v>
      </c>
      <c r="D46" s="175">
        <v>14740</v>
      </c>
      <c r="E46" s="175">
        <v>15580</v>
      </c>
      <c r="F46" s="144">
        <f>SUM('5.8. sz. mell.'!F46)</f>
        <v>17222776</v>
      </c>
      <c r="G46" s="1415">
        <f t="shared" si="3"/>
        <v>2503073</v>
      </c>
      <c r="H46" s="144">
        <f>SUM('5.8. sz. mell.'!H46)</f>
        <v>19725849</v>
      </c>
      <c r="I46" s="144">
        <f>SUM('5.8. sz. mell.'!I46)</f>
        <v>731367</v>
      </c>
      <c r="J46" s="144">
        <f>SUM('5.8. sz. mell.'!J46)</f>
        <v>20457216</v>
      </c>
      <c r="K46" s="3334">
        <f t="shared" ref="K46:K49" si="4">SUM(L46-J46)</f>
        <v>0</v>
      </c>
      <c r="L46" s="144">
        <f>SUM('5.8. sz. mell.'!L46)</f>
        <v>20457216</v>
      </c>
      <c r="M46" s="144">
        <f>SUM('5.8. sz. mell.'!M46)</f>
        <v>20457216</v>
      </c>
    </row>
    <row r="47" spans="1:18" s="145" customFormat="1" ht="15" customHeight="1" x14ac:dyDescent="0.2">
      <c r="A47" s="142"/>
      <c r="B47" s="176" t="s">
        <v>154</v>
      </c>
      <c r="C47" s="55" t="s">
        <v>155</v>
      </c>
      <c r="D47" s="144">
        <v>3918</v>
      </c>
      <c r="E47" s="144">
        <v>4145</v>
      </c>
      <c r="F47" s="144">
        <f>SUM('5.8. sz. mell.'!F47)</f>
        <v>3502115</v>
      </c>
      <c r="G47" s="1415">
        <f t="shared" si="3"/>
        <v>142303</v>
      </c>
      <c r="H47" s="144">
        <f>SUM('5.8. sz. mell.'!H47)</f>
        <v>3644418</v>
      </c>
      <c r="I47" s="144">
        <f>SUM('5.8. sz. mell.'!I47)</f>
        <v>442678</v>
      </c>
      <c r="J47" s="144">
        <f>SUM('5.8. sz. mell.'!J47)</f>
        <v>4087096</v>
      </c>
      <c r="K47" s="3334">
        <f t="shared" si="4"/>
        <v>0</v>
      </c>
      <c r="L47" s="144">
        <f>SUM('5.8. sz. mell.'!L47)</f>
        <v>4087096</v>
      </c>
      <c r="M47" s="144">
        <f>SUM('5.8. sz. mell.'!M47)</f>
        <v>4087096</v>
      </c>
    </row>
    <row r="48" spans="1:18" s="145" customFormat="1" ht="15" customHeight="1" x14ac:dyDescent="0.2">
      <c r="A48" s="142"/>
      <c r="B48" s="176" t="s">
        <v>156</v>
      </c>
      <c r="C48" s="55" t="s">
        <v>157</v>
      </c>
      <c r="D48" s="322">
        <v>13066</v>
      </c>
      <c r="E48" s="322">
        <v>13528</v>
      </c>
      <c r="F48" s="144">
        <f>SUM('5.8. sz. mell.'!F48)</f>
        <v>8981590</v>
      </c>
      <c r="G48" s="1415">
        <f t="shared" si="3"/>
        <v>448073</v>
      </c>
      <c r="H48" s="144">
        <f>SUM('5.8. sz. mell.'!H48)</f>
        <v>9429663</v>
      </c>
      <c r="I48" s="144">
        <f>SUM('5.8. sz. mell.'!I48)</f>
        <v>-828314</v>
      </c>
      <c r="J48" s="144">
        <f>SUM('5.8. sz. mell.'!J48)</f>
        <v>8601349</v>
      </c>
      <c r="K48" s="3334">
        <f t="shared" si="4"/>
        <v>0</v>
      </c>
      <c r="L48" s="144">
        <f>SUM('5.8. sz. mell.'!L48)</f>
        <v>8601349</v>
      </c>
      <c r="M48" s="144">
        <f>SUM('5.8. sz. mell.'!M48)</f>
        <v>8601349</v>
      </c>
    </row>
    <row r="49" spans="1:13" s="145" customFormat="1" ht="15" customHeight="1" x14ac:dyDescent="0.2">
      <c r="A49" s="142"/>
      <c r="B49" s="176" t="s">
        <v>158</v>
      </c>
      <c r="C49" s="55" t="s">
        <v>159</v>
      </c>
      <c r="D49" s="144"/>
      <c r="E49" s="144"/>
      <c r="F49" s="144">
        <f>SUM('5.8. sz. mell.'!F49)</f>
        <v>0</v>
      </c>
      <c r="G49" s="1415">
        <f t="shared" si="3"/>
        <v>0</v>
      </c>
      <c r="H49" s="144">
        <f>SUM('5.8. sz. mell.'!H49)</f>
        <v>0</v>
      </c>
      <c r="I49" s="144">
        <f>SUM('5.8. sz. mell.'!I49)</f>
        <v>0</v>
      </c>
      <c r="J49" s="144">
        <f>SUM('5.8. sz. mell.'!J49)</f>
        <v>0</v>
      </c>
      <c r="K49" s="3334">
        <f t="shared" si="4"/>
        <v>0</v>
      </c>
      <c r="L49" s="144">
        <f>SUM('5.8. sz. mell.'!L49)</f>
        <v>0</v>
      </c>
      <c r="M49" s="144">
        <f>SUM('5.8. sz. mell.'!M49)</f>
        <v>0</v>
      </c>
    </row>
    <row r="50" spans="1:13" s="145" customFormat="1" ht="15" customHeight="1" thickBot="1" x14ac:dyDescent="0.25">
      <c r="A50" s="142"/>
      <c r="B50" s="176" t="s">
        <v>160</v>
      </c>
      <c r="C50" s="55" t="s">
        <v>161</v>
      </c>
      <c r="D50" s="144"/>
      <c r="E50" s="144"/>
      <c r="F50" s="144">
        <f>SUM('5.8. sz. mell.'!F50)</f>
        <v>0</v>
      </c>
      <c r="G50" s="1415">
        <f t="shared" si="3"/>
        <v>0</v>
      </c>
      <c r="H50" s="144">
        <f>SUM('5.8. sz. mell.'!H50)</f>
        <v>0</v>
      </c>
      <c r="I50" s="144">
        <f>SUM('5.8. sz. mell.'!I50)</f>
        <v>0</v>
      </c>
      <c r="J50" s="144">
        <f>SUM('5.8. sz. mell.'!J50)</f>
        <v>0</v>
      </c>
      <c r="K50" s="3334">
        <f>SUM(L50-J50)</f>
        <v>0</v>
      </c>
      <c r="L50" s="144">
        <f>SUM('5.8. sz. mell.'!L50)</f>
        <v>0</v>
      </c>
      <c r="M50" s="144">
        <f>SUM('5.8. sz. mell.'!M50)</f>
        <v>0</v>
      </c>
    </row>
    <row r="51" spans="1:13" s="145" customFormat="1" ht="15" customHeight="1" thickBot="1" x14ac:dyDescent="0.25">
      <c r="A51" s="134" t="s">
        <v>17</v>
      </c>
      <c r="B51" s="170"/>
      <c r="C51" s="170" t="s">
        <v>443</v>
      </c>
      <c r="D51" s="137">
        <f>SUM(D52:D54)</f>
        <v>0</v>
      </c>
      <c r="E51" s="137">
        <f>SUM(E52:E54)</f>
        <v>604</v>
      </c>
      <c r="F51" s="137">
        <f>SUM(F52:F54)</f>
        <v>2890000</v>
      </c>
      <c r="G51" s="1382">
        <f t="shared" si="3"/>
        <v>0</v>
      </c>
      <c r="H51" s="137">
        <f>SUM(H52:H54)</f>
        <v>2890000</v>
      </c>
      <c r="I51" s="1421">
        <f>SUM(J51-H51)</f>
        <v>1344053</v>
      </c>
      <c r="J51" s="137">
        <f>SUM(J52:J54)</f>
        <v>4234053</v>
      </c>
      <c r="K51" s="3350">
        <f>SUM(L51-J51)</f>
        <v>0</v>
      </c>
      <c r="L51" s="137">
        <f>SUM(L52:L54)</f>
        <v>4234053</v>
      </c>
      <c r="M51" s="137">
        <f>SUM(M52:M54)</f>
        <v>4234053</v>
      </c>
    </row>
    <row r="52" spans="1:13" s="141" customFormat="1" ht="15" customHeight="1" x14ac:dyDescent="0.2">
      <c r="A52" s="173"/>
      <c r="B52" s="267" t="s">
        <v>5</v>
      </c>
      <c r="C52" s="251" t="s">
        <v>183</v>
      </c>
      <c r="D52" s="175">
        <v>0</v>
      </c>
      <c r="E52" s="175">
        <v>604</v>
      </c>
      <c r="F52" s="144">
        <f>SUM('5.8. sz. mell.'!F52)</f>
        <v>2890000</v>
      </c>
      <c r="G52" s="1415">
        <f t="shared" si="3"/>
        <v>0</v>
      </c>
      <c r="H52" s="144">
        <f>SUM('5.8. sz. mell.'!H52)</f>
        <v>2890000</v>
      </c>
      <c r="I52" s="144">
        <f>SUM('5.8. sz. mell.'!I52)</f>
        <v>1344053</v>
      </c>
      <c r="J52" s="144">
        <f>SUM('5.8. sz. mell.'!J52)</f>
        <v>4234053</v>
      </c>
      <c r="K52" s="3334">
        <f t="shared" ref="K52:K54" si="5">SUM(L52-J52)</f>
        <v>0</v>
      </c>
      <c r="L52" s="144">
        <f>SUM('5.8. sz. mell.'!L52)</f>
        <v>4234053</v>
      </c>
      <c r="M52" s="144">
        <f>SUM('5.8. sz. mell.'!M52)</f>
        <v>4234053</v>
      </c>
    </row>
    <row r="53" spans="1:13" s="145" customFormat="1" ht="15" customHeight="1" x14ac:dyDescent="0.2">
      <c r="A53" s="142"/>
      <c r="B53" s="253" t="s">
        <v>7</v>
      </c>
      <c r="C53" s="55" t="s">
        <v>185</v>
      </c>
      <c r="D53" s="144">
        <v>0</v>
      </c>
      <c r="E53" s="144">
        <v>0</v>
      </c>
      <c r="F53" s="144">
        <f>SUM('5.8. sz. mell.'!F53)</f>
        <v>0</v>
      </c>
      <c r="G53" s="1415">
        <f t="shared" si="3"/>
        <v>0</v>
      </c>
      <c r="H53" s="144">
        <f>SUM('5.8. sz. mell.'!H53)</f>
        <v>0</v>
      </c>
      <c r="I53" s="1404">
        <f>SUM(J53-H53)</f>
        <v>0</v>
      </c>
      <c r="J53" s="144">
        <f>SUM('5.8. sz. mell.'!J53)</f>
        <v>0</v>
      </c>
      <c r="K53" s="3334">
        <f t="shared" si="5"/>
        <v>0</v>
      </c>
      <c r="L53" s="144">
        <f>SUM('5.8. sz. mell.'!L53)</f>
        <v>0</v>
      </c>
      <c r="M53" s="144">
        <f>SUM('5.8. sz. mell.'!M53)</f>
        <v>0</v>
      </c>
    </row>
    <row r="54" spans="1:13" s="145" customFormat="1" ht="15.75" customHeight="1" thickBot="1" x14ac:dyDescent="0.25">
      <c r="A54" s="142"/>
      <c r="B54" s="253" t="s">
        <v>9</v>
      </c>
      <c r="C54" s="55" t="s">
        <v>444</v>
      </c>
      <c r="D54" s="144">
        <v>0</v>
      </c>
      <c r="E54" s="144">
        <v>0</v>
      </c>
      <c r="F54" s="144">
        <f>SUM('5.8. sz. mell.'!F54)</f>
        <v>0</v>
      </c>
      <c r="G54" s="1415">
        <f t="shared" si="3"/>
        <v>0</v>
      </c>
      <c r="H54" s="144">
        <f>SUM('5.8. sz. mell.'!H54)</f>
        <v>0</v>
      </c>
      <c r="I54" s="1478">
        <f>SUM(J54-H54)</f>
        <v>0</v>
      </c>
      <c r="J54" s="144">
        <f>SUM('5.8. sz. mell.'!J54)</f>
        <v>0</v>
      </c>
      <c r="K54" s="3334">
        <f t="shared" si="5"/>
        <v>0</v>
      </c>
      <c r="L54" s="144">
        <f>SUM('5.8. sz. mell.'!L54)</f>
        <v>0</v>
      </c>
      <c r="M54" s="144">
        <f>SUM('5.8. sz. mell.'!M54)</f>
        <v>0</v>
      </c>
    </row>
    <row r="55" spans="1:13" s="145" customFormat="1" ht="15" customHeight="1" thickBot="1" x14ac:dyDescent="0.25">
      <c r="A55" s="192" t="s">
        <v>31</v>
      </c>
      <c r="B55" s="160"/>
      <c r="C55" s="274" t="s">
        <v>465</v>
      </c>
      <c r="D55" s="162" t="e">
        <f>+D45+D51+#REF!</f>
        <v>#REF!</v>
      </c>
      <c r="E55" s="162" t="e">
        <f>+E45+E51+#REF!</f>
        <v>#REF!</v>
      </c>
      <c r="F55" s="162">
        <f>SUM('5.8. sz. mell.'!F55)</f>
        <v>32596481</v>
      </c>
      <c r="G55" s="1437">
        <f t="shared" si="3"/>
        <v>3093449</v>
      </c>
      <c r="H55" s="162">
        <f>+H45+H51</f>
        <v>35689930</v>
      </c>
      <c r="I55" s="1373">
        <f>SUM(J55-H55)</f>
        <v>1689784</v>
      </c>
      <c r="J55" s="162">
        <f>+J45+J51</f>
        <v>37379714</v>
      </c>
      <c r="K55" s="3343">
        <f>SUM(L55-J55)</f>
        <v>0</v>
      </c>
      <c r="L55" s="162">
        <f>+L45+L51</f>
        <v>37379714</v>
      </c>
      <c r="M55" s="162">
        <f>+M45+M51</f>
        <v>37379714</v>
      </c>
    </row>
    <row r="56" spans="1:13" s="145" customFormat="1" ht="15" customHeight="1" thickBot="1" x14ac:dyDescent="0.25">
      <c r="A56" s="1303"/>
      <c r="B56" s="886"/>
      <c r="C56" s="886"/>
      <c r="D56" s="886"/>
      <c r="E56" s="886"/>
      <c r="F56" s="1304"/>
      <c r="G56" s="1550"/>
      <c r="H56" s="1550"/>
      <c r="I56" s="1550"/>
      <c r="J56" s="1550"/>
      <c r="K56" s="1550"/>
      <c r="L56" s="886"/>
      <c r="M56" s="1304"/>
    </row>
    <row r="57" spans="1:13" s="145" customFormat="1" ht="15" customHeight="1" thickBot="1" x14ac:dyDescent="0.25">
      <c r="A57" s="276" t="s">
        <v>324</v>
      </c>
      <c r="B57" s="277"/>
      <c r="C57" s="278"/>
      <c r="D57" s="200">
        <v>6</v>
      </c>
      <c r="E57" s="200">
        <v>6</v>
      </c>
      <c r="F57" s="200">
        <f>SUM('5.8. sz. mell.'!F57)</f>
        <v>6</v>
      </c>
      <c r="G57" s="1559"/>
      <c r="H57" s="200">
        <f>SUM('5.8. sz. mell.'!H57)</f>
        <v>6</v>
      </c>
      <c r="I57" s="1388"/>
      <c r="J57" s="200">
        <f>SUM('5.8. sz. mell.'!J57)</f>
        <v>8</v>
      </c>
      <c r="K57" s="3346">
        <f>SUM(L57-J57)</f>
        <v>0</v>
      </c>
      <c r="L57" s="200">
        <f>SUM('5.8. sz. mell.'!L57)</f>
        <v>8</v>
      </c>
      <c r="M57" s="200">
        <f>SUM('5.8. sz. mell.'!M57)</f>
        <v>8</v>
      </c>
    </row>
    <row r="58" spans="1:13" s="145" customFormat="1" ht="15" customHeight="1" thickBot="1" x14ac:dyDescent="0.25">
      <c r="A58" s="276" t="s">
        <v>325</v>
      </c>
      <c r="B58" s="277"/>
      <c r="C58" s="278"/>
      <c r="D58" s="279"/>
      <c r="E58" s="279"/>
      <c r="F58" s="279"/>
      <c r="G58" s="1560"/>
      <c r="H58" s="279"/>
      <c r="I58" s="1389"/>
      <c r="J58" s="279"/>
      <c r="K58" s="3347"/>
      <c r="L58" s="279"/>
      <c r="M58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7559055118110237" right="0.23622047244094491" top="0.35433070866141736" bottom="0.43307086614173229" header="0.51181102362204722" footer="0.15748031496062992"/>
  <pageSetup paperSize="9" scale="70" firstPageNumber="80" orientation="portrait" useFirstPageNumber="1" r:id="rId1"/>
  <headerFooter>
    <oddFooter>&amp;C- &amp;P -</oddFooter>
  </headerFooter>
  <colBreaks count="1" manualBreakCount="1">
    <brk id="13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58"/>
  <sheetViews>
    <sheetView view="pageBreakPreview" topLeftCell="A40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6640625" style="115" customWidth="1"/>
    <col min="4" max="5" width="9.33203125" style="115" hidden="1" customWidth="1"/>
    <col min="6" max="6" width="9.83203125" style="115" customWidth="1"/>
    <col min="7" max="7" width="13.83203125" style="1390" hidden="1" customWidth="1"/>
    <col min="8" max="8" width="12.5" style="115" hidden="1" customWidth="1"/>
    <col min="9" max="9" width="13.33203125" style="1390" hidden="1" customWidth="1"/>
    <col min="10" max="10" width="11.5" style="115" customWidth="1"/>
    <col min="11" max="11" width="11.83203125" style="1390" customWidth="1"/>
    <col min="12" max="12" width="15.6640625" style="115" customWidth="1"/>
    <col min="13" max="13" width="13.66406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745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48" customHeight="1" thickBot="1" x14ac:dyDescent="0.25">
      <c r="A2" s="4516" t="s">
        <v>411</v>
      </c>
      <c r="B2" s="4516"/>
      <c r="C2" s="117" t="s">
        <v>485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440" t="s">
        <v>1945</v>
      </c>
    </row>
    <row r="3" spans="1:13" s="303" customFormat="1" ht="30" customHeight="1" thickBot="1" x14ac:dyDescent="0.25">
      <c r="A3" s="4506" t="s">
        <v>283</v>
      </c>
      <c r="B3" s="4506"/>
      <c r="C3" s="204" t="s">
        <v>327</v>
      </c>
      <c r="D3" s="4444"/>
      <c r="E3" s="121"/>
      <c r="F3" s="4444"/>
      <c r="G3" s="4509"/>
      <c r="H3" s="4416" t="s">
        <v>1028</v>
      </c>
      <c r="I3" s="4423" t="s">
        <v>1031</v>
      </c>
      <c r="J3" s="4496" t="s">
        <v>1028</v>
      </c>
      <c r="K3" s="4450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64"/>
      <c r="E4" s="4464"/>
      <c r="F4" s="4465"/>
      <c r="G4" s="1440"/>
      <c r="H4" s="1454"/>
      <c r="I4" s="1454"/>
      <c r="J4" s="1454"/>
      <c r="K4" s="1454"/>
      <c r="L4" s="1455"/>
      <c r="M4" s="1508" t="s">
        <v>935</v>
      </c>
    </row>
    <row r="5" spans="1:13" s="145" customFormat="1" ht="37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3330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334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685</v>
      </c>
      <c r="E8" s="137">
        <f>SUM(E9:E18)</f>
        <v>685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3332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/>
      <c r="G9" s="1533"/>
      <c r="H9" s="150"/>
      <c r="I9" s="1375"/>
      <c r="J9" s="150"/>
      <c r="K9" s="3333"/>
      <c r="L9" s="150"/>
      <c r="M9" s="150"/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485</v>
      </c>
      <c r="E10" s="144">
        <v>485</v>
      </c>
      <c r="F10" s="144"/>
      <c r="G10" s="1415"/>
      <c r="H10" s="144"/>
      <c r="I10" s="1376"/>
      <c r="J10" s="144"/>
      <c r="K10" s="3334"/>
      <c r="L10" s="144"/>
      <c r="M10" s="144"/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200</v>
      </c>
      <c r="E11" s="144">
        <v>200</v>
      </c>
      <c r="F11" s="144"/>
      <c r="G11" s="1415"/>
      <c r="H11" s="144"/>
      <c r="I11" s="1376"/>
      <c r="J11" s="144"/>
      <c r="K11" s="3334"/>
      <c r="L11" s="144"/>
      <c r="M11" s="144"/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/>
      <c r="G12" s="1415"/>
      <c r="H12" s="144"/>
      <c r="I12" s="1376"/>
      <c r="J12" s="144"/>
      <c r="K12" s="3334"/>
      <c r="L12" s="144"/>
      <c r="M12" s="144"/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/>
      <c r="G13" s="1415"/>
      <c r="H13" s="144"/>
      <c r="I13" s="1376"/>
      <c r="J13" s="144"/>
      <c r="K13" s="3334"/>
      <c r="L13" s="144"/>
      <c r="M13" s="144"/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7"/>
      <c r="E14" s="147"/>
      <c r="F14" s="147"/>
      <c r="G14" s="1519"/>
      <c r="H14" s="147"/>
      <c r="I14" s="1377"/>
      <c r="J14" s="147"/>
      <c r="K14" s="3335"/>
      <c r="L14" s="147"/>
      <c r="M14" s="147"/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/>
      <c r="E15" s="144"/>
      <c r="F15" s="144"/>
      <c r="G15" s="1415"/>
      <c r="H15" s="144"/>
      <c r="I15" s="1376"/>
      <c r="J15" s="144"/>
      <c r="K15" s="3334"/>
      <c r="L15" s="144"/>
      <c r="M15" s="144"/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/>
      <c r="G16" s="1518"/>
      <c r="H16" s="153"/>
      <c r="I16" s="1378"/>
      <c r="J16" s="153"/>
      <c r="K16" s="3336"/>
      <c r="L16" s="153"/>
      <c r="M16" s="153"/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518"/>
      <c r="H17" s="153"/>
      <c r="I17" s="1378"/>
      <c r="J17" s="153"/>
      <c r="K17" s="3336"/>
      <c r="L17" s="153"/>
      <c r="M17" s="153"/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/>
      <c r="I18" s="1378"/>
      <c r="J18" s="153"/>
      <c r="K18" s="3336"/>
      <c r="L18" s="153"/>
      <c r="M18" s="153"/>
    </row>
    <row r="19" spans="1:13" s="141" customFormat="1" ht="32.25" customHeight="1" thickBot="1" x14ac:dyDescent="0.25">
      <c r="A19" s="134" t="s">
        <v>17</v>
      </c>
      <c r="B19" s="148"/>
      <c r="C19" s="247" t="s">
        <v>419</v>
      </c>
      <c r="D19" s="137">
        <f>SUM(D20:D25)</f>
        <v>11613</v>
      </c>
      <c r="E19" s="137">
        <f>SUM(E20:E25)</f>
        <v>12461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3332"/>
      <c r="L19" s="137">
        <f>SUM(L20:L25)</f>
        <v>0</v>
      </c>
      <c r="M19" s="137">
        <f>SUM(M20:M25)</f>
        <v>0</v>
      </c>
    </row>
    <row r="20" spans="1:13" s="145" customFormat="1" ht="30" customHeight="1" x14ac:dyDescent="0.2">
      <c r="A20" s="142"/>
      <c r="B20" s="143" t="s">
        <v>5</v>
      </c>
      <c r="C20" s="251" t="s">
        <v>420</v>
      </c>
      <c r="D20" s="144">
        <v>11613</v>
      </c>
      <c r="E20" s="144">
        <v>12062</v>
      </c>
      <c r="F20" s="144"/>
      <c r="G20" s="1415"/>
      <c r="H20" s="144"/>
      <c r="I20" s="1376"/>
      <c r="J20" s="144"/>
      <c r="K20" s="3334"/>
      <c r="L20" s="144"/>
      <c r="M20" s="144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/>
      <c r="G21" s="1415"/>
      <c r="H21" s="144"/>
      <c r="I21" s="1376"/>
      <c r="J21" s="144"/>
      <c r="K21" s="3334"/>
      <c r="L21" s="144"/>
      <c r="M21" s="144"/>
    </row>
    <row r="22" spans="1:13" s="145" customFormat="1" ht="15" customHeight="1" x14ac:dyDescent="0.2">
      <c r="A22" s="142"/>
      <c r="B22" s="143" t="s">
        <v>360</v>
      </c>
      <c r="C22" s="55" t="s">
        <v>1430</v>
      </c>
      <c r="D22" s="144">
        <v>0</v>
      </c>
      <c r="E22" s="144">
        <v>399</v>
      </c>
      <c r="F22" s="144"/>
      <c r="G22" s="1415"/>
      <c r="H22" s="144"/>
      <c r="I22" s="1376"/>
      <c r="J22" s="144"/>
      <c r="K22" s="3334"/>
      <c r="L22" s="144"/>
      <c r="M22" s="144"/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/>
      <c r="G23" s="1415"/>
      <c r="H23" s="144"/>
      <c r="I23" s="1376"/>
      <c r="J23" s="144"/>
      <c r="K23" s="3334"/>
      <c r="L23" s="144"/>
      <c r="M23" s="144"/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/>
      <c r="G24" s="1415"/>
      <c r="H24" s="144"/>
      <c r="I24" s="1376"/>
      <c r="J24" s="144"/>
      <c r="K24" s="3334"/>
      <c r="L24" s="144"/>
      <c r="M24" s="144"/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3334"/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v>0</v>
      </c>
      <c r="G26" s="1381"/>
      <c r="H26" s="155">
        <v>0</v>
      </c>
      <c r="I26" s="1380"/>
      <c r="J26" s="155">
        <v>0</v>
      </c>
      <c r="K26" s="3338"/>
      <c r="L26" s="155">
        <v>0</v>
      </c>
      <c r="M26" s="155">
        <v>0</v>
      </c>
    </row>
    <row r="27" spans="1:13" s="145" customFormat="1" ht="29.2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155"/>
      <c r="G27" s="1381"/>
      <c r="H27" s="155"/>
      <c r="I27" s="1380"/>
      <c r="J27" s="155"/>
      <c r="K27" s="3338"/>
      <c r="L27" s="155"/>
      <c r="M27" s="155"/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/>
      <c r="E28" s="155"/>
      <c r="F28" s="155"/>
      <c r="G28" s="1381"/>
      <c r="H28" s="155"/>
      <c r="I28" s="1380"/>
      <c r="J28" s="155"/>
      <c r="K28" s="3338"/>
      <c r="L28" s="155"/>
      <c r="M28" s="155"/>
    </row>
    <row r="29" spans="1:13" s="145" customFormat="1" ht="15" customHeight="1" thickBot="1" x14ac:dyDescent="0.25">
      <c r="A29" s="149"/>
      <c r="B29" s="253" t="s">
        <v>33</v>
      </c>
      <c r="C29" s="249" t="s">
        <v>359</v>
      </c>
      <c r="D29" s="273"/>
      <c r="E29" s="273"/>
      <c r="F29" s="273"/>
      <c r="G29" s="1381"/>
      <c r="H29" s="155"/>
      <c r="I29" s="1380"/>
      <c r="J29" s="155"/>
      <c r="K29" s="3338"/>
      <c r="L29" s="155"/>
      <c r="M29" s="155"/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206"/>
      <c r="E30" s="206"/>
      <c r="F30" s="206"/>
      <c r="G30" s="1381"/>
      <c r="H30" s="155"/>
      <c r="I30" s="1380"/>
      <c r="J30" s="155"/>
      <c r="K30" s="3338"/>
      <c r="L30" s="155"/>
      <c r="M30" s="155"/>
    </row>
    <row r="31" spans="1:13" s="145" customFormat="1" ht="15" customHeight="1" thickBot="1" x14ac:dyDescent="0.25">
      <c r="A31" s="178"/>
      <c r="B31" s="253" t="s">
        <v>41</v>
      </c>
      <c r="C31" s="180" t="s">
        <v>74</v>
      </c>
      <c r="D31" s="297"/>
      <c r="E31" s="297"/>
      <c r="F31" s="297"/>
      <c r="G31" s="1381"/>
      <c r="H31" s="155"/>
      <c r="I31" s="1380"/>
      <c r="J31" s="155"/>
      <c r="K31" s="3338"/>
      <c r="L31" s="155"/>
      <c r="M31" s="155"/>
    </row>
    <row r="32" spans="1:13" s="141" customFormat="1" ht="28.5" customHeight="1" thickBot="1" x14ac:dyDescent="0.25">
      <c r="A32" s="134" t="s">
        <v>67</v>
      </c>
      <c r="B32" s="254"/>
      <c r="C32" s="170" t="s">
        <v>429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0"/>
      <c r="J32" s="155">
        <v>0</v>
      </c>
      <c r="K32" s="3338"/>
      <c r="L32" s="155">
        <v>0</v>
      </c>
      <c r="M32" s="155">
        <v>0</v>
      </c>
    </row>
    <row r="33" spans="1:13" s="141" customFormat="1" ht="31.5" customHeight="1" thickBot="1" x14ac:dyDescent="0.25">
      <c r="A33" s="146"/>
      <c r="B33" s="255" t="s">
        <v>47</v>
      </c>
      <c r="C33" s="251" t="s">
        <v>430</v>
      </c>
      <c r="D33" s="295"/>
      <c r="E33" s="295"/>
      <c r="F33" s="295"/>
      <c r="G33" s="1381"/>
      <c r="H33" s="295"/>
      <c r="I33" s="1381"/>
      <c r="J33" s="295"/>
      <c r="K33" s="3339"/>
      <c r="L33" s="295"/>
      <c r="M33" s="295"/>
    </row>
    <row r="34" spans="1:13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/>
      <c r="G34" s="1381"/>
      <c r="H34" s="295"/>
      <c r="I34" s="1381"/>
      <c r="J34" s="295"/>
      <c r="K34" s="3339"/>
      <c r="L34" s="295"/>
      <c r="M34" s="295"/>
    </row>
    <row r="35" spans="1:13" s="141" customFormat="1" ht="32.25" customHeight="1" thickBot="1" x14ac:dyDescent="0.25">
      <c r="A35" s="258"/>
      <c r="B35" s="257" t="s">
        <v>69</v>
      </c>
      <c r="C35" s="55" t="s">
        <v>432</v>
      </c>
      <c r="D35" s="295"/>
      <c r="E35" s="295"/>
      <c r="F35" s="295"/>
      <c r="G35" s="1381"/>
      <c r="H35" s="295"/>
      <c r="I35" s="1381"/>
      <c r="J35" s="295"/>
      <c r="K35" s="3339"/>
      <c r="L35" s="295"/>
      <c r="M35" s="295"/>
    </row>
    <row r="36" spans="1:13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67</v>
      </c>
      <c r="F36" s="285">
        <f>+F37+F38</f>
        <v>0</v>
      </c>
      <c r="G36" s="1382"/>
      <c r="H36" s="285">
        <f>+H37+H38</f>
        <v>0</v>
      </c>
      <c r="I36" s="1382"/>
      <c r="J36" s="285">
        <f>+J37+J38</f>
        <v>0</v>
      </c>
      <c r="K36" s="3340"/>
      <c r="L36" s="285">
        <f>+L37+L38</f>
        <v>0</v>
      </c>
      <c r="M36" s="285">
        <f>+M37+M38</f>
        <v>0</v>
      </c>
    </row>
    <row r="37" spans="1:13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1325">
        <v>67</v>
      </c>
      <c r="F37" s="150"/>
      <c r="G37" s="1533"/>
      <c r="H37" s="310"/>
      <c r="I37" s="1403"/>
      <c r="J37" s="310"/>
      <c r="K37" s="3373"/>
      <c r="L37" s="310"/>
      <c r="M37" s="310"/>
    </row>
    <row r="38" spans="1:13" s="141" customFormat="1" ht="15" customHeight="1" x14ac:dyDescent="0.2">
      <c r="A38" s="146"/>
      <c r="B38" s="2676" t="s">
        <v>83</v>
      </c>
      <c r="C38" s="2376" t="s">
        <v>435</v>
      </c>
      <c r="D38" s="153">
        <v>0</v>
      </c>
      <c r="E38" s="666">
        <v>0</v>
      </c>
      <c r="F38" s="153">
        <v>0</v>
      </c>
      <c r="G38" s="1415"/>
      <c r="H38" s="483"/>
      <c r="I38" s="1404"/>
      <c r="J38" s="483"/>
      <c r="K38" s="3351"/>
      <c r="L38" s="483"/>
      <c r="M38" s="483"/>
    </row>
    <row r="39" spans="1:13" s="145" customFormat="1" ht="15" customHeight="1" x14ac:dyDescent="0.2">
      <c r="A39" s="142"/>
      <c r="B39" s="253" t="s">
        <v>85</v>
      </c>
      <c r="C39" s="55" t="s">
        <v>1432</v>
      </c>
      <c r="D39" s="206">
        <v>19426</v>
      </c>
      <c r="E39" s="2677">
        <v>20644</v>
      </c>
      <c r="F39" s="206"/>
      <c r="G39" s="2666"/>
      <c r="H39" s="803"/>
      <c r="I39" s="1392"/>
      <c r="J39" s="803"/>
      <c r="K39" s="3378"/>
      <c r="L39" s="803"/>
      <c r="M39" s="803"/>
    </row>
    <row r="40" spans="1:13" s="145" customFormat="1" ht="15" customHeight="1" x14ac:dyDescent="0.2">
      <c r="A40" s="142"/>
      <c r="B40" s="2685" t="s">
        <v>437</v>
      </c>
      <c r="C40" s="2686" t="s">
        <v>891</v>
      </c>
      <c r="D40" s="2697"/>
      <c r="E40" s="2728"/>
      <c r="F40" s="2697"/>
      <c r="G40" s="2666"/>
      <c r="H40" s="803"/>
      <c r="I40" s="1392"/>
      <c r="J40" s="803"/>
      <c r="K40" s="3378"/>
      <c r="L40" s="803"/>
      <c r="M40" s="803"/>
    </row>
    <row r="41" spans="1:13" s="145" customFormat="1" ht="15" customHeight="1" thickBot="1" x14ac:dyDescent="0.25">
      <c r="A41" s="142"/>
      <c r="B41" s="2685" t="s">
        <v>439</v>
      </c>
      <c r="C41" s="2686" t="s">
        <v>532</v>
      </c>
      <c r="D41" s="2697"/>
      <c r="E41" s="2728"/>
      <c r="F41" s="2697"/>
      <c r="G41" s="1433"/>
      <c r="H41" s="804"/>
      <c r="I41" s="1409"/>
      <c r="J41" s="804"/>
      <c r="K41" s="3379"/>
      <c r="L41" s="804"/>
      <c r="M41" s="804"/>
    </row>
    <row r="42" spans="1:13" s="145" customFormat="1" ht="15" customHeight="1" thickBot="1" x14ac:dyDescent="0.25">
      <c r="A42" s="2668" t="s">
        <v>99</v>
      </c>
      <c r="B42" s="2669"/>
      <c r="C42" s="2678" t="s">
        <v>441</v>
      </c>
      <c r="D42" s="2679">
        <f>SUM(D8,D19,D26,D32,D36,D39)</f>
        <v>31724</v>
      </c>
      <c r="E42" s="2679">
        <f>SUM(E8,E19,E26,E32,E36,E39)</f>
        <v>33857</v>
      </c>
      <c r="F42" s="2679">
        <f>SUM(F8,F19,F26,F32,F36,F39)</f>
        <v>0</v>
      </c>
      <c r="G42" s="1437"/>
      <c r="H42" s="766">
        <f>SUM(H8,H19,H26,H32,H36,H39)</f>
        <v>0</v>
      </c>
      <c r="I42" s="1437"/>
      <c r="J42" s="766">
        <f>SUM(J8,J19,J26,J32,J36,J39)</f>
        <v>0</v>
      </c>
      <c r="K42" s="3391"/>
      <c r="L42" s="766">
        <f>SUM(L8,L19,L26,L32,L36,L39)</f>
        <v>0</v>
      </c>
      <c r="M42" s="162">
        <f>SUM(M8,M19,M26,M32,M36,M39)</f>
        <v>0</v>
      </c>
    </row>
    <row r="43" spans="1:13" s="145" customFormat="1" ht="15" customHeight="1" thickBot="1" x14ac:dyDescent="0.25">
      <c r="A43" s="2098"/>
      <c r="B43" s="266"/>
      <c r="C43" s="275"/>
      <c r="D43" s="286"/>
      <c r="E43" s="286"/>
      <c r="F43" s="1458"/>
      <c r="G43" s="1443"/>
      <c r="H43" s="1443"/>
      <c r="I43" s="1443"/>
      <c r="J43" s="1443"/>
      <c r="K43" s="1443"/>
      <c r="L43" s="286"/>
      <c r="M43" s="1458"/>
    </row>
    <row r="44" spans="1:13" s="305" customFormat="1" ht="15" customHeight="1" thickBot="1" x14ac:dyDescent="0.25">
      <c r="A44" s="192"/>
      <c r="B44" s="160"/>
      <c r="C44" s="282" t="s">
        <v>231</v>
      </c>
      <c r="D44" s="162"/>
      <c r="E44" s="162"/>
      <c r="F44" s="162"/>
      <c r="G44" s="1437"/>
      <c r="H44" s="162"/>
      <c r="I44" s="1373"/>
      <c r="J44" s="162"/>
      <c r="K44" s="3343"/>
      <c r="L44" s="162"/>
      <c r="M44" s="162"/>
    </row>
    <row r="45" spans="1:13" s="141" customFormat="1" ht="15" customHeight="1" thickBot="1" x14ac:dyDescent="0.25">
      <c r="A45" s="134" t="s">
        <v>3</v>
      </c>
      <c r="B45" s="170"/>
      <c r="C45" s="171" t="s">
        <v>442</v>
      </c>
      <c r="D45" s="137">
        <f>SUM(D46:D50)</f>
        <v>31724</v>
      </c>
      <c r="E45" s="137">
        <f>SUM(E46:E50)</f>
        <v>33253</v>
      </c>
      <c r="F45" s="137">
        <f>SUM(F46:F50)</f>
        <v>0</v>
      </c>
      <c r="G45" s="1382"/>
      <c r="H45" s="137">
        <f>SUM(H46:H50)</f>
        <v>0</v>
      </c>
      <c r="I45" s="1374"/>
      <c r="J45" s="137">
        <f>SUM(J46:J50)</f>
        <v>0</v>
      </c>
      <c r="K45" s="3332"/>
      <c r="L45" s="137">
        <f>SUM(L46:L50)</f>
        <v>0</v>
      </c>
      <c r="M45" s="137">
        <f>SUM(M46:M50)</f>
        <v>0</v>
      </c>
    </row>
    <row r="46" spans="1:13" s="145" customFormat="1" ht="15" customHeight="1" x14ac:dyDescent="0.2">
      <c r="A46" s="173"/>
      <c r="B46" s="174" t="s">
        <v>152</v>
      </c>
      <c r="C46" s="251" t="s">
        <v>153</v>
      </c>
      <c r="D46" s="175">
        <v>14740</v>
      </c>
      <c r="E46" s="175">
        <v>15580</v>
      </c>
      <c r="F46" s="175"/>
      <c r="G46" s="1432"/>
      <c r="H46" s="175"/>
      <c r="I46" s="1386"/>
      <c r="J46" s="175"/>
      <c r="K46" s="3345"/>
      <c r="L46" s="175"/>
      <c r="M46" s="175"/>
    </row>
    <row r="47" spans="1:13" s="145" customFormat="1" ht="15" customHeight="1" x14ac:dyDescent="0.2">
      <c r="A47" s="142"/>
      <c r="B47" s="176" t="s">
        <v>154</v>
      </c>
      <c r="C47" s="55" t="s">
        <v>155</v>
      </c>
      <c r="D47" s="144">
        <v>3918</v>
      </c>
      <c r="E47" s="144">
        <v>4145</v>
      </c>
      <c r="F47" s="144"/>
      <c r="G47" s="1415"/>
      <c r="H47" s="144"/>
      <c r="I47" s="1376"/>
      <c r="J47" s="144"/>
      <c r="K47" s="3334"/>
      <c r="L47" s="144"/>
      <c r="M47" s="144"/>
    </row>
    <row r="48" spans="1:13" s="145" customFormat="1" ht="15" customHeight="1" x14ac:dyDescent="0.2">
      <c r="A48" s="142"/>
      <c r="B48" s="176" t="s">
        <v>156</v>
      </c>
      <c r="C48" s="55" t="s">
        <v>157</v>
      </c>
      <c r="D48" s="322">
        <v>13066</v>
      </c>
      <c r="E48" s="322">
        <v>13528</v>
      </c>
      <c r="F48" s="322"/>
      <c r="G48" s="2675"/>
      <c r="H48" s="322"/>
      <c r="I48" s="1471"/>
      <c r="J48" s="322"/>
      <c r="K48" s="3392"/>
      <c r="L48" s="322"/>
      <c r="M48" s="322"/>
    </row>
    <row r="49" spans="1:13" s="145" customFormat="1" ht="15" customHeight="1" x14ac:dyDescent="0.2">
      <c r="A49" s="142"/>
      <c r="B49" s="176" t="s">
        <v>158</v>
      </c>
      <c r="C49" s="55" t="s">
        <v>159</v>
      </c>
      <c r="D49" s="144"/>
      <c r="E49" s="144"/>
      <c r="F49" s="144"/>
      <c r="G49" s="1415"/>
      <c r="H49" s="144"/>
      <c r="I49" s="1376"/>
      <c r="J49" s="144"/>
      <c r="K49" s="3334"/>
      <c r="L49" s="144"/>
      <c r="M49" s="144"/>
    </row>
    <row r="50" spans="1:13" s="145" customFormat="1" ht="15" customHeight="1" thickBot="1" x14ac:dyDescent="0.25">
      <c r="A50" s="142"/>
      <c r="B50" s="176" t="s">
        <v>160</v>
      </c>
      <c r="C50" s="55" t="s">
        <v>161</v>
      </c>
      <c r="D50" s="144"/>
      <c r="E50" s="144"/>
      <c r="F50" s="144"/>
      <c r="G50" s="1415"/>
      <c r="H50" s="144"/>
      <c r="I50" s="1376"/>
      <c r="J50" s="144"/>
      <c r="K50" s="3334"/>
      <c r="L50" s="144"/>
      <c r="M50" s="144"/>
    </row>
    <row r="51" spans="1:13" s="145" customFormat="1" ht="15" customHeight="1" thickBot="1" x14ac:dyDescent="0.25">
      <c r="A51" s="134" t="s">
        <v>17</v>
      </c>
      <c r="B51" s="170"/>
      <c r="C51" s="170" t="s">
        <v>443</v>
      </c>
      <c r="D51" s="137">
        <f>SUM(D52:D54)</f>
        <v>0</v>
      </c>
      <c r="E51" s="137">
        <f>SUM(E52:E54)</f>
        <v>604</v>
      </c>
      <c r="F51" s="137">
        <f>SUM(F52:F54)</f>
        <v>0</v>
      </c>
      <c r="G51" s="1382"/>
      <c r="H51" s="137">
        <f>SUM(H52:H54)</f>
        <v>0</v>
      </c>
      <c r="I51" s="1374"/>
      <c r="J51" s="137">
        <f>SUM(J52:J54)</f>
        <v>0</v>
      </c>
      <c r="K51" s="3332"/>
      <c r="L51" s="137">
        <f>SUM(L52:L54)</f>
        <v>0</v>
      </c>
      <c r="M51" s="137">
        <f>SUM(M52:M54)</f>
        <v>0</v>
      </c>
    </row>
    <row r="52" spans="1:13" s="141" customFormat="1" ht="15" customHeight="1" x14ac:dyDescent="0.2">
      <c r="A52" s="173"/>
      <c r="B52" s="267" t="s">
        <v>5</v>
      </c>
      <c r="C52" s="251" t="s">
        <v>183</v>
      </c>
      <c r="D52" s="175">
        <v>0</v>
      </c>
      <c r="E52" s="175">
        <v>604</v>
      </c>
      <c r="F52" s="175"/>
      <c r="G52" s="1432"/>
      <c r="H52" s="175"/>
      <c r="I52" s="1386"/>
      <c r="J52" s="175"/>
      <c r="K52" s="3345"/>
      <c r="L52" s="175"/>
      <c r="M52" s="175"/>
    </row>
    <row r="53" spans="1:13" s="145" customFormat="1" ht="15" customHeight="1" x14ac:dyDescent="0.2">
      <c r="A53" s="142"/>
      <c r="B53" s="253" t="s">
        <v>7</v>
      </c>
      <c r="C53" s="55" t="s">
        <v>185</v>
      </c>
      <c r="D53" s="144">
        <v>0</v>
      </c>
      <c r="E53" s="144">
        <v>0</v>
      </c>
      <c r="F53" s="144">
        <v>0</v>
      </c>
      <c r="G53" s="1415"/>
      <c r="H53" s="144">
        <v>0</v>
      </c>
      <c r="I53" s="1376"/>
      <c r="J53" s="144">
        <v>0</v>
      </c>
      <c r="K53" s="3334"/>
      <c r="L53" s="144">
        <v>0</v>
      </c>
      <c r="M53" s="144">
        <v>0</v>
      </c>
    </row>
    <row r="54" spans="1:13" s="145" customFormat="1" ht="15" customHeight="1" thickBot="1" x14ac:dyDescent="0.25">
      <c r="A54" s="142"/>
      <c r="B54" s="253" t="s">
        <v>9</v>
      </c>
      <c r="C54" s="55" t="s">
        <v>444</v>
      </c>
      <c r="D54" s="144">
        <v>0</v>
      </c>
      <c r="E54" s="144">
        <v>0</v>
      </c>
      <c r="F54" s="144">
        <v>0</v>
      </c>
      <c r="G54" s="1415"/>
      <c r="H54" s="144">
        <v>0</v>
      </c>
      <c r="I54" s="1376"/>
      <c r="J54" s="144">
        <v>0</v>
      </c>
      <c r="K54" s="3334"/>
      <c r="L54" s="144">
        <v>0</v>
      </c>
      <c r="M54" s="144">
        <v>0</v>
      </c>
    </row>
    <row r="55" spans="1:13" s="145" customFormat="1" ht="15" customHeight="1" thickBot="1" x14ac:dyDescent="0.25">
      <c r="A55" s="192" t="s">
        <v>31</v>
      </c>
      <c r="B55" s="160"/>
      <c r="C55" s="274" t="s">
        <v>465</v>
      </c>
      <c r="D55" s="162" t="e">
        <f>+D45+D51+#REF!</f>
        <v>#REF!</v>
      </c>
      <c r="E55" s="162" t="e">
        <f>+E45+E51+#REF!</f>
        <v>#REF!</v>
      </c>
      <c r="F55" s="162">
        <f>+F45+F51</f>
        <v>0</v>
      </c>
      <c r="G55" s="1437"/>
      <c r="H55" s="162">
        <f>+H45+H51</f>
        <v>0</v>
      </c>
      <c r="I55" s="1373"/>
      <c r="J55" s="162">
        <f>+J45+J51</f>
        <v>0</v>
      </c>
      <c r="K55" s="3343"/>
      <c r="L55" s="162">
        <f>+L45+L51</f>
        <v>0</v>
      </c>
      <c r="M55" s="162">
        <f>+M45+M51</f>
        <v>0</v>
      </c>
    </row>
    <row r="56" spans="1:13" s="145" customFormat="1" ht="15" customHeight="1" thickBot="1" x14ac:dyDescent="0.25">
      <c r="A56" s="1303"/>
      <c r="B56" s="886"/>
      <c r="C56" s="886"/>
      <c r="D56" s="886"/>
      <c r="E56" s="886"/>
      <c r="F56" s="1304"/>
      <c r="G56" s="1550"/>
      <c r="H56" s="1550"/>
      <c r="I56" s="1550"/>
      <c r="J56" s="1550"/>
      <c r="K56" s="1550"/>
      <c r="L56" s="886"/>
      <c r="M56" s="1304"/>
    </row>
    <row r="57" spans="1:13" s="145" customFormat="1" ht="15" customHeight="1" thickBot="1" x14ac:dyDescent="0.25">
      <c r="A57" s="276" t="s">
        <v>324</v>
      </c>
      <c r="B57" s="277"/>
      <c r="C57" s="278"/>
      <c r="D57" s="200">
        <v>6</v>
      </c>
      <c r="E57" s="200">
        <v>6</v>
      </c>
      <c r="F57" s="200"/>
      <c r="G57" s="1559"/>
      <c r="H57" s="200"/>
      <c r="I57" s="1388"/>
      <c r="J57" s="200"/>
      <c r="K57" s="3346"/>
      <c r="L57" s="200"/>
      <c r="M57" s="200"/>
    </row>
    <row r="58" spans="1:13" s="145" customFormat="1" ht="15" customHeight="1" thickBot="1" x14ac:dyDescent="0.25">
      <c r="A58" s="276" t="s">
        <v>325</v>
      </c>
      <c r="B58" s="277"/>
      <c r="C58" s="278"/>
      <c r="D58" s="279"/>
      <c r="E58" s="279"/>
      <c r="F58" s="279"/>
      <c r="G58" s="1560"/>
      <c r="H58" s="279"/>
      <c r="I58" s="1389"/>
      <c r="J58" s="279"/>
      <c r="K58" s="3347"/>
      <c r="L58" s="279"/>
      <c r="M58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7559055118110237" right="0.23622047244094491" top="0.35433070866141736" bottom="0.43307086614173229" header="0.51181102362204722" footer="0.15748031496062992"/>
  <pageSetup paperSize="9" scale="74" firstPageNumber="81" orientation="portrait" useFirstPageNumber="1" r:id="rId1"/>
  <headerFooter>
    <oddFooter>&amp;C- &amp;P -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M56"/>
  <sheetViews>
    <sheetView view="pageBreakPreview" topLeftCell="A40" zoomScaleNormal="100" zoomScaleSheetLayoutView="100" zoomScalePageLayoutView="60" workbookViewId="0">
      <selection activeCell="M4" sqref="M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6640625" style="115" customWidth="1"/>
    <col min="4" max="5" width="9.33203125" style="115" hidden="1" customWidth="1"/>
    <col min="6" max="6" width="11.5" style="115" customWidth="1"/>
    <col min="7" max="7" width="12.6640625" style="1390" hidden="1" customWidth="1"/>
    <col min="8" max="8" width="11.83203125" style="115" hidden="1" customWidth="1"/>
    <col min="9" max="9" width="12.6640625" style="1390" hidden="1" customWidth="1"/>
    <col min="10" max="10" width="12.5" style="115" customWidth="1"/>
    <col min="11" max="11" width="12.83203125" style="1390" customWidth="1"/>
    <col min="12" max="12" width="14.33203125" style="115" customWidth="1"/>
    <col min="13" max="13" width="12.832031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746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472" t="s">
        <v>485</v>
      </c>
      <c r="D2" s="4444" t="s">
        <v>282</v>
      </c>
      <c r="E2" s="118"/>
      <c r="F2" s="4415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49" t="s">
        <v>2623</v>
      </c>
      <c r="L2" s="4415" t="s">
        <v>234</v>
      </c>
      <c r="M2" s="4440" t="s">
        <v>1950</v>
      </c>
    </row>
    <row r="3" spans="1:13" s="303" customFormat="1" ht="30" customHeight="1" thickBot="1" x14ac:dyDescent="0.25">
      <c r="A3" s="4506" t="s">
        <v>283</v>
      </c>
      <c r="B3" s="4506"/>
      <c r="C3" s="1473" t="s">
        <v>328</v>
      </c>
      <c r="D3" s="4444"/>
      <c r="E3" s="121"/>
      <c r="F3" s="4432"/>
      <c r="G3" s="4509"/>
      <c r="H3" s="4416" t="s">
        <v>1028</v>
      </c>
      <c r="I3" s="4423" t="s">
        <v>1031</v>
      </c>
      <c r="J3" s="4496" t="s">
        <v>1028</v>
      </c>
      <c r="K3" s="4450"/>
      <c r="L3" s="4416"/>
      <c r="M3" s="4441"/>
    </row>
    <row r="4" spans="1:13" s="303" customFormat="1" ht="15" customHeight="1" thickBot="1" x14ac:dyDescent="0.25">
      <c r="A4" s="1300"/>
      <c r="B4" s="1301"/>
      <c r="C4" s="1301"/>
      <c r="D4" s="4464"/>
      <c r="E4" s="4464"/>
      <c r="F4" s="4465"/>
      <c r="G4" s="1440"/>
      <c r="H4" s="1454"/>
      <c r="I4" s="1454"/>
      <c r="J4" s="1454"/>
      <c r="K4" s="1454"/>
      <c r="L4" s="1455"/>
      <c r="M4" s="1508" t="s">
        <v>935</v>
      </c>
    </row>
    <row r="5" spans="1:13" s="145" customFormat="1" ht="37.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3330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334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685</v>
      </c>
      <c r="E8" s="137">
        <f>SUM(E9:E18)</f>
        <v>685</v>
      </c>
      <c r="F8" s="137">
        <f>SUM(F9:F18)</f>
        <v>0</v>
      </c>
      <c r="G8" s="1382"/>
      <c r="H8" s="137">
        <f>SUM(H9:H18)</f>
        <v>0</v>
      </c>
      <c r="I8" s="1374"/>
      <c r="J8" s="137">
        <f>SUM(J9:J18)</f>
        <v>0</v>
      </c>
      <c r="K8" s="3332"/>
      <c r="L8" s="137">
        <f>SUM(L9:L18)</f>
        <v>0</v>
      </c>
      <c r="M8" s="137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>
        <v>0</v>
      </c>
      <c r="F9" s="150"/>
      <c r="G9" s="1533"/>
      <c r="H9" s="150"/>
      <c r="I9" s="1375"/>
      <c r="J9" s="150"/>
      <c r="K9" s="3333"/>
      <c r="L9" s="150"/>
      <c r="M9" s="150"/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v>485</v>
      </c>
      <c r="E10" s="144">
        <v>485</v>
      </c>
      <c r="F10" s="144"/>
      <c r="G10" s="1415"/>
      <c r="H10" s="144"/>
      <c r="I10" s="1376"/>
      <c r="J10" s="144"/>
      <c r="K10" s="3334"/>
      <c r="L10" s="144"/>
      <c r="M10" s="144"/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200</v>
      </c>
      <c r="E11" s="144">
        <v>200</v>
      </c>
      <c r="F11" s="144"/>
      <c r="G11" s="1415"/>
      <c r="H11" s="144"/>
      <c r="I11" s="1376"/>
      <c r="J11" s="144"/>
      <c r="K11" s="3334"/>
      <c r="L11" s="144"/>
      <c r="M11" s="144"/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/>
      <c r="G12" s="1415"/>
      <c r="H12" s="144"/>
      <c r="I12" s="1376"/>
      <c r="J12" s="144"/>
      <c r="K12" s="3334"/>
      <c r="L12" s="144"/>
      <c r="M12" s="144"/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/>
      <c r="G13" s="1415"/>
      <c r="H13" s="144"/>
      <c r="I13" s="1376"/>
      <c r="J13" s="144"/>
      <c r="K13" s="3334"/>
      <c r="L13" s="144"/>
      <c r="M13" s="144"/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7"/>
      <c r="E14" s="147"/>
      <c r="F14" s="147"/>
      <c r="G14" s="1519"/>
      <c r="H14" s="147"/>
      <c r="I14" s="1377"/>
      <c r="J14" s="147"/>
      <c r="K14" s="3335"/>
      <c r="L14" s="147"/>
      <c r="M14" s="147"/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/>
      <c r="E15" s="144"/>
      <c r="F15" s="144"/>
      <c r="G15" s="1415"/>
      <c r="H15" s="144"/>
      <c r="I15" s="1376"/>
      <c r="J15" s="144"/>
      <c r="K15" s="3334"/>
      <c r="L15" s="144"/>
      <c r="M15" s="144"/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/>
      <c r="G16" s="1518"/>
      <c r="H16" s="153"/>
      <c r="I16" s="1378"/>
      <c r="J16" s="153"/>
      <c r="K16" s="3336"/>
      <c r="L16" s="153"/>
      <c r="M16" s="153"/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518"/>
      <c r="H17" s="153"/>
      <c r="I17" s="1378"/>
      <c r="J17" s="153"/>
      <c r="K17" s="3336"/>
      <c r="L17" s="153"/>
      <c r="M17" s="153"/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v>0</v>
      </c>
      <c r="G18" s="1518"/>
      <c r="H18" s="153"/>
      <c r="I18" s="1378"/>
      <c r="J18" s="153"/>
      <c r="K18" s="3336"/>
      <c r="L18" s="153"/>
      <c r="M18" s="153"/>
    </row>
    <row r="19" spans="1:13" s="141" customFormat="1" ht="29.25" customHeight="1" thickBot="1" x14ac:dyDescent="0.25">
      <c r="A19" s="134" t="s">
        <v>17</v>
      </c>
      <c r="B19" s="148"/>
      <c r="C19" s="247" t="s">
        <v>419</v>
      </c>
      <c r="D19" s="137">
        <f>SUM(D20:D25)</f>
        <v>11613</v>
      </c>
      <c r="E19" s="137">
        <f>SUM(E20:E25)</f>
        <v>12461</v>
      </c>
      <c r="F19" s="137">
        <f>SUM(F20:F25)</f>
        <v>0</v>
      </c>
      <c r="G19" s="1382"/>
      <c r="H19" s="137">
        <f>SUM(H20:H25)</f>
        <v>0</v>
      </c>
      <c r="I19" s="1374"/>
      <c r="J19" s="137">
        <f>SUM(J20:J25)</f>
        <v>0</v>
      </c>
      <c r="K19" s="3332"/>
      <c r="L19" s="137">
        <f>SUM(L20:L25)</f>
        <v>0</v>
      </c>
      <c r="M19" s="137">
        <f>SUM(M20:M25)</f>
        <v>0</v>
      </c>
    </row>
    <row r="20" spans="1:13" s="145" customFormat="1" ht="31.5" customHeight="1" x14ac:dyDescent="0.2">
      <c r="A20" s="142"/>
      <c r="B20" s="143" t="s">
        <v>5</v>
      </c>
      <c r="C20" s="251" t="s">
        <v>420</v>
      </c>
      <c r="D20" s="144">
        <v>11613</v>
      </c>
      <c r="E20" s="144">
        <v>12062</v>
      </c>
      <c r="F20" s="144"/>
      <c r="G20" s="1415"/>
      <c r="H20" s="144"/>
      <c r="I20" s="1376"/>
      <c r="J20" s="144"/>
      <c r="K20" s="3334"/>
      <c r="L20" s="144"/>
      <c r="M20" s="144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/>
      <c r="G21" s="1415"/>
      <c r="H21" s="144"/>
      <c r="I21" s="1376"/>
      <c r="J21" s="144"/>
      <c r="K21" s="3334"/>
      <c r="L21" s="144"/>
      <c r="M21" s="144"/>
    </row>
    <row r="22" spans="1:13" s="145" customFormat="1" ht="15" customHeight="1" x14ac:dyDescent="0.2">
      <c r="A22" s="142"/>
      <c r="B22" s="143" t="s">
        <v>360</v>
      </c>
      <c r="C22" s="55" t="s">
        <v>1429</v>
      </c>
      <c r="D22" s="144">
        <v>0</v>
      </c>
      <c r="E22" s="144">
        <v>399</v>
      </c>
      <c r="F22" s="144"/>
      <c r="G22" s="1415"/>
      <c r="H22" s="144"/>
      <c r="I22" s="1376"/>
      <c r="J22" s="144"/>
      <c r="K22" s="3334"/>
      <c r="L22" s="144"/>
      <c r="M22" s="144"/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/>
      <c r="G23" s="1415"/>
      <c r="H23" s="144"/>
      <c r="I23" s="1376"/>
      <c r="J23" s="144"/>
      <c r="K23" s="3334"/>
      <c r="L23" s="144"/>
      <c r="M23" s="144"/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/>
      <c r="G24" s="1415"/>
      <c r="H24" s="144"/>
      <c r="I24" s="1376"/>
      <c r="J24" s="144"/>
      <c r="K24" s="3334"/>
      <c r="L24" s="144"/>
      <c r="M24" s="144"/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v>0</v>
      </c>
      <c r="G25" s="1415"/>
      <c r="H25" s="144">
        <v>0</v>
      </c>
      <c r="I25" s="1376"/>
      <c r="J25" s="144">
        <v>0</v>
      </c>
      <c r="K25" s="3334"/>
      <c r="L25" s="144">
        <v>0</v>
      </c>
      <c r="M25" s="144">
        <v>0</v>
      </c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v>0</v>
      </c>
      <c r="G26" s="1381"/>
      <c r="H26" s="155">
        <v>0</v>
      </c>
      <c r="I26" s="1380"/>
      <c r="J26" s="155">
        <v>0</v>
      </c>
      <c r="K26" s="3338"/>
      <c r="L26" s="155">
        <v>0</v>
      </c>
      <c r="M26" s="155">
        <v>0</v>
      </c>
    </row>
    <row r="27" spans="1:13" s="145" customFormat="1" ht="30.7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155"/>
      <c r="G27" s="1381"/>
      <c r="H27" s="155"/>
      <c r="I27" s="1380"/>
      <c r="J27" s="155"/>
      <c r="K27" s="3338"/>
      <c r="L27" s="155"/>
      <c r="M27" s="155"/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/>
      <c r="E28" s="155"/>
      <c r="F28" s="155"/>
      <c r="G28" s="1381"/>
      <c r="H28" s="155"/>
      <c r="I28" s="1380"/>
      <c r="J28" s="155"/>
      <c r="K28" s="3338"/>
      <c r="L28" s="155"/>
      <c r="M28" s="155"/>
    </row>
    <row r="29" spans="1:1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55"/>
      <c r="G29" s="1381"/>
      <c r="H29" s="155"/>
      <c r="I29" s="1380"/>
      <c r="J29" s="155"/>
      <c r="K29" s="3338"/>
      <c r="L29" s="155"/>
      <c r="M29" s="155"/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55"/>
      <c r="G30" s="1381"/>
      <c r="H30" s="155"/>
      <c r="I30" s="1380"/>
      <c r="J30" s="155"/>
      <c r="K30" s="3338"/>
      <c r="L30" s="155"/>
      <c r="M30" s="155"/>
    </row>
    <row r="31" spans="1:1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55"/>
      <c r="G31" s="1381"/>
      <c r="H31" s="155"/>
      <c r="I31" s="1380"/>
      <c r="J31" s="155"/>
      <c r="K31" s="3338"/>
      <c r="L31" s="155"/>
      <c r="M31" s="155"/>
    </row>
    <row r="32" spans="1:13" s="141" customFormat="1" ht="30.75" customHeight="1" thickBot="1" x14ac:dyDescent="0.25">
      <c r="A32" s="134" t="s">
        <v>67</v>
      </c>
      <c r="B32" s="254"/>
      <c r="C32" s="170" t="s">
        <v>429</v>
      </c>
      <c r="D32" s="155">
        <v>0</v>
      </c>
      <c r="E32" s="155">
        <v>0</v>
      </c>
      <c r="F32" s="155">
        <v>0</v>
      </c>
      <c r="G32" s="1381"/>
      <c r="H32" s="155">
        <v>0</v>
      </c>
      <c r="I32" s="1380"/>
      <c r="J32" s="155">
        <v>0</v>
      </c>
      <c r="K32" s="3338"/>
      <c r="L32" s="155">
        <v>0</v>
      </c>
      <c r="M32" s="155">
        <v>0</v>
      </c>
    </row>
    <row r="33" spans="1:13" s="141" customFormat="1" ht="32.25" customHeight="1" thickBot="1" x14ac:dyDescent="0.25">
      <c r="A33" s="146"/>
      <c r="B33" s="255" t="s">
        <v>47</v>
      </c>
      <c r="C33" s="251" t="s">
        <v>430</v>
      </c>
      <c r="D33" s="295"/>
      <c r="E33" s="295"/>
      <c r="F33" s="295"/>
      <c r="G33" s="1381"/>
      <c r="H33" s="295"/>
      <c r="I33" s="1381"/>
      <c r="J33" s="295"/>
      <c r="K33" s="3339"/>
      <c r="L33" s="295"/>
      <c r="M33" s="295"/>
    </row>
    <row r="34" spans="1:13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/>
      <c r="G34" s="1381"/>
      <c r="H34" s="295"/>
      <c r="I34" s="1381"/>
      <c r="J34" s="295"/>
      <c r="K34" s="3339"/>
      <c r="L34" s="295"/>
      <c r="M34" s="295"/>
    </row>
    <row r="35" spans="1:13" s="141" customFormat="1" ht="31.5" customHeight="1" thickBot="1" x14ac:dyDescent="0.25">
      <c r="A35" s="258"/>
      <c r="B35" s="257" t="s">
        <v>69</v>
      </c>
      <c r="C35" s="55" t="s">
        <v>432</v>
      </c>
      <c r="D35" s="295"/>
      <c r="E35" s="295"/>
      <c r="F35" s="295"/>
      <c r="G35" s="1381"/>
      <c r="H35" s="295"/>
      <c r="I35" s="1381"/>
      <c r="J35" s="295"/>
      <c r="K35" s="3339"/>
      <c r="L35" s="295"/>
      <c r="M35" s="295"/>
    </row>
    <row r="36" spans="1:13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67</v>
      </c>
      <c r="F36" s="285">
        <f>+F37+F38</f>
        <v>0</v>
      </c>
      <c r="G36" s="1382"/>
      <c r="H36" s="285">
        <f>+H37+H38</f>
        <v>0</v>
      </c>
      <c r="I36" s="1382"/>
      <c r="J36" s="285">
        <f>+J37+J38</f>
        <v>0</v>
      </c>
      <c r="K36" s="3340"/>
      <c r="L36" s="285">
        <f>+L37+L38</f>
        <v>0</v>
      </c>
      <c r="M36" s="285">
        <f>+M37+M38</f>
        <v>0</v>
      </c>
    </row>
    <row r="37" spans="1:13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306">
        <v>67</v>
      </c>
      <c r="F37" s="306"/>
      <c r="G37" s="1383"/>
      <c r="H37" s="306"/>
      <c r="I37" s="1383"/>
      <c r="J37" s="306"/>
      <c r="K37" s="3341"/>
      <c r="L37" s="306"/>
      <c r="M37" s="306"/>
    </row>
    <row r="38" spans="1:13" s="141" customFormat="1" ht="15" customHeight="1" thickBot="1" x14ac:dyDescent="0.25">
      <c r="A38" s="146"/>
      <c r="B38" s="2736" t="s">
        <v>83</v>
      </c>
      <c r="C38" s="1155" t="s">
        <v>435</v>
      </c>
      <c r="D38" s="1488">
        <v>0</v>
      </c>
      <c r="E38" s="2815">
        <v>0</v>
      </c>
      <c r="F38" s="1313">
        <v>0</v>
      </c>
      <c r="G38" s="2667"/>
      <c r="H38" s="294"/>
      <c r="I38" s="1384"/>
      <c r="J38" s="294"/>
      <c r="K38" s="3342"/>
      <c r="L38" s="294"/>
      <c r="M38" s="294"/>
    </row>
    <row r="39" spans="1:13" s="145" customFormat="1" ht="15" customHeight="1" thickBot="1" x14ac:dyDescent="0.25">
      <c r="A39" s="178"/>
      <c r="B39" s="2736" t="s">
        <v>85</v>
      </c>
      <c r="C39" s="1155" t="s">
        <v>1432</v>
      </c>
      <c r="D39" s="445">
        <v>19426</v>
      </c>
      <c r="E39" s="2816">
        <v>20644</v>
      </c>
      <c r="F39" s="2817"/>
      <c r="G39" s="1381"/>
      <c r="H39" s="155"/>
      <c r="I39" s="1380"/>
      <c r="J39" s="155"/>
      <c r="K39" s="3338"/>
      <c r="L39" s="155"/>
      <c r="M39" s="155"/>
    </row>
    <row r="40" spans="1:13" s="145" customFormat="1" ht="15" customHeight="1" thickBot="1" x14ac:dyDescent="0.25">
      <c r="A40" s="192" t="s">
        <v>99</v>
      </c>
      <c r="B40" s="160"/>
      <c r="C40" s="274" t="s">
        <v>441</v>
      </c>
      <c r="D40" s="162">
        <f>SUM(D8,D19,D26,D32,D36,D39)</f>
        <v>31724</v>
      </c>
      <c r="E40" s="162">
        <f>SUM(E8,E19,E26,E32,E36,E39)</f>
        <v>33857</v>
      </c>
      <c r="F40" s="162">
        <f>SUM(F8,F19,F26,F32,F36,F39)</f>
        <v>0</v>
      </c>
      <c r="G40" s="1437"/>
      <c r="H40" s="162">
        <f>SUM(H8,H19,H26,H32,H36,H39)</f>
        <v>0</v>
      </c>
      <c r="I40" s="1373"/>
      <c r="J40" s="162">
        <f>SUM(J8,J19,J26,J32,J36,J39)</f>
        <v>0</v>
      </c>
      <c r="K40" s="3343"/>
      <c r="L40" s="162">
        <f>SUM(L8,L19,L26,L32,L36,L39)</f>
        <v>0</v>
      </c>
      <c r="M40" s="162">
        <f>SUM(M8,M19,M26,M32,M36,M39)</f>
        <v>0</v>
      </c>
    </row>
    <row r="41" spans="1:13" s="145" customFormat="1" ht="15" customHeight="1" thickBot="1" x14ac:dyDescent="0.25">
      <c r="A41" s="2098"/>
      <c r="B41" s="266"/>
      <c r="C41" s="275"/>
      <c r="D41" s="286"/>
      <c r="E41" s="286"/>
      <c r="F41" s="2163"/>
      <c r="G41" s="1443"/>
      <c r="H41" s="1443"/>
      <c r="I41" s="1443"/>
      <c r="J41" s="1443"/>
      <c r="K41" s="1443"/>
      <c r="L41" s="1443"/>
      <c r="M41" s="1458"/>
    </row>
    <row r="42" spans="1:13" s="305" customFormat="1" ht="15" customHeight="1" thickBot="1" x14ac:dyDescent="0.25">
      <c r="A42" s="192"/>
      <c r="B42" s="160"/>
      <c r="C42" s="282" t="s">
        <v>231</v>
      </c>
      <c r="D42" s="162"/>
      <c r="E42" s="162"/>
      <c r="F42" s="162"/>
      <c r="G42" s="1437"/>
      <c r="H42" s="162"/>
      <c r="I42" s="1373"/>
      <c r="J42" s="162"/>
      <c r="K42" s="3343"/>
      <c r="L42" s="162"/>
      <c r="M42" s="162"/>
    </row>
    <row r="43" spans="1:13" s="141" customFormat="1" ht="15" customHeight="1" thickBot="1" x14ac:dyDescent="0.25">
      <c r="A43" s="134" t="s">
        <v>3</v>
      </c>
      <c r="B43" s="170"/>
      <c r="C43" s="171" t="s">
        <v>442</v>
      </c>
      <c r="D43" s="137">
        <f>SUM(D44:D48)</f>
        <v>31724</v>
      </c>
      <c r="E43" s="137">
        <f>SUM(E44:E48)</f>
        <v>33253</v>
      </c>
      <c r="F43" s="137">
        <f>SUM(F44:F48)</f>
        <v>0</v>
      </c>
      <c r="G43" s="1382"/>
      <c r="H43" s="137">
        <f>SUM(H44:H48)</f>
        <v>0</v>
      </c>
      <c r="I43" s="1374"/>
      <c r="J43" s="137">
        <f>SUM(J44:J48)</f>
        <v>0</v>
      </c>
      <c r="K43" s="3332"/>
      <c r="L43" s="137">
        <f>SUM(L44:L48)</f>
        <v>0</v>
      </c>
      <c r="M43" s="137">
        <f>SUM(M44:M48)</f>
        <v>0</v>
      </c>
    </row>
    <row r="44" spans="1:13" s="145" customFormat="1" ht="15" customHeight="1" x14ac:dyDescent="0.2">
      <c r="A44" s="173"/>
      <c r="B44" s="174" t="s">
        <v>152</v>
      </c>
      <c r="C44" s="251" t="s">
        <v>153</v>
      </c>
      <c r="D44" s="175">
        <v>14740</v>
      </c>
      <c r="E44" s="175">
        <v>15580</v>
      </c>
      <c r="F44" s="175"/>
      <c r="G44" s="1432"/>
      <c r="H44" s="175"/>
      <c r="I44" s="1386"/>
      <c r="J44" s="175"/>
      <c r="K44" s="3345"/>
      <c r="L44" s="175"/>
      <c r="M44" s="175"/>
    </row>
    <row r="45" spans="1:13" s="145" customFormat="1" ht="15" customHeight="1" x14ac:dyDescent="0.2">
      <c r="A45" s="142"/>
      <c r="B45" s="176" t="s">
        <v>154</v>
      </c>
      <c r="C45" s="55" t="s">
        <v>155</v>
      </c>
      <c r="D45" s="144">
        <v>3918</v>
      </c>
      <c r="E45" s="144">
        <v>4145</v>
      </c>
      <c r="F45" s="144"/>
      <c r="G45" s="1415"/>
      <c r="H45" s="144"/>
      <c r="I45" s="1376"/>
      <c r="J45" s="144"/>
      <c r="K45" s="3334"/>
      <c r="L45" s="144"/>
      <c r="M45" s="144"/>
    </row>
    <row r="46" spans="1:13" s="145" customFormat="1" ht="15" customHeight="1" x14ac:dyDescent="0.2">
      <c r="A46" s="142"/>
      <c r="B46" s="176" t="s">
        <v>156</v>
      </c>
      <c r="C46" s="55" t="s">
        <v>157</v>
      </c>
      <c r="D46" s="322">
        <v>13066</v>
      </c>
      <c r="E46" s="322">
        <v>13528</v>
      </c>
      <c r="F46" s="610"/>
      <c r="G46" s="2675"/>
      <c r="H46" s="610"/>
      <c r="I46" s="1471"/>
      <c r="J46" s="610"/>
      <c r="K46" s="3334"/>
      <c r="L46" s="610"/>
      <c r="M46" s="610"/>
    </row>
    <row r="47" spans="1:13" s="145" customFormat="1" ht="15" customHeight="1" x14ac:dyDescent="0.2">
      <c r="A47" s="142"/>
      <c r="B47" s="176" t="s">
        <v>158</v>
      </c>
      <c r="C47" s="55" t="s">
        <v>159</v>
      </c>
      <c r="D47" s="144"/>
      <c r="E47" s="144"/>
      <c r="F47" s="144"/>
      <c r="G47" s="1415"/>
      <c r="H47" s="144"/>
      <c r="I47" s="1376"/>
      <c r="J47" s="144"/>
      <c r="K47" s="3334"/>
      <c r="L47" s="144"/>
      <c r="M47" s="144"/>
    </row>
    <row r="48" spans="1:13" s="145" customFormat="1" ht="15" customHeight="1" thickBot="1" x14ac:dyDescent="0.25">
      <c r="A48" s="142"/>
      <c r="B48" s="176" t="s">
        <v>160</v>
      </c>
      <c r="C48" s="55" t="s">
        <v>161</v>
      </c>
      <c r="D48" s="144"/>
      <c r="E48" s="144"/>
      <c r="F48" s="144"/>
      <c r="G48" s="1415"/>
      <c r="H48" s="144"/>
      <c r="I48" s="1376"/>
      <c r="J48" s="144"/>
      <c r="K48" s="3334"/>
      <c r="L48" s="144"/>
      <c r="M48" s="144"/>
    </row>
    <row r="49" spans="1:13" s="145" customFormat="1" ht="15" customHeight="1" thickBot="1" x14ac:dyDescent="0.25">
      <c r="A49" s="134" t="s">
        <v>17</v>
      </c>
      <c r="B49" s="170"/>
      <c r="C49" s="170" t="s">
        <v>443</v>
      </c>
      <c r="D49" s="137">
        <f>SUM(D50:D52)</f>
        <v>0</v>
      </c>
      <c r="E49" s="137">
        <f>SUM(E50:E52)</f>
        <v>604</v>
      </c>
      <c r="F49" s="137">
        <f>SUM(F50:F52)</f>
        <v>0</v>
      </c>
      <c r="G49" s="1382"/>
      <c r="H49" s="137">
        <f>SUM(H50:H52)</f>
        <v>0</v>
      </c>
      <c r="I49" s="1374"/>
      <c r="J49" s="137">
        <f>SUM(J50:J52)</f>
        <v>0</v>
      </c>
      <c r="K49" s="3332"/>
      <c r="L49" s="137">
        <f>SUM(L50:L52)</f>
        <v>0</v>
      </c>
      <c r="M49" s="137">
        <f>SUM(M50:M52)</f>
        <v>0</v>
      </c>
    </row>
    <row r="50" spans="1:13" s="141" customFormat="1" ht="15" customHeight="1" x14ac:dyDescent="0.2">
      <c r="A50" s="173"/>
      <c r="B50" s="267" t="s">
        <v>5</v>
      </c>
      <c r="C50" s="251" t="s">
        <v>183</v>
      </c>
      <c r="D50" s="175">
        <v>0</v>
      </c>
      <c r="E50" s="175">
        <v>604</v>
      </c>
      <c r="F50" s="175"/>
      <c r="G50" s="1432"/>
      <c r="H50" s="175"/>
      <c r="I50" s="1386"/>
      <c r="J50" s="175"/>
      <c r="K50" s="3345"/>
      <c r="L50" s="175"/>
      <c r="M50" s="175"/>
    </row>
    <row r="51" spans="1:13" s="145" customFormat="1" ht="15" customHeight="1" x14ac:dyDescent="0.2">
      <c r="A51" s="142"/>
      <c r="B51" s="253" t="s">
        <v>7</v>
      </c>
      <c r="C51" s="55" t="s">
        <v>185</v>
      </c>
      <c r="D51" s="144">
        <v>0</v>
      </c>
      <c r="E51" s="144">
        <v>0</v>
      </c>
      <c r="F51" s="144">
        <v>0</v>
      </c>
      <c r="G51" s="1415"/>
      <c r="H51" s="144">
        <v>0</v>
      </c>
      <c r="I51" s="1376"/>
      <c r="J51" s="144">
        <v>0</v>
      </c>
      <c r="K51" s="3334"/>
      <c r="L51" s="144">
        <v>0</v>
      </c>
      <c r="M51" s="144">
        <v>0</v>
      </c>
    </row>
    <row r="52" spans="1:13" s="145" customFormat="1" ht="15" customHeight="1" thickBot="1" x14ac:dyDescent="0.25">
      <c r="A52" s="142"/>
      <c r="B52" s="253" t="s">
        <v>9</v>
      </c>
      <c r="C52" s="55" t="s">
        <v>444</v>
      </c>
      <c r="D52" s="144">
        <v>0</v>
      </c>
      <c r="E52" s="144">
        <v>0</v>
      </c>
      <c r="F52" s="144">
        <v>0</v>
      </c>
      <c r="G52" s="1415"/>
      <c r="H52" s="144">
        <v>0</v>
      </c>
      <c r="I52" s="1376"/>
      <c r="J52" s="144">
        <v>0</v>
      </c>
      <c r="K52" s="3334"/>
      <c r="L52" s="144">
        <v>0</v>
      </c>
      <c r="M52" s="144">
        <v>0</v>
      </c>
    </row>
    <row r="53" spans="1:13" s="145" customFormat="1" ht="15" customHeight="1" thickBot="1" x14ac:dyDescent="0.25">
      <c r="A53" s="192" t="s">
        <v>31</v>
      </c>
      <c r="B53" s="160"/>
      <c r="C53" s="274" t="s">
        <v>465</v>
      </c>
      <c r="D53" s="162" t="e">
        <f>+D43+D49+#REF!</f>
        <v>#REF!</v>
      </c>
      <c r="E53" s="162" t="e">
        <f>+E43+E49+#REF!</f>
        <v>#REF!</v>
      </c>
      <c r="F53" s="162">
        <f>+F43+F49</f>
        <v>0</v>
      </c>
      <c r="G53" s="1437"/>
      <c r="H53" s="162">
        <f>+H43+H49</f>
        <v>0</v>
      </c>
      <c r="I53" s="1373"/>
      <c r="J53" s="162">
        <f>+J43+J49</f>
        <v>0</v>
      </c>
      <c r="K53" s="3343"/>
      <c r="L53" s="162">
        <f>+L43+L49</f>
        <v>0</v>
      </c>
      <c r="M53" s="162">
        <f>+M43+M49</f>
        <v>0</v>
      </c>
    </row>
    <row r="54" spans="1:13" s="145" customFormat="1" ht="15" customHeight="1" thickBot="1" x14ac:dyDescent="0.25">
      <c r="A54" s="1303"/>
      <c r="B54" s="886"/>
      <c r="C54" s="886"/>
      <c r="D54" s="886"/>
      <c r="E54" s="886"/>
      <c r="F54" s="1304"/>
      <c r="G54" s="1550"/>
      <c r="H54" s="1550"/>
      <c r="I54" s="1550"/>
      <c r="J54" s="1550"/>
      <c r="K54" s="1550"/>
      <c r="L54" s="886"/>
      <c r="M54" s="1304"/>
    </row>
    <row r="55" spans="1:13" s="145" customFormat="1" ht="15" customHeight="1" thickBot="1" x14ac:dyDescent="0.25">
      <c r="A55" s="276" t="s">
        <v>324</v>
      </c>
      <c r="B55" s="277"/>
      <c r="C55" s="278"/>
      <c r="D55" s="200">
        <v>6</v>
      </c>
      <c r="E55" s="200">
        <v>6</v>
      </c>
      <c r="F55" s="200"/>
      <c r="G55" s="1559"/>
      <c r="H55" s="200"/>
      <c r="I55" s="1388"/>
      <c r="J55" s="200"/>
      <c r="K55" s="3346"/>
      <c r="L55" s="200"/>
      <c r="M55" s="200"/>
    </row>
    <row r="56" spans="1:13" s="145" customFormat="1" ht="15" customHeight="1" thickBot="1" x14ac:dyDescent="0.25">
      <c r="A56" s="276" t="s">
        <v>325</v>
      </c>
      <c r="B56" s="277"/>
      <c r="C56" s="278"/>
      <c r="D56" s="279"/>
      <c r="E56" s="279"/>
      <c r="F56" s="279"/>
      <c r="G56" s="1560"/>
      <c r="H56" s="279"/>
      <c r="I56" s="1389"/>
      <c r="J56" s="279"/>
      <c r="K56" s="3347"/>
      <c r="L56" s="279"/>
      <c r="M56" s="279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27559055118110237" right="0.23622047244094491" top="0.35433070866141736" bottom="0.43307086614173229" header="0.51181102362204722" footer="0.15748031496062992"/>
  <pageSetup paperSize="9" scale="67" firstPageNumber="82" orientation="portrait" useFirstPageNumber="1" r:id="rId1"/>
  <headerFooter>
    <oddFooter>&amp;C- &amp;P -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N48"/>
  <sheetViews>
    <sheetView view="pageBreakPreview" topLeftCell="A4" zoomScale="88" zoomScaleNormal="100" zoomScaleSheetLayoutView="88" workbookViewId="0">
      <selection activeCell="AJ9" sqref="AJ9"/>
    </sheetView>
  </sheetViews>
  <sheetFormatPr defaultColWidth="9.33203125" defaultRowHeight="15" x14ac:dyDescent="0.25"/>
  <cols>
    <col min="1" max="1" width="15.33203125" style="621" customWidth="1"/>
    <col min="2" max="2" width="23.1640625" style="621" customWidth="1"/>
    <col min="3" max="3" width="12.83203125" style="621" customWidth="1"/>
    <col min="4" max="4" width="12.83203125" style="621" hidden="1" customWidth="1"/>
    <col min="5" max="6" width="13.5" style="621" hidden="1" customWidth="1"/>
    <col min="7" max="7" width="14.5" style="621" hidden="1" customWidth="1"/>
    <col min="8" max="8" width="13.5" style="621" hidden="1" customWidth="1"/>
    <col min="9" max="9" width="13.5" style="621" customWidth="1"/>
    <col min="10" max="10" width="15" style="621" customWidth="1"/>
    <col min="11" max="11" width="10.5" style="621" customWidth="1"/>
    <col min="12" max="12" width="13.33203125" style="621" hidden="1" customWidth="1"/>
    <col min="13" max="14" width="12.5" style="621" hidden="1" customWidth="1"/>
    <col min="15" max="15" width="10.83203125" style="621" hidden="1" customWidth="1"/>
    <col min="16" max="16" width="12.5" style="621" hidden="1" customWidth="1"/>
    <col min="17" max="17" width="12.5" style="621" customWidth="1"/>
    <col min="18" max="18" width="9.83203125" style="621" customWidth="1"/>
    <col min="19" max="19" width="14" style="621" customWidth="1"/>
    <col min="20" max="20" width="13.6640625" style="621" hidden="1" customWidth="1"/>
    <col min="21" max="22" width="14.1640625" style="621" hidden="1" customWidth="1"/>
    <col min="23" max="23" width="14" style="621" hidden="1" customWidth="1"/>
    <col min="24" max="24" width="14.1640625" style="621" hidden="1" customWidth="1"/>
    <col min="25" max="26" width="14.1640625" style="621" customWidth="1"/>
    <col min="27" max="27" width="13.33203125" style="619" customWidth="1"/>
    <col min="28" max="28" width="13.33203125" style="619" hidden="1" customWidth="1"/>
    <col min="29" max="32" width="14.1640625" style="619" hidden="1" customWidth="1"/>
    <col min="33" max="33" width="14.1640625" style="619" customWidth="1"/>
    <col min="34" max="34" width="13.33203125" style="619" customWidth="1"/>
    <col min="35" max="35" width="13.83203125" style="619" customWidth="1"/>
    <col min="36" max="37" width="14.5" style="619" customWidth="1"/>
    <col min="38" max="38" width="11.6640625" style="619" customWidth="1"/>
    <col min="39" max="39" width="14.5" style="619" customWidth="1"/>
    <col min="40" max="40" width="14.1640625" style="619" customWidth="1"/>
    <col min="41" max="16384" width="9.33203125" style="619"/>
  </cols>
  <sheetData>
    <row r="1" spans="1:40" ht="26.25" customHeight="1" x14ac:dyDescent="0.3">
      <c r="A1" s="4536" t="s">
        <v>485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4536"/>
      <c r="AJ1" s="1214"/>
      <c r="AK1" s="1214"/>
      <c r="AL1" s="952"/>
      <c r="AM1" s="952"/>
    </row>
    <row r="2" spans="1:40" ht="26.25" customHeight="1" x14ac:dyDescent="0.3">
      <c r="A2" s="4536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536"/>
      <c r="AI2" s="4536"/>
      <c r="AJ2" s="1214"/>
      <c r="AK2" s="1214"/>
      <c r="AL2" s="952"/>
      <c r="AM2" s="952"/>
    </row>
    <row r="3" spans="1:40" ht="15" customHeight="1" thickBot="1" x14ac:dyDescent="0.35">
      <c r="A3" s="956"/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956"/>
      <c r="W3" s="956"/>
      <c r="X3" s="956"/>
      <c r="Y3" s="956"/>
      <c r="Z3" s="956"/>
      <c r="AA3" s="956"/>
      <c r="AB3" s="956"/>
      <c r="AC3" s="956"/>
      <c r="AD3" s="956"/>
      <c r="AE3" s="956"/>
      <c r="AF3" s="956"/>
      <c r="AG3" s="956"/>
      <c r="AH3" s="956"/>
      <c r="AI3" s="956"/>
      <c r="AJ3" s="956"/>
      <c r="AK3" s="955"/>
      <c r="AL3" s="952"/>
      <c r="AM3" s="952"/>
    </row>
    <row r="4" spans="1:40" ht="29.25" customHeight="1" thickTop="1" thickBot="1" x14ac:dyDescent="0.3">
      <c r="A4" s="4533" t="s">
        <v>230</v>
      </c>
      <c r="B4" s="4534"/>
      <c r="C4" s="4534"/>
      <c r="D4" s="4534"/>
      <c r="E4" s="4534"/>
      <c r="F4" s="4534"/>
      <c r="G4" s="4534"/>
      <c r="H4" s="4534"/>
      <c r="I4" s="4534"/>
      <c r="J4" s="4534"/>
      <c r="K4" s="4534"/>
      <c r="L4" s="4534"/>
      <c r="M4" s="4534"/>
      <c r="N4" s="4534"/>
      <c r="O4" s="4534"/>
      <c r="P4" s="4534"/>
      <c r="Q4" s="4534"/>
      <c r="R4" s="4534"/>
      <c r="S4" s="4534"/>
      <c r="T4" s="4534"/>
      <c r="U4" s="4534"/>
      <c r="V4" s="4534"/>
      <c r="W4" s="4534"/>
      <c r="X4" s="4534"/>
      <c r="Y4" s="4534"/>
      <c r="Z4" s="4534"/>
      <c r="AA4" s="4534"/>
      <c r="AB4" s="4534"/>
      <c r="AC4" s="4534"/>
      <c r="AD4" s="4534"/>
      <c r="AE4" s="4534"/>
      <c r="AF4" s="4534"/>
      <c r="AG4" s="4534"/>
      <c r="AH4" s="4535"/>
      <c r="AI4" s="1213"/>
      <c r="AJ4" s="1215"/>
      <c r="AK4" s="1212"/>
      <c r="AL4" s="2305"/>
      <c r="AM4" s="2305"/>
      <c r="AN4" s="2306"/>
    </row>
    <row r="5" spans="1:40" ht="66.75" customHeight="1" thickTop="1" thickBot="1" x14ac:dyDescent="0.3">
      <c r="A5" s="4537"/>
      <c r="B5" s="4538"/>
      <c r="C5" s="4541" t="s">
        <v>869</v>
      </c>
      <c r="D5" s="4542"/>
      <c r="E5" s="4542"/>
      <c r="F5" s="4542"/>
      <c r="G5" s="4542"/>
      <c r="H5" s="4542"/>
      <c r="I5" s="4542"/>
      <c r="J5" s="4545"/>
      <c r="K5" s="4541" t="s">
        <v>951</v>
      </c>
      <c r="L5" s="4542"/>
      <c r="M5" s="4542"/>
      <c r="N5" s="4542"/>
      <c r="O5" s="4542"/>
      <c r="P5" s="4542"/>
      <c r="Q5" s="4542"/>
      <c r="R5" s="4545"/>
      <c r="S5" s="4541" t="s">
        <v>871</v>
      </c>
      <c r="T5" s="4542"/>
      <c r="U5" s="4542"/>
      <c r="V5" s="4542"/>
      <c r="W5" s="4542"/>
      <c r="X5" s="4542"/>
      <c r="Y5" s="4542"/>
      <c r="Z5" s="4545"/>
      <c r="AA5" s="4541" t="s">
        <v>1431</v>
      </c>
      <c r="AB5" s="4542"/>
      <c r="AC5" s="4561"/>
      <c r="AD5" s="4561"/>
      <c r="AE5" s="4561"/>
      <c r="AF5" s="4561"/>
      <c r="AG5" s="4561"/>
      <c r="AH5" s="4562"/>
      <c r="AI5" s="4542" t="s">
        <v>974</v>
      </c>
      <c r="AJ5" s="4629"/>
      <c r="AK5" s="4629"/>
      <c r="AL5" s="4628"/>
      <c r="AM5" s="4629"/>
      <c r="AN5" s="4630"/>
    </row>
    <row r="6" spans="1:40" ht="53.25" customHeight="1" thickTop="1" thickBot="1" x14ac:dyDescent="0.3">
      <c r="A6" s="4539"/>
      <c r="B6" s="4540"/>
      <c r="C6" s="958" t="s">
        <v>867</v>
      </c>
      <c r="D6" s="1028"/>
      <c r="E6" s="959" t="s">
        <v>1070</v>
      </c>
      <c r="F6" s="959"/>
      <c r="G6" s="959" t="s">
        <v>1071</v>
      </c>
      <c r="H6" s="959"/>
      <c r="I6" s="958" t="s">
        <v>1072</v>
      </c>
      <c r="J6" s="958" t="s">
        <v>289</v>
      </c>
      <c r="K6" s="2074" t="s">
        <v>867</v>
      </c>
      <c r="L6" s="1028"/>
      <c r="M6" s="959" t="s">
        <v>1070</v>
      </c>
      <c r="N6" s="959"/>
      <c r="O6" s="959" t="s">
        <v>1071</v>
      </c>
      <c r="P6" s="959"/>
      <c r="Q6" s="959" t="s">
        <v>1072</v>
      </c>
      <c r="R6" s="958" t="s">
        <v>289</v>
      </c>
      <c r="S6" s="2074" t="s">
        <v>867</v>
      </c>
      <c r="T6" s="1028"/>
      <c r="U6" s="959" t="s">
        <v>1070</v>
      </c>
      <c r="V6" s="959"/>
      <c r="W6" s="959" t="s">
        <v>1071</v>
      </c>
      <c r="X6" s="959"/>
      <c r="Y6" s="959" t="s">
        <v>1072</v>
      </c>
      <c r="Z6" s="959" t="s">
        <v>997</v>
      </c>
      <c r="AA6" s="958" t="s">
        <v>867</v>
      </c>
      <c r="AB6" s="1028"/>
      <c r="AC6" s="959" t="s">
        <v>1070</v>
      </c>
      <c r="AD6" s="959"/>
      <c r="AE6" s="959" t="s">
        <v>1071</v>
      </c>
      <c r="AF6" s="959"/>
      <c r="AG6" s="959" t="s">
        <v>1072</v>
      </c>
      <c r="AH6" s="1027" t="s">
        <v>997</v>
      </c>
      <c r="AI6" s="2236" t="s">
        <v>867</v>
      </c>
      <c r="AJ6" s="1028" t="s">
        <v>868</v>
      </c>
      <c r="AK6" s="958" t="s">
        <v>997</v>
      </c>
      <c r="AL6" s="1028" t="s">
        <v>867</v>
      </c>
      <c r="AM6" s="958" t="s">
        <v>868</v>
      </c>
      <c r="AN6" s="1027" t="s">
        <v>997</v>
      </c>
    </row>
    <row r="7" spans="1:40" s="951" customFormat="1" ht="20.25" customHeight="1" thickTop="1" x14ac:dyDescent="0.25">
      <c r="A7" s="4527" t="s">
        <v>837</v>
      </c>
      <c r="B7" s="4555"/>
      <c r="C7" s="1046">
        <f>SUM(K7+S7+AA7+AI7)</f>
        <v>844000</v>
      </c>
      <c r="D7" s="2219"/>
      <c r="E7" s="1044">
        <f>SUM(M7+U7+AC7+AJ7)</f>
        <v>854681</v>
      </c>
      <c r="F7" s="1044">
        <f t="shared" ref="F7:J11" si="0">SUM(N7+V7+AD7+AK7)</f>
        <v>0</v>
      </c>
      <c r="G7" s="1044">
        <f>SUM(O7+W7+AE7+AL7)</f>
        <v>857212</v>
      </c>
      <c r="H7" s="1045">
        <f t="shared" si="0"/>
        <v>0</v>
      </c>
      <c r="I7" s="2314">
        <f>SUM(Q7+Y7+AG7+AN7)</f>
        <v>1109248</v>
      </c>
      <c r="J7" s="2313">
        <f>SUM(R7+Z7+AH7+AO7)</f>
        <v>1109248</v>
      </c>
      <c r="K7" s="2234">
        <v>300000</v>
      </c>
      <c r="L7" s="2231"/>
      <c r="M7" s="2231">
        <v>300000</v>
      </c>
      <c r="N7" s="2232"/>
      <c r="O7" s="2231">
        <v>300000</v>
      </c>
      <c r="P7" s="2231"/>
      <c r="Q7" s="2231">
        <v>395200</v>
      </c>
      <c r="R7" s="1042">
        <v>395200</v>
      </c>
      <c r="S7" s="1041"/>
      <c r="T7" s="1041"/>
      <c r="U7" s="1044"/>
      <c r="V7" s="1045"/>
      <c r="W7" s="1044"/>
      <c r="X7" s="1045"/>
      <c r="Y7" s="1044"/>
      <c r="Z7" s="1042"/>
      <c r="AA7" s="1046">
        <v>544000</v>
      </c>
      <c r="AB7" s="1041"/>
      <c r="AC7" s="1044">
        <v>554681</v>
      </c>
      <c r="AD7" s="1045"/>
      <c r="AE7" s="1044">
        <v>557212</v>
      </c>
      <c r="AF7" s="1045"/>
      <c r="AG7" s="1044">
        <v>714048</v>
      </c>
      <c r="AH7" s="2085">
        <v>714048</v>
      </c>
      <c r="AI7" s="1047"/>
      <c r="AJ7" s="1047">
        <v>0</v>
      </c>
      <c r="AK7" s="1123">
        <v>0</v>
      </c>
      <c r="AL7" s="1857"/>
      <c r="AM7" s="1071">
        <v>0</v>
      </c>
      <c r="AN7" s="1137">
        <v>0</v>
      </c>
    </row>
    <row r="8" spans="1:40" s="951" customFormat="1" ht="27" customHeight="1" x14ac:dyDescent="0.25">
      <c r="A8" s="4546" t="s">
        <v>908</v>
      </c>
      <c r="B8" s="4547"/>
      <c r="C8" s="1072">
        <f>SUM(K8+S8+AA8+AI8)</f>
        <v>0</v>
      </c>
      <c r="D8" s="1128"/>
      <c r="E8" s="964">
        <f>SUM(M8+U8+AC8+AJ8)</f>
        <v>0</v>
      </c>
      <c r="F8" s="964">
        <f t="shared" si="0"/>
        <v>0</v>
      </c>
      <c r="G8" s="964">
        <f t="shared" si="0"/>
        <v>0</v>
      </c>
      <c r="H8" s="968">
        <f t="shared" si="0"/>
        <v>0</v>
      </c>
      <c r="I8" s="2316">
        <f t="shared" si="0"/>
        <v>0</v>
      </c>
      <c r="J8" s="2309">
        <f t="shared" si="0"/>
        <v>0</v>
      </c>
      <c r="K8" s="963"/>
      <c r="L8" s="964"/>
      <c r="M8" s="964"/>
      <c r="N8" s="1100"/>
      <c r="O8" s="964"/>
      <c r="P8" s="964"/>
      <c r="Q8" s="964"/>
      <c r="R8" s="973"/>
      <c r="S8" s="1101"/>
      <c r="T8" s="1101"/>
      <c r="U8" s="1098"/>
      <c r="V8" s="1100"/>
      <c r="W8" s="1098"/>
      <c r="X8" s="1100"/>
      <c r="Y8" s="1098"/>
      <c r="Z8" s="1100"/>
      <c r="AA8" s="1099"/>
      <c r="AB8" s="1101"/>
      <c r="AC8" s="1098"/>
      <c r="AD8" s="2230"/>
      <c r="AE8" s="1098"/>
      <c r="AF8" s="2230"/>
      <c r="AG8" s="1098"/>
      <c r="AH8" s="2086"/>
      <c r="AI8" s="1101"/>
      <c r="AJ8" s="1101"/>
      <c r="AK8" s="1858"/>
      <c r="AL8" s="1073"/>
      <c r="AM8" s="1074"/>
      <c r="AN8" s="1139"/>
    </row>
    <row r="9" spans="1:40" s="951" customFormat="1" ht="20.25" customHeight="1" x14ac:dyDescent="0.25">
      <c r="A9" s="4529" t="s">
        <v>905</v>
      </c>
      <c r="B9" s="4559"/>
      <c r="C9" s="1072">
        <f>SUM(K9+S9+AA9+AI9)</f>
        <v>31752481</v>
      </c>
      <c r="D9" s="1128"/>
      <c r="E9" s="964">
        <f>SUM(M9+U9+AC9+AJ9)</f>
        <v>34835249</v>
      </c>
      <c r="F9" s="964">
        <f t="shared" si="0"/>
        <v>0</v>
      </c>
      <c r="G9" s="964">
        <f t="shared" si="0"/>
        <v>37266021</v>
      </c>
      <c r="H9" s="968">
        <f t="shared" si="0"/>
        <v>0</v>
      </c>
      <c r="I9" s="2316">
        <f t="shared" si="0"/>
        <v>36270466</v>
      </c>
      <c r="J9" s="2309">
        <f t="shared" si="0"/>
        <v>36270466</v>
      </c>
      <c r="K9" s="963">
        <f t="shared" ref="K9:R9" si="1">SUM(K10:K11)</f>
        <v>0</v>
      </c>
      <c r="L9" s="963">
        <f t="shared" si="1"/>
        <v>0</v>
      </c>
      <c r="M9" s="963">
        <f t="shared" si="1"/>
        <v>0</v>
      </c>
      <c r="N9" s="963">
        <f t="shared" si="1"/>
        <v>0</v>
      </c>
      <c r="O9" s="963">
        <f t="shared" si="1"/>
        <v>0</v>
      </c>
      <c r="P9" s="963">
        <f t="shared" si="1"/>
        <v>0</v>
      </c>
      <c r="Q9" s="963">
        <f t="shared" si="1"/>
        <v>0</v>
      </c>
      <c r="R9" s="2309">
        <f t="shared" si="1"/>
        <v>0</v>
      </c>
      <c r="S9" s="963">
        <f>SUM(S10:S11)</f>
        <v>2866500</v>
      </c>
      <c r="T9" s="963"/>
      <c r="U9" s="964">
        <f>SUM(U10:U11)</f>
        <v>3005978</v>
      </c>
      <c r="V9" s="963"/>
      <c r="W9" s="964">
        <f>SUM(W10:W11)</f>
        <v>4005978</v>
      </c>
      <c r="X9" s="964">
        <f>SUM(X10:X11)</f>
        <v>0</v>
      </c>
      <c r="Y9" s="964">
        <f>SUM(Y10:Y11)</f>
        <v>4009297</v>
      </c>
      <c r="Z9" s="964">
        <f>SUM(Z10:Z11)</f>
        <v>4009297</v>
      </c>
      <c r="AA9" s="969">
        <f>SUM(AA10:AA11)</f>
        <v>28885981</v>
      </c>
      <c r="AB9" s="964"/>
      <c r="AC9" s="964">
        <f>SUM(AC11+AC10)</f>
        <v>31829271</v>
      </c>
      <c r="AD9" s="964"/>
      <c r="AE9" s="962">
        <f>SUM(AE11+AE10)</f>
        <v>33260043</v>
      </c>
      <c r="AF9" s="964"/>
      <c r="AG9" s="962">
        <f>SUM(AG11+AG10)</f>
        <v>32261169</v>
      </c>
      <c r="AH9" s="974">
        <f>SUM(AH11+AH10)</f>
        <v>32261169</v>
      </c>
      <c r="AI9" s="963">
        <f>SUM(AI10:AI11)</f>
        <v>0</v>
      </c>
      <c r="AJ9" s="963">
        <f>SUM(AJ10:AJ11)</f>
        <v>0</v>
      </c>
      <c r="AK9" s="970">
        <f>SUM(AK10:AK11)</f>
        <v>0</v>
      </c>
      <c r="AL9" s="1073"/>
      <c r="AM9" s="1074"/>
      <c r="AN9" s="1139"/>
    </row>
    <row r="10" spans="1:40" s="951" customFormat="1" ht="20.25" customHeight="1" x14ac:dyDescent="0.25">
      <c r="A10" s="4531" t="s">
        <v>906</v>
      </c>
      <c r="B10" s="4552"/>
      <c r="C10" s="1072">
        <f>SUM(K10+S10+AA10+AI10)</f>
        <v>12773970</v>
      </c>
      <c r="D10" s="1128"/>
      <c r="E10" s="964">
        <f>SUM(M10+U10+AC10+AJ10)</f>
        <v>13490237</v>
      </c>
      <c r="F10" s="964">
        <f t="shared" si="0"/>
        <v>0</v>
      </c>
      <c r="G10" s="964">
        <f t="shared" si="0"/>
        <v>15253362</v>
      </c>
      <c r="H10" s="968">
        <f t="shared" si="0"/>
        <v>0</v>
      </c>
      <c r="I10" s="2316">
        <f t="shared" si="0"/>
        <v>15751866</v>
      </c>
      <c r="J10" s="2309">
        <f t="shared" si="0"/>
        <v>15751866</v>
      </c>
      <c r="K10" s="963"/>
      <c r="L10" s="964"/>
      <c r="M10" s="964"/>
      <c r="N10" s="968"/>
      <c r="O10" s="964"/>
      <c r="P10" s="964"/>
      <c r="Q10" s="964"/>
      <c r="R10" s="970"/>
      <c r="S10" s="963"/>
      <c r="T10" s="963"/>
      <c r="U10" s="964"/>
      <c r="V10" s="968"/>
      <c r="W10" s="964">
        <v>1379172</v>
      </c>
      <c r="X10" s="968"/>
      <c r="Y10" s="964">
        <v>1379172</v>
      </c>
      <c r="Z10" s="970">
        <v>1379172</v>
      </c>
      <c r="AA10" s="969">
        <v>12773970</v>
      </c>
      <c r="AB10" s="963"/>
      <c r="AC10" s="964">
        <v>13490237</v>
      </c>
      <c r="AD10" s="968"/>
      <c r="AE10" s="964">
        <v>13874190</v>
      </c>
      <c r="AF10" s="968"/>
      <c r="AG10" s="964">
        <v>14372694</v>
      </c>
      <c r="AH10" s="974">
        <v>14372694</v>
      </c>
      <c r="AI10" s="971"/>
      <c r="AJ10" s="971">
        <v>0</v>
      </c>
      <c r="AK10" s="973">
        <v>0</v>
      </c>
      <c r="AL10" s="1073"/>
      <c r="AM10" s="1074"/>
      <c r="AN10" s="1139"/>
    </row>
    <row r="11" spans="1:40" s="951" customFormat="1" ht="20.25" customHeight="1" x14ac:dyDescent="0.25">
      <c r="A11" s="4531" t="s">
        <v>907</v>
      </c>
      <c r="B11" s="4552"/>
      <c r="C11" s="1072">
        <f>SUM(K11+S11+AA11+AI11)</f>
        <v>18978511</v>
      </c>
      <c r="D11" s="1128"/>
      <c r="E11" s="964">
        <f>SUM(M11+U11+AC11+AJ11)</f>
        <v>21345012</v>
      </c>
      <c r="F11" s="964">
        <f t="shared" si="0"/>
        <v>0</v>
      </c>
      <c r="G11" s="964">
        <f t="shared" si="0"/>
        <v>22012659</v>
      </c>
      <c r="H11" s="968">
        <f t="shared" si="0"/>
        <v>0</v>
      </c>
      <c r="I11" s="2316">
        <f t="shared" si="0"/>
        <v>20518600</v>
      </c>
      <c r="J11" s="2309">
        <f t="shared" si="0"/>
        <v>20518600</v>
      </c>
      <c r="K11" s="963"/>
      <c r="L11" s="964"/>
      <c r="M11" s="972"/>
      <c r="N11" s="972"/>
      <c r="O11" s="972"/>
      <c r="P11" s="972"/>
      <c r="Q11" s="972"/>
      <c r="R11" s="973"/>
      <c r="S11" s="963">
        <v>2866500</v>
      </c>
      <c r="T11" s="963"/>
      <c r="U11" s="964">
        <v>3005978</v>
      </c>
      <c r="V11" s="968"/>
      <c r="W11" s="964">
        <v>2626806</v>
      </c>
      <c r="X11" s="968"/>
      <c r="Y11" s="964">
        <v>2630125</v>
      </c>
      <c r="Z11" s="978">
        <v>2630125</v>
      </c>
      <c r="AA11" s="969">
        <v>16112011</v>
      </c>
      <c r="AB11" s="963"/>
      <c r="AC11" s="964">
        <v>18339034</v>
      </c>
      <c r="AD11" s="968"/>
      <c r="AE11" s="964">
        <v>19385853</v>
      </c>
      <c r="AF11" s="968"/>
      <c r="AG11" s="964">
        <v>17888475</v>
      </c>
      <c r="AH11" s="974">
        <v>17888475</v>
      </c>
      <c r="AI11" s="963"/>
      <c r="AJ11" s="963">
        <v>0</v>
      </c>
      <c r="AK11" s="970">
        <v>0</v>
      </c>
      <c r="AL11" s="1073">
        <v>0</v>
      </c>
      <c r="AM11" s="1074">
        <v>0</v>
      </c>
      <c r="AN11" s="1139">
        <v>0</v>
      </c>
    </row>
    <row r="12" spans="1:40" s="951" customFormat="1" ht="20.25" customHeight="1" x14ac:dyDescent="0.25">
      <c r="A12" s="4531" t="s">
        <v>982</v>
      </c>
      <c r="B12" s="4552"/>
      <c r="C12" s="1223"/>
      <c r="D12" s="2220"/>
      <c r="E12" s="977"/>
      <c r="F12" s="977"/>
      <c r="G12" s="977"/>
      <c r="H12" s="978"/>
      <c r="I12" s="2317"/>
      <c r="J12" s="1001"/>
      <c r="K12" s="963"/>
      <c r="L12" s="964"/>
      <c r="M12" s="972"/>
      <c r="N12" s="2221"/>
      <c r="O12" s="972"/>
      <c r="P12" s="972"/>
      <c r="Q12" s="972"/>
      <c r="R12" s="973"/>
      <c r="S12" s="979"/>
      <c r="T12" s="979"/>
      <c r="U12" s="977"/>
      <c r="V12" s="978"/>
      <c r="W12" s="977"/>
      <c r="X12" s="978"/>
      <c r="Y12" s="977"/>
      <c r="Z12" s="978"/>
      <c r="AA12" s="976"/>
      <c r="AB12" s="979"/>
      <c r="AC12" s="979"/>
      <c r="AD12" s="964"/>
      <c r="AE12" s="964"/>
      <c r="AF12" s="964"/>
      <c r="AG12" s="964"/>
      <c r="AH12" s="981"/>
      <c r="AI12" s="979"/>
      <c r="AJ12" s="980">
        <v>0</v>
      </c>
      <c r="AK12" s="970">
        <v>0</v>
      </c>
      <c r="AL12" s="1177"/>
      <c r="AM12" s="1178"/>
      <c r="AN12" s="1233"/>
    </row>
    <row r="13" spans="1:40" s="659" customFormat="1" ht="24.75" customHeight="1" thickBot="1" x14ac:dyDescent="0.3">
      <c r="A13" s="4598" t="s">
        <v>299</v>
      </c>
      <c r="B13" s="4599"/>
      <c r="C13" s="2233">
        <f>SUM(K13+S13+AA13+AI13)</f>
        <v>32596481</v>
      </c>
      <c r="D13" s="2228"/>
      <c r="E13" s="985">
        <f t="shared" ref="E13:J13" si="2">SUM(M13+U13+AC13+AJ13)</f>
        <v>35689930</v>
      </c>
      <c r="F13" s="985">
        <f t="shared" si="2"/>
        <v>0</v>
      </c>
      <c r="G13" s="985">
        <f t="shared" si="2"/>
        <v>38123233</v>
      </c>
      <c r="H13" s="988">
        <f t="shared" si="2"/>
        <v>0</v>
      </c>
      <c r="I13" s="1081">
        <f t="shared" si="2"/>
        <v>37379714</v>
      </c>
      <c r="J13" s="986">
        <f t="shared" si="2"/>
        <v>37379714</v>
      </c>
      <c r="K13" s="984">
        <f>SUM(K7+K10+K11)</f>
        <v>300000</v>
      </c>
      <c r="L13" s="1002"/>
      <c r="M13" s="985">
        <f t="shared" ref="M13:S13" si="3">SUM(M7+M10+M11)</f>
        <v>300000</v>
      </c>
      <c r="N13" s="985">
        <f t="shared" si="3"/>
        <v>0</v>
      </c>
      <c r="O13" s="985">
        <f t="shared" si="3"/>
        <v>300000</v>
      </c>
      <c r="P13" s="985">
        <f t="shared" si="3"/>
        <v>0</v>
      </c>
      <c r="Q13" s="985">
        <f t="shared" si="3"/>
        <v>395200</v>
      </c>
      <c r="R13" s="1120">
        <f t="shared" si="3"/>
        <v>395200</v>
      </c>
      <c r="S13" s="984">
        <f t="shared" si="3"/>
        <v>2866500</v>
      </c>
      <c r="T13" s="984"/>
      <c r="U13" s="985">
        <f t="shared" ref="U13:Z13" si="4">SUM(U7+U10+U11)+U8</f>
        <v>3005978</v>
      </c>
      <c r="V13" s="985">
        <f t="shared" si="4"/>
        <v>0</v>
      </c>
      <c r="W13" s="985">
        <f t="shared" si="4"/>
        <v>4005978</v>
      </c>
      <c r="X13" s="985">
        <f t="shared" si="4"/>
        <v>0</v>
      </c>
      <c r="Y13" s="985">
        <f t="shared" si="4"/>
        <v>4009297</v>
      </c>
      <c r="Z13" s="988">
        <f t="shared" si="4"/>
        <v>4009297</v>
      </c>
      <c r="AA13" s="987">
        <f>SUM(AA7+AA10+AA11)</f>
        <v>29429981</v>
      </c>
      <c r="AB13" s="984"/>
      <c r="AC13" s="984">
        <f t="shared" ref="AC13:AI13" si="5">SUM(AC7+AC10+AC11)</f>
        <v>32383952</v>
      </c>
      <c r="AD13" s="984">
        <f t="shared" si="5"/>
        <v>0</v>
      </c>
      <c r="AE13" s="984">
        <f t="shared" si="5"/>
        <v>33817255</v>
      </c>
      <c r="AF13" s="984">
        <f t="shared" si="5"/>
        <v>0</v>
      </c>
      <c r="AG13" s="984">
        <f t="shared" si="5"/>
        <v>32975217</v>
      </c>
      <c r="AH13" s="990">
        <f t="shared" si="5"/>
        <v>32975217</v>
      </c>
      <c r="AI13" s="984">
        <f t="shared" si="5"/>
        <v>0</v>
      </c>
      <c r="AJ13" s="985">
        <f>SUM(AJ7+AJ10+AJ11+AJ12)</f>
        <v>0</v>
      </c>
      <c r="AK13" s="986">
        <f>SUM(AK7+AK10+AK11+AK12)</f>
        <v>0</v>
      </c>
      <c r="AL13" s="989">
        <f>SUM(AL7+AL10+AL11)</f>
        <v>0</v>
      </c>
      <c r="AM13" s="988">
        <f>SUM(AM7+AM10+AM11)</f>
        <v>0</v>
      </c>
      <c r="AN13" s="990">
        <f>SUM(AN7+AN10+AN11)</f>
        <v>0</v>
      </c>
    </row>
    <row r="14" spans="1:40" ht="24.75" customHeight="1" thickTop="1" thickBot="1" x14ac:dyDescent="0.3">
      <c r="A14" s="2164"/>
      <c r="B14" s="953"/>
      <c r="C14" s="953"/>
      <c r="D14" s="953"/>
      <c r="E14" s="953"/>
      <c r="F14" s="953"/>
      <c r="G14" s="953"/>
      <c r="H14" s="953"/>
      <c r="I14" s="953"/>
      <c r="J14" s="953"/>
      <c r="K14" s="953"/>
      <c r="L14" s="953"/>
      <c r="M14" s="953"/>
      <c r="N14" s="953"/>
      <c r="O14" s="953"/>
      <c r="P14" s="953"/>
      <c r="Q14" s="953"/>
      <c r="R14" s="953"/>
      <c r="S14" s="953"/>
      <c r="T14" s="953"/>
      <c r="U14" s="953"/>
      <c r="V14" s="953"/>
      <c r="W14" s="953"/>
      <c r="X14" s="953"/>
      <c r="Y14" s="953"/>
      <c r="Z14" s="953"/>
      <c r="AA14" s="953"/>
      <c r="AB14" s="953"/>
      <c r="AC14" s="953"/>
      <c r="AD14" s="953"/>
      <c r="AE14" s="953"/>
      <c r="AF14" s="953"/>
      <c r="AG14" s="953"/>
      <c r="AH14" s="1222"/>
      <c r="AI14" s="953"/>
      <c r="AJ14" s="953"/>
      <c r="AK14" s="4631"/>
      <c r="AL14" s="4629"/>
      <c r="AM14" s="4629"/>
      <c r="AN14" s="4630"/>
    </row>
    <row r="15" spans="1:40" ht="32.25" customHeight="1" thickTop="1" thickBot="1" x14ac:dyDescent="0.3">
      <c r="A15" s="4533" t="s">
        <v>841</v>
      </c>
      <c r="B15" s="4534"/>
      <c r="C15" s="4534"/>
      <c r="D15" s="4534"/>
      <c r="E15" s="4534"/>
      <c r="F15" s="4534"/>
      <c r="G15" s="4534"/>
      <c r="H15" s="4534"/>
      <c r="I15" s="4534"/>
      <c r="J15" s="4534"/>
      <c r="K15" s="4534"/>
      <c r="L15" s="4534"/>
      <c r="M15" s="4534"/>
      <c r="N15" s="4534"/>
      <c r="O15" s="4534"/>
      <c r="P15" s="4534"/>
      <c r="Q15" s="4534"/>
      <c r="R15" s="4534"/>
      <c r="S15" s="4534"/>
      <c r="T15" s="4534"/>
      <c r="U15" s="4534"/>
      <c r="V15" s="4534"/>
      <c r="W15" s="4534"/>
      <c r="X15" s="4534"/>
      <c r="Y15" s="4534"/>
      <c r="Z15" s="4534"/>
      <c r="AA15" s="4534"/>
      <c r="AB15" s="4534"/>
      <c r="AC15" s="4534"/>
      <c r="AD15" s="4534"/>
      <c r="AE15" s="4534"/>
      <c r="AF15" s="4534"/>
      <c r="AG15" s="4534"/>
      <c r="AH15" s="4535"/>
      <c r="AI15" s="1212"/>
      <c r="AJ15" s="1212"/>
      <c r="AK15" s="1213"/>
      <c r="AL15" s="2334"/>
      <c r="AM15" s="2305"/>
      <c r="AN15" s="2306"/>
    </row>
    <row r="16" spans="1:40" s="951" customFormat="1" ht="20.25" customHeight="1" thickTop="1" x14ac:dyDescent="0.25">
      <c r="A16" s="4527" t="s">
        <v>842</v>
      </c>
      <c r="B16" s="4555"/>
      <c r="C16" s="997">
        <f>SUM(K16+S16+AA16+AI16)</f>
        <v>17222776</v>
      </c>
      <c r="D16" s="996"/>
      <c r="E16" s="994">
        <f>SUM(M16+U16+AC16+AJ16)</f>
        <v>19725849</v>
      </c>
      <c r="F16" s="994">
        <f t="shared" ref="F16:H20" si="6">SUM(N16+V16+AD16+AK16)</f>
        <v>0</v>
      </c>
      <c r="G16" s="994">
        <f t="shared" si="6"/>
        <v>20605849</v>
      </c>
      <c r="H16" s="1034">
        <f t="shared" si="6"/>
        <v>0</v>
      </c>
      <c r="I16" s="2328">
        <f t="shared" ref="I16:J20" si="7">SUM(Q16+Y16+AG16+AJ16)</f>
        <v>20457216</v>
      </c>
      <c r="J16" s="2318">
        <f t="shared" si="7"/>
        <v>20457216</v>
      </c>
      <c r="K16" s="997"/>
      <c r="L16" s="996"/>
      <c r="M16" s="994"/>
      <c r="N16" s="1034"/>
      <c r="O16" s="1034"/>
      <c r="P16" s="1034"/>
      <c r="Q16" s="1034"/>
      <c r="R16" s="995"/>
      <c r="S16" s="996"/>
      <c r="T16" s="996"/>
      <c r="U16" s="994"/>
      <c r="V16" s="1034"/>
      <c r="W16" s="1034"/>
      <c r="X16" s="1034"/>
      <c r="Y16" s="1034"/>
      <c r="Z16" s="995"/>
      <c r="AA16" s="997">
        <v>17222776</v>
      </c>
      <c r="AB16" s="996"/>
      <c r="AC16" s="994">
        <v>19725849</v>
      </c>
      <c r="AD16" s="1034"/>
      <c r="AE16" s="1034">
        <v>20605849</v>
      </c>
      <c r="AF16" s="1034"/>
      <c r="AG16" s="1034">
        <v>20457216</v>
      </c>
      <c r="AH16" s="1251">
        <v>20457216</v>
      </c>
      <c r="AI16" s="998"/>
      <c r="AJ16" s="1127">
        <v>0</v>
      </c>
      <c r="AK16" s="1135">
        <v>0</v>
      </c>
      <c r="AL16" s="1136"/>
      <c r="AM16" s="1071"/>
      <c r="AN16" s="1137"/>
    </row>
    <row r="17" spans="1:40" s="951" customFormat="1" ht="20.25" customHeight="1" x14ac:dyDescent="0.25">
      <c r="A17" s="4531" t="s">
        <v>843</v>
      </c>
      <c r="B17" s="4552"/>
      <c r="C17" s="969">
        <f>SUM(K17+S17+AA17+AI17)</f>
        <v>3502115</v>
      </c>
      <c r="D17" s="963"/>
      <c r="E17" s="964">
        <f>SUM(M17+U17+AC17+AJ17)</f>
        <v>3644418</v>
      </c>
      <c r="F17" s="964">
        <f t="shared" si="6"/>
        <v>0</v>
      </c>
      <c r="G17" s="964">
        <f t="shared" si="6"/>
        <v>3816018</v>
      </c>
      <c r="H17" s="968">
        <f t="shared" si="6"/>
        <v>0</v>
      </c>
      <c r="I17" s="2316">
        <f t="shared" si="7"/>
        <v>4087096</v>
      </c>
      <c r="J17" s="2309">
        <f t="shared" si="7"/>
        <v>4087096</v>
      </c>
      <c r="K17" s="969"/>
      <c r="L17" s="963"/>
      <c r="M17" s="1035"/>
      <c r="N17" s="1065"/>
      <c r="O17" s="1065"/>
      <c r="P17" s="1065"/>
      <c r="Q17" s="1065"/>
      <c r="R17" s="970"/>
      <c r="S17" s="963"/>
      <c r="T17" s="963"/>
      <c r="U17" s="1035"/>
      <c r="V17" s="1065"/>
      <c r="W17" s="1065"/>
      <c r="X17" s="1065"/>
      <c r="Y17" s="1065"/>
      <c r="Z17" s="970"/>
      <c r="AA17" s="969">
        <v>3502115</v>
      </c>
      <c r="AB17" s="963"/>
      <c r="AC17" s="1035">
        <v>3644418</v>
      </c>
      <c r="AD17" s="1065"/>
      <c r="AE17" s="1065">
        <v>3816018</v>
      </c>
      <c r="AF17" s="1065"/>
      <c r="AG17" s="1065">
        <v>4087096</v>
      </c>
      <c r="AH17" s="974">
        <v>4087096</v>
      </c>
      <c r="AI17" s="1036"/>
      <c r="AJ17" s="1128">
        <v>0</v>
      </c>
      <c r="AK17" s="1089">
        <v>0</v>
      </c>
      <c r="AL17" s="1138"/>
      <c r="AM17" s="1074"/>
      <c r="AN17" s="1139"/>
    </row>
    <row r="18" spans="1:40" s="951" customFormat="1" ht="20.25" customHeight="1" x14ac:dyDescent="0.25">
      <c r="A18" s="4546" t="s">
        <v>844</v>
      </c>
      <c r="B18" s="4547"/>
      <c r="C18" s="969">
        <f>SUM(K18+S18+AA18+AI18)</f>
        <v>8981590</v>
      </c>
      <c r="D18" s="963"/>
      <c r="E18" s="964">
        <f>SUM(M18+U18+AC18+AJ18)</f>
        <v>9429663</v>
      </c>
      <c r="F18" s="964">
        <f t="shared" si="6"/>
        <v>0</v>
      </c>
      <c r="G18" s="964">
        <f t="shared" si="6"/>
        <v>9432194</v>
      </c>
      <c r="H18" s="968">
        <f t="shared" si="6"/>
        <v>0</v>
      </c>
      <c r="I18" s="2330">
        <f t="shared" si="7"/>
        <v>8601349</v>
      </c>
      <c r="J18" s="2309">
        <f t="shared" si="7"/>
        <v>8601349</v>
      </c>
      <c r="K18" s="969">
        <v>300000</v>
      </c>
      <c r="L18" s="963"/>
      <c r="M18" s="1035">
        <v>300000</v>
      </c>
      <c r="N18" s="1065"/>
      <c r="O18" s="1065">
        <v>300000</v>
      </c>
      <c r="P18" s="1065"/>
      <c r="Q18" s="1065">
        <v>395200</v>
      </c>
      <c r="R18" s="970">
        <v>395200</v>
      </c>
      <c r="S18" s="963">
        <v>294000</v>
      </c>
      <c r="T18" s="963"/>
      <c r="U18" s="1035">
        <v>433478</v>
      </c>
      <c r="V18" s="1065"/>
      <c r="W18" s="1065">
        <v>433478</v>
      </c>
      <c r="X18" s="1065"/>
      <c r="Y18" s="1065">
        <v>440426</v>
      </c>
      <c r="Z18" s="970">
        <v>440426</v>
      </c>
      <c r="AA18" s="969">
        <v>8387590</v>
      </c>
      <c r="AB18" s="963"/>
      <c r="AC18" s="1035">
        <v>8696185</v>
      </c>
      <c r="AD18" s="1065"/>
      <c r="AE18" s="1065">
        <v>8698716</v>
      </c>
      <c r="AF18" s="1065"/>
      <c r="AG18" s="1065">
        <v>7765723</v>
      </c>
      <c r="AH18" s="974">
        <v>7765723</v>
      </c>
      <c r="AI18" s="1036"/>
      <c r="AJ18" s="1128">
        <v>0</v>
      </c>
      <c r="AK18" s="1089">
        <v>0</v>
      </c>
      <c r="AL18" s="1138"/>
      <c r="AM18" s="1074"/>
      <c r="AN18" s="1139"/>
    </row>
    <row r="19" spans="1:40" s="951" customFormat="1" ht="20.25" customHeight="1" x14ac:dyDescent="0.25">
      <c r="A19" s="4546" t="s">
        <v>886</v>
      </c>
      <c r="B19" s="4547"/>
      <c r="C19" s="969">
        <f>SUM(K19+S19+AA19+AI19)</f>
        <v>0</v>
      </c>
      <c r="D19" s="963"/>
      <c r="E19" s="964">
        <f>SUM(M19+U19+AC19+AJ19)</f>
        <v>0</v>
      </c>
      <c r="F19" s="964">
        <f t="shared" si="6"/>
        <v>0</v>
      </c>
      <c r="G19" s="964">
        <f t="shared" si="6"/>
        <v>0</v>
      </c>
      <c r="H19" s="968">
        <f t="shared" si="6"/>
        <v>0</v>
      </c>
      <c r="I19" s="2316">
        <f t="shared" si="7"/>
        <v>0</v>
      </c>
      <c r="J19" s="2309">
        <f t="shared" si="7"/>
        <v>0</v>
      </c>
      <c r="K19" s="969"/>
      <c r="L19" s="963"/>
      <c r="M19" s="1035"/>
      <c r="N19" s="1065"/>
      <c r="O19" s="1065"/>
      <c r="P19" s="1065"/>
      <c r="Q19" s="1065"/>
      <c r="R19" s="970"/>
      <c r="S19" s="963"/>
      <c r="T19" s="963"/>
      <c r="U19" s="1035"/>
      <c r="V19" s="1065"/>
      <c r="W19" s="1065"/>
      <c r="X19" s="1065"/>
      <c r="Y19" s="1065"/>
      <c r="Z19" s="970"/>
      <c r="AA19" s="969"/>
      <c r="AB19" s="963"/>
      <c r="AC19" s="1035"/>
      <c r="AD19" s="1065"/>
      <c r="AE19" s="1065"/>
      <c r="AF19" s="1065"/>
      <c r="AG19" s="1065"/>
      <c r="AH19" s="974"/>
      <c r="AI19" s="1036"/>
      <c r="AJ19" s="1128"/>
      <c r="AK19" s="1089"/>
      <c r="AL19" s="1138"/>
      <c r="AM19" s="1074"/>
      <c r="AN19" s="1139"/>
    </row>
    <row r="20" spans="1:40" s="951" customFormat="1" ht="20.25" customHeight="1" x14ac:dyDescent="0.25">
      <c r="A20" s="4546" t="s">
        <v>887</v>
      </c>
      <c r="B20" s="4547"/>
      <c r="C20" s="969">
        <f>SUM(K20+S20+AA20+AI20)</f>
        <v>2890000</v>
      </c>
      <c r="D20" s="963"/>
      <c r="E20" s="964">
        <f>SUM(M20+U20+AC20+AJ20)</f>
        <v>2890000</v>
      </c>
      <c r="F20" s="964">
        <f t="shared" si="6"/>
        <v>0</v>
      </c>
      <c r="G20" s="964">
        <f t="shared" si="6"/>
        <v>4269172</v>
      </c>
      <c r="H20" s="968">
        <f t="shared" si="6"/>
        <v>0</v>
      </c>
      <c r="I20" s="2330">
        <f t="shared" si="7"/>
        <v>4234053</v>
      </c>
      <c r="J20" s="2309">
        <f t="shared" si="7"/>
        <v>4234053</v>
      </c>
      <c r="K20" s="969"/>
      <c r="L20" s="963"/>
      <c r="M20" s="1035"/>
      <c r="N20" s="1065"/>
      <c r="O20" s="1065"/>
      <c r="P20" s="1065"/>
      <c r="Q20" s="1065"/>
      <c r="R20" s="1095"/>
      <c r="S20" s="963">
        <v>2572500</v>
      </c>
      <c r="T20" s="963"/>
      <c r="U20" s="1035">
        <v>2572500</v>
      </c>
      <c r="V20" s="1065"/>
      <c r="W20" s="1065">
        <v>3572500</v>
      </c>
      <c r="X20" s="1065"/>
      <c r="Y20" s="1065">
        <v>3568871</v>
      </c>
      <c r="Z20" s="970">
        <v>3568871</v>
      </c>
      <c r="AA20" s="969">
        <v>317500</v>
      </c>
      <c r="AB20" s="963"/>
      <c r="AC20" s="1035">
        <v>317500</v>
      </c>
      <c r="AD20" s="1065"/>
      <c r="AE20" s="1065">
        <v>696672</v>
      </c>
      <c r="AF20" s="1065"/>
      <c r="AG20" s="1065">
        <v>665182</v>
      </c>
      <c r="AH20" s="974">
        <v>665182</v>
      </c>
      <c r="AI20" s="1036"/>
      <c r="AJ20" s="1128">
        <v>0</v>
      </c>
      <c r="AK20" s="1089">
        <v>0</v>
      </c>
      <c r="AL20" s="1138"/>
      <c r="AM20" s="1074"/>
      <c r="AN20" s="1139"/>
    </row>
    <row r="21" spans="1:40" s="659" customFormat="1" ht="24.75" customHeight="1" thickBot="1" x14ac:dyDescent="0.3">
      <c r="A21" s="4550" t="s">
        <v>517</v>
      </c>
      <c r="B21" s="4551"/>
      <c r="C21" s="987">
        <f>SUM(C16:C20)</f>
        <v>32596481</v>
      </c>
      <c r="D21" s="984"/>
      <c r="E21" s="1002">
        <f t="shared" ref="E21:K21" si="8">SUM(E16:E20)</f>
        <v>35689930</v>
      </c>
      <c r="F21" s="1002">
        <f t="shared" si="8"/>
        <v>0</v>
      </c>
      <c r="G21" s="1002">
        <f t="shared" si="8"/>
        <v>38123233</v>
      </c>
      <c r="H21" s="2266">
        <f t="shared" si="8"/>
        <v>0</v>
      </c>
      <c r="I21" s="2321">
        <f t="shared" si="8"/>
        <v>37379714</v>
      </c>
      <c r="J21" s="2319">
        <f t="shared" si="8"/>
        <v>37379714</v>
      </c>
      <c r="K21" s="987">
        <f t="shared" si="8"/>
        <v>300000</v>
      </c>
      <c r="L21" s="2229"/>
      <c r="M21" s="985">
        <f t="shared" ref="M21:S21" si="9">SUM(M16:M20)</f>
        <v>300000</v>
      </c>
      <c r="N21" s="985">
        <f t="shared" si="9"/>
        <v>0</v>
      </c>
      <c r="O21" s="985">
        <f t="shared" si="9"/>
        <v>300000</v>
      </c>
      <c r="P21" s="985">
        <f t="shared" si="9"/>
        <v>0</v>
      </c>
      <c r="Q21" s="985">
        <f t="shared" si="9"/>
        <v>395200</v>
      </c>
      <c r="R21" s="1080">
        <f t="shared" si="9"/>
        <v>395200</v>
      </c>
      <c r="S21" s="1078">
        <f t="shared" si="9"/>
        <v>2866500</v>
      </c>
      <c r="T21" s="1090"/>
      <c r="U21" s="985">
        <f t="shared" ref="U21:AA21" si="10">SUM(U16:U20)</f>
        <v>3005978</v>
      </c>
      <c r="V21" s="985">
        <f t="shared" si="10"/>
        <v>0</v>
      </c>
      <c r="W21" s="985">
        <f t="shared" si="10"/>
        <v>4005978</v>
      </c>
      <c r="X21" s="985">
        <f t="shared" si="10"/>
        <v>0</v>
      </c>
      <c r="Y21" s="985">
        <f t="shared" si="10"/>
        <v>4009297</v>
      </c>
      <c r="Z21" s="1090">
        <f t="shared" si="10"/>
        <v>4009297</v>
      </c>
      <c r="AA21" s="987">
        <f t="shared" si="10"/>
        <v>29429981</v>
      </c>
      <c r="AB21" s="984"/>
      <c r="AC21" s="984">
        <f t="shared" ref="AC21:AK21" si="11">SUM(AC16:AC20)</f>
        <v>32383952</v>
      </c>
      <c r="AD21" s="984">
        <f t="shared" si="11"/>
        <v>0</v>
      </c>
      <c r="AE21" s="984">
        <f t="shared" si="11"/>
        <v>33817255</v>
      </c>
      <c r="AF21" s="984">
        <f t="shared" si="11"/>
        <v>0</v>
      </c>
      <c r="AG21" s="984">
        <f t="shared" si="11"/>
        <v>32975217</v>
      </c>
      <c r="AH21" s="2087">
        <f t="shared" si="11"/>
        <v>32975217</v>
      </c>
      <c r="AI21" s="1003">
        <f t="shared" si="11"/>
        <v>0</v>
      </c>
      <c r="AJ21" s="989">
        <f t="shared" si="11"/>
        <v>0</v>
      </c>
      <c r="AK21" s="1080">
        <f t="shared" si="11"/>
        <v>0</v>
      </c>
      <c r="AL21" s="1140"/>
      <c r="AM21" s="1141"/>
      <c r="AN21" s="1142"/>
    </row>
    <row r="22" spans="1:40" ht="15.75" thickTop="1" x14ac:dyDescent="0.25">
      <c r="A22" s="992"/>
      <c r="B22" s="992"/>
      <c r="C22" s="992"/>
      <c r="D22" s="992"/>
      <c r="E22" s="992"/>
      <c r="F22" s="992"/>
      <c r="G22" s="992"/>
      <c r="H22" s="992"/>
      <c r="I22" s="992"/>
      <c r="J22" s="992"/>
      <c r="K22" s="992"/>
      <c r="L22" s="992"/>
      <c r="M22" s="992"/>
      <c r="N22" s="992"/>
      <c r="O22" s="992"/>
      <c r="P22" s="992"/>
      <c r="Q22" s="992"/>
      <c r="R22" s="992"/>
      <c r="S22" s="992"/>
      <c r="T22" s="992"/>
      <c r="U22" s="992"/>
      <c r="V22" s="992"/>
      <c r="W22" s="992"/>
      <c r="X22" s="992"/>
      <c r="Y22" s="992"/>
      <c r="Z22" s="992"/>
      <c r="AA22" s="952"/>
      <c r="AB22" s="952"/>
      <c r="AC22" s="952"/>
      <c r="AD22" s="952"/>
      <c r="AE22" s="952"/>
      <c r="AF22" s="952"/>
      <c r="AG22" s="952"/>
      <c r="AH22" s="952"/>
      <c r="AI22" s="952"/>
      <c r="AJ22" s="952"/>
      <c r="AK22" s="952"/>
      <c r="AL22" s="952"/>
      <c r="AM22" s="952"/>
    </row>
    <row r="23" spans="1:40" x14ac:dyDescent="0.25">
      <c r="A23" s="992"/>
      <c r="B23" s="992"/>
      <c r="C23" s="1007">
        <f>SUM(C21-C13)</f>
        <v>0</v>
      </c>
      <c r="D23" s="1007"/>
      <c r="E23" s="1007">
        <f t="shared" ref="E23:K23" si="12">SUM(E21-E13)</f>
        <v>0</v>
      </c>
      <c r="F23" s="1007">
        <f t="shared" si="12"/>
        <v>0</v>
      </c>
      <c r="G23" s="1007">
        <f t="shared" si="12"/>
        <v>0</v>
      </c>
      <c r="H23" s="1007">
        <f t="shared" si="12"/>
        <v>0</v>
      </c>
      <c r="I23" s="1007">
        <f t="shared" si="12"/>
        <v>0</v>
      </c>
      <c r="J23" s="1007">
        <f t="shared" si="12"/>
        <v>0</v>
      </c>
      <c r="K23" s="1007">
        <f t="shared" si="12"/>
        <v>0</v>
      </c>
      <c r="L23" s="1007"/>
      <c r="M23" s="1007">
        <f t="shared" ref="M23:S23" si="13">SUM(M21-M13)</f>
        <v>0</v>
      </c>
      <c r="N23" s="1007">
        <f t="shared" si="13"/>
        <v>0</v>
      </c>
      <c r="O23" s="1007">
        <f t="shared" si="13"/>
        <v>0</v>
      </c>
      <c r="P23" s="1007">
        <f t="shared" si="13"/>
        <v>0</v>
      </c>
      <c r="Q23" s="1007">
        <f t="shared" si="13"/>
        <v>0</v>
      </c>
      <c r="R23" s="1007">
        <f t="shared" si="13"/>
        <v>0</v>
      </c>
      <c r="S23" s="1007">
        <f t="shared" si="13"/>
        <v>0</v>
      </c>
      <c r="T23" s="1007"/>
      <c r="U23" s="1007">
        <f>SUM(U21-U13)</f>
        <v>0</v>
      </c>
      <c r="V23" s="1007">
        <f>SUM(V21-V13)</f>
        <v>0</v>
      </c>
      <c r="W23" s="1007">
        <f>SUM(W21-W13)</f>
        <v>0</v>
      </c>
      <c r="X23" s="1007">
        <f>SUM(X21-X13)</f>
        <v>0</v>
      </c>
      <c r="Y23" s="1007">
        <f>SUM(Y21-Y13)</f>
        <v>0</v>
      </c>
      <c r="Z23" s="1007"/>
      <c r="AA23" s="1007">
        <f>SUM(AA21-AA13)</f>
        <v>0</v>
      </c>
      <c r="AB23" s="1007"/>
      <c r="AC23" s="1007">
        <f t="shared" ref="AC23:AJ23" si="14">SUM(AC21-AC13)</f>
        <v>0</v>
      </c>
      <c r="AD23" s="1007">
        <f t="shared" si="14"/>
        <v>0</v>
      </c>
      <c r="AE23" s="1007">
        <f t="shared" si="14"/>
        <v>0</v>
      </c>
      <c r="AF23" s="1007">
        <f t="shared" si="14"/>
        <v>0</v>
      </c>
      <c r="AG23" s="1007">
        <f t="shared" si="14"/>
        <v>0</v>
      </c>
      <c r="AH23" s="1007">
        <f t="shared" si="14"/>
        <v>0</v>
      </c>
      <c r="AI23" s="1007">
        <f t="shared" si="14"/>
        <v>0</v>
      </c>
      <c r="AJ23" s="1007">
        <f t="shared" si="14"/>
        <v>0</v>
      </c>
      <c r="AK23" s="1007"/>
      <c r="AL23" s="952"/>
      <c r="AM23" s="952"/>
    </row>
    <row r="24" spans="1:40" x14ac:dyDescent="0.25">
      <c r="A24" s="992"/>
      <c r="B24" s="992"/>
      <c r="C24" s="992"/>
      <c r="D24" s="992"/>
      <c r="E24" s="992"/>
      <c r="F24" s="992"/>
      <c r="G24" s="992"/>
      <c r="H24" s="992"/>
      <c r="I24" s="992"/>
      <c r="J24" s="992"/>
      <c r="K24" s="992"/>
      <c r="L24" s="992"/>
      <c r="M24" s="992"/>
      <c r="N24" s="992"/>
      <c r="O24" s="992"/>
      <c r="P24" s="992"/>
      <c r="Q24" s="992"/>
      <c r="R24" s="992"/>
      <c r="S24" s="992"/>
      <c r="T24" s="992"/>
      <c r="U24" s="992"/>
      <c r="V24" s="992"/>
      <c r="W24" s="992"/>
      <c r="X24" s="992"/>
      <c r="Y24" s="992"/>
      <c r="Z24" s="992"/>
      <c r="AA24" s="952"/>
      <c r="AB24" s="952"/>
      <c r="AC24" s="952"/>
      <c r="AD24" s="952"/>
      <c r="AE24" s="952"/>
      <c r="AF24" s="952"/>
      <c r="AG24" s="952"/>
      <c r="AH24" s="952"/>
      <c r="AI24" s="952"/>
      <c r="AJ24" s="952"/>
      <c r="AK24" s="952"/>
      <c r="AL24" s="952"/>
      <c r="AM24" s="952"/>
    </row>
    <row r="25" spans="1:40" x14ac:dyDescent="0.25">
      <c r="A25" s="992"/>
      <c r="B25" s="992"/>
      <c r="C25" s="992"/>
      <c r="D25" s="992"/>
      <c r="E25" s="992"/>
      <c r="F25" s="992"/>
      <c r="G25" s="992"/>
      <c r="H25" s="992"/>
      <c r="I25" s="992"/>
      <c r="J25" s="992"/>
      <c r="K25" s="992"/>
      <c r="L25" s="992"/>
      <c r="M25" s="992"/>
      <c r="N25" s="992"/>
      <c r="O25" s="992"/>
      <c r="P25" s="992"/>
      <c r="Q25" s="992"/>
      <c r="R25" s="992"/>
      <c r="S25" s="992"/>
      <c r="T25" s="992"/>
      <c r="U25" s="992"/>
      <c r="V25" s="992"/>
      <c r="W25" s="992"/>
      <c r="X25" s="992"/>
      <c r="Y25" s="992"/>
      <c r="Z25" s="992"/>
      <c r="AA25" s="952"/>
      <c r="AB25" s="952"/>
      <c r="AC25" s="952"/>
      <c r="AD25" s="952"/>
      <c r="AE25" s="952"/>
      <c r="AF25" s="952"/>
      <c r="AG25" s="952"/>
      <c r="AH25" s="952"/>
      <c r="AI25" s="952"/>
      <c r="AJ25" s="952"/>
      <c r="AK25" s="952"/>
      <c r="AL25" s="952"/>
      <c r="AM25" s="952"/>
    </row>
    <row r="26" spans="1:40" x14ac:dyDescent="0.25">
      <c r="A26" s="992"/>
      <c r="B26" s="992"/>
      <c r="C26" s="992"/>
      <c r="D26" s="992"/>
      <c r="E26" s="992"/>
      <c r="F26" s="992"/>
      <c r="G26" s="992"/>
      <c r="H26" s="992"/>
      <c r="I26" s="992"/>
      <c r="J26" s="992"/>
      <c r="K26" s="992"/>
      <c r="L26" s="992"/>
      <c r="M26" s="992"/>
      <c r="N26" s="992"/>
      <c r="O26" s="992"/>
      <c r="P26" s="992"/>
      <c r="Q26" s="992"/>
      <c r="R26" s="992"/>
      <c r="S26" s="992"/>
      <c r="T26" s="992"/>
      <c r="U26" s="992"/>
      <c r="V26" s="992"/>
      <c r="W26" s="992"/>
      <c r="X26" s="992"/>
      <c r="Y26" s="992"/>
      <c r="Z26" s="992"/>
      <c r="AA26" s="952"/>
      <c r="AB26" s="952"/>
      <c r="AC26" s="952"/>
      <c r="AD26" s="952"/>
      <c r="AE26" s="952"/>
      <c r="AF26" s="952"/>
      <c r="AG26" s="952"/>
      <c r="AH26" s="952"/>
      <c r="AI26" s="952"/>
      <c r="AJ26" s="952"/>
      <c r="AK26" s="952"/>
      <c r="AL26" s="952"/>
      <c r="AM26" s="952"/>
    </row>
    <row r="27" spans="1:40" ht="15.75" x14ac:dyDescent="0.25">
      <c r="A27" s="4558" t="s">
        <v>903</v>
      </c>
      <c r="B27" s="4558"/>
      <c r="C27" s="1008"/>
      <c r="D27" s="1008"/>
      <c r="E27" s="1008"/>
      <c r="F27" s="1008"/>
      <c r="G27" s="1008"/>
      <c r="H27" s="1008"/>
      <c r="I27" s="1008"/>
      <c r="J27" s="1008"/>
      <c r="K27" s="992"/>
      <c r="L27" s="992"/>
      <c r="M27" s="992"/>
      <c r="N27" s="992"/>
      <c r="O27" s="992"/>
      <c r="P27" s="992"/>
      <c r="Q27" s="992"/>
      <c r="R27" s="992"/>
      <c r="S27" s="992"/>
      <c r="T27" s="992"/>
      <c r="U27" s="992"/>
      <c r="V27" s="992"/>
      <c r="W27" s="992"/>
      <c r="X27" s="992"/>
      <c r="Y27" s="992"/>
      <c r="Z27" s="992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</row>
    <row r="28" spans="1:40" x14ac:dyDescent="0.25">
      <c r="A28" s="992"/>
      <c r="B28" s="992"/>
      <c r="C28" s="992"/>
      <c r="D28" s="992"/>
      <c r="E28" s="992"/>
      <c r="F28" s="992"/>
      <c r="G28" s="992"/>
      <c r="H28" s="992"/>
      <c r="I28" s="992"/>
      <c r="J28" s="992"/>
      <c r="K28" s="992"/>
      <c r="L28" s="992"/>
      <c r="M28" s="992"/>
      <c r="N28" s="992"/>
      <c r="O28" s="992"/>
      <c r="P28" s="992"/>
      <c r="Q28" s="992"/>
      <c r="R28" s="992"/>
      <c r="S28" s="992"/>
      <c r="T28" s="992"/>
      <c r="U28" s="992"/>
      <c r="V28" s="992"/>
      <c r="W28" s="992"/>
      <c r="X28" s="992"/>
      <c r="Y28" s="992"/>
      <c r="Z28" s="992"/>
      <c r="AA28" s="952"/>
      <c r="AB28" s="952"/>
      <c r="AC28" s="952"/>
      <c r="AD28" s="952"/>
      <c r="AE28" s="952"/>
      <c r="AF28" s="952"/>
      <c r="AG28" s="952"/>
      <c r="AH28" s="952"/>
      <c r="AI28" s="952"/>
      <c r="AJ28" s="952"/>
      <c r="AK28" s="952"/>
      <c r="AL28" s="952"/>
      <c r="AM28" s="952"/>
    </row>
    <row r="29" spans="1:40" ht="15.75" x14ac:dyDescent="0.25">
      <c r="A29" s="4548" t="s">
        <v>786</v>
      </c>
      <c r="B29" s="4548"/>
      <c r="C29" s="1007">
        <f>SUM('5.8. sz. mell.'!F8)</f>
        <v>844000</v>
      </c>
      <c r="D29" s="1007"/>
      <c r="E29" s="1007">
        <f>SUM('5.8. sz. mell.'!H8)</f>
        <v>854681</v>
      </c>
      <c r="F29" s="1007"/>
      <c r="G29" s="1007">
        <f>SUM('5.8. sz. mell.'!J8)</f>
        <v>1109248</v>
      </c>
      <c r="H29" s="1007"/>
      <c r="I29" s="1007">
        <f>SUM('5.8. sz. mell.'!L8)</f>
        <v>1109248</v>
      </c>
      <c r="J29" s="1007">
        <f>SUM('5.8. sz. mell.'!M8)</f>
        <v>1109248</v>
      </c>
      <c r="K29" s="992"/>
      <c r="L29" s="992"/>
      <c r="M29" s="4548" t="s">
        <v>236</v>
      </c>
      <c r="N29" s="4548"/>
      <c r="O29" s="4548"/>
      <c r="P29" s="4548"/>
      <c r="Q29" s="4548"/>
      <c r="R29" s="4548"/>
      <c r="S29" s="1010">
        <f>SUM('5.8. sz. mell.'!F46)</f>
        <v>17222776</v>
      </c>
      <c r="T29" s="1010"/>
      <c r="U29" s="1010">
        <f>SUM('5.8. sz. mell.'!H46)</f>
        <v>19725849</v>
      </c>
      <c r="V29" s="1010"/>
      <c r="W29" s="1010">
        <f>SUM('5.8. sz. mell.'!J46)</f>
        <v>20457216</v>
      </c>
      <c r="X29" s="1010"/>
      <c r="Y29" s="1010">
        <f>SUM('5.8. sz. mell.'!L46)</f>
        <v>20457216</v>
      </c>
      <c r="Z29" s="1010">
        <f>SUM('5.8. sz. mell.'!M46)</f>
        <v>20457216</v>
      </c>
      <c r="AA29" s="1010"/>
      <c r="AB29" s="1010"/>
      <c r="AC29" s="1010"/>
      <c r="AD29" s="1010"/>
      <c r="AE29" s="1010"/>
      <c r="AF29" s="1010"/>
      <c r="AG29" s="1010"/>
      <c r="AH29" s="1010"/>
      <c r="AI29" s="952"/>
      <c r="AJ29" s="952"/>
      <c r="AK29" s="952"/>
      <c r="AL29" s="952"/>
      <c r="AM29" s="952"/>
    </row>
    <row r="30" spans="1:40" ht="15.75" x14ac:dyDescent="0.25">
      <c r="A30" s="1006" t="s">
        <v>893</v>
      </c>
      <c r="B30" s="1006"/>
      <c r="C30" s="1011">
        <f>SUM(C29-C7)</f>
        <v>0</v>
      </c>
      <c r="D30" s="1011"/>
      <c r="E30" s="1011">
        <f t="shared" ref="E30:J30" si="15">SUM(E29-E7)</f>
        <v>0</v>
      </c>
      <c r="F30" s="1011">
        <f t="shared" si="15"/>
        <v>0</v>
      </c>
      <c r="G30" s="1011">
        <f t="shared" si="15"/>
        <v>252036</v>
      </c>
      <c r="H30" s="1011">
        <f t="shared" si="15"/>
        <v>0</v>
      </c>
      <c r="I30" s="1011">
        <f t="shared" si="15"/>
        <v>0</v>
      </c>
      <c r="J30" s="1011">
        <f t="shared" si="15"/>
        <v>0</v>
      </c>
      <c r="K30" s="992"/>
      <c r="L30" s="992"/>
      <c r="M30" s="1006" t="s">
        <v>893</v>
      </c>
      <c r="N30" s="1006"/>
      <c r="O30" s="1006"/>
      <c r="P30" s="1006"/>
      <c r="Q30" s="1006"/>
      <c r="R30" s="992"/>
      <c r="S30" s="1012">
        <f>SUM(S29-C16)</f>
        <v>0</v>
      </c>
      <c r="T30" s="1012"/>
      <c r="U30" s="1012">
        <f>SUM(U29-E16)</f>
        <v>0</v>
      </c>
      <c r="V30" s="1012"/>
      <c r="W30" s="1012">
        <f>SUM(W29-G16)</f>
        <v>-148633</v>
      </c>
      <c r="X30" s="1012"/>
      <c r="Y30" s="1012">
        <f>SUM(Y29-I16)</f>
        <v>0</v>
      </c>
      <c r="Z30" s="1012">
        <f>SUM(Z29-J16)</f>
        <v>0</v>
      </c>
      <c r="AA30" s="1012"/>
      <c r="AB30" s="1012"/>
      <c r="AC30" s="1012"/>
      <c r="AD30" s="1012"/>
      <c r="AE30" s="1012"/>
      <c r="AF30" s="1012"/>
      <c r="AG30" s="1012"/>
      <c r="AH30" s="1012"/>
      <c r="AI30" s="952"/>
      <c r="AJ30" s="952"/>
      <c r="AK30" s="952"/>
      <c r="AL30" s="952"/>
      <c r="AM30" s="952"/>
    </row>
    <row r="31" spans="1:40" ht="15.75" x14ac:dyDescent="0.25">
      <c r="A31" s="1006"/>
      <c r="B31" s="1006"/>
      <c r="C31" s="1011"/>
      <c r="D31" s="1011"/>
      <c r="E31" s="1011"/>
      <c r="F31" s="1011"/>
      <c r="G31" s="1011"/>
      <c r="H31" s="1011"/>
      <c r="I31" s="1011"/>
      <c r="J31" s="1011"/>
      <c r="K31" s="992"/>
      <c r="L31" s="992"/>
      <c r="M31" s="1006"/>
      <c r="N31" s="1006"/>
      <c r="O31" s="1006"/>
      <c r="P31" s="1006"/>
      <c r="Q31" s="1006"/>
      <c r="R31" s="992"/>
      <c r="S31" s="1012"/>
      <c r="T31" s="1012"/>
      <c r="U31" s="1012"/>
      <c r="V31" s="1012"/>
      <c r="W31" s="1012"/>
      <c r="X31" s="1012"/>
      <c r="Y31" s="1012"/>
      <c r="Z31" s="1012"/>
      <c r="AA31" s="1012"/>
      <c r="AB31" s="1012"/>
      <c r="AC31" s="1012"/>
      <c r="AD31" s="1012"/>
      <c r="AE31" s="1012"/>
      <c r="AF31" s="1012"/>
      <c r="AG31" s="1012"/>
      <c r="AH31" s="1012"/>
      <c r="AI31" s="952"/>
      <c r="AJ31" s="952"/>
      <c r="AK31" s="952"/>
      <c r="AL31" s="952"/>
      <c r="AM31" s="952"/>
    </row>
    <row r="32" spans="1:40" ht="15.75" x14ac:dyDescent="0.25">
      <c r="A32" s="4548" t="s">
        <v>904</v>
      </c>
      <c r="B32" s="4548"/>
      <c r="C32" s="1007">
        <f>SUM('5.8. sz. mell.'!F22)</f>
        <v>0</v>
      </c>
      <c r="D32" s="1007"/>
      <c r="E32" s="1007">
        <f>SUM('5.8. sz. mell.'!H22)</f>
        <v>0</v>
      </c>
      <c r="F32" s="1007"/>
      <c r="G32" s="1007">
        <f>SUM('5.8. sz. mell.'!J22)</f>
        <v>0</v>
      </c>
      <c r="H32" s="1007"/>
      <c r="I32" s="1007">
        <f>SUM('5.8. sz. mell.'!L22)</f>
        <v>0</v>
      </c>
      <c r="J32" s="1007">
        <f>SUM('5.8. sz. mell.'!M22)</f>
        <v>0</v>
      </c>
      <c r="K32" s="992"/>
      <c r="L32" s="992"/>
      <c r="M32" s="4548" t="s">
        <v>895</v>
      </c>
      <c r="N32" s="4548"/>
      <c r="O32" s="4548"/>
      <c r="P32" s="4548"/>
      <c r="Q32" s="4548"/>
      <c r="R32" s="4548"/>
      <c r="S32" s="1010">
        <f>SUM('5.8. sz. mell.'!F47)</f>
        <v>3502115</v>
      </c>
      <c r="T32" s="1010"/>
      <c r="U32" s="1010">
        <f>SUM('5.8. sz. mell.'!H47)</f>
        <v>3644418</v>
      </c>
      <c r="V32" s="1010"/>
      <c r="W32" s="1010">
        <f>SUM('5.8. sz. mell.'!J47)</f>
        <v>4087096</v>
      </c>
      <c r="X32" s="1010"/>
      <c r="Y32" s="1010">
        <f>SUM('5.8. sz. mell.'!L47)</f>
        <v>4087096</v>
      </c>
      <c r="Z32" s="1010">
        <f>SUM('5.8. sz. mell.'!M47)</f>
        <v>4087096</v>
      </c>
      <c r="AA32" s="1010"/>
      <c r="AB32" s="1010"/>
      <c r="AC32" s="1010"/>
      <c r="AD32" s="1010"/>
      <c r="AE32" s="1010"/>
      <c r="AF32" s="1010"/>
      <c r="AG32" s="1010"/>
      <c r="AH32" s="1010"/>
      <c r="AI32" s="952"/>
      <c r="AJ32" s="952"/>
      <c r="AK32" s="952"/>
      <c r="AL32" s="952"/>
      <c r="AM32" s="952"/>
    </row>
    <row r="33" spans="1:39" ht="15.75" x14ac:dyDescent="0.25">
      <c r="A33" s="1006" t="s">
        <v>893</v>
      </c>
      <c r="B33" s="1006"/>
      <c r="C33" s="1011">
        <f>SUM(C32-C8)</f>
        <v>0</v>
      </c>
      <c r="D33" s="1011"/>
      <c r="E33" s="1011">
        <f>SUM(E32-E8)</f>
        <v>0</v>
      </c>
      <c r="F33" s="1011"/>
      <c r="G33" s="1011">
        <f>SUM(G32-G8)</f>
        <v>0</v>
      </c>
      <c r="H33" s="1011"/>
      <c r="I33" s="1011">
        <f>SUM(I32-I8)</f>
        <v>0</v>
      </c>
      <c r="J33" s="1011">
        <f>SUM(J32-J8)</f>
        <v>0</v>
      </c>
      <c r="K33" s="992"/>
      <c r="L33" s="992"/>
      <c r="M33" s="1006" t="s">
        <v>893</v>
      </c>
      <c r="N33" s="1006"/>
      <c r="O33" s="1006"/>
      <c r="P33" s="1006"/>
      <c r="Q33" s="1006"/>
      <c r="R33" s="992"/>
      <c r="S33" s="1012">
        <f>SUM(S32-C17)</f>
        <v>0</v>
      </c>
      <c r="T33" s="1012"/>
      <c r="U33" s="1012">
        <f>SUM(U32-E17)</f>
        <v>0</v>
      </c>
      <c r="V33" s="1012"/>
      <c r="W33" s="1012">
        <f>SUM(W32-G17)</f>
        <v>271078</v>
      </c>
      <c r="X33" s="1012"/>
      <c r="Y33" s="1012">
        <f>SUM(Y32-I17)</f>
        <v>0</v>
      </c>
      <c r="Z33" s="1012">
        <f>SUM(Z32-J17)</f>
        <v>0</v>
      </c>
      <c r="AA33" s="1012"/>
      <c r="AB33" s="1012"/>
      <c r="AC33" s="1012"/>
      <c r="AD33" s="1012"/>
      <c r="AE33" s="1012"/>
      <c r="AF33" s="1012"/>
      <c r="AG33" s="1012"/>
      <c r="AH33" s="1012"/>
      <c r="AI33" s="952"/>
      <c r="AJ33" s="952"/>
      <c r="AK33" s="952"/>
      <c r="AL33" s="952"/>
      <c r="AM33" s="952"/>
    </row>
    <row r="34" spans="1:39" ht="15.75" x14ac:dyDescent="0.25">
      <c r="A34" s="1008"/>
      <c r="B34" s="1008"/>
      <c r="C34" s="992"/>
      <c r="D34" s="992"/>
      <c r="E34" s="992"/>
      <c r="F34" s="992"/>
      <c r="G34" s="992"/>
      <c r="H34" s="992"/>
      <c r="I34" s="992"/>
      <c r="J34" s="992"/>
      <c r="K34" s="992"/>
      <c r="L34" s="992"/>
      <c r="M34" s="992"/>
      <c r="N34" s="992"/>
      <c r="O34" s="992"/>
      <c r="P34" s="992"/>
      <c r="Q34" s="992"/>
      <c r="R34" s="992"/>
      <c r="S34" s="1008"/>
      <c r="T34" s="1008"/>
      <c r="U34" s="1008"/>
      <c r="V34" s="1008"/>
      <c r="W34" s="1008"/>
      <c r="X34" s="1008"/>
      <c r="Y34" s="1008"/>
      <c r="Z34" s="1008"/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</row>
    <row r="35" spans="1:39" ht="15.75" x14ac:dyDescent="0.25">
      <c r="A35" s="4548" t="s">
        <v>892</v>
      </c>
      <c r="B35" s="4548"/>
      <c r="C35" s="1007">
        <f>SUM('5.8. sz. mell.'!F36)</f>
        <v>31752481</v>
      </c>
      <c r="D35" s="1007"/>
      <c r="E35" s="1007">
        <f>SUM('5.8. sz. mell.'!H36)</f>
        <v>34835249</v>
      </c>
      <c r="F35" s="1007"/>
      <c r="G35" s="1007">
        <f>SUM('5.8. sz. mell.'!J36)</f>
        <v>36270466</v>
      </c>
      <c r="H35" s="1007"/>
      <c r="I35" s="1007">
        <f>SUM('5.8. sz. mell.'!L36)</f>
        <v>36270466</v>
      </c>
      <c r="J35" s="1007">
        <f>SUM('5.8. sz. mell.'!M36)</f>
        <v>36270466</v>
      </c>
      <c r="K35" s="992"/>
      <c r="L35" s="992"/>
      <c r="M35" s="4549" t="s">
        <v>896</v>
      </c>
      <c r="N35" s="4549"/>
      <c r="O35" s="4549"/>
      <c r="P35" s="4549"/>
      <c r="Q35" s="4549"/>
      <c r="R35" s="4549"/>
      <c r="S35" s="1010">
        <f>SUM('5.8. sz. mell.'!F48)</f>
        <v>8981590</v>
      </c>
      <c r="T35" s="1010"/>
      <c r="U35" s="1010">
        <f>SUM('5.8. sz. mell.'!H48)</f>
        <v>9429663</v>
      </c>
      <c r="V35" s="1010"/>
      <c r="W35" s="1010">
        <f>SUM('5.8. sz. mell.'!J48)</f>
        <v>8601349</v>
      </c>
      <c r="X35" s="1010"/>
      <c r="Y35" s="1010">
        <f>SUM('5.8. sz. mell.'!L48)</f>
        <v>8601349</v>
      </c>
      <c r="Z35" s="1010">
        <f>SUM('5.8. sz. mell.'!M48)</f>
        <v>8601349</v>
      </c>
      <c r="AA35" s="1010"/>
      <c r="AB35" s="1010"/>
      <c r="AC35" s="1010"/>
      <c r="AD35" s="1010"/>
      <c r="AE35" s="1010"/>
      <c r="AF35" s="1010"/>
      <c r="AG35" s="1010"/>
      <c r="AH35" s="1010"/>
      <c r="AI35" s="952"/>
      <c r="AJ35" s="952"/>
      <c r="AK35" s="952"/>
      <c r="AL35" s="952"/>
      <c r="AM35" s="952"/>
    </row>
    <row r="36" spans="1:39" ht="15.75" x14ac:dyDescent="0.25">
      <c r="A36" s="1006" t="s">
        <v>893</v>
      </c>
      <c r="B36" s="1008"/>
      <c r="C36" s="1012">
        <f>SUM(C35-C9)</f>
        <v>0</v>
      </c>
      <c r="D36" s="1012"/>
      <c r="E36" s="1012">
        <f>SUM(E35-E9)</f>
        <v>0</v>
      </c>
      <c r="F36" s="1012"/>
      <c r="G36" s="1012">
        <f>SUM(G35-G9)</f>
        <v>-995555</v>
      </c>
      <c r="H36" s="1012"/>
      <c r="I36" s="1012">
        <f>SUM(I35-I9)</f>
        <v>0</v>
      </c>
      <c r="J36" s="1012">
        <f>SUM(J35-J9)</f>
        <v>0</v>
      </c>
      <c r="K36" s="992"/>
      <c r="L36" s="992"/>
      <c r="M36" s="1006" t="s">
        <v>893</v>
      </c>
      <c r="N36" s="1006"/>
      <c r="O36" s="1006"/>
      <c r="P36" s="1006"/>
      <c r="Q36" s="1006"/>
      <c r="R36" s="992"/>
      <c r="S36" s="1012">
        <f>SUM(S35-C18)</f>
        <v>0</v>
      </c>
      <c r="T36" s="1012"/>
      <c r="U36" s="1012">
        <f>SUM(U35-E18)</f>
        <v>0</v>
      </c>
      <c r="V36" s="1012"/>
      <c r="W36" s="1012">
        <f>SUM(W35-G18)</f>
        <v>-830845</v>
      </c>
      <c r="X36" s="1012"/>
      <c r="Y36" s="1012">
        <f>SUM(Y35-I18)</f>
        <v>0</v>
      </c>
      <c r="Z36" s="1012">
        <f>SUM(Z35-J18)</f>
        <v>0</v>
      </c>
      <c r="AA36" s="1012"/>
      <c r="AB36" s="1012"/>
      <c r="AC36" s="1012"/>
      <c r="AD36" s="1012"/>
      <c r="AE36" s="1012"/>
      <c r="AF36" s="1012"/>
      <c r="AG36" s="1012"/>
      <c r="AH36" s="1012"/>
      <c r="AI36" s="952"/>
      <c r="AJ36" s="952"/>
      <c r="AK36" s="952"/>
      <c r="AL36" s="952"/>
      <c r="AM36" s="952"/>
    </row>
    <row r="37" spans="1:39" ht="15.75" x14ac:dyDescent="0.25">
      <c r="A37" s="1008"/>
      <c r="B37" s="1008"/>
      <c r="C37" s="992"/>
      <c r="D37" s="992"/>
      <c r="E37" s="992"/>
      <c r="F37" s="992"/>
      <c r="G37" s="992"/>
      <c r="H37" s="992"/>
      <c r="I37" s="992"/>
      <c r="J37" s="992"/>
      <c r="K37" s="992"/>
      <c r="L37" s="992"/>
      <c r="M37" s="992"/>
      <c r="N37" s="992"/>
      <c r="O37" s="992"/>
      <c r="P37" s="992"/>
      <c r="Q37" s="992"/>
      <c r="R37" s="992"/>
      <c r="S37" s="1008"/>
      <c r="T37" s="1008"/>
      <c r="U37" s="1008"/>
      <c r="V37" s="1008"/>
      <c r="W37" s="1008"/>
      <c r="X37" s="1008"/>
      <c r="Y37" s="1008"/>
      <c r="Z37" s="1008"/>
      <c r="AA37" s="952"/>
      <c r="AB37" s="952"/>
      <c r="AC37" s="952"/>
      <c r="AD37" s="952"/>
      <c r="AE37" s="952"/>
      <c r="AF37" s="952"/>
      <c r="AG37" s="952"/>
      <c r="AH37" s="952"/>
      <c r="AI37" s="952"/>
      <c r="AJ37" s="952"/>
      <c r="AK37" s="952"/>
      <c r="AL37" s="952"/>
      <c r="AM37" s="952"/>
    </row>
    <row r="38" spans="1:39" ht="15.75" x14ac:dyDescent="0.25">
      <c r="A38" s="4548" t="s">
        <v>891</v>
      </c>
      <c r="B38" s="4548"/>
      <c r="C38" s="1007">
        <f>SUM('5.8. sz. mell.'!F40)</f>
        <v>12773970</v>
      </c>
      <c r="D38" s="1007"/>
      <c r="E38" s="1007">
        <f>SUM('5.8. sz. mell.'!H40)</f>
        <v>13490237</v>
      </c>
      <c r="F38" s="1007"/>
      <c r="G38" s="1007">
        <f>SUM('5.8. sz. mell.'!J40)</f>
        <v>15751866</v>
      </c>
      <c r="H38" s="1007"/>
      <c r="I38" s="1007">
        <f>SUM('5.8. sz. mell.'!L40)</f>
        <v>15751866</v>
      </c>
      <c r="J38" s="1007">
        <f>SUM('5.8. sz. mell.'!M40)</f>
        <v>15751866</v>
      </c>
      <c r="K38" s="992"/>
      <c r="L38" s="992"/>
      <c r="M38" s="4549" t="s">
        <v>897</v>
      </c>
      <c r="N38" s="4549"/>
      <c r="O38" s="4549"/>
      <c r="P38" s="4549"/>
      <c r="Q38" s="4549"/>
      <c r="R38" s="4549"/>
      <c r="S38" s="1010">
        <f>SUM('5.8. sz. mell.'!F50)</f>
        <v>0</v>
      </c>
      <c r="T38" s="1010"/>
      <c r="U38" s="1010">
        <f>SUM('5.8. sz. mell.'!H50)</f>
        <v>0</v>
      </c>
      <c r="V38" s="1010"/>
      <c r="W38" s="1010">
        <f>SUM('5.8. sz. mell.'!J50)</f>
        <v>0</v>
      </c>
      <c r="X38" s="1010"/>
      <c r="Y38" s="1010">
        <f>SUM('5.8. sz. mell.'!L50)</f>
        <v>0</v>
      </c>
      <c r="Z38" s="1010">
        <f>SUM('5.8. sz. mell.'!M50)</f>
        <v>0</v>
      </c>
      <c r="AA38" s="952"/>
      <c r="AB38" s="952"/>
      <c r="AC38" s="952"/>
      <c r="AD38" s="952"/>
      <c r="AE38" s="952"/>
      <c r="AF38" s="952"/>
      <c r="AG38" s="952"/>
      <c r="AH38" s="952"/>
      <c r="AI38" s="952"/>
      <c r="AJ38" s="952"/>
      <c r="AK38" s="952"/>
      <c r="AL38" s="952"/>
      <c r="AM38" s="952"/>
    </row>
    <row r="39" spans="1:39" ht="15.75" x14ac:dyDescent="0.25">
      <c r="A39" s="1006" t="s">
        <v>893</v>
      </c>
      <c r="B39" s="1008"/>
      <c r="C39" s="1012">
        <f>SUM(C38-C10)</f>
        <v>0</v>
      </c>
      <c r="D39" s="1012"/>
      <c r="E39" s="1012">
        <f>SUM(E38-E10)</f>
        <v>0</v>
      </c>
      <c r="F39" s="1012"/>
      <c r="G39" s="1012">
        <f>SUM(G38-G10)</f>
        <v>498504</v>
      </c>
      <c r="H39" s="1012"/>
      <c r="I39" s="1012">
        <f>SUM(I38-I10)</f>
        <v>0</v>
      </c>
      <c r="J39" s="1012">
        <f>SUM(J38-J10)</f>
        <v>0</v>
      </c>
      <c r="K39" s="992"/>
      <c r="L39" s="992"/>
      <c r="M39" s="1006" t="s">
        <v>893</v>
      </c>
      <c r="N39" s="1006"/>
      <c r="O39" s="1006"/>
      <c r="P39" s="1006"/>
      <c r="Q39" s="1006"/>
      <c r="R39" s="992"/>
      <c r="S39" s="1103">
        <f>SUM(S38-C19)</f>
        <v>0</v>
      </c>
      <c r="T39" s="1103"/>
      <c r="U39" s="1103">
        <f>SUM(U38-E19)</f>
        <v>0</v>
      </c>
      <c r="V39" s="1103"/>
      <c r="W39" s="1103">
        <f>SUM(W38-G19)</f>
        <v>0</v>
      </c>
      <c r="X39" s="1103"/>
      <c r="Y39" s="1103">
        <f>SUM(Y38-I19)</f>
        <v>0</v>
      </c>
      <c r="Z39" s="1103">
        <f>SUM(Z38-J19)</f>
        <v>0</v>
      </c>
      <c r="AA39" s="952"/>
      <c r="AB39" s="952"/>
      <c r="AC39" s="952"/>
      <c r="AD39" s="952"/>
      <c r="AE39" s="952"/>
      <c r="AF39" s="952"/>
      <c r="AG39" s="952"/>
      <c r="AH39" s="952"/>
      <c r="AI39" s="952"/>
      <c r="AJ39" s="952"/>
      <c r="AK39" s="952"/>
      <c r="AL39" s="952"/>
      <c r="AM39" s="952"/>
    </row>
    <row r="40" spans="1:39" ht="15.75" x14ac:dyDescent="0.25">
      <c r="A40" s="1008"/>
      <c r="B40" s="1008"/>
      <c r="C40" s="992"/>
      <c r="D40" s="992"/>
      <c r="E40" s="992"/>
      <c r="F40" s="992"/>
      <c r="G40" s="992"/>
      <c r="H40" s="992"/>
      <c r="I40" s="992"/>
      <c r="J40" s="992"/>
      <c r="K40" s="992"/>
      <c r="L40" s="992"/>
      <c r="M40" s="992"/>
      <c r="N40" s="992"/>
      <c r="O40" s="992"/>
      <c r="P40" s="992"/>
      <c r="Q40" s="992"/>
      <c r="R40" s="992"/>
      <c r="S40" s="1008"/>
      <c r="T40" s="1008"/>
      <c r="U40" s="1008"/>
      <c r="V40" s="1008"/>
      <c r="W40" s="1008"/>
      <c r="X40" s="1008"/>
      <c r="Y40" s="1008"/>
      <c r="Z40" s="1008"/>
      <c r="AA40" s="952"/>
      <c r="AB40" s="952"/>
      <c r="AC40" s="952"/>
      <c r="AD40" s="952"/>
      <c r="AE40" s="952"/>
      <c r="AF40" s="952"/>
      <c r="AG40" s="952"/>
      <c r="AH40" s="952"/>
      <c r="AI40" s="952"/>
      <c r="AJ40" s="952"/>
      <c r="AK40" s="952"/>
      <c r="AL40" s="952"/>
      <c r="AM40" s="952"/>
    </row>
    <row r="41" spans="1:39" ht="15.75" x14ac:dyDescent="0.25">
      <c r="A41" s="4632" t="s">
        <v>890</v>
      </c>
      <c r="B41" s="4632"/>
      <c r="C41" s="1007">
        <f>SUM('5.8. sz. mell.'!F41+'5.8. sz. mell.'!F37)</f>
        <v>18978511</v>
      </c>
      <c r="D41" s="1007"/>
      <c r="E41" s="1007">
        <f>SUM('5.8. sz. mell.'!H41+'5.8. sz. mell.'!H37)</f>
        <v>21345012</v>
      </c>
      <c r="F41" s="1007"/>
      <c r="G41" s="1007">
        <f>SUM('5.8. sz. mell.'!J41+'5.8. sz. mell.'!J37)</f>
        <v>20518600</v>
      </c>
      <c r="H41" s="1007"/>
      <c r="I41" s="1007">
        <f>SUM('5.8. sz. mell.'!L41+'5.8. sz. mell.'!L37)</f>
        <v>20518600</v>
      </c>
      <c r="J41" s="1007">
        <f>SUM('5.8. sz. mell.'!M41+'5.8. sz. mell.'!M37)</f>
        <v>20518600</v>
      </c>
      <c r="K41" s="992"/>
      <c r="L41" s="992"/>
      <c r="M41" s="4549" t="s">
        <v>898</v>
      </c>
      <c r="N41" s="4549"/>
      <c r="O41" s="4549"/>
      <c r="P41" s="4549"/>
      <c r="Q41" s="4549"/>
      <c r="R41" s="4549"/>
      <c r="S41" s="1010">
        <f>SUM('5.8. sz. mell.'!F52)</f>
        <v>2890000</v>
      </c>
      <c r="T41" s="1010"/>
      <c r="U41" s="1010">
        <f>SUM('5.8. sz. mell.'!H52)</f>
        <v>2890000</v>
      </c>
      <c r="V41" s="1010"/>
      <c r="W41" s="1010">
        <f>SUM('5.8. sz. mell.'!J52)</f>
        <v>4234053</v>
      </c>
      <c r="X41" s="1010"/>
      <c r="Y41" s="1010">
        <f>SUM('5.8. sz. mell.'!L52)</f>
        <v>4234053</v>
      </c>
      <c r="Z41" s="1010">
        <f>SUM('5.8. sz. mell.'!M52)</f>
        <v>4234053</v>
      </c>
      <c r="AA41" s="952"/>
      <c r="AB41" s="952"/>
      <c r="AC41" s="952"/>
      <c r="AD41" s="952"/>
      <c r="AE41" s="952"/>
      <c r="AF41" s="952"/>
      <c r="AG41" s="952"/>
      <c r="AH41" s="952"/>
      <c r="AI41" s="952"/>
      <c r="AJ41" s="952"/>
      <c r="AK41" s="952"/>
      <c r="AL41" s="952"/>
      <c r="AM41" s="952"/>
    </row>
    <row r="42" spans="1:39" ht="15.75" x14ac:dyDescent="0.25">
      <c r="A42" s="1006" t="s">
        <v>893</v>
      </c>
      <c r="B42" s="1008"/>
      <c r="C42" s="1012">
        <f>SUM(C41-C11)</f>
        <v>0</v>
      </c>
      <c r="D42" s="1012"/>
      <c r="E42" s="1012">
        <f>SUM(E41-E11)</f>
        <v>0</v>
      </c>
      <c r="F42" s="1012"/>
      <c r="G42" s="1012">
        <f>SUM(G41-G11)</f>
        <v>-1494059</v>
      </c>
      <c r="H42" s="1012"/>
      <c r="I42" s="1012">
        <f>SUM(I41-I11)</f>
        <v>0</v>
      </c>
      <c r="J42" s="1012">
        <f>SUM(J41-J11)</f>
        <v>0</v>
      </c>
      <c r="K42" s="992"/>
      <c r="L42" s="992"/>
      <c r="M42" s="1006" t="s">
        <v>893</v>
      </c>
      <c r="N42" s="1006"/>
      <c r="O42" s="1006"/>
      <c r="P42" s="1006"/>
      <c r="Q42" s="1006"/>
      <c r="R42" s="992"/>
      <c r="S42" s="1012">
        <f>SUM(S41-C20)</f>
        <v>0</v>
      </c>
      <c r="T42" s="1012"/>
      <c r="U42" s="1012">
        <f>SUM(U41-E20)</f>
        <v>0</v>
      </c>
      <c r="V42" s="1012"/>
      <c r="W42" s="1012">
        <f>SUM(W41-G20)</f>
        <v>-35119</v>
      </c>
      <c r="X42" s="1012"/>
      <c r="Y42" s="1012">
        <f>SUM(Y41-I20)</f>
        <v>0</v>
      </c>
      <c r="Z42" s="1012">
        <f>SUM(Z41-J20)</f>
        <v>0</v>
      </c>
      <c r="AA42" s="952"/>
      <c r="AB42" s="952"/>
      <c r="AC42" s="952"/>
      <c r="AD42" s="952"/>
      <c r="AE42" s="952"/>
      <c r="AF42" s="952"/>
      <c r="AG42" s="952"/>
      <c r="AH42" s="952"/>
      <c r="AI42" s="952"/>
      <c r="AJ42" s="952"/>
      <c r="AK42" s="952"/>
      <c r="AL42" s="952"/>
      <c r="AM42" s="952"/>
    </row>
    <row r="43" spans="1:39" ht="16.5" thickBot="1" x14ac:dyDescent="0.3">
      <c r="A43" s="992"/>
      <c r="B43" s="992"/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M43" s="992"/>
      <c r="N43" s="992"/>
      <c r="O43" s="992"/>
      <c r="P43" s="992"/>
      <c r="Q43" s="992"/>
      <c r="R43" s="992"/>
      <c r="S43" s="1008"/>
      <c r="T43" s="1008"/>
      <c r="U43" s="1008"/>
      <c r="V43" s="1008"/>
      <c r="W43" s="1008"/>
      <c r="X43" s="1008"/>
      <c r="Y43" s="1008"/>
      <c r="Z43" s="1008"/>
      <c r="AA43" s="952"/>
      <c r="AB43" s="952"/>
      <c r="AC43" s="952"/>
      <c r="AD43" s="952"/>
      <c r="AE43" s="952"/>
      <c r="AF43" s="952"/>
      <c r="AG43" s="952"/>
      <c r="AH43" s="952"/>
      <c r="AI43" s="952"/>
      <c r="AJ43" s="952"/>
      <c r="AK43" s="952"/>
      <c r="AL43" s="952"/>
      <c r="AM43" s="952"/>
    </row>
    <row r="44" spans="1:39" ht="16.5" thickTop="1" x14ac:dyDescent="0.25">
      <c r="A44" s="4556" t="s">
        <v>889</v>
      </c>
      <c r="B44" s="4557"/>
      <c r="C44" s="1015">
        <f>SUM('5.8. sz. mell.'!F42)</f>
        <v>32596481</v>
      </c>
      <c r="D44" s="1015"/>
      <c r="E44" s="1015">
        <f>SUM('5.8. sz. mell.'!H42)</f>
        <v>35689930</v>
      </c>
      <c r="F44" s="1015"/>
      <c r="G44" s="1015">
        <f>SUM('5.8. sz. mell.'!J42)</f>
        <v>37379714</v>
      </c>
      <c r="H44" s="1015"/>
      <c r="I44" s="1015">
        <f>SUM('5.8. sz. mell.'!L42)</f>
        <v>37379714</v>
      </c>
      <c r="J44" s="1016">
        <f>SUM('5.8. sz. mell.'!M42)</f>
        <v>37379714</v>
      </c>
      <c r="K44" s="992"/>
      <c r="L44" s="992"/>
      <c r="M44" s="1014" t="s">
        <v>899</v>
      </c>
      <c r="N44" s="2214"/>
      <c r="O44" s="4556" t="s">
        <v>2016</v>
      </c>
      <c r="P44" s="4557"/>
      <c r="Q44" s="4468"/>
      <c r="R44" s="1017"/>
      <c r="S44" s="1018">
        <f>SUM('5.8. sz. mell.'!F55)</f>
        <v>32596481</v>
      </c>
      <c r="T44" s="1018"/>
      <c r="U44" s="1018">
        <f>SUM('5.8. sz. mell.'!H55)</f>
        <v>35689930</v>
      </c>
      <c r="V44" s="1018"/>
      <c r="W44" s="1018">
        <f>SUM('5.8. sz. mell.'!J55)</f>
        <v>37379714</v>
      </c>
      <c r="X44" s="1018"/>
      <c r="Y44" s="1018">
        <f>SUM('5.8. sz. mell.'!L55)</f>
        <v>37379714</v>
      </c>
      <c r="Z44" s="1019">
        <f>SUM('5.8. sz. mell.'!M55)</f>
        <v>37379714</v>
      </c>
      <c r="AA44" s="952"/>
      <c r="AB44" s="952"/>
      <c r="AC44" s="952"/>
      <c r="AD44" s="952"/>
      <c r="AE44" s="952"/>
      <c r="AF44" s="952"/>
      <c r="AG44" s="952"/>
      <c r="AH44" s="952"/>
      <c r="AI44" s="952"/>
      <c r="AJ44" s="952"/>
      <c r="AK44" s="952"/>
      <c r="AL44" s="952"/>
      <c r="AM44" s="952"/>
    </row>
    <row r="45" spans="1:39" ht="16.5" thickBot="1" x14ac:dyDescent="0.3">
      <c r="A45" s="1020" t="s">
        <v>961</v>
      </c>
      <c r="B45" s="1021"/>
      <c r="C45" s="1077">
        <f>SUM(C44-C13)</f>
        <v>0</v>
      </c>
      <c r="D45" s="1077"/>
      <c r="E45" s="1077">
        <f>SUM(E44-E13)</f>
        <v>0</v>
      </c>
      <c r="F45" s="1077"/>
      <c r="G45" s="1077">
        <f>SUM(G44-G13)</f>
        <v>-743519</v>
      </c>
      <c r="H45" s="1077"/>
      <c r="I45" s="1077">
        <f>SUM(I44-I13)</f>
        <v>0</v>
      </c>
      <c r="J45" s="1092">
        <f>SUM(J44-J13)</f>
        <v>0</v>
      </c>
      <c r="K45" s="992"/>
      <c r="L45" s="992"/>
      <c r="M45" s="1020" t="s">
        <v>893</v>
      </c>
      <c r="N45" s="2222"/>
      <c r="O45" s="1020" t="s">
        <v>961</v>
      </c>
      <c r="P45" s="2222"/>
      <c r="Q45" s="2222"/>
      <c r="R45" s="1024"/>
      <c r="S45" s="1025">
        <f>SUM(S44-C21)</f>
        <v>0</v>
      </c>
      <c r="T45" s="1025"/>
      <c r="U45" s="1025">
        <f>SUM(U44-E21)</f>
        <v>0</v>
      </c>
      <c r="V45" s="1025"/>
      <c r="W45" s="1025">
        <f>SUM(W44-G21)</f>
        <v>-743519</v>
      </c>
      <c r="X45" s="1025"/>
      <c r="Y45" s="1025">
        <f>SUM(Y44-I21)</f>
        <v>0</v>
      </c>
      <c r="Z45" s="1026">
        <f>SUM(Z44-J21)</f>
        <v>0</v>
      </c>
      <c r="AA45" s="952"/>
      <c r="AB45" s="952"/>
      <c r="AC45" s="952"/>
      <c r="AD45" s="952"/>
      <c r="AE45" s="952"/>
      <c r="AF45" s="952"/>
      <c r="AG45" s="952"/>
      <c r="AH45" s="952"/>
      <c r="AI45" s="952"/>
      <c r="AJ45" s="952"/>
      <c r="AK45" s="952"/>
      <c r="AL45" s="952"/>
      <c r="AM45" s="952"/>
    </row>
    <row r="46" spans="1:39" ht="15.75" thickTop="1" x14ac:dyDescent="0.25">
      <c r="A46" s="992"/>
      <c r="B46" s="992"/>
      <c r="C46" s="992"/>
      <c r="D46" s="992"/>
      <c r="E46" s="992"/>
      <c r="F46" s="992"/>
      <c r="G46" s="992"/>
      <c r="H46" s="992"/>
      <c r="I46" s="992"/>
      <c r="J46" s="992"/>
      <c r="K46" s="992"/>
      <c r="L46" s="992"/>
      <c r="M46" s="992"/>
      <c r="N46" s="992"/>
      <c r="O46" s="992"/>
      <c r="P46" s="992"/>
      <c r="Q46" s="992"/>
      <c r="R46" s="992"/>
      <c r="S46" s="992"/>
      <c r="T46" s="992"/>
      <c r="U46" s="992"/>
      <c r="V46" s="992"/>
      <c r="W46" s="992"/>
      <c r="X46" s="992"/>
      <c r="Y46" s="992"/>
      <c r="Z46" s="992"/>
      <c r="AA46" s="952"/>
      <c r="AB46" s="952"/>
      <c r="AC46" s="952"/>
      <c r="AD46" s="952"/>
      <c r="AE46" s="952"/>
      <c r="AF46" s="952"/>
      <c r="AG46" s="952"/>
      <c r="AH46" s="952"/>
      <c r="AI46" s="952"/>
      <c r="AJ46" s="952"/>
      <c r="AK46" s="952"/>
      <c r="AL46" s="952"/>
      <c r="AM46" s="952"/>
    </row>
    <row r="47" spans="1:39" x14ac:dyDescent="0.25">
      <c r="A47" s="992"/>
      <c r="B47" s="992"/>
      <c r="C47" s="992"/>
      <c r="D47" s="992"/>
      <c r="E47" s="992"/>
      <c r="F47" s="992"/>
      <c r="G47" s="992"/>
      <c r="H47" s="992"/>
      <c r="I47" s="992"/>
      <c r="J47" s="992"/>
      <c r="K47" s="992"/>
      <c r="L47" s="992"/>
      <c r="M47" s="992"/>
      <c r="N47" s="992"/>
      <c r="O47" s="992"/>
      <c r="P47" s="992"/>
      <c r="Q47" s="992"/>
      <c r="R47" s="992"/>
      <c r="S47" s="992"/>
      <c r="T47" s="992"/>
      <c r="U47" s="992"/>
      <c r="V47" s="992"/>
      <c r="W47" s="992"/>
      <c r="X47" s="992"/>
      <c r="Y47" s="992"/>
      <c r="Z47" s="992"/>
      <c r="AA47" s="952"/>
      <c r="AB47" s="952"/>
      <c r="AC47" s="952"/>
      <c r="AD47" s="952"/>
      <c r="AE47" s="952"/>
      <c r="AF47" s="952"/>
      <c r="AG47" s="952"/>
      <c r="AH47" s="952"/>
      <c r="AI47" s="952"/>
      <c r="AJ47" s="952"/>
      <c r="AK47" s="952"/>
      <c r="AL47" s="952"/>
      <c r="AM47" s="952"/>
    </row>
    <row r="48" spans="1:39" x14ac:dyDescent="0.25">
      <c r="A48" s="992"/>
      <c r="B48" s="992"/>
      <c r="C48" s="992"/>
      <c r="D48" s="992"/>
      <c r="E48" s="992"/>
      <c r="F48" s="992"/>
      <c r="G48" s="992"/>
      <c r="H48" s="992"/>
      <c r="I48" s="992"/>
      <c r="J48" s="992"/>
      <c r="K48" s="992"/>
      <c r="L48" s="992"/>
      <c r="M48" s="992"/>
      <c r="N48" s="992"/>
      <c r="O48" s="992"/>
      <c r="P48" s="992"/>
      <c r="Q48" s="992"/>
      <c r="R48" s="992"/>
      <c r="S48" s="992"/>
      <c r="T48" s="992"/>
      <c r="U48" s="992"/>
      <c r="V48" s="992"/>
      <c r="W48" s="992"/>
      <c r="X48" s="992"/>
      <c r="Y48" s="992"/>
      <c r="Z48" s="992"/>
      <c r="AA48" s="952"/>
      <c r="AB48" s="952"/>
      <c r="AC48" s="952"/>
      <c r="AD48" s="952"/>
      <c r="AE48" s="952"/>
      <c r="AF48" s="952"/>
      <c r="AG48" s="952"/>
      <c r="AH48" s="952"/>
      <c r="AI48" s="952"/>
      <c r="AJ48" s="952"/>
      <c r="AK48" s="952"/>
      <c r="AL48" s="952"/>
      <c r="AM48" s="952"/>
    </row>
  </sheetData>
  <mergeCells count="38">
    <mergeCell ref="O44:Q44"/>
    <mergeCell ref="A41:B41"/>
    <mergeCell ref="M41:R41"/>
    <mergeCell ref="A44:B44"/>
    <mergeCell ref="A32:B32"/>
    <mergeCell ref="M38:R38"/>
    <mergeCell ref="M32:R32"/>
    <mergeCell ref="A38:B38"/>
    <mergeCell ref="M35:R35"/>
    <mergeCell ref="A35:B35"/>
    <mergeCell ref="AK14:AN14"/>
    <mergeCell ref="A15:AH15"/>
    <mergeCell ref="A19:B19"/>
    <mergeCell ref="A27:B27"/>
    <mergeCell ref="A29:B29"/>
    <mergeCell ref="M29:R29"/>
    <mergeCell ref="A21:B21"/>
    <mergeCell ref="A12:B12"/>
    <mergeCell ref="A16:B16"/>
    <mergeCell ref="A17:B17"/>
    <mergeCell ref="A18:B18"/>
    <mergeCell ref="A20:B20"/>
    <mergeCell ref="A13:B13"/>
    <mergeCell ref="AL5:AN5"/>
    <mergeCell ref="A7:B7"/>
    <mergeCell ref="A9:B9"/>
    <mergeCell ref="A10:B10"/>
    <mergeCell ref="A11:B11"/>
    <mergeCell ref="AA5:AH5"/>
    <mergeCell ref="AI5:AK5"/>
    <mergeCell ref="A8:B8"/>
    <mergeCell ref="A2:AI2"/>
    <mergeCell ref="A1:AI1"/>
    <mergeCell ref="A5:B6"/>
    <mergeCell ref="C5:J5"/>
    <mergeCell ref="K5:R5"/>
    <mergeCell ref="S5:Z5"/>
    <mergeCell ref="A4:AH4"/>
  </mergeCells>
  <printOptions horizontalCentered="1"/>
  <pageMargins left="0.19685039370078741" right="0.19685039370078741" top="0.74803149606299213" bottom="0.51181102362204722" header="0.31496062992125984" footer="0.31496062992125984"/>
  <pageSetup paperSize="9" scale="81" firstPageNumber="83" orientation="landscape" useFirstPageNumber="1" r:id="rId1"/>
  <headerFooter>
    <oddHeader>&amp;R&amp;12 5.8.d.sz. melléklet
Forint</oddHeader>
    <oddFooter>&amp;C&amp;12- &amp;P -</oddFooter>
  </headerFooter>
  <rowBreaks count="1" manualBreakCount="1">
    <brk id="21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AW37"/>
  <sheetViews>
    <sheetView view="pageBreakPreview" topLeftCell="A16" zoomScale="90" zoomScaleNormal="100" zoomScaleSheetLayoutView="90" workbookViewId="0">
      <selection activeCell="I28" sqref="I28"/>
    </sheetView>
  </sheetViews>
  <sheetFormatPr defaultRowHeight="12.75" x14ac:dyDescent="0.2"/>
  <cols>
    <col min="1" max="1" width="46.83203125" customWidth="1"/>
    <col min="2" max="2" width="16.33203125" customWidth="1"/>
    <col min="3" max="5" width="18.83203125" hidden="1" customWidth="1"/>
    <col min="6" max="6" width="16.5" hidden="1" customWidth="1"/>
    <col min="7" max="7" width="16.5" style="3543" hidden="1" customWidth="1"/>
    <col min="8" max="8" width="16.5" style="3543" customWidth="1"/>
    <col min="9" max="9" width="16.5" style="3934" customWidth="1"/>
    <col min="10" max="10" width="15.83203125" customWidth="1"/>
    <col min="11" max="11" width="15.5" hidden="1" customWidth="1"/>
    <col min="12" max="12" width="15.83203125" hidden="1" customWidth="1"/>
    <col min="13" max="13" width="13.5" hidden="1" customWidth="1"/>
    <col min="14" max="14" width="15.83203125" hidden="1" customWidth="1"/>
    <col min="15" max="15" width="15.83203125" style="3543" hidden="1" customWidth="1"/>
    <col min="16" max="16" width="15.83203125" style="3543" customWidth="1"/>
    <col min="17" max="17" width="15.83203125" style="3934" customWidth="1"/>
    <col min="18" max="18" width="14.5" customWidth="1"/>
    <col min="19" max="21" width="17.5" hidden="1" customWidth="1"/>
    <col min="22" max="22" width="15.1640625" hidden="1" customWidth="1"/>
    <col min="23" max="23" width="15.1640625" style="3543" hidden="1" customWidth="1"/>
    <col min="24" max="24" width="15.1640625" style="3543" customWidth="1"/>
    <col min="25" max="25" width="15.1640625" style="3934" customWidth="1"/>
    <col min="26" max="26" width="17.33203125" customWidth="1"/>
    <col min="27" max="29" width="19.33203125" hidden="1" customWidth="1"/>
    <col min="30" max="30" width="16.6640625" hidden="1" customWidth="1"/>
    <col min="31" max="31" width="19.33203125" hidden="1" customWidth="1"/>
    <col min="32" max="32" width="19.33203125" customWidth="1"/>
    <col min="33" max="33" width="19.33203125" style="3934" customWidth="1"/>
    <col min="34" max="34" width="16.5" customWidth="1"/>
    <col min="35" max="37" width="19.83203125" hidden="1" customWidth="1"/>
    <col min="38" max="38" width="16.1640625" hidden="1" customWidth="1"/>
    <col min="39" max="39" width="16.1640625" style="3543" hidden="1" customWidth="1"/>
    <col min="40" max="40" width="16.1640625" style="3543" customWidth="1"/>
    <col min="41" max="41" width="16.1640625" style="3934" customWidth="1"/>
    <col min="42" max="42" width="15.1640625" customWidth="1"/>
    <col min="43" max="45" width="17.1640625" hidden="1" customWidth="1"/>
    <col min="46" max="46" width="16.1640625" hidden="1" customWidth="1"/>
    <col min="47" max="47" width="8.83203125" hidden="1" customWidth="1"/>
    <col min="48" max="48" width="16.6640625" customWidth="1"/>
    <col min="49" max="49" width="17.83203125" customWidth="1"/>
  </cols>
  <sheetData>
    <row r="2" spans="1:49" ht="49.5" customHeight="1" x14ac:dyDescent="0.2">
      <c r="A2" s="4404" t="s">
        <v>1401</v>
      </c>
      <c r="B2" s="4404"/>
      <c r="C2" s="4404"/>
      <c r="D2" s="4404"/>
      <c r="E2" s="4404"/>
      <c r="F2" s="4404"/>
      <c r="G2" s="4404"/>
      <c r="H2" s="4404"/>
      <c r="I2" s="4404"/>
      <c r="J2" s="4404"/>
      <c r="K2" s="4404"/>
      <c r="L2" s="4404"/>
      <c r="M2" s="4404"/>
      <c r="N2" s="4404"/>
      <c r="O2" s="4404"/>
      <c r="P2" s="4404"/>
      <c r="Q2" s="4404"/>
      <c r="R2" s="4404"/>
      <c r="S2" s="4404"/>
      <c r="T2" s="4404"/>
      <c r="U2" s="4404"/>
      <c r="V2" s="4404"/>
      <c r="W2" s="4404"/>
      <c r="X2" s="4404"/>
      <c r="Y2" s="4404"/>
      <c r="Z2" s="4404"/>
      <c r="AA2" s="4404"/>
      <c r="AB2" s="4404"/>
      <c r="AC2" s="4404"/>
      <c r="AD2" s="4404"/>
      <c r="AE2" s="4404"/>
      <c r="AF2" s="4404"/>
      <c r="AG2" s="4404"/>
      <c r="AH2" s="4404"/>
      <c r="AI2" s="4404"/>
      <c r="AJ2" s="4404"/>
      <c r="AK2" s="4404"/>
      <c r="AL2" s="4404"/>
      <c r="AM2" s="4404"/>
      <c r="AN2" s="4404"/>
      <c r="AO2" s="4404"/>
      <c r="AP2" s="4404"/>
      <c r="AQ2" s="4404"/>
      <c r="AR2" s="4404"/>
      <c r="AS2" s="4404"/>
      <c r="AT2" s="4404"/>
    </row>
    <row r="3" spans="1:49" ht="17.25" customHeight="1" thickBot="1" x14ac:dyDescent="0.35">
      <c r="A3" s="2868"/>
      <c r="B3" s="2868"/>
      <c r="C3" s="2868"/>
      <c r="D3" s="2868"/>
      <c r="E3" s="2868"/>
      <c r="F3" s="2868"/>
      <c r="G3" s="2868"/>
      <c r="H3" s="2868"/>
      <c r="I3" s="2868"/>
      <c r="J3" s="2868"/>
      <c r="K3" s="2868"/>
      <c r="L3" s="2868"/>
      <c r="M3" s="2868"/>
      <c r="N3" s="2868"/>
      <c r="O3" s="2868"/>
      <c r="P3" s="2868"/>
      <c r="Q3" s="2868"/>
      <c r="R3" s="2868"/>
      <c r="S3" s="2868"/>
      <c r="T3" s="2868"/>
      <c r="U3" s="2868"/>
      <c r="V3" s="2868"/>
      <c r="W3" s="2868"/>
      <c r="X3" s="2868"/>
      <c r="Y3" s="2868"/>
      <c r="Z3" s="2868"/>
      <c r="AA3" s="2868"/>
      <c r="AB3" s="2868"/>
      <c r="AC3" s="2868"/>
      <c r="AD3" s="2868"/>
      <c r="AE3" s="2868"/>
      <c r="AF3" s="2868"/>
      <c r="AG3" s="2868"/>
      <c r="AH3" s="2868"/>
      <c r="AI3" s="2868"/>
      <c r="AJ3" s="2868"/>
      <c r="AK3" s="2868"/>
      <c r="AL3" s="2868"/>
      <c r="AM3" s="2868"/>
      <c r="AN3" s="2868"/>
      <c r="AO3" s="2868"/>
      <c r="AP3" s="2868"/>
      <c r="AQ3" s="2868" t="s">
        <v>935</v>
      </c>
      <c r="AR3" s="3044" t="s">
        <v>935</v>
      </c>
      <c r="AS3" s="2868"/>
    </row>
    <row r="4" spans="1:49" ht="30.75" customHeight="1" x14ac:dyDescent="0.2">
      <c r="A4" s="4405" t="s">
        <v>1398</v>
      </c>
      <c r="B4" s="4408" t="s">
        <v>1399</v>
      </c>
      <c r="C4" s="4409"/>
      <c r="D4" s="4409"/>
      <c r="E4" s="4409"/>
      <c r="F4" s="4409"/>
      <c r="G4" s="4409"/>
      <c r="H4" s="4409"/>
      <c r="I4" s="4409"/>
      <c r="J4" s="4409"/>
      <c r="K4" s="4409"/>
      <c r="L4" s="4409"/>
      <c r="M4" s="4409"/>
      <c r="N4" s="4409"/>
      <c r="O4" s="4409"/>
      <c r="P4" s="4409"/>
      <c r="Q4" s="4409"/>
      <c r="R4" s="4409"/>
      <c r="S4" s="4409"/>
      <c r="T4" s="4409"/>
      <c r="U4" s="4409"/>
      <c r="V4" s="4409"/>
      <c r="W4" s="4409"/>
      <c r="X4" s="4409"/>
      <c r="Y4" s="4410"/>
      <c r="Z4" s="4398" t="s">
        <v>1400</v>
      </c>
      <c r="AA4" s="4399"/>
      <c r="AB4" s="4399"/>
      <c r="AC4" s="4399"/>
      <c r="AD4" s="4399"/>
      <c r="AE4" s="4399"/>
      <c r="AF4" s="4399"/>
      <c r="AG4" s="4399"/>
      <c r="AH4" s="4399"/>
      <c r="AI4" s="4399"/>
      <c r="AJ4" s="4399"/>
      <c r="AK4" s="4399"/>
      <c r="AL4" s="4399"/>
      <c r="AM4" s="4399"/>
      <c r="AN4" s="4399"/>
      <c r="AO4" s="4399"/>
      <c r="AP4" s="4399"/>
      <c r="AQ4" s="4399"/>
      <c r="AR4" s="4399"/>
      <c r="AS4" s="4399"/>
      <c r="AT4" s="4399"/>
      <c r="AU4" s="4399"/>
      <c r="AV4" s="4399"/>
      <c r="AW4" s="4400"/>
    </row>
    <row r="5" spans="1:49" ht="31.5" customHeight="1" x14ac:dyDescent="0.2">
      <c r="A5" s="4406"/>
      <c r="B5" s="4401" t="s">
        <v>478</v>
      </c>
      <c r="C5" s="4402"/>
      <c r="D5" s="4402"/>
      <c r="E5" s="4402"/>
      <c r="F5" s="4402"/>
      <c r="G5" s="4402"/>
      <c r="H5" s="4402"/>
      <c r="I5" s="4407"/>
      <c r="J5" s="4401" t="s">
        <v>479</v>
      </c>
      <c r="K5" s="4402"/>
      <c r="L5" s="4402"/>
      <c r="M5" s="4402"/>
      <c r="N5" s="4402"/>
      <c r="O5" s="4402"/>
      <c r="P5" s="4402"/>
      <c r="Q5" s="4407"/>
      <c r="R5" s="4401" t="s">
        <v>480</v>
      </c>
      <c r="S5" s="4402"/>
      <c r="T5" s="4402"/>
      <c r="U5" s="4402"/>
      <c r="V5" s="4402"/>
      <c r="W5" s="4402"/>
      <c r="X5" s="4402"/>
      <c r="Y5" s="4407"/>
      <c r="Z5" s="4401" t="s">
        <v>478</v>
      </c>
      <c r="AA5" s="4402"/>
      <c r="AB5" s="4402"/>
      <c r="AC5" s="4402"/>
      <c r="AD5" s="4402"/>
      <c r="AE5" s="4402"/>
      <c r="AF5" s="4402"/>
      <c r="AG5" s="4407"/>
      <c r="AH5" s="4401" t="s">
        <v>479</v>
      </c>
      <c r="AI5" s="4402"/>
      <c r="AJ5" s="4402"/>
      <c r="AK5" s="4402"/>
      <c r="AL5" s="4402"/>
      <c r="AM5" s="4402"/>
      <c r="AN5" s="4402"/>
      <c r="AO5" s="4407"/>
      <c r="AP5" s="4401" t="s">
        <v>480</v>
      </c>
      <c r="AQ5" s="4402"/>
      <c r="AR5" s="4402"/>
      <c r="AS5" s="4402"/>
      <c r="AT5" s="4402"/>
      <c r="AU5" s="4402"/>
      <c r="AV5" s="4402"/>
      <c r="AW5" s="4403"/>
    </row>
    <row r="6" spans="1:49" ht="31.5" customHeight="1" x14ac:dyDescent="0.2">
      <c r="A6" s="3933"/>
      <c r="B6" s="2512" t="s">
        <v>1731</v>
      </c>
      <c r="C6" s="2512"/>
      <c r="D6" s="2512" t="s">
        <v>1732</v>
      </c>
      <c r="E6" s="2512"/>
      <c r="F6" s="2512" t="s">
        <v>1932</v>
      </c>
      <c r="G6" s="2512"/>
      <c r="H6" s="2512" t="s">
        <v>1933</v>
      </c>
      <c r="I6" s="2512" t="s">
        <v>289</v>
      </c>
      <c r="J6" s="2512" t="s">
        <v>1731</v>
      </c>
      <c r="K6" s="2512"/>
      <c r="L6" s="2512" t="s">
        <v>1732</v>
      </c>
      <c r="M6" s="2512"/>
      <c r="N6" s="2512" t="s">
        <v>1932</v>
      </c>
      <c r="O6" s="2512"/>
      <c r="P6" s="2512" t="s">
        <v>1933</v>
      </c>
      <c r="Q6" s="2512" t="s">
        <v>289</v>
      </c>
      <c r="R6" s="2512" t="s">
        <v>1731</v>
      </c>
      <c r="S6" s="2512"/>
      <c r="T6" s="2512" t="s">
        <v>1732</v>
      </c>
      <c r="U6" s="2512"/>
      <c r="V6" s="2512" t="s">
        <v>1932</v>
      </c>
      <c r="W6" s="2512"/>
      <c r="X6" s="2512" t="s">
        <v>1933</v>
      </c>
      <c r="Y6" s="2512" t="s">
        <v>289</v>
      </c>
      <c r="Z6" s="2512" t="s">
        <v>1731</v>
      </c>
      <c r="AA6" s="2512"/>
      <c r="AB6" s="2512" t="s">
        <v>1732</v>
      </c>
      <c r="AC6" s="2512"/>
      <c r="AD6" s="2512" t="s">
        <v>1932</v>
      </c>
      <c r="AE6" s="2512"/>
      <c r="AF6" s="2512" t="s">
        <v>1933</v>
      </c>
      <c r="AG6" s="2512" t="s">
        <v>289</v>
      </c>
      <c r="AH6" s="2512" t="s">
        <v>1731</v>
      </c>
      <c r="AI6" s="2512"/>
      <c r="AJ6" s="2512" t="s">
        <v>1732</v>
      </c>
      <c r="AK6" s="2512"/>
      <c r="AL6" s="2512" t="s">
        <v>1932</v>
      </c>
      <c r="AM6" s="2512"/>
      <c r="AN6" s="2512" t="s">
        <v>1933</v>
      </c>
      <c r="AO6" s="2512" t="s">
        <v>289</v>
      </c>
      <c r="AP6" s="2512" t="s">
        <v>1731</v>
      </c>
      <c r="AQ6" s="2512"/>
      <c r="AR6" s="2512" t="s">
        <v>1732</v>
      </c>
      <c r="AS6" s="2512"/>
      <c r="AT6" s="3045" t="s">
        <v>1932</v>
      </c>
      <c r="AU6" s="3932"/>
      <c r="AV6" s="3931" t="s">
        <v>1933</v>
      </c>
      <c r="AW6" s="3045" t="s">
        <v>289</v>
      </c>
    </row>
    <row r="7" spans="1:49" ht="19.5" customHeight="1" x14ac:dyDescent="0.25">
      <c r="A7" s="2527" t="s">
        <v>412</v>
      </c>
      <c r="B7" s="2517">
        <f>SUM('4.a. sz. mell.'!D44)</f>
        <v>298633276</v>
      </c>
      <c r="C7" s="2517">
        <f>SUM('4.a. sz. mell.'!E44)</f>
        <v>3909957</v>
      </c>
      <c r="D7" s="2517">
        <f>SUM('4.a. sz. mell.'!F44)</f>
        <v>302543233</v>
      </c>
      <c r="E7" s="2517">
        <f>SUM('4.a. sz. mell.'!G44)</f>
        <v>3351155</v>
      </c>
      <c r="F7" s="2517">
        <f>SUM('4.a. sz. mell.'!H44)</f>
        <v>305894388</v>
      </c>
      <c r="G7" s="2517"/>
      <c r="H7" s="2517">
        <f>SUM('4.a. sz. mell.'!J44)</f>
        <v>305894388</v>
      </c>
      <c r="I7" s="2517">
        <f>SUM('4.a. sz. mell.'!K44)</f>
        <v>308219818</v>
      </c>
      <c r="J7" s="2517">
        <f>SUM('4. b.sz. mell.'!D42)</f>
        <v>6985000</v>
      </c>
      <c r="K7" s="2517">
        <f>SUM('4. b.sz. mell.'!E42)</f>
        <v>7891380</v>
      </c>
      <c r="L7" s="2517">
        <f>SUM('4. b.sz. mell.'!F42)</f>
        <v>14876380</v>
      </c>
      <c r="M7" s="2517">
        <f>SUM('4. b.sz. mell.'!G42)</f>
        <v>-1762041</v>
      </c>
      <c r="N7" s="2517">
        <f>SUM('4. b.sz. mell.'!H42)</f>
        <v>13114339</v>
      </c>
      <c r="O7" s="2517"/>
      <c r="P7" s="2517">
        <f>SUM('4. b.sz. mell.'!J42)</f>
        <v>13114339</v>
      </c>
      <c r="Q7" s="2517">
        <f>SUM('4. b.sz. mell.'!K42)</f>
        <v>12346760</v>
      </c>
      <c r="R7" s="2517">
        <f>SUM('4.c. sz. mell.'!F43)</f>
        <v>253084025</v>
      </c>
      <c r="S7" s="2517">
        <f>SUM('4.c. sz. mell.'!G43)</f>
        <v>0</v>
      </c>
      <c r="T7" s="2517">
        <f>SUM('4.c. sz. mell.'!H43)</f>
        <v>309932221</v>
      </c>
      <c r="U7" s="2517">
        <f>SUM('4.c. sz. mell.'!I43)</f>
        <v>-42524797</v>
      </c>
      <c r="V7" s="2517">
        <f>SUM('4.c. sz. mell.'!J43)</f>
        <v>267407424</v>
      </c>
      <c r="W7" s="2517"/>
      <c r="X7" s="2517">
        <f>SUM('4.c. sz. mell.'!L43)</f>
        <v>267407424</v>
      </c>
      <c r="Y7" s="2517">
        <f>SUM('4.c. sz. mell.'!M43)</f>
        <v>265849573</v>
      </c>
      <c r="Z7" s="2517">
        <f>SUM('4.a. sz. mell.'!D62)</f>
        <v>298633276</v>
      </c>
      <c r="AA7" s="2517">
        <f>SUM('4.a. sz. mell.'!E62)</f>
        <v>3909957</v>
      </c>
      <c r="AB7" s="2517">
        <f>SUM('4.a. sz. mell.'!F62)</f>
        <v>302543233</v>
      </c>
      <c r="AC7" s="2517">
        <f>SUM('4.a. sz. mell.'!G62)</f>
        <v>3351155</v>
      </c>
      <c r="AD7" s="2517">
        <f>SUM('4.a. sz. mell.'!H62)</f>
        <v>305894388</v>
      </c>
      <c r="AE7" s="2517"/>
      <c r="AF7" s="2517">
        <f>SUM('4.a. sz. mell.'!J62)</f>
        <v>305894388</v>
      </c>
      <c r="AG7" s="2517">
        <f>SUM('4.a. sz. mell.'!K62)</f>
        <v>303763098</v>
      </c>
      <c r="AH7" s="2517">
        <f>SUM('4. b.sz. mell.'!D60)</f>
        <v>6985000</v>
      </c>
      <c r="AI7" s="2517">
        <f>SUM('4. b.sz. mell.'!E60)</f>
        <v>7891380</v>
      </c>
      <c r="AJ7" s="2517">
        <f>SUM('4. b.sz. mell.'!F60)</f>
        <v>14876380</v>
      </c>
      <c r="AK7" s="2517"/>
      <c r="AL7" s="2517">
        <f>SUM('4. b.sz. mell.'!H60)</f>
        <v>13114339</v>
      </c>
      <c r="AM7" s="2517"/>
      <c r="AN7" s="2517">
        <f>SUM('4. b.sz. mell.'!J60)</f>
        <v>13114339</v>
      </c>
      <c r="AO7" s="2517">
        <f>SUM('4. b.sz. mell.'!K60)</f>
        <v>12346760</v>
      </c>
      <c r="AP7" s="2517">
        <f>SUM('4.c. sz. mell.'!F61)</f>
        <v>253084025</v>
      </c>
      <c r="AQ7" s="2517">
        <f>SUM('4.c. sz. mell.'!G61)</f>
        <v>0</v>
      </c>
      <c r="AR7" s="2517">
        <f>SUM('4.c. sz. mell.'!H61)</f>
        <v>309932221</v>
      </c>
      <c r="AS7" s="2517"/>
      <c r="AT7" s="2520">
        <f>SUM('4.c. sz. mell.'!J61)</f>
        <v>267407424</v>
      </c>
      <c r="AU7" s="3171"/>
      <c r="AV7" s="4030">
        <f>SUM('4.c. sz. mell.'!L61)</f>
        <v>267407424</v>
      </c>
      <c r="AW7" s="2520">
        <f>SUM('4.c. sz. mell.'!M61)</f>
        <v>265849573</v>
      </c>
    </row>
    <row r="8" spans="1:49" ht="19.5" customHeight="1" x14ac:dyDescent="0.25">
      <c r="A8" s="2527" t="s">
        <v>1000</v>
      </c>
      <c r="B8" s="2517">
        <f>SUM('5.1.a. sz. mell.'!F44)</f>
        <v>89827568</v>
      </c>
      <c r="C8" s="2517">
        <f>SUM('5.1.a. sz. mell.'!G44)</f>
        <v>687260</v>
      </c>
      <c r="D8" s="2517">
        <f>SUM('5.1.a. sz. mell.'!H44)</f>
        <v>90514828</v>
      </c>
      <c r="E8" s="2517">
        <f>SUM('5.1.a. sz. mell.'!I44)</f>
        <v>1540687</v>
      </c>
      <c r="F8" s="2517">
        <f>SUM('5.1.a. sz. mell.'!J44)</f>
        <v>92055515</v>
      </c>
      <c r="G8" s="2517"/>
      <c r="H8" s="2517">
        <f>SUM('5.1.a. sz. mell.'!L44)</f>
        <v>92055515</v>
      </c>
      <c r="I8" s="2517">
        <f>SUM('5.1.a. sz. mell.'!M44)</f>
        <v>92055515</v>
      </c>
      <c r="J8" s="2517">
        <f>SUM('5.1.b. sz. mell.'!F42)</f>
        <v>0</v>
      </c>
      <c r="K8" s="2517">
        <f>SUM('5.1.b. sz. mell.'!G42)</f>
        <v>0</v>
      </c>
      <c r="L8" s="2517">
        <f>SUM('5.1.b. sz. mell.'!H42)</f>
        <v>0</v>
      </c>
      <c r="M8" s="2517">
        <f>SUM('5.1.b. sz. mell.'!I42)</f>
        <v>0</v>
      </c>
      <c r="N8" s="2517">
        <f>SUM('5.1.b. sz. mell.'!J42)</f>
        <v>0</v>
      </c>
      <c r="O8" s="2517"/>
      <c r="P8" s="2517">
        <f>SUM('5.1.b. sz. mell.'!L42)</f>
        <v>0</v>
      </c>
      <c r="Q8" s="2517">
        <f>SUM('5.1.b. sz. mell.'!M42)</f>
        <v>0</v>
      </c>
      <c r="R8" s="2518">
        <v>0</v>
      </c>
      <c r="S8" s="2518">
        <v>0</v>
      </c>
      <c r="T8" s="2518">
        <v>0</v>
      </c>
      <c r="U8" s="2518">
        <v>0</v>
      </c>
      <c r="V8" s="2518">
        <v>0</v>
      </c>
      <c r="W8" s="2518"/>
      <c r="X8" s="2518">
        <v>0</v>
      </c>
      <c r="Y8" s="2518">
        <v>0</v>
      </c>
      <c r="Z8" s="2517">
        <f>SUM('5.1.a. sz. mell.'!F63)</f>
        <v>89827568</v>
      </c>
      <c r="AA8" s="2517">
        <f>SUM('5.1.a. sz. mell.'!G63)</f>
        <v>687260</v>
      </c>
      <c r="AB8" s="2517">
        <f>SUM('5.1.a. sz. mell.'!H63)</f>
        <v>90514828</v>
      </c>
      <c r="AC8" s="2517">
        <f>SUM('5.1.a. sz. mell.'!I63)</f>
        <v>1540687</v>
      </c>
      <c r="AD8" s="2517">
        <f>SUM('5.1.a. sz. mell.'!J63)</f>
        <v>92055515</v>
      </c>
      <c r="AE8" s="2517"/>
      <c r="AF8" s="2517">
        <f>SUM('5.1.a. sz. mell.'!L63)</f>
        <v>92055515</v>
      </c>
      <c r="AG8" s="2517">
        <f>SUM('5.1.a. sz. mell.'!M63)</f>
        <v>91573743</v>
      </c>
      <c r="AH8" s="2518">
        <v>0</v>
      </c>
      <c r="AI8" s="2518">
        <v>0</v>
      </c>
      <c r="AJ8" s="2518">
        <v>0</v>
      </c>
      <c r="AK8" s="2518">
        <v>0</v>
      </c>
      <c r="AL8" s="2518">
        <v>0</v>
      </c>
      <c r="AM8" s="2518"/>
      <c r="AN8" s="2518">
        <v>0</v>
      </c>
      <c r="AO8" s="2518">
        <v>0</v>
      </c>
      <c r="AP8" s="2518">
        <v>0</v>
      </c>
      <c r="AQ8" s="2518">
        <v>0</v>
      </c>
      <c r="AR8" s="2518">
        <v>0</v>
      </c>
      <c r="AS8" s="2518"/>
      <c r="AT8" s="2519">
        <v>0</v>
      </c>
      <c r="AU8" s="3172"/>
      <c r="AV8" s="4031">
        <v>0</v>
      </c>
      <c r="AW8" s="2519">
        <v>0</v>
      </c>
    </row>
    <row r="9" spans="1:49" ht="19.5" customHeight="1" x14ac:dyDescent="0.25">
      <c r="A9" s="2527" t="s">
        <v>1001</v>
      </c>
      <c r="B9" s="2517">
        <f>SUM('5.2.a. sz. mell.'!F44)</f>
        <v>73228768</v>
      </c>
      <c r="C9" s="2517">
        <f>SUM('5.2.a. sz. mell.'!G44)</f>
        <v>1165309</v>
      </c>
      <c r="D9" s="2517">
        <f>SUM('5.2.a. sz. mell.'!H44)</f>
        <v>74394077</v>
      </c>
      <c r="E9" s="2517">
        <f>SUM('5.2.a. sz. mell.'!I44)</f>
        <v>104064</v>
      </c>
      <c r="F9" s="2517">
        <f>SUM('5.2.a. sz. mell.'!J44)</f>
        <v>74498141</v>
      </c>
      <c r="G9" s="2517"/>
      <c r="H9" s="2517">
        <f>SUM('5.2.a. sz. mell.'!L44)</f>
        <v>74498141</v>
      </c>
      <c r="I9" s="2517">
        <f>SUM('5.2.a. sz. mell.'!M44)</f>
        <v>74498141</v>
      </c>
      <c r="J9" s="2517">
        <f>SUM('5.2.b. sz. mell'!J42)</f>
        <v>0</v>
      </c>
      <c r="K9" s="2517">
        <f>SUM('5.2.b. sz. mell'!K42)</f>
        <v>0</v>
      </c>
      <c r="L9" s="2517">
        <f>SUM('5.2.b. sz. mell'!L42)</f>
        <v>0</v>
      </c>
      <c r="M9" s="2517">
        <f>SUM('5.2.b. sz. mell'!M42)</f>
        <v>0</v>
      </c>
      <c r="N9" s="2517">
        <f>SUM('5.2.b. sz. mell'!N42)</f>
        <v>0</v>
      </c>
      <c r="O9" s="2517"/>
      <c r="P9" s="2517">
        <f>SUM('5.2.b. sz. mell'!P42)</f>
        <v>0</v>
      </c>
      <c r="Q9" s="2517">
        <f>SUM('5.2.b. sz. mell'!Q42)</f>
        <v>0</v>
      </c>
      <c r="R9" s="2518">
        <v>0</v>
      </c>
      <c r="S9" s="2518">
        <v>0</v>
      </c>
      <c r="T9" s="2518">
        <v>0</v>
      </c>
      <c r="U9" s="2518">
        <v>0</v>
      </c>
      <c r="V9" s="2518">
        <v>0</v>
      </c>
      <c r="W9" s="2518"/>
      <c r="X9" s="2518">
        <v>0</v>
      </c>
      <c r="Y9" s="2518">
        <v>0</v>
      </c>
      <c r="Z9" s="2517">
        <f>SUM('5.2.a. sz. mell.'!F63)</f>
        <v>73228768</v>
      </c>
      <c r="AA9" s="2517">
        <f>SUM('5.2.a. sz. mell.'!G63)</f>
        <v>1165309</v>
      </c>
      <c r="AB9" s="2517">
        <f>SUM('5.2.a. sz. mell.'!H63)</f>
        <v>74394077</v>
      </c>
      <c r="AC9" s="2517">
        <f>SUM('5.2.a. sz. mell.'!I63)</f>
        <v>104064</v>
      </c>
      <c r="AD9" s="2517">
        <f>SUM('5.2.a. sz. mell.'!J63)</f>
        <v>74498141</v>
      </c>
      <c r="AE9" s="2517"/>
      <c r="AF9" s="2517">
        <f>SUM('5.2.a. sz. mell.'!L63)</f>
        <v>74498141</v>
      </c>
      <c r="AG9" s="2517">
        <f>SUM('5.2.a. sz. mell.'!M63)</f>
        <v>74460228</v>
      </c>
      <c r="AH9" s="2518">
        <v>0</v>
      </c>
      <c r="AI9" s="2518">
        <v>0</v>
      </c>
      <c r="AJ9" s="2518">
        <v>0</v>
      </c>
      <c r="AK9" s="2518">
        <v>0</v>
      </c>
      <c r="AL9" s="2518">
        <v>0</v>
      </c>
      <c r="AM9" s="2518"/>
      <c r="AN9" s="2518">
        <v>0</v>
      </c>
      <c r="AO9" s="2518">
        <v>0</v>
      </c>
      <c r="AP9" s="2518">
        <v>0</v>
      </c>
      <c r="AQ9" s="2518">
        <v>0</v>
      </c>
      <c r="AR9" s="2518">
        <v>0</v>
      </c>
      <c r="AS9" s="2518"/>
      <c r="AT9" s="2519">
        <v>0</v>
      </c>
      <c r="AU9" s="3172"/>
      <c r="AV9" s="4031">
        <v>0</v>
      </c>
      <c r="AW9" s="2519">
        <v>0</v>
      </c>
    </row>
    <row r="10" spans="1:49" ht="19.5" customHeight="1" x14ac:dyDescent="0.25">
      <c r="A10" s="2527" t="s">
        <v>471</v>
      </c>
      <c r="B10" s="2517">
        <f>SUM('5.3.a. sz. mell'!F43)</f>
        <v>124246920</v>
      </c>
      <c r="C10" s="2517">
        <f>SUM('5.3.a. sz. mell'!G43)</f>
        <v>1848116</v>
      </c>
      <c r="D10" s="2517">
        <f>SUM('5.3.a. sz. mell'!H43)</f>
        <v>126095036</v>
      </c>
      <c r="E10" s="2517">
        <f>SUM('5.3.a. sz. mell'!I43)</f>
        <v>2632577</v>
      </c>
      <c r="F10" s="2517">
        <f>SUM('5.3.a. sz. mell'!J43)</f>
        <v>128727613</v>
      </c>
      <c r="G10" s="2517"/>
      <c r="H10" s="2517">
        <f>SUM('5.3.a. sz. mell'!L43)</f>
        <v>128727613</v>
      </c>
      <c r="I10" s="2517">
        <f>SUM('5.3.a. sz. mell'!M43)</f>
        <v>128727613</v>
      </c>
      <c r="J10" s="2517">
        <f>SUM('5.3 b. sz. mell'!J41)</f>
        <v>0</v>
      </c>
      <c r="K10" s="2517">
        <f>SUM('5.3 b. sz. mell'!K41)</f>
        <v>0</v>
      </c>
      <c r="L10" s="2517">
        <f>SUM('5.3 b. sz. mell'!L41)</f>
        <v>0</v>
      </c>
      <c r="M10" s="2517">
        <f>SUM('5.3 b. sz. mell'!M41)</f>
        <v>0</v>
      </c>
      <c r="N10" s="2517">
        <f>SUM('5.3 b. sz. mell'!N41)</f>
        <v>0</v>
      </c>
      <c r="O10" s="2517"/>
      <c r="P10" s="2517">
        <f>SUM('5.3 b. sz. mell'!P41)</f>
        <v>0</v>
      </c>
      <c r="Q10" s="2517">
        <f>SUM('5.3 b. sz. mell'!Q41)</f>
        <v>0</v>
      </c>
      <c r="R10" s="2518">
        <v>0</v>
      </c>
      <c r="S10" s="2518">
        <v>0</v>
      </c>
      <c r="T10" s="2518">
        <v>0</v>
      </c>
      <c r="U10" s="2518">
        <v>0</v>
      </c>
      <c r="V10" s="2518">
        <v>0</v>
      </c>
      <c r="W10" s="2518"/>
      <c r="X10" s="2518">
        <v>0</v>
      </c>
      <c r="Y10" s="2518">
        <v>0</v>
      </c>
      <c r="Z10" s="2517">
        <f>SUM('5.3.a. sz. mell'!F59)</f>
        <v>124246920</v>
      </c>
      <c r="AA10" s="2517">
        <f>SUM('5.3.a. sz. mell'!G59)</f>
        <v>1848116</v>
      </c>
      <c r="AB10" s="2517">
        <f>SUM('5.3.a. sz. mell'!H59)</f>
        <v>126095036</v>
      </c>
      <c r="AC10" s="2517">
        <f>SUM('5.3.a. sz. mell'!I59)</f>
        <v>2632577</v>
      </c>
      <c r="AD10" s="2517">
        <f>SUM('5.3.a. sz. mell'!J59)</f>
        <v>128727613</v>
      </c>
      <c r="AE10" s="2517"/>
      <c r="AF10" s="2517">
        <f>SUM('5.3.a. sz. mell'!L59)</f>
        <v>128727613</v>
      </c>
      <c r="AG10" s="2517">
        <f>SUM('5.3.a. sz. mell'!M59)</f>
        <v>127767412</v>
      </c>
      <c r="AH10" s="2518">
        <v>0</v>
      </c>
      <c r="AI10" s="2518">
        <v>0</v>
      </c>
      <c r="AJ10" s="2518">
        <v>0</v>
      </c>
      <c r="AK10" s="2518">
        <v>0</v>
      </c>
      <c r="AL10" s="2518">
        <v>0</v>
      </c>
      <c r="AM10" s="2518"/>
      <c r="AN10" s="2518">
        <v>0</v>
      </c>
      <c r="AO10" s="2518">
        <v>0</v>
      </c>
      <c r="AP10" s="2518">
        <v>0</v>
      </c>
      <c r="AQ10" s="2518">
        <v>0</v>
      </c>
      <c r="AR10" s="2518">
        <v>0</v>
      </c>
      <c r="AS10" s="2518"/>
      <c r="AT10" s="2519">
        <v>0</v>
      </c>
      <c r="AU10" s="3172"/>
      <c r="AV10" s="4031">
        <v>0</v>
      </c>
      <c r="AW10" s="2519">
        <v>0</v>
      </c>
    </row>
    <row r="11" spans="1:49" ht="19.5" customHeight="1" x14ac:dyDescent="0.25">
      <c r="A11" s="2527" t="s">
        <v>1002</v>
      </c>
      <c r="B11" s="2517">
        <f>SUM('5.4.a. sz mell'!F43)</f>
        <v>136178135</v>
      </c>
      <c r="C11" s="2517">
        <f>SUM('5.4.a. sz mell'!G43)</f>
        <v>2126883</v>
      </c>
      <c r="D11" s="2517">
        <f>SUM('5.4.a. sz mell'!H43)</f>
        <v>138305018</v>
      </c>
      <c r="E11" s="2517">
        <f>SUM('5.4.a. sz mell'!I43)</f>
        <v>1352852</v>
      </c>
      <c r="F11" s="2517">
        <f>SUM('5.4.a. sz mell'!J43)</f>
        <v>139657870</v>
      </c>
      <c r="G11" s="2517"/>
      <c r="H11" s="2517">
        <f>SUM('5.4.a. sz mell'!L43)</f>
        <v>139657870</v>
      </c>
      <c r="I11" s="2517">
        <f>SUM('5.4.a. sz mell'!M43)</f>
        <v>139657870</v>
      </c>
      <c r="J11" s="2517">
        <f>SUM('5.4.b. sz mell'!J41)</f>
        <v>0</v>
      </c>
      <c r="K11" s="2517">
        <f>SUM('5.4.b. sz mell'!K41)</f>
        <v>0</v>
      </c>
      <c r="L11" s="2517">
        <f>SUM('5.4.b. sz mell'!L41)</f>
        <v>0</v>
      </c>
      <c r="M11" s="2517">
        <f>SUM('5.4.b. sz mell'!M41)</f>
        <v>0</v>
      </c>
      <c r="N11" s="2517">
        <f>SUM('5.4.b. sz mell'!N41)</f>
        <v>0</v>
      </c>
      <c r="O11" s="2517"/>
      <c r="P11" s="2517">
        <f>SUM('5.4.b. sz mell'!P41)</f>
        <v>0</v>
      </c>
      <c r="Q11" s="2517">
        <f>SUM('5.4.b. sz mell'!Q41)</f>
        <v>0</v>
      </c>
      <c r="R11" s="2518">
        <v>0</v>
      </c>
      <c r="S11" s="2518">
        <v>0</v>
      </c>
      <c r="T11" s="2518">
        <v>0</v>
      </c>
      <c r="U11" s="2518">
        <v>0</v>
      </c>
      <c r="V11" s="2518">
        <v>0</v>
      </c>
      <c r="W11" s="2518"/>
      <c r="X11" s="2518">
        <v>0</v>
      </c>
      <c r="Y11" s="2518">
        <v>0</v>
      </c>
      <c r="Z11" s="2517">
        <f>SUM('5.4.a. sz mell'!F59)</f>
        <v>136178135</v>
      </c>
      <c r="AA11" s="2517">
        <f>SUM('5.4.a. sz mell'!G59)</f>
        <v>2126883</v>
      </c>
      <c r="AB11" s="2517">
        <f>SUM('5.4.a. sz mell'!H59)</f>
        <v>138305018</v>
      </c>
      <c r="AC11" s="2517">
        <f>SUM('5.4.a. sz mell'!I59)</f>
        <v>1352852</v>
      </c>
      <c r="AD11" s="2517">
        <f>SUM('5.4.a. sz mell'!J59)</f>
        <v>139657870</v>
      </c>
      <c r="AE11" s="2517"/>
      <c r="AF11" s="2517">
        <f>SUM('5.4.a. sz mell'!L59)</f>
        <v>139657870</v>
      </c>
      <c r="AG11" s="2517">
        <f>SUM('5.4.a. sz mell'!M59)</f>
        <v>139189536</v>
      </c>
      <c r="AH11" s="2518">
        <v>0</v>
      </c>
      <c r="AI11" s="2518">
        <v>0</v>
      </c>
      <c r="AJ11" s="2518">
        <v>0</v>
      </c>
      <c r="AK11" s="2518">
        <v>0</v>
      </c>
      <c r="AL11" s="2518">
        <v>0</v>
      </c>
      <c r="AM11" s="2518"/>
      <c r="AN11" s="2518">
        <v>0</v>
      </c>
      <c r="AO11" s="2518">
        <v>0</v>
      </c>
      <c r="AP11" s="2518">
        <v>0</v>
      </c>
      <c r="AQ11" s="2518">
        <v>0</v>
      </c>
      <c r="AR11" s="2518">
        <v>0</v>
      </c>
      <c r="AS11" s="2518"/>
      <c r="AT11" s="2519">
        <v>0</v>
      </c>
      <c r="AU11" s="3172"/>
      <c r="AV11" s="4031">
        <v>0</v>
      </c>
      <c r="AW11" s="2519">
        <v>0</v>
      </c>
    </row>
    <row r="12" spans="1:49" ht="19.5" customHeight="1" x14ac:dyDescent="0.25">
      <c r="A12" s="2527" t="s">
        <v>472</v>
      </c>
      <c r="B12" s="2517">
        <f>SUM('5.5.a. sz. mell.'!F47)</f>
        <v>292047484</v>
      </c>
      <c r="C12" s="2517">
        <f>SUM('5.5.a. sz. mell.'!G47)</f>
        <v>15222489</v>
      </c>
      <c r="D12" s="2517">
        <f>SUM('5.5.a. sz. mell.'!H47)</f>
        <v>307269973</v>
      </c>
      <c r="E12" s="2517">
        <f>SUM('5.5.a. sz. mell.'!I47)</f>
        <v>11289042</v>
      </c>
      <c r="F12" s="2517">
        <f>SUM('5.5.a. sz. mell.'!J47)</f>
        <v>318559015</v>
      </c>
      <c r="G12" s="2517"/>
      <c r="H12" s="2517">
        <f>SUM('5.5.a. sz. mell.'!L47)</f>
        <v>318559015</v>
      </c>
      <c r="I12" s="2517">
        <f>SUM('5.5.a. sz. mell.'!M47)</f>
        <v>318586787</v>
      </c>
      <c r="J12" s="2517">
        <f>SUM('5.5.b.sz. mell'!J45)</f>
        <v>0</v>
      </c>
      <c r="K12" s="2517">
        <f>SUM('5.5.b.sz. mell'!K45)</f>
        <v>0</v>
      </c>
      <c r="L12" s="2517">
        <f>SUM('5.5.b.sz. mell'!L45)</f>
        <v>0</v>
      </c>
      <c r="M12" s="2517">
        <f>SUM('5.5.b.sz. mell'!M45)</f>
        <v>0</v>
      </c>
      <c r="N12" s="2517">
        <f>SUM('5.5.b.sz. mell'!N45)</f>
        <v>0</v>
      </c>
      <c r="O12" s="2517"/>
      <c r="P12" s="2517">
        <f>SUM('5.5.b.sz. mell'!P45)</f>
        <v>0</v>
      </c>
      <c r="Q12" s="2517">
        <f>SUM('5.5.b.sz. mell'!Q45)</f>
        <v>0</v>
      </c>
      <c r="R12" s="2518">
        <v>0</v>
      </c>
      <c r="S12" s="2518">
        <v>0</v>
      </c>
      <c r="T12" s="2518">
        <v>0</v>
      </c>
      <c r="U12" s="2518">
        <v>0</v>
      </c>
      <c r="V12" s="2518">
        <v>0</v>
      </c>
      <c r="W12" s="2518"/>
      <c r="X12" s="2518">
        <v>0</v>
      </c>
      <c r="Y12" s="2518">
        <v>0</v>
      </c>
      <c r="Z12" s="2517">
        <f>SUM('5.5.a. sz. mell.'!F63)</f>
        <v>292047484</v>
      </c>
      <c r="AA12" s="2517">
        <f>SUM('5.5.a. sz. mell.'!G63)</f>
        <v>15222489</v>
      </c>
      <c r="AB12" s="2517">
        <f>SUM('5.5.a. sz. mell.'!H63)</f>
        <v>307269973</v>
      </c>
      <c r="AC12" s="2517">
        <f>SUM('5.5.a. sz. mell.'!I63)</f>
        <v>11289042</v>
      </c>
      <c r="AD12" s="2517">
        <f>SUM('5.5.a. sz. mell.'!J63)</f>
        <v>318559015</v>
      </c>
      <c r="AE12" s="2517"/>
      <c r="AF12" s="2517">
        <f>SUM('5.5.a. sz. mell.'!L63)</f>
        <v>318559015</v>
      </c>
      <c r="AG12" s="2517">
        <f>SUM('5.5.a. sz. mell.'!M63)</f>
        <v>318413176</v>
      </c>
      <c r="AH12" s="2518">
        <v>0</v>
      </c>
      <c r="AI12" s="2518">
        <v>0</v>
      </c>
      <c r="AJ12" s="2518">
        <v>0</v>
      </c>
      <c r="AK12" s="2518">
        <v>0</v>
      </c>
      <c r="AL12" s="2518">
        <v>0</v>
      </c>
      <c r="AM12" s="2518"/>
      <c r="AN12" s="2518">
        <v>0</v>
      </c>
      <c r="AO12" s="2518">
        <v>0</v>
      </c>
      <c r="AP12" s="2518">
        <v>0</v>
      </c>
      <c r="AQ12" s="2518">
        <v>0</v>
      </c>
      <c r="AR12" s="2518">
        <v>0</v>
      </c>
      <c r="AS12" s="2518"/>
      <c r="AT12" s="2519">
        <v>0</v>
      </c>
      <c r="AU12" s="3172"/>
      <c r="AV12" s="4031">
        <v>0</v>
      </c>
      <c r="AW12" s="2519">
        <v>0</v>
      </c>
    </row>
    <row r="13" spans="1:49" ht="19.5" customHeight="1" x14ac:dyDescent="0.25">
      <c r="A13" s="2527" t="s">
        <v>476</v>
      </c>
      <c r="B13" s="2517">
        <f>SUM('5.6.a. sz. mell'!F47)</f>
        <v>83854641</v>
      </c>
      <c r="C13" s="2517">
        <f>SUM('5.6.a. sz. mell'!G47)</f>
        <v>4339550</v>
      </c>
      <c r="D13" s="2517">
        <f>SUM('5.6.a. sz. mell'!H47)</f>
        <v>88194191</v>
      </c>
      <c r="E13" s="2517">
        <f>SUM('5.6.a. sz. mell'!I47)</f>
        <v>-2667104</v>
      </c>
      <c r="F13" s="2517">
        <f>SUM('5.6.a. sz. mell'!J47)</f>
        <v>85527087</v>
      </c>
      <c r="G13" s="2517"/>
      <c r="H13" s="2517">
        <f>SUM('5.6.a. sz. mell'!L47)</f>
        <v>85527087</v>
      </c>
      <c r="I13" s="2517">
        <f>SUM('5.6.a. sz. mell'!M47)</f>
        <v>85527087</v>
      </c>
      <c r="J13" s="2517">
        <f>SUM('5.6.b. sz.'!J45)</f>
        <v>0</v>
      </c>
      <c r="K13" s="2517">
        <f>SUM('5.6.b. sz.'!K45)</f>
        <v>0</v>
      </c>
      <c r="L13" s="2517">
        <f>SUM('5.6.b. sz.'!L45)</f>
        <v>0</v>
      </c>
      <c r="M13" s="2517">
        <f>SUM('5.6.b. sz.'!M45)</f>
        <v>0</v>
      </c>
      <c r="N13" s="2517">
        <f>SUM('5.6.b. sz.'!N45)</f>
        <v>0</v>
      </c>
      <c r="O13" s="2517"/>
      <c r="P13" s="2517">
        <f>SUM('5.6.b. sz.'!P45)</f>
        <v>0</v>
      </c>
      <c r="Q13" s="2517">
        <f>SUM('5.6.b. sz.'!Q45)</f>
        <v>0</v>
      </c>
      <c r="R13" s="2518">
        <v>0</v>
      </c>
      <c r="S13" s="2518">
        <v>0</v>
      </c>
      <c r="T13" s="2518">
        <v>0</v>
      </c>
      <c r="U13" s="2518">
        <v>0</v>
      </c>
      <c r="V13" s="2518">
        <v>0</v>
      </c>
      <c r="W13" s="2518"/>
      <c r="X13" s="2518">
        <v>0</v>
      </c>
      <c r="Y13" s="2518">
        <v>0</v>
      </c>
      <c r="Z13" s="2517">
        <f>SUM('5.6.a. sz. mell'!F63)</f>
        <v>83854641</v>
      </c>
      <c r="AA13" s="2517">
        <f>SUM('5.6.a. sz. mell'!G63)</f>
        <v>4339550</v>
      </c>
      <c r="AB13" s="2517">
        <f>SUM('5.6.a. sz. mell'!H63)</f>
        <v>88194191</v>
      </c>
      <c r="AC13" s="2517">
        <f>SUM('5.6.a. sz. mell'!I63)</f>
        <v>-2667104</v>
      </c>
      <c r="AD13" s="2517">
        <f>SUM('5.6.a. sz. mell'!J63)</f>
        <v>85527087</v>
      </c>
      <c r="AE13" s="2517"/>
      <c r="AF13" s="2517">
        <f>SUM('5.6.a. sz. mell'!L63)</f>
        <v>85527087</v>
      </c>
      <c r="AG13" s="2517">
        <f>SUM('5.6.a. sz. mell'!M63)</f>
        <v>85087254</v>
      </c>
      <c r="AH13" s="2518">
        <v>0</v>
      </c>
      <c r="AI13" s="2518">
        <v>0</v>
      </c>
      <c r="AJ13" s="2518">
        <v>0</v>
      </c>
      <c r="AK13" s="2518">
        <v>0</v>
      </c>
      <c r="AL13" s="2518">
        <v>0</v>
      </c>
      <c r="AM13" s="2518"/>
      <c r="AN13" s="2518">
        <v>0</v>
      </c>
      <c r="AO13" s="2518">
        <v>0</v>
      </c>
      <c r="AP13" s="2518">
        <v>0</v>
      </c>
      <c r="AQ13" s="2518">
        <v>0</v>
      </c>
      <c r="AR13" s="2518">
        <v>0</v>
      </c>
      <c r="AS13" s="2518"/>
      <c r="AT13" s="2519">
        <v>0</v>
      </c>
      <c r="AU13" s="3172"/>
      <c r="AV13" s="4031">
        <v>0</v>
      </c>
      <c r="AW13" s="2519">
        <v>0</v>
      </c>
    </row>
    <row r="14" spans="1:49" ht="19.5" customHeight="1" x14ac:dyDescent="0.25">
      <c r="A14" s="2527" t="s">
        <v>481</v>
      </c>
      <c r="B14" s="2517">
        <f>SUM('5.7.a. sz. mell.'!F47)</f>
        <v>137356131</v>
      </c>
      <c r="C14" s="2517">
        <f>SUM('5.7.a. sz. mell.'!G47)</f>
        <v>22071812</v>
      </c>
      <c r="D14" s="2517">
        <f>SUM('5.7.a. sz. mell.'!H47)</f>
        <v>159427943</v>
      </c>
      <c r="E14" s="2517">
        <f>SUM('5.7.a. sz. mell.'!I47)</f>
        <v>-15567608</v>
      </c>
      <c r="F14" s="2517">
        <f>SUM('5.7.a. sz. mell.'!J47)</f>
        <v>143860335</v>
      </c>
      <c r="G14" s="2517"/>
      <c r="H14" s="2517">
        <f>SUM('5.7.a. sz. mell.'!L47)</f>
        <v>143860335</v>
      </c>
      <c r="I14" s="2517">
        <f>SUM('5.7.a. sz. mell.'!M47)</f>
        <v>143860335</v>
      </c>
      <c r="J14" s="2517">
        <f>SUM('5.7.b. sz. mell.'!J45)</f>
        <v>0</v>
      </c>
      <c r="K14" s="2517">
        <f>SUM('5.7.b. sz. mell.'!K45)</f>
        <v>0</v>
      </c>
      <c r="L14" s="2517">
        <f>SUM('5.7.b. sz. mell.'!L45)</f>
        <v>0</v>
      </c>
      <c r="M14" s="2517">
        <f>SUM('5.7.b. sz. mell.'!M45)</f>
        <v>0</v>
      </c>
      <c r="N14" s="2517">
        <f>SUM('5.7.b. sz. mell.'!N45)</f>
        <v>0</v>
      </c>
      <c r="O14" s="2517"/>
      <c r="P14" s="2517">
        <f>SUM('5.7.b. sz. mell.'!P45)</f>
        <v>0</v>
      </c>
      <c r="Q14" s="2517">
        <f>SUM('5.7.b. sz. mell.'!Q45)</f>
        <v>0</v>
      </c>
      <c r="R14" s="2518">
        <v>0</v>
      </c>
      <c r="S14" s="2518"/>
      <c r="T14" s="2518">
        <v>0</v>
      </c>
      <c r="U14" s="2518"/>
      <c r="V14" s="2518">
        <v>0</v>
      </c>
      <c r="W14" s="2518"/>
      <c r="X14" s="2518">
        <v>0</v>
      </c>
      <c r="Y14" s="2518">
        <v>0</v>
      </c>
      <c r="Z14" s="2517">
        <f>SUM('5.7.a. sz. mell.'!F65)</f>
        <v>137356131</v>
      </c>
      <c r="AA14" s="2517">
        <f>SUM('5.7.a. sz. mell.'!G65)</f>
        <v>22071812</v>
      </c>
      <c r="AB14" s="2517">
        <f>SUM('5.7.a. sz. mell.'!H65)</f>
        <v>159427943</v>
      </c>
      <c r="AC14" s="2517">
        <f>SUM('5.7.a. sz. mell.'!I65)</f>
        <v>-15567608</v>
      </c>
      <c r="AD14" s="2517">
        <f>SUM('5.7.a. sz. mell.'!J65)</f>
        <v>143860335</v>
      </c>
      <c r="AE14" s="2517"/>
      <c r="AF14" s="2517">
        <f>SUM('5.7.a. sz. mell.'!L65)</f>
        <v>143860335</v>
      </c>
      <c r="AG14" s="2517">
        <f>SUM('5.7.a. sz. mell.'!M65)</f>
        <v>143699092</v>
      </c>
      <c r="AH14" s="2518">
        <v>0</v>
      </c>
      <c r="AI14" s="2518">
        <v>0</v>
      </c>
      <c r="AJ14" s="2518">
        <v>0</v>
      </c>
      <c r="AK14" s="2518">
        <v>0</v>
      </c>
      <c r="AL14" s="2518">
        <v>0</v>
      </c>
      <c r="AM14" s="2518"/>
      <c r="AN14" s="2518">
        <v>0</v>
      </c>
      <c r="AO14" s="2518">
        <v>0</v>
      </c>
      <c r="AP14" s="2518">
        <v>0</v>
      </c>
      <c r="AQ14" s="2518"/>
      <c r="AR14" s="2518">
        <v>0</v>
      </c>
      <c r="AS14" s="2518"/>
      <c r="AT14" s="2519">
        <v>0</v>
      </c>
      <c r="AU14" s="3172"/>
      <c r="AV14" s="4031">
        <v>0</v>
      </c>
      <c r="AW14" s="2519">
        <v>0</v>
      </c>
    </row>
    <row r="15" spans="1:49" ht="19.5" customHeight="1" x14ac:dyDescent="0.25">
      <c r="A15" s="2527" t="s">
        <v>485</v>
      </c>
      <c r="B15" s="2517">
        <f>SUM('5.8.a. sz. mell.'!F42)</f>
        <v>32596481</v>
      </c>
      <c r="C15" s="2517">
        <f>SUM('5.8.a. sz. mell.'!G42)</f>
        <v>3093449</v>
      </c>
      <c r="D15" s="2517">
        <f>SUM('5.8.a. sz. mell.'!H42)</f>
        <v>35689930</v>
      </c>
      <c r="E15" s="2517">
        <f>SUM('5.8.a. sz. mell.'!I42)</f>
        <v>1689784</v>
      </c>
      <c r="F15" s="2517">
        <f>SUM('5.8.a. sz. mell.'!J42)</f>
        <v>37379714</v>
      </c>
      <c r="G15" s="2517"/>
      <c r="H15" s="2517">
        <f>SUM('5.8.a. sz. mell.'!L42)</f>
        <v>37379714</v>
      </c>
      <c r="I15" s="2517">
        <f>SUM('5.8.a. sz. mell.'!M42)</f>
        <v>37379714</v>
      </c>
      <c r="J15" s="2517">
        <f>SUM('5.8.b. sz. mell.'!J42)</f>
        <v>0</v>
      </c>
      <c r="K15" s="2517">
        <f>SUM('5.8.b. sz. mell.'!K42)</f>
        <v>0</v>
      </c>
      <c r="L15" s="2517">
        <f>SUM('5.8.b. sz. mell.'!L42)</f>
        <v>0</v>
      </c>
      <c r="M15" s="2517">
        <f>SUM('5.8.b. sz. mell.'!M42)</f>
        <v>0</v>
      </c>
      <c r="N15" s="2517">
        <f>SUM('5.8.b. sz. mell.'!N42)</f>
        <v>0</v>
      </c>
      <c r="O15" s="2517"/>
      <c r="P15" s="2517">
        <f>SUM('5.8.b. sz. mell.'!P42)</f>
        <v>0</v>
      </c>
      <c r="Q15" s="2517">
        <f>SUM('5.8.b. sz. mell.'!Q42)</f>
        <v>0</v>
      </c>
      <c r="R15" s="2518">
        <v>0</v>
      </c>
      <c r="S15" s="2518">
        <v>0</v>
      </c>
      <c r="T15" s="2518">
        <v>0</v>
      </c>
      <c r="U15" s="2518">
        <v>0</v>
      </c>
      <c r="V15" s="2518">
        <v>0</v>
      </c>
      <c r="W15" s="2518"/>
      <c r="X15" s="2518">
        <v>0</v>
      </c>
      <c r="Y15" s="2518">
        <v>0</v>
      </c>
      <c r="Z15" s="2517">
        <f>SUM('5.8.a. sz. mell.'!F55)</f>
        <v>32596481</v>
      </c>
      <c r="AA15" s="2517">
        <f>SUM('5.8.a. sz. mell.'!G55)</f>
        <v>3093449</v>
      </c>
      <c r="AB15" s="2517">
        <f>SUM('5.8.a. sz. mell.'!H55)</f>
        <v>35689930</v>
      </c>
      <c r="AC15" s="2517">
        <f>SUM('5.8.a. sz. mell.'!I55)</f>
        <v>1689784</v>
      </c>
      <c r="AD15" s="2517">
        <f>SUM('5.8.a. sz. mell.'!J55)</f>
        <v>37379714</v>
      </c>
      <c r="AE15" s="2517"/>
      <c r="AF15" s="2517">
        <f>SUM('5.8.a. sz. mell.'!L55)</f>
        <v>37379714</v>
      </c>
      <c r="AG15" s="2517">
        <f>SUM('5.8.a. sz. mell.'!M55)</f>
        <v>37379714</v>
      </c>
      <c r="AH15" s="2518">
        <v>0</v>
      </c>
      <c r="AI15" s="2518">
        <v>0</v>
      </c>
      <c r="AJ15" s="2518">
        <v>0</v>
      </c>
      <c r="AK15" s="2518">
        <v>0</v>
      </c>
      <c r="AL15" s="2518">
        <v>0</v>
      </c>
      <c r="AM15" s="2518"/>
      <c r="AN15" s="2518">
        <v>0</v>
      </c>
      <c r="AO15" s="2518">
        <v>0</v>
      </c>
      <c r="AP15" s="2518">
        <v>0</v>
      </c>
      <c r="AQ15" s="2518">
        <v>0</v>
      </c>
      <c r="AR15" s="2518">
        <v>0</v>
      </c>
      <c r="AS15" s="2518"/>
      <c r="AT15" s="2519">
        <v>0</v>
      </c>
      <c r="AU15" s="3172"/>
      <c r="AV15" s="4031">
        <v>0</v>
      </c>
      <c r="AW15" s="2519">
        <v>0</v>
      </c>
    </row>
    <row r="16" spans="1:49" ht="19.5" customHeight="1" x14ac:dyDescent="0.25">
      <c r="A16" s="2527" t="s">
        <v>488</v>
      </c>
      <c r="B16" s="2517">
        <f>SUM('5.9.a. sz. mell'!F42)</f>
        <v>58749502</v>
      </c>
      <c r="C16" s="2517">
        <f>SUM('5.9.a. sz. mell'!G42)</f>
        <v>5049150</v>
      </c>
      <c r="D16" s="2517">
        <f>SUM('5.9.a. sz. mell'!H42)</f>
        <v>63798652</v>
      </c>
      <c r="E16" s="2517">
        <f>SUM('5.9.a. sz. mell'!I42)</f>
        <v>-4684267</v>
      </c>
      <c r="F16" s="2517">
        <f>SUM('5.9.a. sz. mell'!J42)</f>
        <v>59114385</v>
      </c>
      <c r="G16" s="2517"/>
      <c r="H16" s="2517">
        <f>SUM('5.9.a. sz. mell'!L42)</f>
        <v>59114385</v>
      </c>
      <c r="I16" s="2517">
        <f>SUM('5.9.a. sz. mell'!M42)</f>
        <v>59114385</v>
      </c>
      <c r="J16" s="2517">
        <f>SUM('5.9.b. sz. mell.'!F42)</f>
        <v>3881050</v>
      </c>
      <c r="K16" s="2517">
        <f>SUM('5.9.b. sz. mell.'!G42)</f>
        <v>0</v>
      </c>
      <c r="L16" s="2517">
        <f>SUM('5.9.b. sz. mell.'!H42)</f>
        <v>0</v>
      </c>
      <c r="M16" s="2517">
        <f>SUM('5.9.b. sz. mell.'!I42)</f>
        <v>0</v>
      </c>
      <c r="N16" s="2517">
        <f>SUM('5.9.b. sz. mell.'!J42)</f>
        <v>3606617</v>
      </c>
      <c r="O16" s="2517"/>
      <c r="P16" s="2517">
        <f>SUM('5.9.b. sz. mell.'!L42)</f>
        <v>3606617</v>
      </c>
      <c r="Q16" s="2517">
        <f>SUM('5.9.b. sz. mell.'!M42)</f>
        <v>3606617</v>
      </c>
      <c r="R16" s="2518">
        <v>0</v>
      </c>
      <c r="S16" s="2518">
        <v>0</v>
      </c>
      <c r="T16" s="2518">
        <v>0</v>
      </c>
      <c r="U16" s="2518">
        <v>0</v>
      </c>
      <c r="V16" s="2518">
        <v>0</v>
      </c>
      <c r="W16" s="2518"/>
      <c r="X16" s="2518">
        <v>0</v>
      </c>
      <c r="Y16" s="2518">
        <v>0</v>
      </c>
      <c r="Z16" s="2517">
        <f>SUM('5.9.a. sz. mell'!F55)</f>
        <v>58749502</v>
      </c>
      <c r="AA16" s="2517">
        <f>SUM('5.9.a. sz. mell'!G55)</f>
        <v>6449150</v>
      </c>
      <c r="AB16" s="2517">
        <f>SUM('5.9.a. sz. mell'!H55)</f>
        <v>65198652</v>
      </c>
      <c r="AC16" s="2517">
        <f>SUM('5.9.a. sz. mell'!I55)</f>
        <v>-6084267</v>
      </c>
      <c r="AD16" s="2517">
        <f>SUM('5.9.a. sz. mell'!J55)</f>
        <v>59114385</v>
      </c>
      <c r="AE16" s="2517"/>
      <c r="AF16" s="2517">
        <f>SUM('5.9.a. sz. mell'!L55)</f>
        <v>59114385</v>
      </c>
      <c r="AG16" s="2517">
        <f>SUM('5.9.a. sz. mell'!M55)</f>
        <v>59114385</v>
      </c>
      <c r="AH16" s="2517">
        <f>SUM('5.9.b. sz. mell.'!F42)</f>
        <v>3881050</v>
      </c>
      <c r="AI16" s="2517">
        <f>SUM('5.9.b. sz. mell.'!G42)</f>
        <v>0</v>
      </c>
      <c r="AJ16" s="2517">
        <f>SUM('5.9.b. sz. mell.'!H42)</f>
        <v>0</v>
      </c>
      <c r="AK16" s="2517">
        <f>SUM('5.9.b. sz. mell.'!I42)</f>
        <v>0</v>
      </c>
      <c r="AL16" s="2517">
        <f>SUM('5.9.b. sz. mell.'!J42)</f>
        <v>3606617</v>
      </c>
      <c r="AM16" s="2517"/>
      <c r="AN16" s="2517">
        <f>SUM('5.9.b. sz. mell.'!L42)</f>
        <v>3606617</v>
      </c>
      <c r="AO16" s="2517">
        <f>SUM('5.9.b. sz. mell.'!M42)</f>
        <v>3606617</v>
      </c>
      <c r="AP16" s="2518">
        <v>0</v>
      </c>
      <c r="AQ16" s="2518">
        <v>0</v>
      </c>
      <c r="AR16" s="2518">
        <v>0</v>
      </c>
      <c r="AS16" s="2518"/>
      <c r="AT16" s="2519">
        <v>0</v>
      </c>
      <c r="AU16" s="3172"/>
      <c r="AV16" s="4031">
        <v>0</v>
      </c>
      <c r="AW16" s="2519">
        <v>0</v>
      </c>
    </row>
    <row r="17" spans="1:49" ht="19.5" customHeight="1" x14ac:dyDescent="0.25">
      <c r="A17" s="2527" t="s">
        <v>491</v>
      </c>
      <c r="B17" s="2517">
        <f>SUM('5.10.a.sz. mell'!F40)</f>
        <v>128030000</v>
      </c>
      <c r="C17" s="2517">
        <f>SUM('5.10.a.sz. mell'!G40)</f>
        <v>0</v>
      </c>
      <c r="D17" s="2517">
        <f>SUM('5.10.a.sz. mell'!H40)</f>
        <v>128030000</v>
      </c>
      <c r="E17" s="2517">
        <f>SUM('5.10.a.sz. mell'!I40)</f>
        <v>-1678913</v>
      </c>
      <c r="F17" s="2517">
        <f>SUM('5.10.a.sz. mell'!J40)</f>
        <v>126351087</v>
      </c>
      <c r="G17" s="2517"/>
      <c r="H17" s="2517">
        <f>SUM('5.10.a.sz. mell'!L40)</f>
        <v>126351087</v>
      </c>
      <c r="I17" s="2517">
        <f>SUM('5.10.a.sz. mell'!M40)</f>
        <v>126351087</v>
      </c>
      <c r="J17" s="2517">
        <f>SUM('5.10.b. sz. mell'!F41)</f>
        <v>515926000</v>
      </c>
      <c r="K17" s="2517">
        <f>SUM('5.10.b. sz. mell'!G41)</f>
        <v>0</v>
      </c>
      <c r="L17" s="2517">
        <f>SUM('5.10.b. sz. mell'!H41)</f>
        <v>560454790</v>
      </c>
      <c r="M17" s="2517">
        <f>SUM('5.10.b. sz. mell'!I41)</f>
        <v>102639292</v>
      </c>
      <c r="N17" s="2517">
        <f>SUM('5.10.b. sz. mell'!J41)</f>
        <v>663094082</v>
      </c>
      <c r="O17" s="2517"/>
      <c r="P17" s="2517">
        <f>SUM('5.10.b. sz. mell'!L41)</f>
        <v>663094082</v>
      </c>
      <c r="Q17" s="2517">
        <f>SUM('5.10.b. sz. mell'!M41)</f>
        <v>662734167</v>
      </c>
      <c r="R17" s="2518">
        <v>0</v>
      </c>
      <c r="S17" s="2518">
        <v>0</v>
      </c>
      <c r="T17" s="2518">
        <v>0</v>
      </c>
      <c r="U17" s="2518">
        <v>0</v>
      </c>
      <c r="V17" s="2518">
        <v>0</v>
      </c>
      <c r="W17" s="2518"/>
      <c r="X17" s="2518">
        <v>0</v>
      </c>
      <c r="Y17" s="2518">
        <v>0</v>
      </c>
      <c r="Z17" s="2517">
        <f>SUM('5.10.a.sz. mell'!F53)</f>
        <v>128030000</v>
      </c>
      <c r="AA17" s="2517">
        <f>SUM('5.10.a.sz. mell'!G53)</f>
        <v>0</v>
      </c>
      <c r="AB17" s="2517">
        <f>SUM('5.10.a.sz. mell'!H53)</f>
        <v>128030000</v>
      </c>
      <c r="AC17" s="2517">
        <f>SUM('5.10.a.sz. mell'!I53)</f>
        <v>-1678913</v>
      </c>
      <c r="AD17" s="2517">
        <f>SUM('5.10.a.sz. mell'!J53)</f>
        <v>126351087</v>
      </c>
      <c r="AE17" s="2517"/>
      <c r="AF17" s="2517">
        <f>SUM('5.10.a.sz. mell'!L53)</f>
        <v>126351087</v>
      </c>
      <c r="AG17" s="2517">
        <f>SUM('5.10.a.sz. mell'!M53)</f>
        <v>126351087</v>
      </c>
      <c r="AH17" s="2517">
        <f>SUM('5.10.b. sz. mell'!F54)</f>
        <v>515926000</v>
      </c>
      <c r="AI17" s="2517">
        <f>SUM('5.10.b. sz. mell'!G54)</f>
        <v>0</v>
      </c>
      <c r="AJ17" s="2517">
        <f>SUM('5.10.b. sz. mell'!H54)</f>
        <v>560454790</v>
      </c>
      <c r="AK17" s="2517">
        <f>SUM('5.10.b. sz. mell'!I54)</f>
        <v>102639292</v>
      </c>
      <c r="AL17" s="2517">
        <f>SUM('5.10.b. sz. mell'!J54)</f>
        <v>663094082</v>
      </c>
      <c r="AM17" s="2517"/>
      <c r="AN17" s="2517">
        <f>SUM('5.10.b. sz. mell'!L54)</f>
        <v>663094082</v>
      </c>
      <c r="AO17" s="2517">
        <f>SUM('5.10.b. sz. mell'!M54)</f>
        <v>618117128</v>
      </c>
      <c r="AP17" s="2518">
        <v>0</v>
      </c>
      <c r="AQ17" s="2517">
        <f>SUM('5.10.b. sz. mell'!O54)</f>
        <v>0</v>
      </c>
      <c r="AR17" s="2517">
        <f>SUM('5.10.b. sz. mell'!P54)</f>
        <v>0</v>
      </c>
      <c r="AS17" s="2517">
        <f>SUM('5.10.b. sz. mell'!Q54)</f>
        <v>0</v>
      </c>
      <c r="AT17" s="2517">
        <f>SUM('5.10.b. sz. mell'!R54)</f>
        <v>0</v>
      </c>
      <c r="AU17" s="2517">
        <f>SUM('5.10.b. sz. mell'!S54)</f>
        <v>0</v>
      </c>
      <c r="AV17" s="4031">
        <v>0</v>
      </c>
      <c r="AW17" s="2519">
        <v>0</v>
      </c>
    </row>
    <row r="18" spans="1:49" ht="19.5" customHeight="1" x14ac:dyDescent="0.25">
      <c r="A18" s="2527" t="s">
        <v>1406</v>
      </c>
      <c r="B18" s="2517">
        <f>SUM('3. a. sz. mell'!F37)</f>
        <v>2314152711</v>
      </c>
      <c r="C18" s="2517">
        <f>SUM('3. a. sz. mell'!G37)</f>
        <v>598813215</v>
      </c>
      <c r="D18" s="2517">
        <f>SUM('3. a. sz. mell'!H37)</f>
        <v>2912965926</v>
      </c>
      <c r="E18" s="2517">
        <f>SUM('3. a. sz. mell'!I37)</f>
        <v>149107375</v>
      </c>
      <c r="F18" s="2517">
        <f>SUM('3. a. sz. mell'!J37)</f>
        <v>3062073301</v>
      </c>
      <c r="G18" s="2517"/>
      <c r="H18" s="2517">
        <f>SUM('3. a. sz. mell'!L37)</f>
        <v>3063821260</v>
      </c>
      <c r="I18" s="2517">
        <f>SUM('3. a. sz. mell'!M37)</f>
        <v>4321968181</v>
      </c>
      <c r="J18" s="2517">
        <f>SUM('3.b. sz. mell'!F34)</f>
        <v>2323595394</v>
      </c>
      <c r="K18" s="2517">
        <f>SUM('3.b. sz. mell'!G34)</f>
        <v>2293890720</v>
      </c>
      <c r="L18" s="2517">
        <f>SUM('3.b. sz. mell'!H34)</f>
        <v>4617486114</v>
      </c>
      <c r="M18" s="2517">
        <f>SUM('3.b. sz. mell'!I34)</f>
        <v>69240850</v>
      </c>
      <c r="N18" s="2517">
        <f>SUM('3.b. sz. mell'!J34)</f>
        <v>4686726964</v>
      </c>
      <c r="O18" s="2517"/>
      <c r="P18" s="2517">
        <f>SUM('3.b. sz. mell'!L34)</f>
        <v>4686726964</v>
      </c>
      <c r="Q18" s="2517">
        <f>SUM('3.b. sz. mell'!M34)</f>
        <v>3440030413</v>
      </c>
      <c r="R18" s="2517">
        <f>SUM('3.c. sz. mell '!F33)</f>
        <v>253084025</v>
      </c>
      <c r="S18" s="2517">
        <f>SUM('3.c. sz. mell '!G33)</f>
        <v>56848196</v>
      </c>
      <c r="T18" s="2517">
        <f>SUM('3.c. sz. mell '!H33)</f>
        <v>309932221</v>
      </c>
      <c r="U18" s="2517">
        <f>SUM('3.c. sz. mell '!I33)</f>
        <v>-42524797</v>
      </c>
      <c r="V18" s="2517">
        <f>SUM('3.c. sz. mell '!J33)</f>
        <v>267407424</v>
      </c>
      <c r="W18" s="2517"/>
      <c r="X18" s="2517">
        <f>SUM('3.c. sz. mell '!L33)</f>
        <v>267407424</v>
      </c>
      <c r="Y18" s="2517">
        <f>SUM('3.c. sz. mell '!M33)</f>
        <v>265849573</v>
      </c>
      <c r="Z18" s="2517">
        <f>SUM('3. a. sz. mell'!F78)</f>
        <v>2314152711</v>
      </c>
      <c r="AA18" s="2517">
        <f>SUM('3. a. sz. mell'!G78)</f>
        <v>598813215</v>
      </c>
      <c r="AB18" s="2517">
        <f>SUM('3. a. sz. mell'!H78)</f>
        <v>2912965926</v>
      </c>
      <c r="AC18" s="2517">
        <f>SUM('3. a. sz. mell'!I78)</f>
        <v>149107375</v>
      </c>
      <c r="AD18" s="2517">
        <f>SUM('3. a. sz. mell'!J78)</f>
        <v>3062073301</v>
      </c>
      <c r="AE18" s="2517"/>
      <c r="AF18" s="2517">
        <f>SUM('3. a. sz. mell'!L78)</f>
        <v>3063821260</v>
      </c>
      <c r="AG18" s="2517">
        <f>SUM('3. a. sz. mell'!M78)</f>
        <v>2759311455</v>
      </c>
      <c r="AH18" s="2517">
        <f>SUM('3.b. sz. mell'!F74)</f>
        <v>2323595394</v>
      </c>
      <c r="AI18" s="2517">
        <f>SUM('3.b. sz. mell'!G74)</f>
        <v>2293890720</v>
      </c>
      <c r="AJ18" s="2517">
        <f>SUM('3.b. sz. mell'!H74)</f>
        <v>4617486114</v>
      </c>
      <c r="AK18" s="2517">
        <f>SUM('3.b. sz. mell'!I74)</f>
        <v>-134077453</v>
      </c>
      <c r="AL18" s="2517">
        <f>SUM('3.b. sz. mell'!J74)</f>
        <v>4686726964</v>
      </c>
      <c r="AM18" s="2517"/>
      <c r="AN18" s="2517">
        <f>SUM('3.b. sz. mell'!L74)</f>
        <v>4686726964</v>
      </c>
      <c r="AO18" s="2517">
        <f>SUM('3.b. sz. mell'!M74)</f>
        <v>3440030413</v>
      </c>
      <c r="AP18" s="2517">
        <f>SUM('3.c. sz. mell '!F73)</f>
        <v>253084025</v>
      </c>
      <c r="AQ18" s="2517">
        <f>SUM('3.c. sz. mell '!G73)</f>
        <v>56848196</v>
      </c>
      <c r="AR18" s="2517">
        <f>SUM('3.c. sz. mell '!H73)</f>
        <v>309932221</v>
      </c>
      <c r="AS18" s="2517"/>
      <c r="AT18" s="2520">
        <f>SUM('3.c. sz. mell '!J73)</f>
        <v>267407424</v>
      </c>
      <c r="AU18" s="3171"/>
      <c r="AV18" s="4030">
        <f>SUM('3.c. sz. mell '!L73)</f>
        <v>267407424</v>
      </c>
      <c r="AW18" s="2520">
        <f>SUM('3.c. sz. mell '!M73)</f>
        <v>265849573</v>
      </c>
    </row>
    <row r="19" spans="1:49" ht="19.5" customHeight="1" thickBot="1" x14ac:dyDescent="0.3">
      <c r="A19" s="3175" t="s">
        <v>1407</v>
      </c>
      <c r="B19" s="3176">
        <f>SUM('3. a. sz. mell'!F75)</f>
        <v>1168068886</v>
      </c>
      <c r="C19" s="3176">
        <f>SUM('3. a. sz. mell'!G75)</f>
        <v>43914376</v>
      </c>
      <c r="D19" s="3176">
        <f>SUM('3. a. sz. mell'!H75)</f>
        <v>1211983262</v>
      </c>
      <c r="E19" s="3176">
        <f>SUM('3. a. sz. mell'!I75)</f>
        <v>-7967265</v>
      </c>
      <c r="F19" s="3176">
        <f>SUM('3. a. sz. mell'!J75)</f>
        <v>1204015997</v>
      </c>
      <c r="G19" s="3176"/>
      <c r="H19" s="3176">
        <f>SUM('3. a. sz. mell'!L75)-1497776</f>
        <v>1202518221</v>
      </c>
      <c r="I19" s="3176">
        <f>SUM('3. a. sz. mell'!M75)-1497776</f>
        <v>1204843651</v>
      </c>
      <c r="J19" s="3176">
        <f>SUM('3.b. sz. mell'!F71)</f>
        <v>52466050</v>
      </c>
      <c r="K19" s="3176">
        <f>SUM('3.b. sz. mell'!G71)</f>
        <v>44820079</v>
      </c>
      <c r="L19" s="3176">
        <f>SUM('3.b. sz. mell'!H71)</f>
        <v>97286129</v>
      </c>
      <c r="M19" s="3176">
        <f>SUM('3.b. sz. mell'!I71)</f>
        <v>96084320</v>
      </c>
      <c r="N19" s="3176">
        <f>SUM('3.b. sz. mell'!J71)</f>
        <v>193370449</v>
      </c>
      <c r="O19" s="3176"/>
      <c r="P19" s="3176">
        <f>SUM('3.b. sz. mell'!L71)+1497776</f>
        <v>194868225</v>
      </c>
      <c r="Q19" s="3176">
        <f>SUM('3.b. sz. mell'!M71)+1497776</f>
        <v>194100646</v>
      </c>
      <c r="R19" s="3176">
        <f>SUM('2.c sz. mell '!F83)</f>
        <v>253084025</v>
      </c>
      <c r="S19" s="3176">
        <f>SUM('2.c sz. mell '!G83)</f>
        <v>0</v>
      </c>
      <c r="T19" s="3176">
        <f>SUM('2.c sz. mell '!H83)</f>
        <v>309932221</v>
      </c>
      <c r="U19" s="3176">
        <f>SUM('2.c sz. mell '!I83)</f>
        <v>0</v>
      </c>
      <c r="V19" s="3176">
        <f>SUM('2.c sz. mell '!J83)</f>
        <v>267407424</v>
      </c>
      <c r="W19" s="3176"/>
      <c r="X19" s="3176">
        <f>SUM('2.c sz. mell '!L83)</f>
        <v>267407424</v>
      </c>
      <c r="Y19" s="3176">
        <f>SUM('2.c sz. mell '!M83)</f>
        <v>265849573</v>
      </c>
      <c r="Z19" s="3176">
        <f>SUM('3. a. sz. mell'!F75)</f>
        <v>1168068886</v>
      </c>
      <c r="AA19" s="3176">
        <f>SUM('3. a. sz. mell'!G75)</f>
        <v>43914376</v>
      </c>
      <c r="AB19" s="3176">
        <f>SUM('3. a. sz. mell'!H75)</f>
        <v>1211983262</v>
      </c>
      <c r="AC19" s="3176">
        <f>SUM('3. a. sz. mell'!I75)</f>
        <v>-7967265</v>
      </c>
      <c r="AD19" s="3176">
        <f>SUM('3. a. sz. mell'!J75)</f>
        <v>1204015997</v>
      </c>
      <c r="AE19" s="3176"/>
      <c r="AF19" s="3176">
        <f>SUM('3. a. sz. mell'!L75)-1497776</f>
        <v>1202518221</v>
      </c>
      <c r="AG19" s="3176">
        <f>SUM('3. a. sz. mell'!M75)-1497776</f>
        <v>1204843651</v>
      </c>
      <c r="AH19" s="3176">
        <f>SUM('3.b. sz. mell'!F71)</f>
        <v>52466050</v>
      </c>
      <c r="AI19" s="3176">
        <f>SUM('3.b. sz. mell'!G71)</f>
        <v>44820079</v>
      </c>
      <c r="AJ19" s="3176">
        <f>SUM('3.b. sz. mell'!H71)</f>
        <v>97286129</v>
      </c>
      <c r="AK19" s="3176">
        <f>SUM('3.b. sz. mell'!I71)</f>
        <v>96084320</v>
      </c>
      <c r="AL19" s="3176">
        <f>SUM('3.b. sz. mell'!J71)</f>
        <v>193370449</v>
      </c>
      <c r="AM19" s="3176"/>
      <c r="AN19" s="3176">
        <f>SUM('3.b. sz. mell'!L71)+1497776</f>
        <v>194868225</v>
      </c>
      <c r="AO19" s="3176">
        <f>SUM('3.b. sz. mell'!M71)+1497776</f>
        <v>194100646</v>
      </c>
      <c r="AP19" s="3176">
        <f>SUM('2.c sz. mell '!F83)</f>
        <v>253084025</v>
      </c>
      <c r="AQ19" s="3176">
        <f>SUM('2.c sz. mell '!G83)</f>
        <v>0</v>
      </c>
      <c r="AR19" s="3176">
        <f>SUM('2.c sz. mell '!H83)</f>
        <v>309932221</v>
      </c>
      <c r="AS19" s="3176"/>
      <c r="AT19" s="3177">
        <f>SUM('2.c sz. mell '!J83)</f>
        <v>267407424</v>
      </c>
      <c r="AU19" s="3173"/>
      <c r="AV19" s="4032">
        <f>SUM('2.c sz. mell '!L83)</f>
        <v>267407424</v>
      </c>
      <c r="AW19" s="2528">
        <f>SUM('2.c sz. mell '!M83)</f>
        <v>265849573</v>
      </c>
    </row>
    <row r="20" spans="1:49" ht="19.5" customHeight="1" thickBot="1" x14ac:dyDescent="0.35">
      <c r="A20" s="2529" t="s">
        <v>712</v>
      </c>
      <c r="B20" s="2530">
        <f t="shared" ref="B20:AR20" si="0">SUM(B7:B18)-B19</f>
        <v>2600832731</v>
      </c>
      <c r="C20" s="2530">
        <f t="shared" si="0"/>
        <v>614412814</v>
      </c>
      <c r="D20" s="2530">
        <f t="shared" si="0"/>
        <v>3215245545</v>
      </c>
      <c r="E20" s="2530">
        <f>SUM(E7:E18)-E19</f>
        <v>154436909</v>
      </c>
      <c r="F20" s="2530">
        <f>SUM(F7:F18)-F19</f>
        <v>3369682454</v>
      </c>
      <c r="G20" s="2530"/>
      <c r="H20" s="2530">
        <f t="shared" ref="H20:I20" si="1">SUM(H7:H18)-H19</f>
        <v>3372928189</v>
      </c>
      <c r="I20" s="2530">
        <f t="shared" si="1"/>
        <v>4631102882</v>
      </c>
      <c r="J20" s="2530">
        <f t="shared" si="0"/>
        <v>2797921394</v>
      </c>
      <c r="K20" s="2530">
        <f t="shared" si="0"/>
        <v>2256962021</v>
      </c>
      <c r="L20" s="2530">
        <f t="shared" si="0"/>
        <v>5095531155</v>
      </c>
      <c r="M20" s="2530">
        <f>SUM(M7:M18)-M19</f>
        <v>74033781</v>
      </c>
      <c r="N20" s="2530">
        <f>SUM(N7:N18)-N19</f>
        <v>5173171553</v>
      </c>
      <c r="O20" s="2530"/>
      <c r="P20" s="2530">
        <f t="shared" ref="P20:Q20" si="2">SUM(P7:P18)-P19</f>
        <v>5171673777</v>
      </c>
      <c r="Q20" s="2530">
        <f t="shared" si="2"/>
        <v>3924617311</v>
      </c>
      <c r="R20" s="2530">
        <f t="shared" si="0"/>
        <v>253084025</v>
      </c>
      <c r="S20" s="2530">
        <f t="shared" si="0"/>
        <v>56848196</v>
      </c>
      <c r="T20" s="2530">
        <f t="shared" si="0"/>
        <v>309932221</v>
      </c>
      <c r="U20" s="2530">
        <f>SUM(U7:U18)-U19</f>
        <v>-85049594</v>
      </c>
      <c r="V20" s="2530">
        <f>SUM(V7:V18)-V19</f>
        <v>267407424</v>
      </c>
      <c r="W20" s="2530"/>
      <c r="X20" s="2530">
        <f t="shared" ref="X20:Y20" si="3">SUM(X7:X18)-X19</f>
        <v>267407424</v>
      </c>
      <c r="Y20" s="2530">
        <f t="shared" si="3"/>
        <v>265849573</v>
      </c>
      <c r="Z20" s="2530">
        <f t="shared" si="0"/>
        <v>2600832731</v>
      </c>
      <c r="AA20" s="2530">
        <f t="shared" si="0"/>
        <v>615812814</v>
      </c>
      <c r="AB20" s="2530">
        <f t="shared" si="0"/>
        <v>3216645545</v>
      </c>
      <c r="AC20" s="2530">
        <f t="shared" si="0"/>
        <v>153036909</v>
      </c>
      <c r="AD20" s="2530">
        <f t="shared" si="0"/>
        <v>3369682454</v>
      </c>
      <c r="AE20" s="2530"/>
      <c r="AF20" s="2530">
        <f t="shared" ref="AF20:AG20" si="4">SUM(AF7:AF18)-AF19</f>
        <v>3372928189</v>
      </c>
      <c r="AG20" s="2530">
        <f t="shared" si="4"/>
        <v>3061266529</v>
      </c>
      <c r="AH20" s="2530">
        <f t="shared" si="0"/>
        <v>2797921394</v>
      </c>
      <c r="AI20" s="2530">
        <f t="shared" si="0"/>
        <v>2256962021</v>
      </c>
      <c r="AJ20" s="2530">
        <f t="shared" si="0"/>
        <v>5095531155</v>
      </c>
      <c r="AK20" s="2530">
        <f t="shared" si="0"/>
        <v>-127522481</v>
      </c>
      <c r="AL20" s="2530">
        <f t="shared" si="0"/>
        <v>5173171553</v>
      </c>
      <c r="AM20" s="2530"/>
      <c r="AN20" s="2530">
        <f t="shared" ref="AN20:AO20" si="5">SUM(AN7:AN18)-AN19</f>
        <v>5171673777</v>
      </c>
      <c r="AO20" s="2530">
        <f t="shared" si="5"/>
        <v>3880000272</v>
      </c>
      <c r="AP20" s="2530">
        <f t="shared" si="0"/>
        <v>253084025</v>
      </c>
      <c r="AQ20" s="2530">
        <f t="shared" si="0"/>
        <v>56848196</v>
      </c>
      <c r="AR20" s="2530">
        <f t="shared" si="0"/>
        <v>309932221</v>
      </c>
      <c r="AS20" s="2530"/>
      <c r="AT20" s="2531">
        <f>SUM(AT7:AT18)-AT19</f>
        <v>267407424</v>
      </c>
      <c r="AU20" s="3174"/>
      <c r="AV20" s="4033">
        <f>SUM(AV7:AV18)-AV19</f>
        <v>267407424</v>
      </c>
      <c r="AW20" s="2531">
        <f>SUM(AW7:AW18)-AW19</f>
        <v>265849573</v>
      </c>
    </row>
    <row r="21" spans="1:49" ht="19.5" customHeight="1" x14ac:dyDescent="0.2"/>
    <row r="22" spans="1:49" ht="19.5" customHeight="1" x14ac:dyDescent="0.3">
      <c r="A22" s="2522" t="s">
        <v>1408</v>
      </c>
      <c r="B22" s="2521">
        <f>SUM(B20+J20+R20)</f>
        <v>5651838150</v>
      </c>
      <c r="C22" s="2521">
        <f>SUM(C20+K20+S20)</f>
        <v>2928223031</v>
      </c>
      <c r="D22" s="2521">
        <f>SUM(D20+L20+T20)</f>
        <v>8620708921</v>
      </c>
      <c r="E22" s="2521">
        <f>SUM(E20+M20+U20)</f>
        <v>143421096</v>
      </c>
      <c r="F22" s="2521">
        <f>SUM(F20+N20+V20)</f>
        <v>8810261431</v>
      </c>
      <c r="G22" s="2521">
        <f t="shared" ref="G22" si="6">SUM(G20+O20+W20)</f>
        <v>0</v>
      </c>
      <c r="H22" s="2521">
        <f>SUM(H20+P20+X20)</f>
        <v>8812009390</v>
      </c>
      <c r="I22" s="2521">
        <f>SUM(I20+Q20+Y20)</f>
        <v>8821569766</v>
      </c>
      <c r="J22" s="2521"/>
      <c r="K22" s="2521"/>
      <c r="L22" s="2521"/>
      <c r="M22" s="2521"/>
      <c r="N22" s="2521"/>
      <c r="O22" s="2521"/>
      <c r="P22" s="2521"/>
      <c r="Q22" s="2521"/>
      <c r="R22" s="2521"/>
      <c r="S22" s="2521">
        <f>SUM(S20+AA20+AI20)</f>
        <v>2929623031</v>
      </c>
      <c r="T22" s="2521"/>
      <c r="U22" s="2521"/>
      <c r="V22" s="2521"/>
      <c r="W22" s="2521"/>
      <c r="X22" s="2521"/>
      <c r="Y22" s="2521"/>
      <c r="Z22" s="2521"/>
      <c r="AA22" s="2521"/>
      <c r="AB22" s="2521"/>
      <c r="AC22" s="2521"/>
      <c r="AD22" s="2521"/>
      <c r="AE22" s="2521"/>
      <c r="AF22" s="2521"/>
      <c r="AG22" s="2521"/>
    </row>
    <row r="23" spans="1:49" ht="19.5" customHeight="1" thickBot="1" x14ac:dyDescent="0.35">
      <c r="A23" s="2522" t="s">
        <v>1409</v>
      </c>
      <c r="B23" s="2521">
        <f>SUM('2. sz. mell'!F48)</f>
        <v>5651838150</v>
      </c>
      <c r="C23" s="2521">
        <f>SUM('2. sz. mell'!G48)</f>
        <v>2970270771</v>
      </c>
      <c r="D23" s="2521">
        <f>SUM('2. sz. mell'!H48)</f>
        <v>8622108921</v>
      </c>
      <c r="E23" s="2521">
        <f>SUM('2. sz. mell'!I48)</f>
        <v>188152510</v>
      </c>
      <c r="F23" s="2521">
        <f>SUM('2. sz. mell'!J48)</f>
        <v>8810261431</v>
      </c>
      <c r="G23" s="2521">
        <f>SUM('2. sz. mell'!K48)</f>
        <v>1747959</v>
      </c>
      <c r="H23" s="2521">
        <f>SUM('2. sz. mell'!L48)</f>
        <v>8812009390</v>
      </c>
      <c r="I23" s="2521">
        <f>SUM('2. sz. mell'!M48)</f>
        <v>8821569766</v>
      </c>
      <c r="J23" s="2521"/>
      <c r="K23" s="2521"/>
      <c r="L23" s="2521"/>
      <c r="M23" s="2521"/>
      <c r="N23" s="2521"/>
      <c r="O23" s="2521"/>
      <c r="P23" s="2521"/>
      <c r="Q23" s="2521"/>
      <c r="R23" s="2521"/>
      <c r="S23" s="2521">
        <f>SUM('2. sz. mell'!M48)</f>
        <v>8821569766</v>
      </c>
      <c r="T23" s="2521"/>
      <c r="U23" s="2521"/>
      <c r="V23" s="2521"/>
      <c r="W23" s="2521"/>
      <c r="X23" s="2521"/>
      <c r="Y23" s="2521"/>
      <c r="Z23" s="2521"/>
      <c r="AA23" s="2521"/>
      <c r="AB23" s="2521"/>
      <c r="AC23" s="2521"/>
      <c r="AD23" s="2521"/>
      <c r="AE23" s="2521"/>
      <c r="AF23" s="2521"/>
      <c r="AG23" s="2521"/>
    </row>
    <row r="24" spans="1:49" ht="19.5" customHeight="1" x14ac:dyDescent="0.3">
      <c r="A24" s="2525"/>
      <c r="B24" s="2526"/>
      <c r="C24" s="2526"/>
      <c r="D24" s="2526"/>
      <c r="E24" s="2526"/>
      <c r="F24" s="2526"/>
      <c r="G24" s="2526"/>
      <c r="H24" s="2526"/>
      <c r="I24" s="2526"/>
      <c r="J24" s="2526"/>
      <c r="K24" s="2526"/>
      <c r="L24" s="2526"/>
      <c r="M24" s="2526"/>
      <c r="N24" s="2526"/>
      <c r="O24" s="2526"/>
      <c r="P24" s="2526"/>
      <c r="Q24" s="2526"/>
      <c r="R24" s="2526"/>
      <c r="S24" s="2526"/>
      <c r="T24" s="2526"/>
      <c r="U24" s="2526"/>
      <c r="V24" s="2526"/>
      <c r="W24" s="2526"/>
      <c r="X24" s="2526"/>
      <c r="Y24" s="2526"/>
      <c r="Z24" s="2526"/>
      <c r="AA24" s="2874"/>
      <c r="AB24" s="2874"/>
      <c r="AC24" s="2874"/>
      <c r="AD24" s="2874"/>
      <c r="AE24" s="2874"/>
      <c r="AF24" s="2874"/>
      <c r="AG24" s="2874"/>
    </row>
    <row r="25" spans="1:49" ht="18.75" x14ac:dyDescent="0.3">
      <c r="A25" s="2523" t="s">
        <v>279</v>
      </c>
      <c r="B25" s="2556">
        <f>SUM(B23-B22)</f>
        <v>0</v>
      </c>
      <c r="C25" s="2556">
        <f>SUM(C23-C22)</f>
        <v>42047740</v>
      </c>
      <c r="D25" s="2556">
        <f>SUM(D23-D22)</f>
        <v>1400000</v>
      </c>
      <c r="E25" s="2556">
        <f>SUM(E23-E22)</f>
        <v>44731414</v>
      </c>
      <c r="F25" s="2556">
        <f>SUM(F23-F22)</f>
        <v>0</v>
      </c>
      <c r="G25" s="2556">
        <f t="shared" ref="G25:I25" si="7">SUM(G23-G22)</f>
        <v>1747959</v>
      </c>
      <c r="H25" s="2556">
        <f t="shared" si="7"/>
        <v>0</v>
      </c>
      <c r="I25" s="2556">
        <f t="shared" si="7"/>
        <v>0</v>
      </c>
      <c r="J25" s="2556"/>
      <c r="K25" s="2556"/>
      <c r="L25" s="2556"/>
      <c r="M25" s="2556"/>
      <c r="N25" s="2556"/>
      <c r="O25" s="2556"/>
      <c r="P25" s="2556"/>
      <c r="Q25" s="2556"/>
      <c r="R25" s="2556"/>
      <c r="S25" s="2556"/>
      <c r="T25" s="2556"/>
      <c r="U25" s="2556"/>
      <c r="V25" s="2556"/>
      <c r="W25" s="2556"/>
      <c r="X25" s="2556"/>
      <c r="Y25" s="2556"/>
      <c r="Z25" s="2556"/>
      <c r="AA25" s="2524"/>
      <c r="AB25" s="2524"/>
      <c r="AC25" s="2524"/>
      <c r="AD25" s="2524"/>
      <c r="AE25" s="2524"/>
      <c r="AF25" s="2524"/>
      <c r="AG25" s="2524"/>
    </row>
    <row r="26" spans="1:49" ht="19.5" thickBot="1" x14ac:dyDescent="0.35">
      <c r="A26" s="2523"/>
      <c r="B26" s="2523"/>
      <c r="C26" s="2523"/>
      <c r="D26" s="2523"/>
      <c r="E26" s="2523"/>
      <c r="F26" s="2523"/>
      <c r="G26" s="2523"/>
      <c r="H26" s="2523"/>
      <c r="I26" s="2523"/>
      <c r="J26" s="2523"/>
      <c r="K26" s="2523"/>
      <c r="L26" s="2523"/>
      <c r="M26" s="2523"/>
      <c r="N26" s="2523"/>
      <c r="O26" s="2523"/>
      <c r="P26" s="2523"/>
      <c r="Q26" s="2523"/>
      <c r="R26" s="2523"/>
      <c r="S26" s="2523"/>
      <c r="T26" s="2523"/>
      <c r="U26" s="2523"/>
      <c r="V26" s="2523"/>
      <c r="W26" s="2523"/>
      <c r="X26" s="2523"/>
      <c r="Y26" s="2523"/>
      <c r="Z26" s="2523"/>
      <c r="AA26" s="2523"/>
      <c r="AB26" s="2523"/>
      <c r="AC26" s="2523"/>
      <c r="AD26" s="2523"/>
      <c r="AE26" s="2523"/>
      <c r="AF26" s="2523"/>
      <c r="AG26" s="2523"/>
    </row>
    <row r="27" spans="1:49" ht="18.75" x14ac:dyDescent="0.3">
      <c r="A27" s="2995" t="s">
        <v>1424</v>
      </c>
      <c r="B27" s="2996">
        <f>SUM('1.3. sz. mell'!K57)</f>
        <v>2600832731</v>
      </c>
      <c r="C27" s="2996">
        <f>SUM('1.3. sz. mell'!L57)</f>
        <v>615729631</v>
      </c>
      <c r="D27" s="2996">
        <f>SUM('1.3. sz. mell'!M57)</f>
        <v>3216645545</v>
      </c>
      <c r="E27" s="2996">
        <f>SUM('1.3. sz. mell'!N57)</f>
        <v>207985452</v>
      </c>
      <c r="F27" s="2996">
        <f>SUM('1.3. sz. mell'!O57)</f>
        <v>3377731573</v>
      </c>
      <c r="G27" s="2996">
        <f>SUM('1.3. sz. mell'!P57)</f>
        <v>0</v>
      </c>
      <c r="H27" s="2996">
        <f>SUM('1.3. sz. mell'!Q57)</f>
        <v>3372928189.0100002</v>
      </c>
      <c r="I27" s="2996">
        <f>SUM('1.3. sz. mell'!R57)</f>
        <v>4631102882.0100002</v>
      </c>
      <c r="J27" s="2526"/>
      <c r="K27" s="2526"/>
      <c r="L27" s="2526"/>
      <c r="M27" s="2526"/>
      <c r="N27" s="2526"/>
      <c r="O27" s="2526"/>
      <c r="P27" s="2526"/>
      <c r="Q27" s="2526"/>
      <c r="R27" s="2526"/>
      <c r="S27" s="2526"/>
      <c r="T27" s="2526"/>
      <c r="U27" s="2526"/>
      <c r="V27" s="2526"/>
      <c r="W27" s="2526"/>
      <c r="X27" s="2526"/>
      <c r="Y27" s="2526"/>
      <c r="Z27" s="2996">
        <f>SUM('1.3. sz. mell'!C57)</f>
        <v>2600832731</v>
      </c>
      <c r="AA27" s="2996">
        <f>SUM('1.3. sz. mell'!D57)</f>
        <v>615729631</v>
      </c>
      <c r="AB27" s="2996">
        <f>SUM('1.3. sz. mell'!E57)</f>
        <v>3216645545</v>
      </c>
      <c r="AC27" s="2996">
        <f>SUM('1.3. sz. mell'!F57)</f>
        <v>207985452</v>
      </c>
      <c r="AD27" s="2996">
        <f>SUM('1.3. sz. mell'!G57)</f>
        <v>3377731573</v>
      </c>
      <c r="AE27" s="2996">
        <f>SUM('1.3. sz. mell'!H57)</f>
        <v>0</v>
      </c>
      <c r="AF27" s="2996">
        <f>SUM('1.3. sz. mell'!I57)</f>
        <v>3372928189</v>
      </c>
      <c r="AG27" s="2996">
        <f>SUM('1.3. sz. mell'!J57)</f>
        <v>3061266529</v>
      </c>
      <c r="AH27" s="2998"/>
      <c r="AI27" s="2998"/>
      <c r="AJ27" s="2998"/>
      <c r="AK27" s="2998"/>
      <c r="AL27" s="2998"/>
      <c r="AM27" s="2998"/>
      <c r="AN27" s="2998"/>
      <c r="AO27" s="2998"/>
      <c r="AP27" s="2998"/>
      <c r="AQ27" s="2998"/>
      <c r="AR27" s="2998"/>
      <c r="AS27" s="2998"/>
    </row>
    <row r="28" spans="1:49" s="2557" customFormat="1" ht="18.75" x14ac:dyDescent="0.3">
      <c r="A28" s="2555" t="s">
        <v>893</v>
      </c>
      <c r="B28" s="2997">
        <f>SUM(B20-B27)</f>
        <v>0</v>
      </c>
      <c r="C28" s="2997">
        <f>SUM(C20-C27)</f>
        <v>-1316817</v>
      </c>
      <c r="D28" s="2997">
        <f>SUM(D20-D27)</f>
        <v>-1400000</v>
      </c>
      <c r="E28" s="2997">
        <f>SUM(E20-E27)</f>
        <v>-53548543</v>
      </c>
      <c r="F28" s="2997">
        <f>SUM(F20-F27)</f>
        <v>-8049119</v>
      </c>
      <c r="G28" s="2997">
        <f t="shared" ref="G28" si="8">SUM(G20-G27)</f>
        <v>0</v>
      </c>
      <c r="H28" s="2997">
        <f>SUM(H20-H27)</f>
        <v>-1.0000228881835938E-2</v>
      </c>
      <c r="I28" s="2997">
        <f>SUM(I20-I27)</f>
        <v>-1.0000228881835938E-2</v>
      </c>
      <c r="J28" s="2997"/>
      <c r="K28" s="2997"/>
      <c r="L28" s="2997"/>
      <c r="M28" s="2997"/>
      <c r="N28" s="2997"/>
      <c r="O28" s="2997"/>
      <c r="P28" s="2997"/>
      <c r="Q28" s="2997"/>
      <c r="R28" s="2997"/>
      <c r="S28" s="2997"/>
      <c r="T28" s="2997"/>
      <c r="U28" s="2997"/>
      <c r="V28" s="2997"/>
      <c r="W28" s="2997"/>
      <c r="X28" s="2997"/>
      <c r="Y28" s="2997"/>
      <c r="Z28" s="2997">
        <f>SUM(Z20-Z27)</f>
        <v>0</v>
      </c>
      <c r="AA28" s="2997">
        <f t="shared" ref="AA28:AF28" si="9">SUM(AA20-AA27)</f>
        <v>83183</v>
      </c>
      <c r="AB28" s="2997">
        <f t="shared" si="9"/>
        <v>0</v>
      </c>
      <c r="AC28" s="2997">
        <f t="shared" si="9"/>
        <v>-54948543</v>
      </c>
      <c r="AD28" s="2997">
        <f t="shared" si="9"/>
        <v>-8049119</v>
      </c>
      <c r="AE28" s="2997">
        <f t="shared" si="9"/>
        <v>0</v>
      </c>
      <c r="AF28" s="2997">
        <f t="shared" si="9"/>
        <v>0</v>
      </c>
      <c r="AG28" s="2997">
        <f t="shared" ref="AG28" si="10">SUM(AG20-AG27)</f>
        <v>0</v>
      </c>
      <c r="AH28" s="2999"/>
      <c r="AI28" s="2999"/>
      <c r="AJ28" s="2999"/>
      <c r="AK28" s="2999"/>
      <c r="AL28" s="2999"/>
      <c r="AM28" s="2999"/>
      <c r="AN28" s="2999"/>
      <c r="AO28" s="2999"/>
      <c r="AP28" s="2999"/>
      <c r="AQ28" s="2999"/>
      <c r="AR28" s="2999"/>
      <c r="AS28" s="2999"/>
    </row>
    <row r="29" spans="1:49" ht="19.5" thickBot="1" x14ac:dyDescent="0.35">
      <c r="A29" s="3000"/>
      <c r="B29" s="3001"/>
      <c r="C29" s="3001"/>
      <c r="D29" s="3001"/>
      <c r="E29" s="3001"/>
      <c r="F29" s="3001"/>
      <c r="G29" s="3001"/>
      <c r="H29" s="3001"/>
      <c r="I29" s="3001"/>
      <c r="J29" s="3002"/>
      <c r="K29" s="3002"/>
      <c r="L29" s="3002"/>
      <c r="M29" s="3002"/>
      <c r="N29" s="3002"/>
      <c r="O29" s="3002"/>
      <c r="P29" s="3002"/>
      <c r="Q29" s="3002"/>
      <c r="R29" s="3002"/>
      <c r="S29" s="3002"/>
      <c r="T29" s="3002"/>
      <c r="U29" s="3002"/>
      <c r="V29" s="3002"/>
      <c r="W29" s="3002"/>
      <c r="X29" s="3002"/>
      <c r="Y29" s="3002"/>
      <c r="Z29" s="3001"/>
      <c r="AA29" s="3001"/>
      <c r="AB29" s="3001"/>
      <c r="AC29" s="3001"/>
      <c r="AD29" s="3001"/>
      <c r="AE29" s="3001"/>
      <c r="AF29" s="3001"/>
      <c r="AG29" s="3001"/>
      <c r="AH29" s="2944"/>
      <c r="AI29" s="2944"/>
      <c r="AJ29" s="2944"/>
      <c r="AK29" s="2944"/>
      <c r="AL29" s="2944"/>
      <c r="AM29" s="2944"/>
      <c r="AN29" s="2944"/>
      <c r="AO29" s="2944"/>
      <c r="AP29" s="2944"/>
      <c r="AQ29" s="2944"/>
      <c r="AR29" s="2944"/>
      <c r="AS29" s="2944"/>
    </row>
    <row r="30" spans="1:49" ht="18.75" x14ac:dyDescent="0.3">
      <c r="A30" s="2995" t="s">
        <v>1425</v>
      </c>
      <c r="B30" s="2996"/>
      <c r="C30" s="2996"/>
      <c r="D30" s="2996"/>
      <c r="E30" s="2996"/>
      <c r="F30" s="2996"/>
      <c r="G30" s="2996"/>
      <c r="H30" s="2996"/>
      <c r="I30" s="2996"/>
      <c r="J30" s="2996">
        <f>SUM('1.4. sz. mell'!J32)</f>
        <v>2797921394</v>
      </c>
      <c r="K30" s="2996">
        <f>SUM('1.4. sz. mell'!K32)</f>
        <v>2118931167</v>
      </c>
      <c r="L30" s="2996">
        <f>SUM('1.4. sz. mell'!L32)</f>
        <v>5095531157</v>
      </c>
      <c r="M30" s="2996">
        <f>SUM('1.4. sz. mell'!M32)</f>
        <v>-95415514</v>
      </c>
      <c r="N30" s="2996">
        <f>SUM('1.4. sz. mell'!N32)</f>
        <v>5024604941</v>
      </c>
      <c r="O30" s="2996">
        <f>SUM('1.4. sz. mell'!O32)</f>
        <v>5</v>
      </c>
      <c r="P30" s="2996">
        <f>SUM('1.4. sz. mell'!P32)</f>
        <v>5171673777</v>
      </c>
      <c r="Q30" s="2996">
        <f>SUM('1.4. sz. mell'!Q32)</f>
        <v>3924617311</v>
      </c>
      <c r="R30" s="2996"/>
      <c r="S30" s="2996"/>
      <c r="T30" s="2996"/>
      <c r="U30" s="2996"/>
      <c r="V30" s="2996"/>
      <c r="W30" s="2996"/>
      <c r="X30" s="2996"/>
      <c r="Y30" s="2996"/>
      <c r="Z30" s="2996"/>
      <c r="AA30" s="2996"/>
      <c r="AB30" s="2996"/>
      <c r="AC30" s="2996"/>
      <c r="AD30" s="2996"/>
      <c r="AE30" s="2996"/>
      <c r="AF30" s="2996"/>
      <c r="AG30" s="2996"/>
      <c r="AH30" s="2996">
        <f>SUM('1.4. sz. mell'!B32)</f>
        <v>2797921394</v>
      </c>
      <c r="AI30" s="2996">
        <f>SUM('1.4. sz. mell'!C32)</f>
        <v>2118931167</v>
      </c>
      <c r="AJ30" s="2996">
        <f>SUM('1.4. sz. mell'!D32)</f>
        <v>5095531157</v>
      </c>
      <c r="AK30" s="2996">
        <f>SUM('1.4. sz. mell'!E32)</f>
        <v>-95415514</v>
      </c>
      <c r="AL30" s="2996">
        <f>SUM('1.4. sz. mell'!F32)</f>
        <v>5024604941</v>
      </c>
      <c r="AM30" s="2996">
        <f>SUM('1.4. sz. mell'!G32)</f>
        <v>0</v>
      </c>
      <c r="AN30" s="2996">
        <f>SUM('1.4. sz. mell'!H32)</f>
        <v>5171673777</v>
      </c>
      <c r="AO30" s="2996">
        <f>SUM('1.4. sz. mell'!I32)</f>
        <v>3880000272</v>
      </c>
      <c r="AP30" s="2998"/>
      <c r="AQ30" s="2998"/>
      <c r="AR30" s="2998"/>
      <c r="AS30" s="2998"/>
    </row>
    <row r="31" spans="1:49" s="2557" customFormat="1" ht="18.75" x14ac:dyDescent="0.3">
      <c r="A31" s="2555" t="s">
        <v>893</v>
      </c>
      <c r="B31" s="2997"/>
      <c r="C31" s="2997"/>
      <c r="D31" s="2997"/>
      <c r="E31" s="2997"/>
      <c r="F31" s="2997"/>
      <c r="G31" s="2997"/>
      <c r="H31" s="2997"/>
      <c r="I31" s="2997"/>
      <c r="J31" s="2997">
        <f>SUM(J20-J30)</f>
        <v>0</v>
      </c>
      <c r="K31" s="2997">
        <f>SUM(K20-K30)</f>
        <v>138030854</v>
      </c>
      <c r="L31" s="2997">
        <f>SUM(L20-L30)</f>
        <v>-2</v>
      </c>
      <c r="M31" s="2997">
        <f>SUM(M20-M30)</f>
        <v>169449295</v>
      </c>
      <c r="N31" s="2997">
        <f>SUM(N20-N30)</f>
        <v>148566612</v>
      </c>
      <c r="O31" s="2997">
        <f t="shared" ref="O31:P31" si="11">SUM(O20-O30)</f>
        <v>-5</v>
      </c>
      <c r="P31" s="2997">
        <f t="shared" si="11"/>
        <v>0</v>
      </c>
      <c r="Q31" s="2997">
        <f>SUM(Q20-Q30)</f>
        <v>0</v>
      </c>
      <c r="R31" s="2997"/>
      <c r="S31" s="2997"/>
      <c r="T31" s="2997"/>
      <c r="U31" s="2997"/>
      <c r="V31" s="2997"/>
      <c r="W31" s="2997"/>
      <c r="X31" s="2997"/>
      <c r="Y31" s="2997"/>
      <c r="Z31" s="2997"/>
      <c r="AA31" s="2997"/>
      <c r="AB31" s="2997"/>
      <c r="AC31" s="2997"/>
      <c r="AD31" s="2997"/>
      <c r="AE31" s="2997"/>
      <c r="AF31" s="2997"/>
      <c r="AG31" s="2997"/>
      <c r="AH31" s="2997">
        <f>SUM(AH20-AH30)</f>
        <v>0</v>
      </c>
      <c r="AI31" s="2997">
        <f t="shared" ref="AI31:AN31" si="12">SUM(AI20-AI30)</f>
        <v>138030854</v>
      </c>
      <c r="AJ31" s="2997">
        <f t="shared" si="12"/>
        <v>-2</v>
      </c>
      <c r="AK31" s="2997">
        <f t="shared" si="12"/>
        <v>-32106967</v>
      </c>
      <c r="AL31" s="2997">
        <f t="shared" si="12"/>
        <v>148566612</v>
      </c>
      <c r="AM31" s="2997">
        <f t="shared" si="12"/>
        <v>0</v>
      </c>
      <c r="AN31" s="2997">
        <f t="shared" si="12"/>
        <v>0</v>
      </c>
      <c r="AO31" s="2997">
        <f t="shared" ref="AO31" si="13">SUM(AO20-AO30)</f>
        <v>0</v>
      </c>
      <c r="AP31" s="2999"/>
      <c r="AQ31" s="2999"/>
      <c r="AR31" s="2999"/>
      <c r="AS31" s="2999"/>
    </row>
    <row r="32" spans="1:49" ht="19.5" thickBot="1" x14ac:dyDescent="0.35">
      <c r="A32" s="2554"/>
      <c r="B32" s="2521"/>
      <c r="C32" s="2521"/>
      <c r="D32" s="2521"/>
      <c r="E32" s="2521"/>
      <c r="F32" s="2521"/>
      <c r="G32" s="2521"/>
      <c r="H32" s="2521"/>
      <c r="I32" s="2521"/>
      <c r="J32" s="2521"/>
      <c r="K32" s="2521"/>
      <c r="L32" s="2521"/>
      <c r="M32" s="2521"/>
      <c r="N32" s="2521"/>
      <c r="O32" s="2521"/>
      <c r="P32" s="2521"/>
      <c r="Q32" s="2521"/>
      <c r="R32" s="2521"/>
      <c r="S32" s="2521"/>
      <c r="T32" s="2521"/>
      <c r="U32" s="2521"/>
      <c r="V32" s="2521"/>
      <c r="W32" s="2521"/>
      <c r="X32" s="2521"/>
      <c r="Y32" s="2521"/>
      <c r="Z32" s="2521"/>
      <c r="AA32" s="2521"/>
      <c r="AB32" s="2521"/>
      <c r="AC32" s="2521"/>
      <c r="AD32" s="2521"/>
      <c r="AE32" s="2521"/>
      <c r="AF32" s="2521"/>
      <c r="AG32" s="2521"/>
      <c r="AH32" s="2521"/>
      <c r="AI32" s="2521"/>
      <c r="AJ32" s="2521"/>
      <c r="AK32" s="2521"/>
      <c r="AL32" s="2521"/>
      <c r="AM32" s="2521"/>
      <c r="AN32" s="2521"/>
      <c r="AO32" s="2521"/>
    </row>
    <row r="33" spans="1:49" ht="18.75" x14ac:dyDescent="0.3">
      <c r="A33" s="2995" t="s">
        <v>1426</v>
      </c>
      <c r="B33" s="2996"/>
      <c r="C33" s="2996"/>
      <c r="D33" s="2996"/>
      <c r="E33" s="2996"/>
      <c r="F33" s="2996"/>
      <c r="G33" s="2996"/>
      <c r="H33" s="2996"/>
      <c r="I33" s="2996"/>
      <c r="J33" s="2996"/>
      <c r="K33" s="2996"/>
      <c r="L33" s="2996"/>
      <c r="M33" s="2996"/>
      <c r="N33" s="2996"/>
      <c r="O33" s="2996"/>
      <c r="P33" s="2996"/>
      <c r="Q33" s="2996"/>
      <c r="R33" s="2996">
        <f>SUM('1.5. sz. mell'!J13)</f>
        <v>253084025</v>
      </c>
      <c r="S33" s="2996">
        <f>SUM('1.5. sz. mell'!K13)</f>
        <v>56848196</v>
      </c>
      <c r="T33" s="2996">
        <f>SUM('1.5. sz. mell'!L13)</f>
        <v>309932221</v>
      </c>
      <c r="U33" s="2996">
        <f>SUM('1.5. sz. mell'!M13)</f>
        <v>-42524797</v>
      </c>
      <c r="V33" s="2996">
        <f>SUM('1.5. sz. mell'!N13)</f>
        <v>267407424</v>
      </c>
      <c r="W33" s="2996">
        <f>SUM('1.5. sz. mell'!O13)</f>
        <v>0</v>
      </c>
      <c r="X33" s="2996">
        <f>SUM('1.5. sz. mell'!P13)</f>
        <v>267407424</v>
      </c>
      <c r="Y33" s="2996">
        <f>SUM('1.5. sz. mell'!Q13)</f>
        <v>265849573</v>
      </c>
      <c r="Z33" s="2996"/>
      <c r="AA33" s="2996"/>
      <c r="AB33" s="2996"/>
      <c r="AC33" s="2996"/>
      <c r="AD33" s="2996"/>
      <c r="AE33" s="2996"/>
      <c r="AF33" s="2996"/>
      <c r="AG33" s="2996"/>
      <c r="AH33" s="2996"/>
      <c r="AI33" s="2996"/>
      <c r="AJ33" s="2996"/>
      <c r="AK33" s="2996"/>
      <c r="AL33" s="2996"/>
      <c r="AM33" s="2996"/>
      <c r="AN33" s="2996"/>
      <c r="AO33" s="2996"/>
      <c r="AP33" s="2996">
        <f>SUM('1.5. sz. mell'!B13)</f>
        <v>253084025</v>
      </c>
      <c r="AQ33" s="2996">
        <f>SUM('1.5. sz. mell'!C13)</f>
        <v>56848196</v>
      </c>
      <c r="AR33" s="2996">
        <f>SUM('1.5. sz. mell'!D13)</f>
        <v>309932221</v>
      </c>
      <c r="AS33" s="2996">
        <f>SUM('1.5. sz. mell'!E13)</f>
        <v>-42524797</v>
      </c>
      <c r="AT33" s="2996">
        <f>SUM('1.5. sz. mell'!F13)</f>
        <v>267407424</v>
      </c>
      <c r="AU33" s="2996">
        <f>SUM('1.5. sz. mell'!G13)</f>
        <v>0</v>
      </c>
      <c r="AV33" s="2996">
        <f>SUM('1.5. sz. mell'!H13)</f>
        <v>267407424</v>
      </c>
      <c r="AW33" s="2996">
        <f>SUM('1.5. sz. mell'!I13)</f>
        <v>265849573</v>
      </c>
    </row>
    <row r="34" spans="1:49" s="2557" customFormat="1" ht="18.75" x14ac:dyDescent="0.3">
      <c r="A34" s="2555" t="s">
        <v>893</v>
      </c>
      <c r="B34" s="2997"/>
      <c r="C34" s="2997"/>
      <c r="D34" s="2997"/>
      <c r="E34" s="2997"/>
      <c r="F34" s="2997"/>
      <c r="G34" s="2997"/>
      <c r="H34" s="2997"/>
      <c r="I34" s="2997"/>
      <c r="J34" s="2997"/>
      <c r="K34" s="2997"/>
      <c r="L34" s="2997"/>
      <c r="M34" s="2997"/>
      <c r="N34" s="2997"/>
      <c r="O34" s="2997"/>
      <c r="P34" s="2997"/>
      <c r="Q34" s="2997"/>
      <c r="R34" s="2997">
        <f>SUM(R20-R33)</f>
        <v>0</v>
      </c>
      <c r="S34" s="2997">
        <f t="shared" ref="S34:X34" si="14">SUM(S20-S33)</f>
        <v>0</v>
      </c>
      <c r="T34" s="2997">
        <f t="shared" si="14"/>
        <v>0</v>
      </c>
      <c r="U34" s="2997">
        <f t="shared" si="14"/>
        <v>-42524797</v>
      </c>
      <c r="V34" s="2997">
        <f t="shared" si="14"/>
        <v>0</v>
      </c>
      <c r="W34" s="2997">
        <f t="shared" si="14"/>
        <v>0</v>
      </c>
      <c r="X34" s="2997">
        <f t="shared" si="14"/>
        <v>0</v>
      </c>
      <c r="Y34" s="2997">
        <f>SUM(Y20-Y33)</f>
        <v>0</v>
      </c>
      <c r="Z34" s="2997"/>
      <c r="AA34" s="2997"/>
      <c r="AB34" s="2997"/>
      <c r="AC34" s="2997"/>
      <c r="AD34" s="2997"/>
      <c r="AE34" s="2997"/>
      <c r="AF34" s="2997"/>
      <c r="AG34" s="2997"/>
      <c r="AH34" s="2997"/>
      <c r="AI34" s="2997"/>
      <c r="AJ34" s="2997"/>
      <c r="AK34" s="2997"/>
      <c r="AL34" s="2997"/>
      <c r="AM34" s="2997"/>
      <c r="AN34" s="2997"/>
      <c r="AO34" s="2997"/>
      <c r="AP34" s="2997">
        <f>SUM(AP20-AP33)</f>
        <v>0</v>
      </c>
      <c r="AQ34" s="2997">
        <f t="shared" ref="AQ34:AV34" si="15">SUM(AQ20-AQ33)</f>
        <v>0</v>
      </c>
      <c r="AR34" s="2997">
        <f t="shared" si="15"/>
        <v>0</v>
      </c>
      <c r="AS34" s="2997">
        <f t="shared" si="15"/>
        <v>42524797</v>
      </c>
      <c r="AT34" s="2997">
        <f t="shared" si="15"/>
        <v>0</v>
      </c>
      <c r="AU34" s="2997">
        <f t="shared" si="15"/>
        <v>0</v>
      </c>
      <c r="AV34" s="2997">
        <f t="shared" si="15"/>
        <v>0</v>
      </c>
      <c r="AW34" s="2997">
        <f t="shared" ref="AW34" si="16">SUM(AW20-AW33)</f>
        <v>0</v>
      </c>
    </row>
    <row r="35" spans="1:49" ht="15.75" x14ac:dyDescent="0.25">
      <c r="A35" s="2397"/>
      <c r="B35" s="2875"/>
      <c r="C35" s="2875"/>
      <c r="D35" s="2875"/>
      <c r="E35" s="2875"/>
      <c r="F35" s="2875"/>
      <c r="G35" s="2875"/>
      <c r="H35" s="2875"/>
      <c r="I35" s="2875"/>
      <c r="J35" s="2875"/>
      <c r="K35" s="2875"/>
      <c r="L35" s="2875"/>
      <c r="M35" s="2875"/>
      <c r="N35" s="2875"/>
      <c r="O35" s="2875"/>
      <c r="P35" s="2875"/>
      <c r="Q35" s="2875"/>
      <c r="R35" s="2875"/>
      <c r="S35" s="2875"/>
      <c r="T35" s="2875"/>
      <c r="U35" s="2875"/>
      <c r="V35" s="2875"/>
      <c r="W35" s="2875"/>
      <c r="X35" s="2875"/>
      <c r="Y35" s="2875"/>
      <c r="Z35" s="2875"/>
      <c r="AA35" s="2875"/>
      <c r="AB35" s="2875"/>
      <c r="AC35" s="2875"/>
      <c r="AD35" s="2875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2397"/>
      <c r="AQ35" s="2397"/>
      <c r="AR35" s="2397"/>
      <c r="AS35" s="2397"/>
    </row>
    <row r="37" spans="1:49" x14ac:dyDescent="0.2">
      <c r="B37" s="2361">
        <f>SUM(B28+J31)</f>
        <v>0</v>
      </c>
      <c r="C37" s="2361"/>
      <c r="D37" s="2361"/>
      <c r="E37" s="2361"/>
      <c r="F37" s="2361"/>
      <c r="G37" s="2361"/>
      <c r="H37" s="2361"/>
      <c r="I37" s="2361"/>
    </row>
  </sheetData>
  <mergeCells count="10">
    <mergeCell ref="Z4:AW4"/>
    <mergeCell ref="AP5:AW5"/>
    <mergeCell ref="A2:AT2"/>
    <mergeCell ref="A4:A5"/>
    <mergeCell ref="B5:I5"/>
    <mergeCell ref="J5:Q5"/>
    <mergeCell ref="B4:Y4"/>
    <mergeCell ref="R5:Y5"/>
    <mergeCell ref="Z5:AG5"/>
    <mergeCell ref="AH5:AO5"/>
  </mergeCells>
  <printOptions horizontalCentered="1"/>
  <pageMargins left="0.23622047244094491" right="0.19685039370078741" top="0.74803149606299213" bottom="0.74803149606299213" header="0.31496062992125984" footer="0.31496062992125984"/>
  <pageSetup paperSize="9" scale="46" firstPageNumber="15" orientation="landscape" useFirstPageNumber="1" r:id="rId1"/>
  <headerFooter>
    <oddHeader>&amp;R&amp;12 1.6. sz. melléklet</oddHeader>
    <oddFooter>&amp;C&amp;12-&amp;P -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I79"/>
  <sheetViews>
    <sheetView view="pageBreakPreview" topLeftCell="J40" zoomScaleNormal="100" zoomScaleSheetLayoutView="100" zoomScalePageLayoutView="60" workbookViewId="0">
      <selection activeCell="AB4" sqref="AB1:AB1048576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83203125" style="115" customWidth="1"/>
    <col min="4" max="5" width="9.33203125" style="115" hidden="1" customWidth="1"/>
    <col min="6" max="6" width="13.83203125" style="115" customWidth="1"/>
    <col min="7" max="7" width="14.83203125" style="1390" hidden="1" customWidth="1"/>
    <col min="8" max="8" width="12.5" style="115" hidden="1" customWidth="1"/>
    <col min="9" max="9" width="13.83203125" style="1390" hidden="1" customWidth="1"/>
    <col min="10" max="10" width="13.1640625" style="115" customWidth="1"/>
    <col min="11" max="11" width="13.83203125" style="1390" customWidth="1"/>
    <col min="12" max="12" width="13.83203125" style="115" customWidth="1"/>
    <col min="13" max="13" width="14.33203125" style="115" customWidth="1"/>
    <col min="14" max="14" width="16.33203125" style="115" customWidth="1"/>
    <col min="15" max="15" width="18.33203125" style="115" customWidth="1"/>
    <col min="16" max="16" width="9.33203125" style="115"/>
    <col min="17" max="17" width="13.5" style="1877" customWidth="1"/>
    <col min="18" max="18" width="13.5" style="1877" hidden="1" customWidth="1"/>
    <col min="19" max="20" width="13.5" style="1886" hidden="1" customWidth="1"/>
    <col min="21" max="21" width="13.5" style="115" customWidth="1"/>
    <col min="22" max="22" width="13.5" style="115" hidden="1" customWidth="1"/>
    <col min="23" max="23" width="13.5" style="1161" customWidth="1"/>
    <col min="24" max="24" width="13.5" style="1161" hidden="1" customWidth="1"/>
    <col min="25" max="25" width="13.5" style="1898" customWidth="1"/>
    <col min="26" max="26" width="15.1640625" style="1877" customWidth="1"/>
    <col min="27" max="27" width="15.1640625" style="1877" hidden="1" customWidth="1"/>
    <col min="28" max="28" width="15.1640625" style="1877" customWidth="1"/>
    <col min="29" max="29" width="16.33203125" style="1886" customWidth="1"/>
    <col min="30" max="30" width="16.33203125" style="1886" hidden="1" customWidth="1"/>
    <col min="31" max="31" width="16.33203125" style="115" customWidth="1"/>
    <col min="32" max="32" width="16.33203125" style="115" hidden="1" customWidth="1"/>
    <col min="33" max="33" width="16.33203125" style="1161" customWidth="1"/>
    <col min="34" max="34" width="16.33203125" style="1161" hidden="1" customWidth="1"/>
    <col min="35" max="35" width="16.33203125" style="1904" customWidth="1"/>
    <col min="36" max="36" width="9.33203125" style="115" customWidth="1"/>
    <col min="37" max="16384" width="9.33203125" style="115"/>
  </cols>
  <sheetData>
    <row r="1" spans="1:35" s="98" customFormat="1" ht="16.899999999999999" customHeight="1" thickBot="1" x14ac:dyDescent="0.25">
      <c r="A1" s="240"/>
      <c r="B1" s="241"/>
      <c r="C1" s="4526" t="s">
        <v>747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  <c r="Q1" s="1872"/>
      <c r="R1" s="1872"/>
      <c r="S1" s="1882"/>
      <c r="T1" s="1882"/>
      <c r="W1" s="1868"/>
      <c r="X1" s="1868"/>
      <c r="Y1" s="1893"/>
      <c r="Z1" s="1872"/>
      <c r="AA1" s="1872"/>
      <c r="AB1" s="1872"/>
      <c r="AC1" s="1882"/>
      <c r="AD1" s="1882"/>
      <c r="AG1" s="1868"/>
      <c r="AH1" s="1868"/>
      <c r="AI1" s="1899"/>
    </row>
    <row r="2" spans="1:35" s="303" customFormat="1" ht="30" customHeight="1" thickBot="1" x14ac:dyDescent="0.25">
      <c r="A2" s="4516" t="s">
        <v>411</v>
      </c>
      <c r="B2" s="4516"/>
      <c r="C2" s="805" t="s">
        <v>488</v>
      </c>
      <c r="D2" s="4415" t="s">
        <v>282</v>
      </c>
      <c r="E2" s="818"/>
      <c r="F2" s="4415" t="s">
        <v>1082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49" t="s">
        <v>2623</v>
      </c>
      <c r="L2" s="4415" t="s">
        <v>234</v>
      </c>
      <c r="M2" s="4633" t="s">
        <v>1947</v>
      </c>
      <c r="N2" s="460"/>
      <c r="O2" s="460"/>
      <c r="Q2" s="1873"/>
      <c r="R2" s="1873"/>
      <c r="S2" s="1883"/>
      <c r="T2" s="1883"/>
      <c r="W2" s="1869"/>
      <c r="X2" s="1869"/>
      <c r="Y2" s="1894"/>
      <c r="Z2" s="1873"/>
      <c r="AA2" s="1873"/>
      <c r="AB2" s="1873"/>
      <c r="AC2" s="1883"/>
      <c r="AD2" s="1883"/>
      <c r="AG2" s="1869"/>
      <c r="AH2" s="1869"/>
      <c r="AI2" s="1900"/>
    </row>
    <row r="3" spans="1:35" s="303" customFormat="1" ht="30" customHeight="1" thickBot="1" x14ac:dyDescent="0.25">
      <c r="A3" s="4512" t="s">
        <v>283</v>
      </c>
      <c r="B3" s="4512"/>
      <c r="C3" s="806" t="s">
        <v>489</v>
      </c>
      <c r="D3" s="4415"/>
      <c r="E3" s="819"/>
      <c r="F3" s="4415"/>
      <c r="G3" s="4423"/>
      <c r="H3" s="4416" t="s">
        <v>1028</v>
      </c>
      <c r="I3" s="4423" t="s">
        <v>1031</v>
      </c>
      <c r="J3" s="4496" t="s">
        <v>1028</v>
      </c>
      <c r="K3" s="4450"/>
      <c r="L3" s="4416"/>
      <c r="M3" s="4416"/>
      <c r="N3" s="460"/>
      <c r="O3" s="460"/>
      <c r="Q3" s="1873"/>
      <c r="R3" s="1873"/>
      <c r="S3" s="1883"/>
      <c r="T3" s="1883"/>
      <c r="W3" s="1869"/>
      <c r="X3" s="1869"/>
      <c r="Y3" s="1894"/>
      <c r="Z3" s="1873"/>
      <c r="AA3" s="1873"/>
      <c r="AB3" s="1873"/>
      <c r="AC3" s="1883"/>
      <c r="AD3" s="1883"/>
      <c r="AG3" s="1869"/>
      <c r="AH3" s="1869"/>
      <c r="AI3" s="1900"/>
    </row>
    <row r="4" spans="1:35" s="303" customFormat="1" ht="15" customHeight="1" thickBot="1" x14ac:dyDescent="0.25">
      <c r="A4" s="1300"/>
      <c r="B4" s="1301"/>
      <c r="C4" s="2165"/>
      <c r="D4" s="4574"/>
      <c r="E4" s="4574"/>
      <c r="F4" s="4574"/>
      <c r="G4" s="1453"/>
      <c r="H4" s="1454"/>
      <c r="I4" s="1449"/>
      <c r="J4" s="1454"/>
      <c r="K4" s="1449"/>
      <c r="L4" s="1455"/>
      <c r="M4" s="1456" t="s">
        <v>935</v>
      </c>
      <c r="Q4" s="1873"/>
      <c r="R4" s="1873"/>
      <c r="S4" s="1883"/>
      <c r="T4" s="1883"/>
      <c r="W4" s="1869"/>
      <c r="X4" s="1869"/>
      <c r="Y4" s="1894"/>
      <c r="Z4" s="1873"/>
      <c r="AA4" s="1873"/>
      <c r="AB4" s="1873"/>
      <c r="AC4" s="1883"/>
      <c r="AD4" s="1883"/>
      <c r="AG4" s="1869"/>
      <c r="AH4" s="1869"/>
      <c r="AI4" s="1900"/>
    </row>
    <row r="5" spans="1:35" s="145" customFormat="1" ht="29.25" customHeight="1" thickBot="1" x14ac:dyDescent="0.25">
      <c r="A5" s="4431" t="s">
        <v>285</v>
      </c>
      <c r="B5" s="4431"/>
      <c r="C5" s="807" t="s">
        <v>286</v>
      </c>
      <c r="D5" s="821" t="s">
        <v>287</v>
      </c>
      <c r="E5" s="821" t="s">
        <v>288</v>
      </c>
      <c r="F5" s="821"/>
      <c r="G5" s="2659"/>
      <c r="H5" s="821"/>
      <c r="I5" s="1399"/>
      <c r="J5" s="821"/>
      <c r="K5" s="3369"/>
      <c r="L5" s="821"/>
      <c r="M5" s="821"/>
      <c r="N5" s="461"/>
      <c r="O5" s="461"/>
      <c r="Q5" s="1874"/>
      <c r="R5" s="1874"/>
      <c r="S5" s="4493" t="s">
        <v>1056</v>
      </c>
      <c r="T5" s="1884"/>
      <c r="U5" s="4442" t="s">
        <v>1057</v>
      </c>
      <c r="V5" s="305"/>
      <c r="W5" s="4439" t="s">
        <v>1058</v>
      </c>
      <c r="X5" s="1870"/>
      <c r="Y5" s="1895"/>
      <c r="Z5" s="1874"/>
      <c r="AA5" s="1874"/>
      <c r="AB5" s="1874"/>
      <c r="AC5" s="4493" t="s">
        <v>1056</v>
      </c>
      <c r="AD5" s="1884"/>
      <c r="AE5" s="4442" t="s">
        <v>1057</v>
      </c>
      <c r="AF5" s="305"/>
      <c r="AG5" s="4439" t="s">
        <v>1058</v>
      </c>
      <c r="AH5" s="1870"/>
      <c r="AI5" s="1895"/>
    </row>
    <row r="6" spans="1:35" s="305" customFormat="1" ht="15" customHeight="1" thickBot="1" x14ac:dyDescent="0.25">
      <c r="A6" s="134"/>
      <c r="B6" s="270"/>
      <c r="C6" s="808"/>
      <c r="D6" s="822"/>
      <c r="E6" s="822"/>
      <c r="F6" s="446"/>
      <c r="G6" s="2455"/>
      <c r="H6" s="446"/>
      <c r="I6" s="1400"/>
      <c r="J6" s="446"/>
      <c r="K6" s="3370"/>
      <c r="L6" s="446"/>
      <c r="M6" s="446"/>
      <c r="N6" s="461"/>
      <c r="O6" s="461"/>
      <c r="Q6" s="1875" t="s">
        <v>771</v>
      </c>
      <c r="R6" s="1875"/>
      <c r="S6" s="4493"/>
      <c r="T6" s="1884"/>
      <c r="U6" s="4442"/>
      <c r="W6" s="4439"/>
      <c r="X6" s="1870"/>
      <c r="Y6" s="2225" t="s">
        <v>289</v>
      </c>
      <c r="Z6" s="1875" t="s">
        <v>771</v>
      </c>
      <c r="AA6" s="1875"/>
      <c r="AB6" s="1875"/>
      <c r="AC6" s="4493"/>
      <c r="AD6" s="1884"/>
      <c r="AE6" s="4442"/>
      <c r="AG6" s="4439"/>
      <c r="AH6" s="1870"/>
      <c r="AI6" s="1896" t="s">
        <v>289</v>
      </c>
    </row>
    <row r="7" spans="1:35" s="305" customFormat="1" ht="15" customHeight="1" thickBot="1" x14ac:dyDescent="0.25">
      <c r="A7" s="192"/>
      <c r="B7" s="160"/>
      <c r="C7" s="809" t="s">
        <v>230</v>
      </c>
      <c r="D7" s="545"/>
      <c r="E7" s="545"/>
      <c r="F7" s="545"/>
      <c r="G7" s="1437"/>
      <c r="H7" s="545"/>
      <c r="I7" s="1401"/>
      <c r="J7" s="545"/>
      <c r="K7" s="3371"/>
      <c r="L7" s="545"/>
      <c r="M7" s="545"/>
      <c r="N7" s="195"/>
      <c r="O7" s="195"/>
      <c r="Q7" s="1908" t="s">
        <v>767</v>
      </c>
      <c r="R7" s="1908"/>
      <c r="S7" s="1913" t="s">
        <v>767</v>
      </c>
      <c r="T7" s="1913"/>
      <c r="U7" s="453" t="s">
        <v>767</v>
      </c>
      <c r="V7" s="453"/>
      <c r="W7" s="1910" t="s">
        <v>767</v>
      </c>
      <c r="X7" s="1910"/>
      <c r="Y7" s="2226" t="s">
        <v>767</v>
      </c>
      <c r="Z7" s="1908" t="s">
        <v>766</v>
      </c>
      <c r="AA7" s="1908"/>
      <c r="AB7" s="1908"/>
      <c r="AC7" s="1913" t="s">
        <v>766</v>
      </c>
      <c r="AD7" s="1913"/>
      <c r="AE7" s="2213" t="s">
        <v>766</v>
      </c>
      <c r="AF7" s="453"/>
      <c r="AG7" s="1910" t="s">
        <v>766</v>
      </c>
      <c r="AH7" s="1910"/>
      <c r="AI7" s="1906" t="s">
        <v>766</v>
      </c>
    </row>
    <row r="8" spans="1:35" s="141" customFormat="1" ht="15" customHeight="1" thickBot="1" x14ac:dyDescent="0.25">
      <c r="A8" s="134" t="s">
        <v>3</v>
      </c>
      <c r="B8" s="148"/>
      <c r="C8" s="810" t="s">
        <v>413</v>
      </c>
      <c r="D8" s="823">
        <f>SUM(D9:D18)</f>
        <v>4119</v>
      </c>
      <c r="E8" s="823">
        <f>SUM(E9:E18)</f>
        <v>4119</v>
      </c>
      <c r="F8" s="823">
        <f>SUM(F9:F18)</f>
        <v>6164000</v>
      </c>
      <c r="G8" s="1382">
        <f t="shared" ref="G8:K18" si="0">SUM(H8-F8)</f>
        <v>4376</v>
      </c>
      <c r="H8" s="823">
        <f>SUM(H9:H18)</f>
        <v>6168376</v>
      </c>
      <c r="I8" s="1421">
        <f t="shared" si="0"/>
        <v>200288</v>
      </c>
      <c r="J8" s="823">
        <f>SUM(J9:J18)</f>
        <v>6368664</v>
      </c>
      <c r="K8" s="3394">
        <f t="shared" si="0"/>
        <v>0</v>
      </c>
      <c r="L8" s="823">
        <f>SUM(L9:L18)</f>
        <v>6368664</v>
      </c>
      <c r="M8" s="823">
        <f>SUM(M9:M18)</f>
        <v>6368664</v>
      </c>
      <c r="N8" s="165"/>
      <c r="O8" s="165"/>
      <c r="Q8" s="1916">
        <f t="shared" ref="Q8:Q39" si="1">SUM(F8-Z8)</f>
        <v>0</v>
      </c>
      <c r="R8" s="1916"/>
      <c r="S8" s="1915">
        <f t="shared" ref="S8:S58" si="2">SUM(H8-AC8)</f>
        <v>0</v>
      </c>
      <c r="T8" s="1915"/>
      <c r="U8" s="205">
        <f>SUM(J8-AE8)</f>
        <v>0</v>
      </c>
      <c r="V8" s="205"/>
      <c r="W8" s="1912">
        <f t="shared" ref="W8:W23" si="3">SUM(L8-AG8)</f>
        <v>0</v>
      </c>
      <c r="X8" s="1912"/>
      <c r="Y8" s="2227">
        <f t="shared" ref="Y8:Y58" si="4">SUM(M8-AI8)</f>
        <v>0</v>
      </c>
      <c r="Z8" s="1876">
        <f>SUM('5.9.a. sz. mell'!F8+'5.9.b. sz. mell.'!F8)</f>
        <v>6164000</v>
      </c>
      <c r="AA8" s="1876"/>
      <c r="AB8" s="1876"/>
      <c r="AC8" s="1885">
        <f>SUM('5.9.a. sz. mell'!H8+'5.9.b. sz. mell.'!H8)</f>
        <v>6168376</v>
      </c>
      <c r="AD8" s="1885"/>
      <c r="AE8" s="248">
        <f>SUM('5.9.a. sz. mell'!J8+'5.9.b. sz. mell.'!J8)</f>
        <v>6368664</v>
      </c>
      <c r="AF8" s="248"/>
      <c r="AG8" s="1871">
        <f>SUM('5.9.a. sz. mell'!L8+'5.9.b. sz. mell.'!L8)</f>
        <v>6368664</v>
      </c>
      <c r="AH8" s="1871"/>
      <c r="AI8" s="1903">
        <f>SUM('5.9.a. sz. mell'!M8+'5.9.b. sz. mell.'!M8)</f>
        <v>6368664</v>
      </c>
    </row>
    <row r="9" spans="1:35" s="141" customFormat="1" ht="15" customHeight="1" x14ac:dyDescent="0.2">
      <c r="A9" s="149"/>
      <c r="B9" s="143" t="s">
        <v>152</v>
      </c>
      <c r="C9" s="811" t="s">
        <v>48</v>
      </c>
      <c r="D9" s="310">
        <v>0</v>
      </c>
      <c r="E9" s="310">
        <v>0</v>
      </c>
      <c r="F9" s="310">
        <v>0</v>
      </c>
      <c r="G9" s="1415">
        <f t="shared" si="0"/>
        <v>0</v>
      </c>
      <c r="H9" s="310">
        <v>0</v>
      </c>
      <c r="I9" s="1386">
        <f t="shared" si="0"/>
        <v>0</v>
      </c>
      <c r="J9" s="310"/>
      <c r="K9" s="3345">
        <f t="shared" si="0"/>
        <v>0</v>
      </c>
      <c r="L9" s="310"/>
      <c r="M9" s="310">
        <v>0</v>
      </c>
      <c r="N9" s="463"/>
      <c r="O9" s="463"/>
      <c r="Q9" s="1916">
        <f t="shared" si="1"/>
        <v>0</v>
      </c>
      <c r="R9" s="1916"/>
      <c r="S9" s="1915">
        <f t="shared" si="2"/>
        <v>0</v>
      </c>
      <c r="T9" s="1915"/>
      <c r="U9" s="205">
        <f t="shared" ref="U9:U58" si="5">SUM(J9-AE9)</f>
        <v>0</v>
      </c>
      <c r="V9" s="205"/>
      <c r="W9" s="1912">
        <f t="shared" si="3"/>
        <v>0</v>
      </c>
      <c r="X9" s="1912"/>
      <c r="Y9" s="2227">
        <f t="shared" si="4"/>
        <v>0</v>
      </c>
      <c r="Z9" s="1876">
        <f>SUM('5.9.a. sz. mell'!F9+'5.9.b. sz. mell.'!F9)</f>
        <v>0</v>
      </c>
      <c r="AA9" s="1876"/>
      <c r="AB9" s="1876"/>
      <c r="AC9" s="1885">
        <f>SUM('5.9.a. sz. mell'!H9+'5.9.b. sz. mell.'!H9)</f>
        <v>0</v>
      </c>
      <c r="AD9" s="1885"/>
      <c r="AE9" s="248">
        <f>SUM('5.9.a. sz. mell'!J9+'5.9.b. sz. mell.'!J9)</f>
        <v>0</v>
      </c>
      <c r="AF9" s="248"/>
      <c r="AG9" s="1871">
        <f>SUM('5.9.a. sz. mell'!L9+'5.9.b. sz. mell.'!L9)</f>
        <v>0</v>
      </c>
      <c r="AH9" s="1871"/>
      <c r="AI9" s="1903">
        <f>SUM('5.9.a. sz. mell'!M9+'5.9.b. sz. mell.'!M9)</f>
        <v>0</v>
      </c>
    </row>
    <row r="10" spans="1:35" s="141" customFormat="1" ht="15" customHeight="1" x14ac:dyDescent="0.2">
      <c r="A10" s="142"/>
      <c r="B10" s="143" t="s">
        <v>154</v>
      </c>
      <c r="C10" s="812" t="s">
        <v>50</v>
      </c>
      <c r="D10" s="483">
        <v>4119</v>
      </c>
      <c r="E10" s="483">
        <v>4119</v>
      </c>
      <c r="F10" s="483"/>
      <c r="G10" s="1415">
        <f t="shared" si="0"/>
        <v>0</v>
      </c>
      <c r="H10" s="483"/>
      <c r="I10" s="1376">
        <f t="shared" si="0"/>
        <v>0</v>
      </c>
      <c r="J10" s="483"/>
      <c r="K10" s="3334">
        <f t="shared" si="0"/>
        <v>0</v>
      </c>
      <c r="L10" s="483"/>
      <c r="M10" s="483">
        <v>0</v>
      </c>
      <c r="N10" s="463"/>
      <c r="O10" s="463"/>
      <c r="Q10" s="1916">
        <f t="shared" si="1"/>
        <v>0</v>
      </c>
      <c r="R10" s="1916"/>
      <c r="S10" s="1915">
        <f t="shared" si="2"/>
        <v>0</v>
      </c>
      <c r="T10" s="1915"/>
      <c r="U10" s="205">
        <f t="shared" si="5"/>
        <v>0</v>
      </c>
      <c r="V10" s="205"/>
      <c r="W10" s="1912">
        <f t="shared" si="3"/>
        <v>0</v>
      </c>
      <c r="X10" s="1912"/>
      <c r="Y10" s="2227">
        <f t="shared" si="4"/>
        <v>0</v>
      </c>
      <c r="Z10" s="1876">
        <f>SUM('5.9.a. sz. mell'!F10+'5.9.b. sz. mell.'!F10)</f>
        <v>0</v>
      </c>
      <c r="AA10" s="1876"/>
      <c r="AB10" s="1876"/>
      <c r="AC10" s="1885">
        <f>SUM('5.9.a. sz. mell'!H10+'5.9.b. sz. mell.'!H10)</f>
        <v>0</v>
      </c>
      <c r="AD10" s="1885"/>
      <c r="AE10" s="248">
        <f>SUM('5.9.a. sz. mell'!J10+'5.9.b. sz. mell.'!J10)</f>
        <v>0</v>
      </c>
      <c r="AF10" s="248"/>
      <c r="AG10" s="1871">
        <f>SUM('5.9.a. sz. mell'!L10+'5.9.b. sz. mell.'!L10)</f>
        <v>0</v>
      </c>
      <c r="AH10" s="1871"/>
      <c r="AI10" s="1903">
        <f>SUM('5.9.a. sz. mell'!M10+'5.9.b. sz. mell.'!M10)</f>
        <v>0</v>
      </c>
    </row>
    <row r="11" spans="1:35" s="141" customFormat="1" ht="15" customHeight="1" x14ac:dyDescent="0.2">
      <c r="A11" s="142"/>
      <c r="B11" s="143" t="s">
        <v>156</v>
      </c>
      <c r="C11" s="812" t="s">
        <v>414</v>
      </c>
      <c r="D11" s="483">
        <v>0</v>
      </c>
      <c r="E11" s="483">
        <v>0</v>
      </c>
      <c r="F11" s="483">
        <v>0</v>
      </c>
      <c r="G11" s="1415">
        <f t="shared" si="0"/>
        <v>0</v>
      </c>
      <c r="H11" s="483">
        <v>0</v>
      </c>
      <c r="I11" s="1376">
        <f t="shared" si="0"/>
        <v>0</v>
      </c>
      <c r="J11" s="483"/>
      <c r="K11" s="3334">
        <f t="shared" si="0"/>
        <v>0</v>
      </c>
      <c r="L11" s="483"/>
      <c r="M11" s="483">
        <v>0</v>
      </c>
      <c r="N11" s="463"/>
      <c r="O11" s="463"/>
      <c r="Q11" s="1916">
        <f t="shared" si="1"/>
        <v>0</v>
      </c>
      <c r="R11" s="1916"/>
      <c r="S11" s="1915">
        <f t="shared" si="2"/>
        <v>0</v>
      </c>
      <c r="T11" s="1915"/>
      <c r="U11" s="205">
        <f t="shared" si="5"/>
        <v>0</v>
      </c>
      <c r="V11" s="205"/>
      <c r="W11" s="1912">
        <f t="shared" si="3"/>
        <v>0</v>
      </c>
      <c r="X11" s="1912"/>
      <c r="Y11" s="2227">
        <f t="shared" si="4"/>
        <v>0</v>
      </c>
      <c r="Z11" s="1876">
        <f>SUM('5.9.a. sz. mell'!F11+'5.9.b. sz. mell.'!F11)</f>
        <v>0</v>
      </c>
      <c r="AA11" s="1876"/>
      <c r="AB11" s="1876"/>
      <c r="AC11" s="1885">
        <f>SUM('5.9.a. sz. mell'!H11+'5.9.b. sz. mell.'!H11)</f>
        <v>0</v>
      </c>
      <c r="AD11" s="1885"/>
      <c r="AE11" s="248">
        <f>SUM('5.9.a. sz. mell'!J11+'5.9.b. sz. mell.'!J11)</f>
        <v>0</v>
      </c>
      <c r="AF11" s="248"/>
      <c r="AG11" s="1871">
        <f>SUM('5.9.a. sz. mell'!L11+'5.9.b. sz. mell.'!L11)</f>
        <v>0</v>
      </c>
      <c r="AH11" s="1871"/>
      <c r="AI11" s="1903">
        <f>SUM('5.9.a. sz. mell'!M11+'5.9.b. sz. mell.'!M11)</f>
        <v>0</v>
      </c>
    </row>
    <row r="12" spans="1:35" s="141" customFormat="1" ht="15" customHeight="1" x14ac:dyDescent="0.2">
      <c r="A12" s="142"/>
      <c r="B12" s="143" t="s">
        <v>158</v>
      </c>
      <c r="C12" s="812" t="s">
        <v>415</v>
      </c>
      <c r="D12" s="483">
        <v>0</v>
      </c>
      <c r="E12" s="483">
        <v>0</v>
      </c>
      <c r="F12" s="483">
        <v>6164000</v>
      </c>
      <c r="G12" s="1415">
        <f t="shared" si="0"/>
        <v>0</v>
      </c>
      <c r="H12" s="483">
        <v>6164000</v>
      </c>
      <c r="I12" s="1376">
        <f t="shared" si="0"/>
        <v>195522</v>
      </c>
      <c r="J12" s="483">
        <v>6359522</v>
      </c>
      <c r="K12" s="3351">
        <f>SUM(L12-J12)</f>
        <v>0</v>
      </c>
      <c r="L12" s="483">
        <v>6359522</v>
      </c>
      <c r="M12" s="483">
        <v>6359522</v>
      </c>
      <c r="N12" s="463"/>
      <c r="O12" s="463"/>
      <c r="Q12" s="1916">
        <f t="shared" si="1"/>
        <v>0</v>
      </c>
      <c r="R12" s="1916"/>
      <c r="S12" s="1915">
        <f t="shared" si="2"/>
        <v>0</v>
      </c>
      <c r="T12" s="1915"/>
      <c r="U12" s="205">
        <f t="shared" si="5"/>
        <v>0</v>
      </c>
      <c r="V12" s="205"/>
      <c r="W12" s="1912">
        <f t="shared" si="3"/>
        <v>0</v>
      </c>
      <c r="X12" s="1912"/>
      <c r="Y12" s="2227">
        <f t="shared" si="4"/>
        <v>0</v>
      </c>
      <c r="Z12" s="1876">
        <f>SUM('5.9.a. sz. mell'!F12+'5.9.b. sz. mell.'!F12)</f>
        <v>6164000</v>
      </c>
      <c r="AA12" s="1876"/>
      <c r="AB12" s="1876"/>
      <c r="AC12" s="1885">
        <f>SUM('5.9.a. sz. mell'!H12+'5.9.b. sz. mell.'!H12)</f>
        <v>6164000</v>
      </c>
      <c r="AD12" s="1885"/>
      <c r="AE12" s="248">
        <f>SUM('5.9.a. sz. mell'!J12+'5.9.b. sz. mell.'!J12)</f>
        <v>6359522</v>
      </c>
      <c r="AF12" s="248"/>
      <c r="AG12" s="1871">
        <f>SUM('5.9.a. sz. mell'!L12+'5.9.b. sz. mell.'!L12)</f>
        <v>6359522</v>
      </c>
      <c r="AH12" s="1871"/>
      <c r="AI12" s="1903">
        <f>SUM('5.9.a. sz. mell'!M12+'5.9.b. sz. mell.'!M12)</f>
        <v>6359522</v>
      </c>
    </row>
    <row r="13" spans="1:35" s="141" customFormat="1" ht="15" customHeight="1" x14ac:dyDescent="0.2">
      <c r="A13" s="142"/>
      <c r="B13" s="143" t="s">
        <v>375</v>
      </c>
      <c r="C13" s="813" t="s">
        <v>416</v>
      </c>
      <c r="D13" s="483">
        <v>0</v>
      </c>
      <c r="E13" s="483">
        <v>0</v>
      </c>
      <c r="F13" s="483">
        <v>0</v>
      </c>
      <c r="G13" s="1415">
        <f t="shared" si="0"/>
        <v>0</v>
      </c>
      <c r="H13" s="483">
        <v>0</v>
      </c>
      <c r="I13" s="1376">
        <f t="shared" si="0"/>
        <v>0</v>
      </c>
      <c r="J13" s="483"/>
      <c r="K13" s="3334">
        <f t="shared" si="0"/>
        <v>0</v>
      </c>
      <c r="L13" s="483"/>
      <c r="M13" s="483">
        <v>0</v>
      </c>
      <c r="N13" s="463"/>
      <c r="O13" s="463"/>
      <c r="Q13" s="1916">
        <f t="shared" si="1"/>
        <v>0</v>
      </c>
      <c r="R13" s="1916"/>
      <c r="S13" s="1915">
        <f t="shared" si="2"/>
        <v>0</v>
      </c>
      <c r="T13" s="1915"/>
      <c r="U13" s="205">
        <f t="shared" si="5"/>
        <v>0</v>
      </c>
      <c r="V13" s="205"/>
      <c r="W13" s="1912">
        <f t="shared" si="3"/>
        <v>0</v>
      </c>
      <c r="X13" s="1912"/>
      <c r="Y13" s="2227">
        <f t="shared" si="4"/>
        <v>0</v>
      </c>
      <c r="Z13" s="1876">
        <f>SUM('5.9.a. sz. mell'!F13+'5.9.b. sz. mell.'!F13)</f>
        <v>0</v>
      </c>
      <c r="AA13" s="1876"/>
      <c r="AB13" s="1876"/>
      <c r="AC13" s="1885">
        <f>SUM('5.9.a. sz. mell'!H13+'5.9.b. sz. mell.'!H13)</f>
        <v>0</v>
      </c>
      <c r="AD13" s="1885"/>
      <c r="AE13" s="248">
        <f>SUM('5.9.a. sz. mell'!J13+'5.9.b. sz. mell.'!J13)</f>
        <v>0</v>
      </c>
      <c r="AF13" s="248"/>
      <c r="AG13" s="1871">
        <f>SUM('5.9.a. sz. mell'!L13+'5.9.b. sz. mell.'!L13)</f>
        <v>0</v>
      </c>
      <c r="AH13" s="1871"/>
      <c r="AI13" s="1903">
        <f>SUM('5.9.a. sz. mell'!M13+'5.9.b. sz. mell.'!M13)</f>
        <v>0</v>
      </c>
    </row>
    <row r="14" spans="1:35" s="141" customFormat="1" ht="15" customHeight="1" x14ac:dyDescent="0.2">
      <c r="A14" s="146"/>
      <c r="B14" s="143" t="s">
        <v>162</v>
      </c>
      <c r="C14" s="812" t="s">
        <v>340</v>
      </c>
      <c r="D14" s="824">
        <v>0</v>
      </c>
      <c r="E14" s="824">
        <v>0</v>
      </c>
      <c r="F14" s="824">
        <v>0</v>
      </c>
      <c r="G14" s="1415">
        <f t="shared" si="0"/>
        <v>0</v>
      </c>
      <c r="H14" s="824">
        <v>0</v>
      </c>
      <c r="I14" s="1376">
        <f t="shared" si="0"/>
        <v>0</v>
      </c>
      <c r="J14" s="824"/>
      <c r="K14" s="3334">
        <f t="shared" si="0"/>
        <v>0</v>
      </c>
      <c r="L14" s="824"/>
      <c r="M14" s="824">
        <v>0</v>
      </c>
      <c r="N14" s="463"/>
      <c r="O14" s="463"/>
      <c r="Q14" s="1916">
        <f t="shared" si="1"/>
        <v>0</v>
      </c>
      <c r="R14" s="1916"/>
      <c r="S14" s="1915">
        <f t="shared" si="2"/>
        <v>0</v>
      </c>
      <c r="T14" s="1915"/>
      <c r="U14" s="205">
        <f t="shared" si="5"/>
        <v>0</v>
      </c>
      <c r="V14" s="205"/>
      <c r="W14" s="1912">
        <f t="shared" si="3"/>
        <v>0</v>
      </c>
      <c r="X14" s="1912"/>
      <c r="Y14" s="2227">
        <f t="shared" si="4"/>
        <v>0</v>
      </c>
      <c r="Z14" s="1876">
        <f>SUM('5.9.a. sz. mell'!F14+'5.9.b. sz. mell.'!F14)</f>
        <v>0</v>
      </c>
      <c r="AA14" s="1876"/>
      <c r="AB14" s="1876"/>
      <c r="AC14" s="1885">
        <f>SUM('5.9.a. sz. mell'!H14+'5.9.b. sz. mell.'!H14)</f>
        <v>0</v>
      </c>
      <c r="AD14" s="1885"/>
      <c r="AE14" s="248">
        <f>SUM('5.9.a. sz. mell'!J14+'5.9.b. sz. mell.'!J14)</f>
        <v>0</v>
      </c>
      <c r="AF14" s="248"/>
      <c r="AG14" s="1871">
        <f>SUM('5.9.a. sz. mell'!L14+'5.9.b. sz. mell.'!L14)</f>
        <v>0</v>
      </c>
      <c r="AH14" s="1871"/>
      <c r="AI14" s="1903">
        <f>SUM('5.9.a. sz. mell'!M14+'5.9.b. sz. mell.'!M14)</f>
        <v>0</v>
      </c>
    </row>
    <row r="15" spans="1:35" s="145" customFormat="1" ht="15" customHeight="1" x14ac:dyDescent="0.2">
      <c r="A15" s="142"/>
      <c r="B15" s="143" t="s">
        <v>164</v>
      </c>
      <c r="C15" s="812" t="s">
        <v>60</v>
      </c>
      <c r="D15" s="483">
        <v>0</v>
      </c>
      <c r="E15" s="483">
        <v>0</v>
      </c>
      <c r="F15" s="483"/>
      <c r="G15" s="1415">
        <f t="shared" si="0"/>
        <v>0</v>
      </c>
      <c r="H15" s="483"/>
      <c r="I15" s="1376">
        <f t="shared" si="0"/>
        <v>0</v>
      </c>
      <c r="J15" s="483"/>
      <c r="K15" s="3334">
        <f t="shared" si="0"/>
        <v>0</v>
      </c>
      <c r="L15" s="483"/>
      <c r="M15" s="483"/>
      <c r="N15" s="463"/>
      <c r="O15" s="463"/>
      <c r="Q15" s="1916">
        <f t="shared" si="1"/>
        <v>0</v>
      </c>
      <c r="R15" s="1916"/>
      <c r="S15" s="1915">
        <f t="shared" si="2"/>
        <v>0</v>
      </c>
      <c r="T15" s="1915"/>
      <c r="U15" s="205">
        <f t="shared" si="5"/>
        <v>0</v>
      </c>
      <c r="V15" s="205"/>
      <c r="W15" s="1912">
        <f t="shared" si="3"/>
        <v>0</v>
      </c>
      <c r="X15" s="1912"/>
      <c r="Y15" s="2227">
        <f t="shared" si="4"/>
        <v>0</v>
      </c>
      <c r="Z15" s="1876">
        <f>SUM('5.9.a. sz. mell'!F15+'5.9.b. sz. mell.'!F15)</f>
        <v>0</v>
      </c>
      <c r="AA15" s="1876"/>
      <c r="AB15" s="1876"/>
      <c r="AC15" s="1885">
        <f>SUM('5.9.a. sz. mell'!H15+'5.9.b. sz. mell.'!H15)</f>
        <v>0</v>
      </c>
      <c r="AD15" s="1885"/>
      <c r="AE15" s="248">
        <f>SUM('5.9.a. sz. mell'!J15+'5.9.b. sz. mell.'!J15)</f>
        <v>0</v>
      </c>
      <c r="AF15" s="248"/>
      <c r="AG15" s="1871">
        <f>SUM('5.9.a. sz. mell'!L15+'5.9.b. sz. mell.'!L15)</f>
        <v>0</v>
      </c>
      <c r="AH15" s="1871"/>
      <c r="AI15" s="1903">
        <f>SUM('5.9.a. sz. mell'!M15+'5.9.b. sz. mell.'!M15)</f>
        <v>0</v>
      </c>
    </row>
    <row r="16" spans="1:35" s="145" customFormat="1" ht="15" customHeight="1" x14ac:dyDescent="0.2">
      <c r="A16" s="151"/>
      <c r="B16" s="152" t="s">
        <v>166</v>
      </c>
      <c r="C16" s="812" t="s">
        <v>417</v>
      </c>
      <c r="D16" s="825"/>
      <c r="E16" s="825"/>
      <c r="F16" s="825"/>
      <c r="G16" s="1415">
        <f t="shared" si="0"/>
        <v>0</v>
      </c>
      <c r="H16" s="825"/>
      <c r="I16" s="1376">
        <f t="shared" si="0"/>
        <v>1</v>
      </c>
      <c r="J16" s="825">
        <v>1</v>
      </c>
      <c r="K16" s="3334">
        <f t="shared" si="0"/>
        <v>0</v>
      </c>
      <c r="L16" s="825">
        <v>1</v>
      </c>
      <c r="M16" s="825">
        <v>1</v>
      </c>
      <c r="N16" s="463"/>
      <c r="O16" s="463"/>
      <c r="Q16" s="1916">
        <f t="shared" si="1"/>
        <v>0</v>
      </c>
      <c r="R16" s="1916"/>
      <c r="S16" s="1915">
        <f t="shared" si="2"/>
        <v>0</v>
      </c>
      <c r="T16" s="1915"/>
      <c r="U16" s="205">
        <f t="shared" si="5"/>
        <v>0</v>
      </c>
      <c r="V16" s="205"/>
      <c r="W16" s="1912">
        <f t="shared" si="3"/>
        <v>0</v>
      </c>
      <c r="X16" s="1912"/>
      <c r="Y16" s="2227">
        <f t="shared" si="4"/>
        <v>0</v>
      </c>
      <c r="Z16" s="1876">
        <f>SUM('5.9.a. sz. mell'!F16+'5.9.b. sz. mell.'!F16)</f>
        <v>0</v>
      </c>
      <c r="AA16" s="1876"/>
      <c r="AB16" s="1876"/>
      <c r="AC16" s="1885">
        <f>SUM('5.9.a. sz. mell'!H16+'5.9.b. sz. mell.'!H16)</f>
        <v>0</v>
      </c>
      <c r="AD16" s="1885"/>
      <c r="AE16" s="248">
        <f>SUM('5.9.a. sz. mell'!J16+'5.9.b. sz. mell.'!J16)</f>
        <v>1</v>
      </c>
      <c r="AF16" s="248"/>
      <c r="AG16" s="1871">
        <f>SUM('5.9.a. sz. mell'!L16+'5.9.b. sz. mell.'!L16)</f>
        <v>1</v>
      </c>
      <c r="AH16" s="1871"/>
      <c r="AI16" s="1903">
        <f>SUM('5.9.a. sz. mell'!M16+'5.9.b. sz. mell.'!M16)</f>
        <v>1</v>
      </c>
    </row>
    <row r="17" spans="1:35" s="145" customFormat="1" ht="15" customHeight="1" x14ac:dyDescent="0.2">
      <c r="A17" s="151"/>
      <c r="B17" s="152" t="s">
        <v>168</v>
      </c>
      <c r="C17" s="812" t="s">
        <v>64</v>
      </c>
      <c r="D17" s="825"/>
      <c r="E17" s="825"/>
      <c r="F17" s="825"/>
      <c r="G17" s="1415">
        <f t="shared" si="0"/>
        <v>0</v>
      </c>
      <c r="H17" s="825"/>
      <c r="I17" s="1404">
        <f t="shared" si="0"/>
        <v>0</v>
      </c>
      <c r="J17" s="825"/>
      <c r="K17" s="3351">
        <f t="shared" si="0"/>
        <v>0</v>
      </c>
      <c r="L17" s="825"/>
      <c r="M17" s="825"/>
      <c r="N17" s="463"/>
      <c r="O17" s="463"/>
      <c r="Q17" s="1916">
        <f t="shared" si="1"/>
        <v>0</v>
      </c>
      <c r="R17" s="1916"/>
      <c r="S17" s="1915">
        <f t="shared" si="2"/>
        <v>0</v>
      </c>
      <c r="T17" s="1915"/>
      <c r="U17" s="205">
        <f t="shared" si="5"/>
        <v>0</v>
      </c>
      <c r="V17" s="205"/>
      <c r="W17" s="1912">
        <f t="shared" si="3"/>
        <v>0</v>
      </c>
      <c r="X17" s="1912"/>
      <c r="Y17" s="2227">
        <f t="shared" si="4"/>
        <v>0</v>
      </c>
      <c r="Z17" s="1876"/>
      <c r="AA17" s="1876"/>
      <c r="AB17" s="1876"/>
      <c r="AC17" s="1885"/>
      <c r="AD17" s="1885"/>
      <c r="AE17" s="248">
        <f>SUM('5.9.a. sz. mell'!J17+'5.9.b. sz. mell.'!J17)</f>
        <v>0</v>
      </c>
      <c r="AF17" s="248"/>
      <c r="AG17" s="1871">
        <f>SUM('5.9.a. sz. mell'!L17+'5.9.b. sz. mell.'!L17)</f>
        <v>0</v>
      </c>
      <c r="AH17" s="1871"/>
      <c r="AI17" s="1903"/>
    </row>
    <row r="18" spans="1:35" s="145" customFormat="1" ht="15" customHeight="1" thickBot="1" x14ac:dyDescent="0.25">
      <c r="A18" s="151"/>
      <c r="B18" s="152" t="s">
        <v>170</v>
      </c>
      <c r="C18" s="813" t="s">
        <v>418</v>
      </c>
      <c r="D18" s="825">
        <v>0</v>
      </c>
      <c r="E18" s="825">
        <v>0</v>
      </c>
      <c r="F18" s="825">
        <v>0</v>
      </c>
      <c r="G18" s="1415">
        <f t="shared" si="0"/>
        <v>4376</v>
      </c>
      <c r="H18" s="825">
        <v>4376</v>
      </c>
      <c r="I18" s="1461"/>
      <c r="J18" s="825">
        <v>9141</v>
      </c>
      <c r="K18" s="3515">
        <f>SUM(L18-J18)</f>
        <v>0</v>
      </c>
      <c r="L18" s="825">
        <v>9141</v>
      </c>
      <c r="M18" s="825">
        <v>9141</v>
      </c>
      <c r="N18" s="463"/>
      <c r="O18" s="463"/>
      <c r="Q18" s="1916">
        <f t="shared" si="1"/>
        <v>0</v>
      </c>
      <c r="R18" s="1916"/>
      <c r="S18" s="1915">
        <f t="shared" si="2"/>
        <v>0</v>
      </c>
      <c r="T18" s="1915"/>
      <c r="U18" s="205">
        <f t="shared" si="5"/>
        <v>0</v>
      </c>
      <c r="V18" s="205"/>
      <c r="W18" s="1912">
        <f t="shared" si="3"/>
        <v>0</v>
      </c>
      <c r="X18" s="1912"/>
      <c r="Y18" s="2227">
        <f t="shared" si="4"/>
        <v>0</v>
      </c>
      <c r="Z18" s="1876">
        <f>SUM('5.9.a. sz. mell'!F18+'5.9.b. sz. mell.'!F18)</f>
        <v>0</v>
      </c>
      <c r="AA18" s="1876"/>
      <c r="AB18" s="1876"/>
      <c r="AC18" s="1885">
        <f>SUM('5.9.a. sz. mell'!H18+'5.9.b. sz. mell.'!H18)</f>
        <v>4376</v>
      </c>
      <c r="AD18" s="1885"/>
      <c r="AE18" s="248">
        <f>SUM('5.9.a. sz. mell'!J18+'5.9.b. sz. mell.'!J18)</f>
        <v>9141</v>
      </c>
      <c r="AF18" s="248"/>
      <c r="AG18" s="1871">
        <f>SUM('5.9.a. sz. mell'!L18+'5.9.b. sz. mell.'!L18)</f>
        <v>9141</v>
      </c>
      <c r="AH18" s="1871"/>
      <c r="AI18" s="1903">
        <f>SUM('5.9.a. sz. mell'!M18+'5.9.b. sz. mell.'!M18)</f>
        <v>9141</v>
      </c>
    </row>
    <row r="19" spans="1:35" s="141" customFormat="1" ht="31.5" customHeight="1" thickBot="1" x14ac:dyDescent="0.25">
      <c r="A19" s="134" t="s">
        <v>17</v>
      </c>
      <c r="B19" s="148"/>
      <c r="C19" s="810" t="s">
        <v>419</v>
      </c>
      <c r="D19" s="826">
        <f>SUM(D20:D25)</f>
        <v>15092</v>
      </c>
      <c r="E19" s="826">
        <f>SUM(E20:E25)</f>
        <v>15750</v>
      </c>
      <c r="F19" s="826">
        <f>SUM(F20+F24+F25)</f>
        <v>0</v>
      </c>
      <c r="G19" s="1382"/>
      <c r="H19" s="826">
        <f>SUM(H20+H24+H25)</f>
        <v>0</v>
      </c>
      <c r="I19" s="1421"/>
      <c r="J19" s="826">
        <f>SUM(J20+J24+J25)</f>
        <v>30423</v>
      </c>
      <c r="K19" s="4240">
        <f t="shared" ref="K19:K20" si="6">SUM(L19-J19)</f>
        <v>0</v>
      </c>
      <c r="L19" s="826">
        <f>SUM(L20+L24+L25)</f>
        <v>30423</v>
      </c>
      <c r="M19" s="826">
        <f>SUM(M20+M24+M25)</f>
        <v>30423</v>
      </c>
      <c r="N19" s="286"/>
      <c r="O19" s="286"/>
      <c r="Q19" s="1916">
        <f t="shared" si="1"/>
        <v>0</v>
      </c>
      <c r="R19" s="1916"/>
      <c r="S19" s="1915">
        <f t="shared" si="2"/>
        <v>0</v>
      </c>
      <c r="T19" s="1915"/>
      <c r="U19" s="205">
        <f t="shared" si="5"/>
        <v>0</v>
      </c>
      <c r="V19" s="205"/>
      <c r="W19" s="1912">
        <f t="shared" si="3"/>
        <v>0</v>
      </c>
      <c r="X19" s="1912"/>
      <c r="Y19" s="2227">
        <f t="shared" si="4"/>
        <v>0</v>
      </c>
      <c r="Z19" s="1876">
        <f>SUM('5.9.a. sz. mell'!F19+'5.9.b. sz. mell.'!F19)</f>
        <v>0</v>
      </c>
      <c r="AA19" s="1876"/>
      <c r="AB19" s="1876"/>
      <c r="AC19" s="1885">
        <f>SUM('5.9.a. sz. mell'!H19+'5.9.b. sz. mell.'!H19)</f>
        <v>0</v>
      </c>
      <c r="AD19" s="1885"/>
      <c r="AE19" s="248">
        <f>SUM('5.9.a. sz. mell'!J19+'5.9.b. sz. mell.'!J19)</f>
        <v>30423</v>
      </c>
      <c r="AF19" s="248"/>
      <c r="AG19" s="1871">
        <f>SUM('5.9.a. sz. mell'!L19+'5.9.b. sz. mell.'!L19)</f>
        <v>30423</v>
      </c>
      <c r="AH19" s="1871"/>
      <c r="AI19" s="1903">
        <f>SUM('5.9.a. sz. mell'!M19+'5.9.b. sz. mell.'!M19)</f>
        <v>30423</v>
      </c>
    </row>
    <row r="20" spans="1:35" s="145" customFormat="1" ht="30" customHeight="1" x14ac:dyDescent="0.2">
      <c r="A20" s="142"/>
      <c r="B20" s="143" t="s">
        <v>5</v>
      </c>
      <c r="C20" s="814" t="s">
        <v>420</v>
      </c>
      <c r="D20" s="483">
        <v>12768</v>
      </c>
      <c r="E20" s="483">
        <v>13426</v>
      </c>
      <c r="F20" s="483">
        <f>SUM(F21:F22)</f>
        <v>0</v>
      </c>
      <c r="G20" s="1415"/>
      <c r="H20" s="483">
        <f>SUM(H21:H23)</f>
        <v>0</v>
      </c>
      <c r="I20" s="1411"/>
      <c r="J20" s="483">
        <v>30423</v>
      </c>
      <c r="K20" s="3351">
        <f t="shared" si="6"/>
        <v>0</v>
      </c>
      <c r="L20" s="483">
        <v>30423</v>
      </c>
      <c r="M20" s="483">
        <v>30423</v>
      </c>
      <c r="N20" s="463"/>
      <c r="O20" s="463"/>
      <c r="Q20" s="1916">
        <f t="shared" si="1"/>
        <v>0</v>
      </c>
      <c r="R20" s="1916"/>
      <c r="S20" s="1915">
        <f t="shared" si="2"/>
        <v>0</v>
      </c>
      <c r="T20" s="1915"/>
      <c r="U20" s="205">
        <f t="shared" si="5"/>
        <v>0</v>
      </c>
      <c r="V20" s="205"/>
      <c r="W20" s="1912">
        <f t="shared" si="3"/>
        <v>0</v>
      </c>
      <c r="X20" s="1912"/>
      <c r="Y20" s="2227">
        <f t="shared" si="4"/>
        <v>0</v>
      </c>
      <c r="Z20" s="1876">
        <f>SUM('5.9.a. sz. mell'!F20+'5.9.b. sz. mell.'!F20)</f>
        <v>0</v>
      </c>
      <c r="AA20" s="1876"/>
      <c r="AB20" s="1876"/>
      <c r="AC20" s="1885">
        <f>SUM('5.9.a. sz. mell'!H20+'5.9.b. sz. mell.'!H20)</f>
        <v>0</v>
      </c>
      <c r="AD20" s="1885"/>
      <c r="AE20" s="248">
        <f>SUM('5.9.a. sz. mell'!J20+'5.9.b. sz. mell.'!J20)</f>
        <v>30423</v>
      </c>
      <c r="AF20" s="248"/>
      <c r="AG20" s="1871">
        <f>SUM('5.9.a. sz. mell'!L20+'5.9.b. sz. mell.'!L20)</f>
        <v>30423</v>
      </c>
      <c r="AH20" s="1871"/>
      <c r="AI20" s="1903">
        <f>SUM('5.9.a. sz. mell'!M20+'5.9.b. sz. mell.'!M20)</f>
        <v>30423</v>
      </c>
    </row>
    <row r="21" spans="1:35" s="145" customFormat="1" ht="15" customHeight="1" x14ac:dyDescent="0.2">
      <c r="A21" s="142"/>
      <c r="B21" s="143" t="s">
        <v>421</v>
      </c>
      <c r="C21" s="812" t="s">
        <v>422</v>
      </c>
      <c r="D21" s="483"/>
      <c r="E21" s="483"/>
      <c r="F21" s="483"/>
      <c r="G21" s="1415"/>
      <c r="H21" s="483"/>
      <c r="I21" s="1404"/>
      <c r="J21" s="483"/>
      <c r="K21" s="3351"/>
      <c r="L21" s="483"/>
      <c r="M21" s="483"/>
      <c r="N21" s="463"/>
      <c r="O21" s="463"/>
      <c r="Q21" s="1916">
        <f t="shared" si="1"/>
        <v>0</v>
      </c>
      <c r="R21" s="1916"/>
      <c r="S21" s="1915">
        <f t="shared" si="2"/>
        <v>0</v>
      </c>
      <c r="T21" s="1915"/>
      <c r="U21" s="205">
        <f t="shared" si="5"/>
        <v>0</v>
      </c>
      <c r="V21" s="205"/>
      <c r="W21" s="1912">
        <f t="shared" si="3"/>
        <v>0</v>
      </c>
      <c r="X21" s="1912"/>
      <c r="Y21" s="2227">
        <f t="shared" si="4"/>
        <v>0</v>
      </c>
      <c r="Z21" s="1876"/>
      <c r="AA21" s="1876"/>
      <c r="AB21" s="1876"/>
      <c r="AC21" s="1885"/>
      <c r="AD21" s="1885"/>
      <c r="AE21" s="248">
        <f>SUM('5.9.a. sz. mell'!J21+'5.9.b. sz. mell.'!J21)</f>
        <v>0</v>
      </c>
      <c r="AF21" s="248"/>
      <c r="AG21" s="1871">
        <f>SUM('5.9.a. sz. mell'!L21+'5.9.b. sz. mell.'!L21)</f>
        <v>0</v>
      </c>
      <c r="AH21" s="1871"/>
      <c r="AI21" s="1903"/>
    </row>
    <row r="22" spans="1:35" s="145" customFormat="1" ht="19.5" customHeight="1" x14ac:dyDescent="0.2">
      <c r="A22" s="142"/>
      <c r="B22" s="143" t="s">
        <v>360</v>
      </c>
      <c r="C22" s="812" t="s">
        <v>1430</v>
      </c>
      <c r="D22" s="483">
        <v>0</v>
      </c>
      <c r="E22" s="483">
        <v>0</v>
      </c>
      <c r="F22" s="483"/>
      <c r="G22" s="1415"/>
      <c r="H22" s="483"/>
      <c r="I22" s="1404"/>
      <c r="J22" s="483"/>
      <c r="K22" s="3351"/>
      <c r="L22" s="483"/>
      <c r="M22" s="483"/>
      <c r="N22" s="463"/>
      <c r="O22" s="463"/>
      <c r="Q22" s="1916">
        <f t="shared" si="1"/>
        <v>0</v>
      </c>
      <c r="R22" s="1916"/>
      <c r="S22" s="1915">
        <f t="shared" si="2"/>
        <v>0</v>
      </c>
      <c r="T22" s="1915"/>
      <c r="U22" s="205">
        <f t="shared" si="5"/>
        <v>0</v>
      </c>
      <c r="V22" s="205"/>
      <c r="W22" s="1912">
        <f t="shared" si="3"/>
        <v>0</v>
      </c>
      <c r="X22" s="1912"/>
      <c r="Y22" s="2227">
        <f t="shared" si="4"/>
        <v>0</v>
      </c>
      <c r="Z22" s="1876">
        <f>SUM('5.9.a. sz. mell'!F22+'5.9.b. sz. mell.'!F22)</f>
        <v>0</v>
      </c>
      <c r="AA22" s="1876"/>
      <c r="AB22" s="1876"/>
      <c r="AC22" s="1885">
        <f>SUM('5.9.a. sz. mell'!H22+'5.9.b. sz. mell.'!H22)</f>
        <v>0</v>
      </c>
      <c r="AD22" s="1885"/>
      <c r="AE22" s="248">
        <f>SUM('5.9.a. sz. mell'!J22+'5.9.b. sz. mell.'!J22)</f>
        <v>0</v>
      </c>
      <c r="AF22" s="248"/>
      <c r="AG22" s="1871">
        <f>SUM('5.9.a. sz. mell'!L22+'5.9.b. sz. mell.'!L22)</f>
        <v>0</v>
      </c>
      <c r="AH22" s="1871"/>
      <c r="AI22" s="1903">
        <f>SUM('5.9.a. sz. mell'!M22+'5.9.b. sz. mell.'!M22)</f>
        <v>0</v>
      </c>
    </row>
    <row r="23" spans="1:35" s="145" customFormat="1" ht="15" customHeight="1" x14ac:dyDescent="0.2">
      <c r="A23" s="142"/>
      <c r="B23" s="143" t="s">
        <v>357</v>
      </c>
      <c r="C23" s="812" t="s">
        <v>424</v>
      </c>
      <c r="D23" s="483">
        <v>0</v>
      </c>
      <c r="E23" s="483">
        <v>0</v>
      </c>
      <c r="F23" s="483">
        <v>0</v>
      </c>
      <c r="G23" s="1415"/>
      <c r="H23" s="483"/>
      <c r="I23" s="1404"/>
      <c r="J23" s="483"/>
      <c r="K23" s="3351"/>
      <c r="L23" s="483"/>
      <c r="M23" s="483"/>
      <c r="N23" s="463"/>
      <c r="O23" s="463"/>
      <c r="Q23" s="1916">
        <f t="shared" si="1"/>
        <v>0</v>
      </c>
      <c r="R23" s="1916"/>
      <c r="S23" s="1915">
        <f t="shared" si="2"/>
        <v>0</v>
      </c>
      <c r="T23" s="1915"/>
      <c r="U23" s="205">
        <f t="shared" si="5"/>
        <v>0</v>
      </c>
      <c r="V23" s="205"/>
      <c r="W23" s="1912">
        <f t="shared" si="3"/>
        <v>0</v>
      </c>
      <c r="X23" s="1912"/>
      <c r="Y23" s="2227">
        <f t="shared" si="4"/>
        <v>0</v>
      </c>
      <c r="Z23" s="1876">
        <f>SUM('5.9.a. sz. mell'!F23+'5.9.b. sz. mell.'!F23)</f>
        <v>0</v>
      </c>
      <c r="AA23" s="1876"/>
      <c r="AB23" s="1876"/>
      <c r="AC23" s="1885">
        <f>SUM('5.9.a. sz. mell'!H23+'5.9.b. sz. mell.'!H23)</f>
        <v>0</v>
      </c>
      <c r="AD23" s="1885"/>
      <c r="AE23" s="248">
        <f>SUM('5.9.a. sz. mell'!J23+'5.9.b. sz. mell.'!J23)</f>
        <v>0</v>
      </c>
      <c r="AF23" s="248"/>
      <c r="AG23" s="1871">
        <f>SUM('5.9.a. sz. mell'!L23+'5.9.b. sz. mell.'!L23)</f>
        <v>0</v>
      </c>
      <c r="AH23" s="1871"/>
      <c r="AI23" s="1903">
        <f>SUM('5.9.a. sz. mell'!M23+'5.9.b. sz. mell.'!M23)</f>
        <v>0</v>
      </c>
    </row>
    <row r="24" spans="1:35" s="145" customFormat="1" ht="15" customHeight="1" x14ac:dyDescent="0.2">
      <c r="A24" s="142"/>
      <c r="B24" s="143" t="s">
        <v>7</v>
      </c>
      <c r="C24" s="812" t="s">
        <v>6</v>
      </c>
      <c r="D24" s="483">
        <v>2324</v>
      </c>
      <c r="E24" s="483">
        <v>2324</v>
      </c>
      <c r="F24" s="483"/>
      <c r="G24" s="1415"/>
      <c r="H24" s="483"/>
      <c r="I24" s="1406"/>
      <c r="J24" s="483"/>
      <c r="K24" s="3349"/>
      <c r="L24" s="483"/>
      <c r="M24" s="483"/>
      <c r="N24" s="463"/>
      <c r="O24" s="463"/>
      <c r="Q24" s="1916">
        <f t="shared" si="1"/>
        <v>0</v>
      </c>
      <c r="R24" s="1916"/>
      <c r="S24" s="1915">
        <f t="shared" si="2"/>
        <v>0</v>
      </c>
      <c r="T24" s="1915"/>
      <c r="U24" s="205">
        <f t="shared" si="5"/>
        <v>0</v>
      </c>
      <c r="V24" s="205"/>
      <c r="W24" s="1912">
        <f t="shared" ref="W24:W58" si="7">SUM(L24-AG24)</f>
        <v>0</v>
      </c>
      <c r="X24" s="1912"/>
      <c r="Y24" s="2227">
        <f t="shared" si="4"/>
        <v>0</v>
      </c>
      <c r="Z24" s="1876">
        <f>SUM('5.9.a. sz. mell'!F24+'5.9.b. sz. mell.'!F24)</f>
        <v>0</v>
      </c>
      <c r="AA24" s="1876"/>
      <c r="AB24" s="1876"/>
      <c r="AC24" s="1885">
        <f>SUM('5.9.a. sz. mell'!H24+'5.9.b. sz. mell.'!H24)</f>
        <v>0</v>
      </c>
      <c r="AD24" s="1885"/>
      <c r="AE24" s="248">
        <f>SUM('5.9.a. sz. mell'!J24+'5.9.b. sz. mell.'!J24)</f>
        <v>0</v>
      </c>
      <c r="AF24" s="248"/>
      <c r="AG24" s="1871">
        <f>SUM('5.9.a. sz. mell'!L24+'5.9.b. sz. mell.'!L24)</f>
        <v>0</v>
      </c>
      <c r="AH24" s="1871"/>
      <c r="AI24" s="1903">
        <f>SUM('5.9.a. sz. mell'!M24+'5.9.b. sz. mell.'!M24)</f>
        <v>0</v>
      </c>
    </row>
    <row r="25" spans="1:35" s="145" customFormat="1" ht="15" customHeight="1" thickBot="1" x14ac:dyDescent="0.25">
      <c r="A25" s="142"/>
      <c r="B25" s="143" t="s">
        <v>9</v>
      </c>
      <c r="C25" s="812" t="s">
        <v>425</v>
      </c>
      <c r="D25" s="483">
        <v>0</v>
      </c>
      <c r="E25" s="483">
        <v>0</v>
      </c>
      <c r="F25" s="483">
        <v>0</v>
      </c>
      <c r="G25" s="1415"/>
      <c r="H25" s="483">
        <v>0</v>
      </c>
      <c r="I25" s="1409"/>
      <c r="J25" s="483"/>
      <c r="K25" s="3379"/>
      <c r="L25" s="483"/>
      <c r="M25" s="483">
        <v>0</v>
      </c>
      <c r="N25" s="463"/>
      <c r="O25" s="463"/>
      <c r="Q25" s="1916">
        <f t="shared" si="1"/>
        <v>0</v>
      </c>
      <c r="R25" s="1916"/>
      <c r="S25" s="1915">
        <f t="shared" si="2"/>
        <v>0</v>
      </c>
      <c r="T25" s="1915"/>
      <c r="U25" s="205">
        <f t="shared" si="5"/>
        <v>0</v>
      </c>
      <c r="V25" s="205"/>
      <c r="W25" s="1912">
        <f t="shared" si="7"/>
        <v>0</v>
      </c>
      <c r="X25" s="1912"/>
      <c r="Y25" s="2227">
        <f t="shared" si="4"/>
        <v>0</v>
      </c>
      <c r="Z25" s="1876">
        <f>SUM('5.9.a. sz. mell'!F25+'5.9.b. sz. mell.'!F25)</f>
        <v>0</v>
      </c>
      <c r="AA25" s="1876"/>
      <c r="AB25" s="1876"/>
      <c r="AC25" s="1885">
        <f>SUM('5.9.a. sz. mell'!H25+'5.9.b. sz. mell.'!H25)</f>
        <v>0</v>
      </c>
      <c r="AD25" s="1885"/>
      <c r="AE25" s="248">
        <f>SUM('5.9.a. sz. mell'!J25+'5.9.b. sz. mell.'!J25)</f>
        <v>0</v>
      </c>
      <c r="AF25" s="248"/>
      <c r="AG25" s="1871">
        <f>SUM('5.9.a. sz. mell'!L25+'5.9.b. sz. mell.'!L25)</f>
        <v>0</v>
      </c>
      <c r="AH25" s="1871"/>
      <c r="AI25" s="1903">
        <f>SUM('5.9.a. sz. mell'!M25+'5.9.b. sz. mell.'!M25)</f>
        <v>0</v>
      </c>
    </row>
    <row r="26" spans="1:35" s="145" customFormat="1" ht="15" customHeight="1" thickBot="1" x14ac:dyDescent="0.25">
      <c r="A26" s="134" t="s">
        <v>31</v>
      </c>
      <c r="B26" s="170"/>
      <c r="C26" s="810" t="s">
        <v>426</v>
      </c>
      <c r="D26" s="827">
        <v>0</v>
      </c>
      <c r="E26" s="827">
        <v>0</v>
      </c>
      <c r="F26" s="827">
        <f>SUM(F27)</f>
        <v>0</v>
      </c>
      <c r="G26" s="1381"/>
      <c r="H26" s="827">
        <f>SUM(H27)</f>
        <v>0</v>
      </c>
      <c r="I26" s="1408"/>
      <c r="J26" s="827">
        <f>SUM(J27)</f>
        <v>0</v>
      </c>
      <c r="K26" s="3376">
        <f>SUM(L26-J26)</f>
        <v>0</v>
      </c>
      <c r="L26" s="827">
        <f>SUM(L27)</f>
        <v>0</v>
      </c>
      <c r="M26" s="827">
        <f>SUM(M27)</f>
        <v>0</v>
      </c>
      <c r="N26" s="465"/>
      <c r="O26" s="465"/>
      <c r="Q26" s="1916">
        <f t="shared" si="1"/>
        <v>0</v>
      </c>
      <c r="R26" s="1916"/>
      <c r="S26" s="1915">
        <f t="shared" si="2"/>
        <v>0</v>
      </c>
      <c r="T26" s="1915"/>
      <c r="U26" s="205">
        <f t="shared" si="5"/>
        <v>0</v>
      </c>
      <c r="V26" s="205"/>
      <c r="W26" s="1912">
        <f t="shared" si="7"/>
        <v>0</v>
      </c>
      <c r="X26" s="1912"/>
      <c r="Y26" s="2227">
        <f t="shared" si="4"/>
        <v>0</v>
      </c>
      <c r="Z26" s="1876">
        <f>SUM('5.9.a. sz. mell'!F26+'5.9.b. sz. mell.'!F26)</f>
        <v>0</v>
      </c>
      <c r="AA26" s="1876"/>
      <c r="AB26" s="1876"/>
      <c r="AC26" s="1885">
        <f>SUM('5.9.a. sz. mell'!H26+'5.9.b. sz. mell.'!H26)</f>
        <v>0</v>
      </c>
      <c r="AD26" s="1885"/>
      <c r="AE26" s="248">
        <f>SUM('5.9.a. sz. mell'!J26+'5.9.b. sz. mell.'!J26)</f>
        <v>0</v>
      </c>
      <c r="AF26" s="248"/>
      <c r="AG26" s="1871">
        <f>SUM('5.9.a. sz. mell'!L26+'5.9.b. sz. mell.'!L26)</f>
        <v>0</v>
      </c>
      <c r="AH26" s="1871"/>
      <c r="AI26" s="1903">
        <f>SUM('5.9.a. sz. mell'!M26+'5.9.b. sz. mell.'!M26)</f>
        <v>0</v>
      </c>
    </row>
    <row r="27" spans="1:35" s="145" customFormat="1" ht="32.25" customHeight="1" thickBot="1" x14ac:dyDescent="0.25">
      <c r="A27" s="134"/>
      <c r="B27" s="143" t="s">
        <v>19</v>
      </c>
      <c r="C27" s="812" t="s">
        <v>427</v>
      </c>
      <c r="D27" s="827"/>
      <c r="E27" s="827"/>
      <c r="F27" s="827"/>
      <c r="G27" s="1381"/>
      <c r="H27" s="827"/>
      <c r="I27" s="1408"/>
      <c r="J27" s="854"/>
      <c r="K27" s="3365">
        <f>SUM(L27-J27)</f>
        <v>0</v>
      </c>
      <c r="L27" s="854"/>
      <c r="M27" s="854"/>
      <c r="N27" s="465"/>
      <c r="O27" s="465"/>
      <c r="Q27" s="1916">
        <f t="shared" si="1"/>
        <v>0</v>
      </c>
      <c r="R27" s="1916"/>
      <c r="S27" s="1915">
        <f t="shared" si="2"/>
        <v>0</v>
      </c>
      <c r="T27" s="1915"/>
      <c r="U27" s="205">
        <f t="shared" si="5"/>
        <v>0</v>
      </c>
      <c r="V27" s="205"/>
      <c r="W27" s="1912">
        <f t="shared" si="7"/>
        <v>0</v>
      </c>
      <c r="X27" s="1912"/>
      <c r="Y27" s="2227">
        <f t="shared" si="4"/>
        <v>0</v>
      </c>
      <c r="Z27" s="1876">
        <f>SUM('5.9.a. sz. mell'!F27+'5.9.b. sz. mell.'!F27)</f>
        <v>0</v>
      </c>
      <c r="AA27" s="1876"/>
      <c r="AB27" s="1876"/>
      <c r="AC27" s="1885">
        <f>SUM('5.9.a. sz. mell'!H27+'5.9.b. sz. mell.'!H27)</f>
        <v>0</v>
      </c>
      <c r="AD27" s="1885"/>
      <c r="AE27" s="248">
        <f>SUM('5.9.a. sz. mell'!J27+'5.9.b. sz. mell.'!J27)</f>
        <v>0</v>
      </c>
      <c r="AF27" s="248"/>
      <c r="AG27" s="1871">
        <f>SUM('5.9.a. sz. mell'!L27+'5.9.b. sz. mell.'!L27)</f>
        <v>0</v>
      </c>
      <c r="AH27" s="1871"/>
      <c r="AI27" s="1903">
        <f>SUM('5.9.a. sz. mell'!M27+'5.9.b. sz. mell.'!M27)</f>
        <v>0</v>
      </c>
    </row>
    <row r="28" spans="1:35" s="145" customFormat="1" ht="15" customHeight="1" thickBot="1" x14ac:dyDescent="0.25">
      <c r="A28" s="134" t="s">
        <v>45</v>
      </c>
      <c r="B28" s="148"/>
      <c r="C28" s="815" t="s">
        <v>428</v>
      </c>
      <c r="D28" s="827"/>
      <c r="E28" s="827"/>
      <c r="F28" s="827">
        <f>SUM(F29:F31)</f>
        <v>0</v>
      </c>
      <c r="G28" s="1381"/>
      <c r="H28" s="827">
        <f>SUM(H29:H31)</f>
        <v>0</v>
      </c>
      <c r="I28" s="1408"/>
      <c r="J28" s="827">
        <f>SUM(J29:J31)</f>
        <v>20000</v>
      </c>
      <c r="K28" s="3376">
        <f>SUM(L28-J28)</f>
        <v>0</v>
      </c>
      <c r="L28" s="827">
        <f>SUM(L29:L31)</f>
        <v>20000</v>
      </c>
      <c r="M28" s="827">
        <f>SUM(M29:M31)</f>
        <v>20000</v>
      </c>
      <c r="N28" s="465"/>
      <c r="O28" s="465"/>
      <c r="Q28" s="1916">
        <f t="shared" si="1"/>
        <v>0</v>
      </c>
      <c r="R28" s="1916"/>
      <c r="S28" s="1915">
        <f t="shared" si="2"/>
        <v>0</v>
      </c>
      <c r="T28" s="1915"/>
      <c r="U28" s="205">
        <f t="shared" si="5"/>
        <v>0</v>
      </c>
      <c r="V28" s="205"/>
      <c r="W28" s="1912">
        <f t="shared" si="7"/>
        <v>0</v>
      </c>
      <c r="X28" s="1912"/>
      <c r="Y28" s="2227">
        <f t="shared" si="4"/>
        <v>0</v>
      </c>
      <c r="Z28" s="1876">
        <f>SUM('5.9.a. sz. mell'!F28+'5.9.b. sz. mell.'!F28)</f>
        <v>0</v>
      </c>
      <c r="AA28" s="1876"/>
      <c r="AB28" s="1876"/>
      <c r="AC28" s="1885">
        <f>SUM('5.9.a. sz. mell'!H28+'5.9.b. sz. mell.'!H28)</f>
        <v>0</v>
      </c>
      <c r="AD28" s="1885"/>
      <c r="AE28" s="248">
        <f>SUM('5.9.a. sz. mell'!J28+'5.9.b. sz. mell.'!J28)</f>
        <v>20000</v>
      </c>
      <c r="AF28" s="248"/>
      <c r="AG28" s="1871">
        <f>SUM('5.9.a. sz. mell'!L28+'5.9.b. sz. mell.'!L28)</f>
        <v>20000</v>
      </c>
      <c r="AH28" s="1871"/>
      <c r="AI28" s="1903">
        <f>SUM('5.9.a. sz. mell'!M28+'5.9.b. sz. mell.'!M28)</f>
        <v>20000</v>
      </c>
    </row>
    <row r="29" spans="1:35" s="145" customFormat="1" ht="15" customHeight="1" thickBot="1" x14ac:dyDescent="0.25">
      <c r="A29" s="149"/>
      <c r="B29" s="253" t="s">
        <v>33</v>
      </c>
      <c r="C29" s="812" t="s">
        <v>359</v>
      </c>
      <c r="D29" s="827"/>
      <c r="E29" s="827"/>
      <c r="F29" s="802"/>
      <c r="G29" s="1546"/>
      <c r="H29" s="802"/>
      <c r="I29" s="1462"/>
      <c r="J29" s="802"/>
      <c r="K29" s="3388"/>
      <c r="L29" s="802"/>
      <c r="M29" s="802"/>
      <c r="N29" s="465"/>
      <c r="O29" s="465"/>
      <c r="Q29" s="1916">
        <f t="shared" si="1"/>
        <v>0</v>
      </c>
      <c r="R29" s="1916"/>
      <c r="S29" s="1915">
        <f t="shared" si="2"/>
        <v>0</v>
      </c>
      <c r="T29" s="1915"/>
      <c r="U29" s="205">
        <f t="shared" si="5"/>
        <v>0</v>
      </c>
      <c r="V29" s="205"/>
      <c r="W29" s="1912">
        <f t="shared" si="7"/>
        <v>0</v>
      </c>
      <c r="X29" s="1912"/>
      <c r="Y29" s="2227">
        <f t="shared" si="4"/>
        <v>0</v>
      </c>
      <c r="Z29" s="1876">
        <f>SUM('5.9.a. sz. mell'!F29+'5.9.b. sz. mell.'!F29)</f>
        <v>0</v>
      </c>
      <c r="AA29" s="1876"/>
      <c r="AB29" s="1876"/>
      <c r="AC29" s="1885">
        <f>SUM('5.9.a. sz. mell'!H29+'5.9.b. sz. mell.'!H29)</f>
        <v>0</v>
      </c>
      <c r="AD29" s="1885"/>
      <c r="AE29" s="248">
        <f>SUM('5.9.a. sz. mell'!J29+'5.9.b. sz. mell.'!J29)</f>
        <v>0</v>
      </c>
      <c r="AF29" s="248"/>
      <c r="AG29" s="1871">
        <f>SUM('5.9.a. sz. mell'!L29+'5.9.b. sz. mell.'!L29)</f>
        <v>0</v>
      </c>
      <c r="AH29" s="1871"/>
      <c r="AI29" s="1903">
        <f>SUM('5.9.a. sz. mell'!M29+'5.9.b. sz. mell.'!M29)</f>
        <v>0</v>
      </c>
    </row>
    <row r="30" spans="1:35" s="145" customFormat="1" ht="15" customHeight="1" thickBot="1" x14ac:dyDescent="0.25">
      <c r="A30" s="146"/>
      <c r="B30" s="253" t="s">
        <v>39</v>
      </c>
      <c r="C30" s="812" t="s">
        <v>72</v>
      </c>
      <c r="D30" s="827"/>
      <c r="E30" s="827"/>
      <c r="F30" s="803"/>
      <c r="G30" s="2666"/>
      <c r="H30" s="803"/>
      <c r="I30" s="1425"/>
      <c r="J30" s="803"/>
      <c r="K30" s="3363"/>
      <c r="L30" s="803"/>
      <c r="M30" s="803"/>
      <c r="N30" s="465"/>
      <c r="O30" s="465"/>
      <c r="Q30" s="1916">
        <f t="shared" si="1"/>
        <v>0</v>
      </c>
      <c r="R30" s="1916"/>
      <c r="S30" s="1915">
        <f t="shared" si="2"/>
        <v>0</v>
      </c>
      <c r="T30" s="1915"/>
      <c r="U30" s="205">
        <f t="shared" si="5"/>
        <v>0</v>
      </c>
      <c r="V30" s="205"/>
      <c r="W30" s="1912">
        <f t="shared" si="7"/>
        <v>0</v>
      </c>
      <c r="X30" s="1912"/>
      <c r="Y30" s="2227">
        <f t="shared" si="4"/>
        <v>0</v>
      </c>
      <c r="Z30" s="1876">
        <f>SUM('5.9.a. sz. mell'!F30+'5.9.b. sz. mell.'!F30)</f>
        <v>0</v>
      </c>
      <c r="AA30" s="1876"/>
      <c r="AB30" s="1876"/>
      <c r="AC30" s="1885">
        <f>SUM('5.9.a. sz. mell'!H30+'5.9.b. sz. mell.'!H30)</f>
        <v>0</v>
      </c>
      <c r="AD30" s="1885"/>
      <c r="AE30" s="248">
        <f>SUM('5.9.a. sz. mell'!J30+'5.9.b. sz. mell.'!J30)</f>
        <v>0</v>
      </c>
      <c r="AF30" s="248"/>
      <c r="AG30" s="1871">
        <f>SUM('5.9.a. sz. mell'!L30+'5.9.b. sz. mell.'!L30)</f>
        <v>0</v>
      </c>
      <c r="AH30" s="1871"/>
      <c r="AI30" s="1903">
        <f>SUM('5.9.a. sz. mell'!M30+'5.9.b. sz. mell.'!M30)</f>
        <v>0</v>
      </c>
    </row>
    <row r="31" spans="1:35" s="145" customFormat="1" ht="15" customHeight="1" thickBot="1" x14ac:dyDescent="0.25">
      <c r="A31" s="178"/>
      <c r="B31" s="253" t="s">
        <v>41</v>
      </c>
      <c r="C31" s="812" t="s">
        <v>74</v>
      </c>
      <c r="D31" s="827"/>
      <c r="E31" s="827"/>
      <c r="F31" s="841"/>
      <c r="G31" s="2673"/>
      <c r="H31" s="841"/>
      <c r="I31" s="1404">
        <f>SUM(J31-H31)</f>
        <v>20000</v>
      </c>
      <c r="J31" s="841">
        <v>20000</v>
      </c>
      <c r="K31" s="3351">
        <f>SUM(L31-J31)</f>
        <v>0</v>
      </c>
      <c r="L31" s="841">
        <v>20000</v>
      </c>
      <c r="M31" s="841">
        <v>20000</v>
      </c>
      <c r="N31" s="487"/>
      <c r="O31" s="487"/>
      <c r="Q31" s="1916">
        <f t="shared" si="1"/>
        <v>0</v>
      </c>
      <c r="R31" s="1916"/>
      <c r="S31" s="1915">
        <f t="shared" si="2"/>
        <v>0</v>
      </c>
      <c r="T31" s="1915"/>
      <c r="U31" s="205">
        <f t="shared" si="5"/>
        <v>0</v>
      </c>
      <c r="V31" s="205"/>
      <c r="W31" s="1912">
        <f t="shared" si="7"/>
        <v>0</v>
      </c>
      <c r="X31" s="1912"/>
      <c r="Y31" s="2227">
        <f t="shared" si="4"/>
        <v>0</v>
      </c>
      <c r="Z31" s="1876">
        <f>SUM('5.9.a. sz. mell'!F31+'5.9.b. sz. mell.'!F31)</f>
        <v>0</v>
      </c>
      <c r="AA31" s="1876"/>
      <c r="AB31" s="1876"/>
      <c r="AC31" s="1885">
        <f>SUM('5.9.a. sz. mell'!H31+'5.9.b. sz. mell.'!H31)</f>
        <v>0</v>
      </c>
      <c r="AD31" s="1885"/>
      <c r="AE31" s="248">
        <f>SUM('5.9.a. sz. mell'!J31+'5.9.b. sz. mell.'!J31)</f>
        <v>20000</v>
      </c>
      <c r="AF31" s="248"/>
      <c r="AG31" s="1871">
        <f>SUM('5.9.a. sz. mell'!L31+'5.9.b. sz. mell.'!L31)</f>
        <v>20000</v>
      </c>
      <c r="AH31" s="1871"/>
      <c r="AI31" s="1903">
        <f>SUM('5.9.a. sz. mell'!M31+'5.9.b. sz. mell.'!M31)</f>
        <v>20000</v>
      </c>
    </row>
    <row r="32" spans="1:35" s="141" customFormat="1" ht="31.5" customHeight="1" thickBot="1" x14ac:dyDescent="0.25">
      <c r="A32" s="134" t="s">
        <v>67</v>
      </c>
      <c r="B32" s="254"/>
      <c r="C32" s="815" t="s">
        <v>429</v>
      </c>
      <c r="D32" s="827">
        <v>0</v>
      </c>
      <c r="E32" s="827">
        <v>0</v>
      </c>
      <c r="F32" s="827">
        <f>SUM(D33)</f>
        <v>0</v>
      </c>
      <c r="G32" s="1381"/>
      <c r="H32" s="827">
        <f>SUM(F33)</f>
        <v>0</v>
      </c>
      <c r="I32" s="1408"/>
      <c r="J32" s="827">
        <f>SUM(H33)</f>
        <v>0</v>
      </c>
      <c r="K32" s="3376"/>
      <c r="L32" s="827">
        <f>SUM(J33)</f>
        <v>0</v>
      </c>
      <c r="M32" s="827"/>
      <c r="N32" s="465"/>
      <c r="O32" s="465"/>
      <c r="Q32" s="1916">
        <f t="shared" si="1"/>
        <v>0</v>
      </c>
      <c r="R32" s="1916"/>
      <c r="S32" s="1915">
        <f t="shared" si="2"/>
        <v>0</v>
      </c>
      <c r="T32" s="1915"/>
      <c r="U32" s="205">
        <f t="shared" si="5"/>
        <v>0</v>
      </c>
      <c r="V32" s="205"/>
      <c r="W32" s="1912">
        <f t="shared" si="7"/>
        <v>0</v>
      </c>
      <c r="X32" s="1912"/>
      <c r="Y32" s="2227">
        <f t="shared" si="4"/>
        <v>0</v>
      </c>
      <c r="Z32" s="1876">
        <f>SUM('5.9.a. sz. mell'!F32+'5.9.b. sz. mell.'!F32)</f>
        <v>0</v>
      </c>
      <c r="AA32" s="1876"/>
      <c r="AB32" s="1876"/>
      <c r="AC32" s="1885">
        <f>SUM('5.9.a. sz. mell'!H32+'5.9.b. sz. mell.'!H32)</f>
        <v>0</v>
      </c>
      <c r="AD32" s="1885"/>
      <c r="AE32" s="248">
        <f>SUM('5.9.a. sz. mell'!J32+'5.9.b. sz. mell.'!J32)</f>
        <v>0</v>
      </c>
      <c r="AF32" s="248"/>
      <c r="AG32" s="1871">
        <f>SUM('5.9.a. sz. mell'!L32+'5.9.b. sz. mell.'!L32)</f>
        <v>0</v>
      </c>
      <c r="AH32" s="1871"/>
      <c r="AI32" s="1903">
        <f>SUM('5.9.a. sz. mell'!M32+'5.9.b. sz. mell.'!M32)</f>
        <v>0</v>
      </c>
    </row>
    <row r="33" spans="1:35" s="141" customFormat="1" ht="31.5" customHeight="1" thickBot="1" x14ac:dyDescent="0.25">
      <c r="A33" s="146"/>
      <c r="B33" s="255" t="s">
        <v>47</v>
      </c>
      <c r="C33" s="814" t="s">
        <v>430</v>
      </c>
      <c r="D33" s="827"/>
      <c r="E33" s="827"/>
      <c r="F33" s="827"/>
      <c r="G33" s="1381"/>
      <c r="H33" s="827"/>
      <c r="I33" s="1408"/>
      <c r="J33" s="827"/>
      <c r="K33" s="3376"/>
      <c r="L33" s="827"/>
      <c r="M33" s="827"/>
      <c r="N33" s="465"/>
      <c r="O33" s="465"/>
      <c r="Q33" s="1916">
        <f t="shared" si="1"/>
        <v>0</v>
      </c>
      <c r="R33" s="1916"/>
      <c r="S33" s="1915">
        <f t="shared" si="2"/>
        <v>0</v>
      </c>
      <c r="T33" s="1915"/>
      <c r="U33" s="205">
        <f t="shared" si="5"/>
        <v>0</v>
      </c>
      <c r="V33" s="205"/>
      <c r="W33" s="1912">
        <f t="shared" si="7"/>
        <v>0</v>
      </c>
      <c r="X33" s="1912"/>
      <c r="Y33" s="2227">
        <f t="shared" si="4"/>
        <v>0</v>
      </c>
      <c r="Z33" s="1876"/>
      <c r="AA33" s="1876"/>
      <c r="AB33" s="1876"/>
      <c r="AC33" s="1885"/>
      <c r="AD33" s="1885"/>
      <c r="AE33" s="248">
        <f>SUM('5.9.a. sz. mell'!J33+'5.9.b. sz. mell.'!J33)</f>
        <v>0</v>
      </c>
      <c r="AF33" s="248"/>
      <c r="AG33" s="1871">
        <f>SUM('5.9.a. sz. mell'!L33+'5.9.b. sz. mell.'!L33)</f>
        <v>0</v>
      </c>
      <c r="AH33" s="1871"/>
      <c r="AI33" s="1903"/>
    </row>
    <row r="34" spans="1:35" s="141" customFormat="1" ht="15" customHeight="1" thickBot="1" x14ac:dyDescent="0.3">
      <c r="A34" s="258" t="s">
        <v>79</v>
      </c>
      <c r="B34" s="256"/>
      <c r="C34" s="810" t="s">
        <v>431</v>
      </c>
      <c r="D34" s="827"/>
      <c r="E34" s="827"/>
      <c r="F34" s="827">
        <f>SUM(F35)</f>
        <v>0</v>
      </c>
      <c r="G34" s="1381"/>
      <c r="H34" s="827">
        <f>SUM(H35)</f>
        <v>0</v>
      </c>
      <c r="I34" s="1408"/>
      <c r="J34" s="827">
        <f>SUM(J35)</f>
        <v>0</v>
      </c>
      <c r="K34" s="3376"/>
      <c r="L34" s="827">
        <f>SUM(L35)</f>
        <v>0</v>
      </c>
      <c r="M34" s="827">
        <f>SUM(M35)</f>
        <v>0</v>
      </c>
      <c r="N34" s="465"/>
      <c r="O34" s="465"/>
      <c r="Q34" s="1916">
        <f t="shared" si="1"/>
        <v>0</v>
      </c>
      <c r="R34" s="1916"/>
      <c r="S34" s="1915">
        <f t="shared" si="2"/>
        <v>0</v>
      </c>
      <c r="T34" s="1915"/>
      <c r="U34" s="205">
        <f t="shared" si="5"/>
        <v>0</v>
      </c>
      <c r="V34" s="205"/>
      <c r="W34" s="1912">
        <f t="shared" si="7"/>
        <v>0</v>
      </c>
      <c r="X34" s="1912"/>
      <c r="Y34" s="2227">
        <f t="shared" si="4"/>
        <v>0</v>
      </c>
      <c r="Z34" s="1909"/>
      <c r="AA34" s="1909"/>
      <c r="AB34" s="1909"/>
      <c r="AC34" s="1914"/>
      <c r="AD34" s="1914"/>
      <c r="AE34" s="248">
        <f>SUM('5.9.a. sz. mell'!J34+'5.9.b. sz. mell.'!J34)</f>
        <v>0</v>
      </c>
      <c r="AF34" s="248"/>
      <c r="AG34" s="1871">
        <f>SUM('5.9.a. sz. mell'!L34+'5.9.b. sz. mell.'!L34)</f>
        <v>0</v>
      </c>
      <c r="AH34" s="1911"/>
      <c r="AI34" s="1907"/>
    </row>
    <row r="35" spans="1:35" s="141" customFormat="1" ht="30.75" customHeight="1" thickBot="1" x14ac:dyDescent="0.25">
      <c r="A35" s="258"/>
      <c r="B35" s="257" t="s">
        <v>69</v>
      </c>
      <c r="C35" s="812" t="s">
        <v>432</v>
      </c>
      <c r="D35" s="827"/>
      <c r="E35" s="827"/>
      <c r="F35" s="827"/>
      <c r="G35" s="1381"/>
      <c r="H35" s="827"/>
      <c r="I35" s="1407">
        <f t="shared" ref="G35:K55" si="8">SUM(J35-H35)</f>
        <v>0</v>
      </c>
      <c r="J35" s="827"/>
      <c r="K35" s="3375">
        <f t="shared" si="8"/>
        <v>0</v>
      </c>
      <c r="L35" s="827"/>
      <c r="M35" s="827"/>
      <c r="N35" s="465"/>
      <c r="O35" s="465"/>
      <c r="Q35" s="1916">
        <f t="shared" si="1"/>
        <v>0</v>
      </c>
      <c r="R35" s="1916"/>
      <c r="S35" s="1915">
        <f t="shared" si="2"/>
        <v>0</v>
      </c>
      <c r="T35" s="1915"/>
      <c r="U35" s="205">
        <f t="shared" si="5"/>
        <v>0</v>
      </c>
      <c r="V35" s="205"/>
      <c r="W35" s="1912">
        <f t="shared" si="7"/>
        <v>0</v>
      </c>
      <c r="X35" s="1912"/>
      <c r="Y35" s="2227">
        <f t="shared" si="4"/>
        <v>0</v>
      </c>
      <c r="Z35" s="1909"/>
      <c r="AA35" s="1909"/>
      <c r="AB35" s="1909"/>
      <c r="AC35" s="1914"/>
      <c r="AD35" s="1914"/>
      <c r="AE35" s="248">
        <f>SUM('5.9.a. sz. mell'!J35+'5.9.b. sz. mell.'!J35)</f>
        <v>0</v>
      </c>
      <c r="AF35" s="248"/>
      <c r="AG35" s="1871">
        <f>SUM('5.9.a. sz. mell'!L35+'5.9.b. sz. mell.'!L35)</f>
        <v>0</v>
      </c>
      <c r="AH35" s="1911"/>
      <c r="AI35" s="1907"/>
    </row>
    <row r="36" spans="1:35" s="141" customFormat="1" ht="15" customHeight="1" thickBot="1" x14ac:dyDescent="0.3">
      <c r="A36" s="258" t="s">
        <v>89</v>
      </c>
      <c r="B36" s="256"/>
      <c r="C36" s="815" t="s">
        <v>433</v>
      </c>
      <c r="D36" s="826">
        <f>+D37+D38</f>
        <v>0</v>
      </c>
      <c r="E36" s="826">
        <f>+E37+E38</f>
        <v>16</v>
      </c>
      <c r="F36" s="826">
        <f>SUM(F37:F39)</f>
        <v>56466552</v>
      </c>
      <c r="G36" s="1382">
        <f t="shared" si="8"/>
        <v>2563724</v>
      </c>
      <c r="H36" s="826">
        <f>SUM(H37:H39)</f>
        <v>59030276</v>
      </c>
      <c r="I36" s="1421">
        <f t="shared" si="8"/>
        <v>-2728361</v>
      </c>
      <c r="J36" s="826">
        <f>SUM(J37:J39)</f>
        <v>56301915</v>
      </c>
      <c r="K36" s="3350">
        <f t="shared" si="8"/>
        <v>0</v>
      </c>
      <c r="L36" s="826">
        <f>SUM(L37:L39)</f>
        <v>56301915</v>
      </c>
      <c r="M36" s="826">
        <f>SUM(M37:M39)</f>
        <v>56301915</v>
      </c>
      <c r="N36" s="286"/>
      <c r="O36" s="286"/>
      <c r="Q36" s="1916">
        <f t="shared" si="1"/>
        <v>0</v>
      </c>
      <c r="R36" s="1916"/>
      <c r="S36" s="1915">
        <f t="shared" si="2"/>
        <v>0</v>
      </c>
      <c r="T36" s="1915"/>
      <c r="U36" s="205">
        <f t="shared" si="5"/>
        <v>0</v>
      </c>
      <c r="V36" s="205"/>
      <c r="W36" s="1912">
        <f t="shared" si="7"/>
        <v>0</v>
      </c>
      <c r="X36" s="1912"/>
      <c r="Y36" s="2227">
        <f t="shared" si="4"/>
        <v>0</v>
      </c>
      <c r="Z36" s="1876">
        <f>SUM('5.9.a. sz. mell'!F36+'5.9.b. sz. mell.'!F36)</f>
        <v>56466552</v>
      </c>
      <c r="AA36" s="1876"/>
      <c r="AB36" s="1876"/>
      <c r="AC36" s="1885">
        <f>SUM('5.9.a. sz. mell'!H36+'5.9.b. sz. mell.'!H36)</f>
        <v>59030276</v>
      </c>
      <c r="AD36" s="1885"/>
      <c r="AE36" s="248">
        <f>SUM('5.9.a. sz. mell'!J36+'5.9.b. sz. mell.'!J36)</f>
        <v>56301915</v>
      </c>
      <c r="AF36" s="248"/>
      <c r="AG36" s="1871">
        <f>SUM('5.9.a. sz. mell'!L36+'5.9.b. sz. mell.'!L36)</f>
        <v>56301915</v>
      </c>
      <c r="AH36" s="1871"/>
      <c r="AI36" s="1903">
        <f>SUM('5.9.a. sz. mell'!M36+'5.9.b. sz. mell.'!M36)</f>
        <v>56301915</v>
      </c>
    </row>
    <row r="37" spans="1:35" s="141" customFormat="1" ht="15" customHeight="1" x14ac:dyDescent="0.2">
      <c r="A37" s="149"/>
      <c r="B37" s="255" t="s">
        <v>81</v>
      </c>
      <c r="C37" s="811" t="s">
        <v>434</v>
      </c>
      <c r="D37" s="310">
        <v>0</v>
      </c>
      <c r="E37" s="310">
        <v>16</v>
      </c>
      <c r="F37" s="310"/>
      <c r="G37" s="1415">
        <f t="shared" si="8"/>
        <v>73626</v>
      </c>
      <c r="H37" s="310">
        <v>73626</v>
      </c>
      <c r="I37" s="1386">
        <f t="shared" si="8"/>
        <v>0</v>
      </c>
      <c r="J37" s="310">
        <v>73626</v>
      </c>
      <c r="K37" s="3345">
        <f t="shared" si="8"/>
        <v>0</v>
      </c>
      <c r="L37" s="310">
        <v>73626</v>
      </c>
      <c r="M37" s="310">
        <v>73626</v>
      </c>
      <c r="N37" s="463"/>
      <c r="O37" s="463"/>
      <c r="Q37" s="1916">
        <f t="shared" si="1"/>
        <v>0</v>
      </c>
      <c r="R37" s="1916"/>
      <c r="S37" s="1915">
        <f t="shared" si="2"/>
        <v>0</v>
      </c>
      <c r="T37" s="1915"/>
      <c r="U37" s="205">
        <f t="shared" si="5"/>
        <v>0</v>
      </c>
      <c r="V37" s="205"/>
      <c r="W37" s="1912">
        <f t="shared" si="7"/>
        <v>0</v>
      </c>
      <c r="X37" s="1912"/>
      <c r="Y37" s="2227">
        <f t="shared" si="4"/>
        <v>0</v>
      </c>
      <c r="Z37" s="1876">
        <f>SUM('5.9.a. sz. mell'!F37+'5.9.b. sz. mell.'!F37)</f>
        <v>0</v>
      </c>
      <c r="AA37" s="1876"/>
      <c r="AB37" s="1876"/>
      <c r="AC37" s="1885">
        <f>SUM('5.9.a. sz. mell'!H37+'5.9.b. sz. mell.'!H37)</f>
        <v>73626</v>
      </c>
      <c r="AD37" s="1885"/>
      <c r="AE37" s="248">
        <f>SUM('5.9.a. sz. mell'!J37+'5.9.b. sz. mell.'!J37)</f>
        <v>73626</v>
      </c>
      <c r="AF37" s="248"/>
      <c r="AG37" s="1871">
        <f>SUM('5.9.a. sz. mell'!L37+'5.9.b. sz. mell.'!L37)</f>
        <v>73626</v>
      </c>
      <c r="AH37" s="1871"/>
      <c r="AI37" s="1903">
        <f>SUM('5.9.a. sz. mell'!M37+'5.9.b. sz. mell.'!M37)</f>
        <v>73626</v>
      </c>
    </row>
    <row r="38" spans="1:35" s="141" customFormat="1" ht="15" customHeight="1" x14ac:dyDescent="0.2">
      <c r="A38" s="142"/>
      <c r="B38" s="253" t="s">
        <v>83</v>
      </c>
      <c r="C38" s="812" t="s">
        <v>435</v>
      </c>
      <c r="D38" s="483">
        <v>0</v>
      </c>
      <c r="E38" s="483">
        <v>0</v>
      </c>
      <c r="F38" s="483">
        <v>0</v>
      </c>
      <c r="G38" s="1415">
        <f t="shared" si="8"/>
        <v>0</v>
      </c>
      <c r="H38" s="483"/>
      <c r="I38" s="1376">
        <f t="shared" si="8"/>
        <v>0</v>
      </c>
      <c r="J38" s="483"/>
      <c r="K38" s="3334">
        <f t="shared" si="8"/>
        <v>0</v>
      </c>
      <c r="L38" s="483"/>
      <c r="M38" s="483"/>
      <c r="N38" s="463"/>
      <c r="O38" s="463"/>
      <c r="Q38" s="1916">
        <f t="shared" si="1"/>
        <v>0</v>
      </c>
      <c r="R38" s="1916"/>
      <c r="S38" s="1915">
        <f t="shared" si="2"/>
        <v>0</v>
      </c>
      <c r="T38" s="1915"/>
      <c r="U38" s="205">
        <f t="shared" si="5"/>
        <v>0</v>
      </c>
      <c r="V38" s="205"/>
      <c r="W38" s="1912">
        <f t="shared" si="7"/>
        <v>0</v>
      </c>
      <c r="X38" s="1912"/>
      <c r="Y38" s="2227">
        <f t="shared" si="4"/>
        <v>0</v>
      </c>
      <c r="Z38" s="1876">
        <f>SUM('5.9.a. sz. mell'!F38+'5.9.b. sz. mell.'!F38)</f>
        <v>0</v>
      </c>
      <c r="AA38" s="1876"/>
      <c r="AB38" s="1876"/>
      <c r="AC38" s="1885">
        <f>SUM('5.9.a. sz. mell'!H38+'5.9.b. sz. mell.'!H38)</f>
        <v>0</v>
      </c>
      <c r="AD38" s="1885"/>
      <c r="AE38" s="248">
        <f>SUM('5.9.a. sz. mell'!J38+'5.9.b. sz. mell.'!J38)</f>
        <v>0</v>
      </c>
      <c r="AF38" s="248"/>
      <c r="AG38" s="1871">
        <f>SUM('5.9.a. sz. mell'!L38+'5.9.b. sz. mell.'!L38)</f>
        <v>0</v>
      </c>
      <c r="AH38" s="1871"/>
      <c r="AI38" s="1903">
        <f>SUM('5.9.a. sz. mell'!M38+'5.9.b. sz. mell.'!M38)</f>
        <v>0</v>
      </c>
    </row>
    <row r="39" spans="1:35" s="145" customFormat="1" ht="18" customHeight="1" x14ac:dyDescent="0.2">
      <c r="A39" s="142"/>
      <c r="B39" s="253" t="s">
        <v>85</v>
      </c>
      <c r="C39" s="812" t="s">
        <v>818</v>
      </c>
      <c r="D39" s="803">
        <v>26133</v>
      </c>
      <c r="E39" s="803">
        <v>26791</v>
      </c>
      <c r="F39" s="483">
        <f>SUM(F40:F41)</f>
        <v>56466552</v>
      </c>
      <c r="G39" s="1415">
        <f t="shared" si="8"/>
        <v>2490098</v>
      </c>
      <c r="H39" s="483">
        <f>SUM(H40:H41)</f>
        <v>58956650</v>
      </c>
      <c r="I39" s="1376">
        <f t="shared" si="8"/>
        <v>-2728361</v>
      </c>
      <c r="J39" s="483">
        <f>SUM(J40:J41)</f>
        <v>56228289</v>
      </c>
      <c r="K39" s="3334">
        <f t="shared" si="8"/>
        <v>0</v>
      </c>
      <c r="L39" s="483">
        <f>SUM(L40:L41)</f>
        <v>56228289</v>
      </c>
      <c r="M39" s="483">
        <f>SUM(M40:M41)</f>
        <v>56228289</v>
      </c>
      <c r="N39" s="463"/>
      <c r="O39" s="463">
        <v>0</v>
      </c>
      <c r="P39" s="205"/>
      <c r="Q39" s="1916">
        <f t="shared" si="1"/>
        <v>0</v>
      </c>
      <c r="R39" s="1916"/>
      <c r="S39" s="1915">
        <f t="shared" si="2"/>
        <v>0</v>
      </c>
      <c r="T39" s="1915"/>
      <c r="U39" s="205">
        <f t="shared" si="5"/>
        <v>0</v>
      </c>
      <c r="V39" s="205"/>
      <c r="W39" s="1912">
        <f t="shared" si="7"/>
        <v>0</v>
      </c>
      <c r="X39" s="1912"/>
      <c r="Y39" s="2227">
        <f t="shared" si="4"/>
        <v>0</v>
      </c>
      <c r="Z39" s="1876">
        <f>SUM('5.9.a. sz. mell'!F39+'5.9.b. sz. mell.'!F39)</f>
        <v>56466552</v>
      </c>
      <c r="AA39" s="1876"/>
      <c r="AB39" s="1876"/>
      <c r="AC39" s="1885">
        <f>SUM('5.9.a. sz. mell'!H39+'5.9.b. sz. mell.'!H39)</f>
        <v>58956650</v>
      </c>
      <c r="AD39" s="1885"/>
      <c r="AE39" s="248">
        <f>SUM('5.9.a. sz. mell'!J39+'5.9.b. sz. mell.'!J39)</f>
        <v>56228289</v>
      </c>
      <c r="AF39" s="248"/>
      <c r="AG39" s="1871">
        <f>SUM('5.9.a. sz. mell'!L39+'5.9.b. sz. mell.'!L39)</f>
        <v>56228289</v>
      </c>
      <c r="AH39" s="1871"/>
      <c r="AI39" s="1903">
        <f>SUM('5.9.a. sz. mell'!M39+'5.9.b. sz. mell.'!M39)</f>
        <v>56228289</v>
      </c>
    </row>
    <row r="40" spans="1:35" s="145" customFormat="1" ht="15" customHeight="1" x14ac:dyDescent="0.2">
      <c r="A40" s="142"/>
      <c r="B40" s="2685" t="s">
        <v>437</v>
      </c>
      <c r="C40" s="2726" t="s">
        <v>891</v>
      </c>
      <c r="D40" s="2727"/>
      <c r="E40" s="2727"/>
      <c r="F40" s="1297">
        <v>13866520</v>
      </c>
      <c r="G40" s="1415">
        <f t="shared" si="8"/>
        <v>4019338</v>
      </c>
      <c r="H40" s="483">
        <v>17885858</v>
      </c>
      <c r="I40" s="1378">
        <f t="shared" si="8"/>
        <v>-217782</v>
      </c>
      <c r="J40" s="483">
        <v>17668076</v>
      </c>
      <c r="K40" s="3336">
        <f t="shared" si="8"/>
        <v>0</v>
      </c>
      <c r="L40" s="483">
        <v>17668076</v>
      </c>
      <c r="M40" s="483">
        <v>17668076</v>
      </c>
      <c r="N40" s="463"/>
      <c r="O40" s="463"/>
      <c r="P40" s="205"/>
      <c r="Q40" s="1916">
        <f t="shared" ref="Q40:Q58" si="9">SUM(F40-Z40)</f>
        <v>0</v>
      </c>
      <c r="R40" s="1916"/>
      <c r="S40" s="1915">
        <f t="shared" si="2"/>
        <v>0</v>
      </c>
      <c r="T40" s="1915"/>
      <c r="U40" s="205">
        <f t="shared" si="5"/>
        <v>0</v>
      </c>
      <c r="V40" s="205"/>
      <c r="W40" s="1912">
        <f t="shared" si="7"/>
        <v>0</v>
      </c>
      <c r="X40" s="1912"/>
      <c r="Y40" s="2227">
        <f t="shared" si="4"/>
        <v>0</v>
      </c>
      <c r="Z40" s="1876">
        <f>SUM('5.9.a. sz. mell'!F40+'5.9.b. sz. mell.'!F40)</f>
        <v>13866520</v>
      </c>
      <c r="AA40" s="1876"/>
      <c r="AB40" s="1876"/>
      <c r="AC40" s="1885">
        <f>SUM('5.9.a. sz. mell'!H40+'5.9.b. sz. mell.'!H40)</f>
        <v>17885858</v>
      </c>
      <c r="AD40" s="1885"/>
      <c r="AE40" s="248">
        <f>SUM('5.9.a. sz. mell'!J40+'5.9.b. sz. mell.'!J40)</f>
        <v>17668076</v>
      </c>
      <c r="AF40" s="248"/>
      <c r="AG40" s="1871">
        <f>SUM('5.9.a. sz. mell'!L40+'5.9.b. sz. mell.'!L40)</f>
        <v>17668076</v>
      </c>
      <c r="AH40" s="1871"/>
      <c r="AI40" s="1903">
        <f>SUM('5.9.a. sz. mell'!M40+'5.9.b. sz. mell.'!M40)</f>
        <v>17668076</v>
      </c>
    </row>
    <row r="41" spans="1:35" s="145" customFormat="1" ht="15" customHeight="1" thickBot="1" x14ac:dyDescent="0.25">
      <c r="A41" s="178"/>
      <c r="B41" s="2698" t="s">
        <v>439</v>
      </c>
      <c r="C41" s="2737" t="s">
        <v>532</v>
      </c>
      <c r="D41" s="2738"/>
      <c r="E41" s="2738"/>
      <c r="F41" s="2739">
        <v>42600032</v>
      </c>
      <c r="G41" s="1415">
        <f t="shared" si="8"/>
        <v>-1529240</v>
      </c>
      <c r="H41" s="829">
        <v>41070792</v>
      </c>
      <c r="I41" s="1429">
        <f t="shared" si="8"/>
        <v>-2510579</v>
      </c>
      <c r="J41" s="829">
        <v>38560213</v>
      </c>
      <c r="K41" s="3368">
        <f t="shared" si="8"/>
        <v>0</v>
      </c>
      <c r="L41" s="829">
        <v>38560213</v>
      </c>
      <c r="M41" s="829">
        <v>38560213</v>
      </c>
      <c r="N41" s="463">
        <f>SUM(F55-F42)</f>
        <v>0</v>
      </c>
      <c r="O41" s="463">
        <f>SUM(O39-M39)</f>
        <v>-56228289</v>
      </c>
      <c r="P41" s="205"/>
      <c r="Q41" s="1916">
        <f t="shared" si="9"/>
        <v>0</v>
      </c>
      <c r="R41" s="1916"/>
      <c r="S41" s="1915">
        <f t="shared" si="2"/>
        <v>0</v>
      </c>
      <c r="T41" s="1915"/>
      <c r="U41" s="205">
        <f t="shared" si="5"/>
        <v>0</v>
      </c>
      <c r="V41" s="205"/>
      <c r="W41" s="1912">
        <f t="shared" si="7"/>
        <v>0</v>
      </c>
      <c r="X41" s="1912"/>
      <c r="Y41" s="2227">
        <f t="shared" si="4"/>
        <v>0</v>
      </c>
      <c r="Z41" s="1876">
        <f>SUM('5.9.a. sz. mell'!F41+'5.9.b. sz. mell.'!F41)</f>
        <v>42600032</v>
      </c>
      <c r="AA41" s="1876"/>
      <c r="AB41" s="1876"/>
      <c r="AC41" s="1885">
        <f>SUM('5.9.a. sz. mell'!H41+'5.9.b. sz. mell.'!H41)</f>
        <v>41070792</v>
      </c>
      <c r="AD41" s="1885"/>
      <c r="AE41" s="248">
        <f>SUM('5.9.a. sz. mell'!J41+'5.9.b. sz. mell.'!J41)</f>
        <v>38560213</v>
      </c>
      <c r="AF41" s="248"/>
      <c r="AG41" s="1871">
        <f>SUM('5.9.a. sz. mell'!L41+'5.9.b. sz. mell.'!L41)</f>
        <v>38560213</v>
      </c>
      <c r="AH41" s="1871"/>
      <c r="AI41" s="1903">
        <f>SUM('5.9.a. sz. mell'!M41+'5.9.b. sz. mell.'!M41)</f>
        <v>38560213</v>
      </c>
    </row>
    <row r="42" spans="1:35" s="145" customFormat="1" ht="15" customHeight="1" thickBot="1" x14ac:dyDescent="0.25">
      <c r="A42" s="192" t="s">
        <v>99</v>
      </c>
      <c r="B42" s="160"/>
      <c r="C42" s="816" t="s">
        <v>441</v>
      </c>
      <c r="D42" s="545">
        <f>SUM(D8,D19,D26,D32,D36,D39)</f>
        <v>45344</v>
      </c>
      <c r="E42" s="545">
        <f>SUM(E8,E19,E26,E32,E36,E39)</f>
        <v>46676</v>
      </c>
      <c r="F42" s="545">
        <f>SUM(F8,F19,F26,F32,F36)</f>
        <v>62630552</v>
      </c>
      <c r="G42" s="1437">
        <f t="shared" si="8"/>
        <v>2568100</v>
      </c>
      <c r="H42" s="545">
        <f>SUM(H8,H19,H26,H32,H36)</f>
        <v>65198652</v>
      </c>
      <c r="I42" s="1401">
        <f t="shared" si="8"/>
        <v>-2477650</v>
      </c>
      <c r="J42" s="545">
        <f>SUM(J8,J19,J26,J32,J36)+J28</f>
        <v>62721002</v>
      </c>
      <c r="K42" s="3371">
        <f t="shared" si="8"/>
        <v>0</v>
      </c>
      <c r="L42" s="545">
        <f>SUM(L8,L19,L26,L32,L36)+L28</f>
        <v>62721002</v>
      </c>
      <c r="M42" s="545">
        <f>SUM(M8,M19,M26,M32,M36)+M28</f>
        <v>62721002</v>
      </c>
      <c r="N42" s="195"/>
      <c r="O42" s="195"/>
      <c r="P42" s="205"/>
      <c r="Q42" s="1916">
        <f t="shared" si="9"/>
        <v>0</v>
      </c>
      <c r="R42" s="1916"/>
      <c r="S42" s="1915">
        <f t="shared" si="2"/>
        <v>1400000</v>
      </c>
      <c r="T42" s="1915"/>
      <c r="U42" s="205">
        <f t="shared" si="5"/>
        <v>0</v>
      </c>
      <c r="V42" s="205"/>
      <c r="W42" s="1912">
        <f t="shared" si="7"/>
        <v>0</v>
      </c>
      <c r="X42" s="1912"/>
      <c r="Y42" s="2227">
        <f t="shared" si="4"/>
        <v>0</v>
      </c>
      <c r="Z42" s="1876">
        <f>SUM('5.9.a. sz. mell'!F42+'5.9.b. sz. mell.'!F42)</f>
        <v>62630552</v>
      </c>
      <c r="AA42" s="1876"/>
      <c r="AB42" s="1876"/>
      <c r="AC42" s="1885">
        <f>SUM('5.9.a. sz. mell'!H42+'5.9.b. sz. mell.'!H42)</f>
        <v>63798652</v>
      </c>
      <c r="AD42" s="1885"/>
      <c r="AE42" s="248">
        <f>SUM('5.9.a. sz. mell'!J42+'5.9.b. sz. mell.'!J42)</f>
        <v>62721002</v>
      </c>
      <c r="AF42" s="248"/>
      <c r="AG42" s="1871">
        <f>SUM('5.9.a. sz. mell'!L42+'5.9.b. sz. mell.'!L42)</f>
        <v>62721002</v>
      </c>
      <c r="AH42" s="1871"/>
      <c r="AI42" s="1903">
        <f>SUM('5.9.a. sz. mell'!M42+'5.9.b. sz. mell.'!M42)</f>
        <v>62721002</v>
      </c>
    </row>
    <row r="43" spans="1:35" s="145" customFormat="1" ht="15" customHeight="1" thickBot="1" x14ac:dyDescent="0.25">
      <c r="A43" s="2098"/>
      <c r="B43" s="266"/>
      <c r="C43" s="275"/>
      <c r="D43" s="286"/>
      <c r="E43" s="286"/>
      <c r="F43" s="2163"/>
      <c r="G43" s="2674"/>
      <c r="H43" s="1460"/>
      <c r="I43" s="1448"/>
      <c r="J43" s="286"/>
      <c r="K43" s="1448"/>
      <c r="L43" s="286"/>
      <c r="M43" s="1458"/>
      <c r="N43" s="286"/>
      <c r="O43" s="286"/>
      <c r="Q43" s="1916">
        <f t="shared" si="9"/>
        <v>0</v>
      </c>
      <c r="R43" s="1916"/>
      <c r="S43" s="1915">
        <f t="shared" si="2"/>
        <v>0</v>
      </c>
      <c r="T43" s="1915"/>
      <c r="U43" s="205">
        <f t="shared" si="5"/>
        <v>0</v>
      </c>
      <c r="V43" s="205"/>
      <c r="W43" s="1912">
        <f t="shared" si="7"/>
        <v>0</v>
      </c>
      <c r="X43" s="1912"/>
      <c r="Y43" s="2227">
        <f t="shared" si="4"/>
        <v>0</v>
      </c>
      <c r="Z43" s="1876">
        <f>SUM('5.9.a. sz. mell'!F43+'5.9.b. sz. mell.'!F43)</f>
        <v>0</v>
      </c>
      <c r="AA43" s="1876"/>
      <c r="AB43" s="1876"/>
      <c r="AC43" s="1885">
        <f>SUM('5.9.a. sz. mell'!H43+'5.9.b. sz. mell.'!H43)</f>
        <v>0</v>
      </c>
      <c r="AD43" s="1885"/>
      <c r="AE43" s="248">
        <f>SUM('5.9.a. sz. mell'!J43+'5.9.b. sz. mell.'!J43)</f>
        <v>0</v>
      </c>
      <c r="AF43" s="248"/>
      <c r="AG43" s="1871">
        <f>SUM('5.9.a. sz. mell'!L43+'5.9.b. sz. mell.'!L43)</f>
        <v>0</v>
      </c>
      <c r="AH43" s="1871"/>
      <c r="AI43" s="1903">
        <f>SUM('5.9.a. sz. mell'!M43+'5.9.b. sz. mell.'!M43)</f>
        <v>0</v>
      </c>
    </row>
    <row r="44" spans="1:35" s="305" customFormat="1" ht="15" customHeight="1" thickBot="1" x14ac:dyDescent="0.25">
      <c r="A44" s="192"/>
      <c r="B44" s="160"/>
      <c r="C44" s="282" t="s">
        <v>231</v>
      </c>
      <c r="D44" s="162"/>
      <c r="E44" s="162"/>
      <c r="F44" s="545"/>
      <c r="G44" s="1437"/>
      <c r="H44" s="545"/>
      <c r="I44" s="1407"/>
      <c r="J44" s="545"/>
      <c r="K44" s="3375"/>
      <c r="L44" s="545"/>
      <c r="M44" s="545"/>
      <c r="N44" s="195"/>
      <c r="O44" s="195"/>
      <c r="Q44" s="1916">
        <f t="shared" si="9"/>
        <v>0</v>
      </c>
      <c r="R44" s="1916"/>
      <c r="S44" s="1915">
        <f t="shared" si="2"/>
        <v>0</v>
      </c>
      <c r="T44" s="1915"/>
      <c r="U44" s="205">
        <f t="shared" si="5"/>
        <v>0</v>
      </c>
      <c r="V44" s="205"/>
      <c r="W44" s="1912">
        <f t="shared" si="7"/>
        <v>0</v>
      </c>
      <c r="X44" s="1912"/>
      <c r="Y44" s="2227">
        <f t="shared" si="4"/>
        <v>0</v>
      </c>
      <c r="Z44" s="1876">
        <f>SUM('5.9.a. sz. mell'!F44+'5.9.b. sz. mell.'!F44)</f>
        <v>0</v>
      </c>
      <c r="AA44" s="1876"/>
      <c r="AB44" s="1876"/>
      <c r="AC44" s="1885">
        <f>SUM('5.9.a. sz. mell'!H44+'5.9.b. sz. mell.'!H44)</f>
        <v>0</v>
      </c>
      <c r="AD44" s="1885"/>
      <c r="AE44" s="248">
        <f>SUM('5.9.a. sz. mell'!J44+'5.9.b. sz. mell.'!J44)</f>
        <v>0</v>
      </c>
      <c r="AF44" s="248"/>
      <c r="AG44" s="1871">
        <f>SUM('5.9.a. sz. mell'!L44+'5.9.b. sz. mell.'!L44)</f>
        <v>0</v>
      </c>
      <c r="AH44" s="1871"/>
      <c r="AI44" s="1903">
        <f>SUM('5.9.a. sz. mell'!M44+'5.9.b. sz. mell.'!M44)</f>
        <v>0</v>
      </c>
    </row>
    <row r="45" spans="1:35" s="141" customFormat="1" ht="15" customHeight="1" thickBot="1" x14ac:dyDescent="0.25">
      <c r="A45" s="134" t="s">
        <v>3</v>
      </c>
      <c r="B45" s="170"/>
      <c r="C45" s="171" t="s">
        <v>442</v>
      </c>
      <c r="D45" s="137">
        <f>SUM(D46:D50)</f>
        <v>45344</v>
      </c>
      <c r="E45" s="137">
        <f>SUM(E46:E50)</f>
        <v>46190</v>
      </c>
      <c r="F45" s="826">
        <f>SUM(F46:F50)</f>
        <v>60725552</v>
      </c>
      <c r="G45" s="1382">
        <f t="shared" si="8"/>
        <v>2568100</v>
      </c>
      <c r="H45" s="826">
        <f>SUM(H46:H50)</f>
        <v>63293652</v>
      </c>
      <c r="I45" s="1421">
        <f t="shared" si="8"/>
        <v>-1557665</v>
      </c>
      <c r="J45" s="826">
        <f>SUM(J46:J50)</f>
        <v>61735987</v>
      </c>
      <c r="K45" s="3350">
        <f t="shared" si="8"/>
        <v>0</v>
      </c>
      <c r="L45" s="826">
        <f>SUM(L46:L50)</f>
        <v>61735987</v>
      </c>
      <c r="M45" s="826">
        <f>SUM(M46:M50)</f>
        <v>61735987</v>
      </c>
      <c r="N45" s="286"/>
      <c r="O45" s="286"/>
      <c r="Q45" s="1916">
        <f t="shared" si="9"/>
        <v>0</v>
      </c>
      <c r="R45" s="1916"/>
      <c r="S45" s="1915">
        <f t="shared" si="2"/>
        <v>0</v>
      </c>
      <c r="T45" s="1915"/>
      <c r="U45" s="205">
        <f t="shared" si="5"/>
        <v>0</v>
      </c>
      <c r="V45" s="205"/>
      <c r="W45" s="1912">
        <f t="shared" si="7"/>
        <v>0</v>
      </c>
      <c r="X45" s="1912"/>
      <c r="Y45" s="2227">
        <f t="shared" si="4"/>
        <v>0</v>
      </c>
      <c r="Z45" s="1876">
        <f>SUM('5.9.a. sz. mell'!F45+'5.9.b. sz. mell.'!F45)</f>
        <v>60725552</v>
      </c>
      <c r="AA45" s="1876"/>
      <c r="AB45" s="1876"/>
      <c r="AC45" s="1885">
        <f>SUM('5.9.a. sz. mell'!H45+'5.9.b. sz. mell.'!H45)</f>
        <v>63293652</v>
      </c>
      <c r="AD45" s="1885"/>
      <c r="AE45" s="248">
        <f>SUM('5.9.a. sz. mell'!J45+'5.9.b. sz. mell.'!J45)</f>
        <v>61735987</v>
      </c>
      <c r="AF45" s="248"/>
      <c r="AG45" s="1871">
        <f>SUM('5.9.a. sz. mell'!L45+'5.9.b. sz. mell.'!L45)</f>
        <v>61735987</v>
      </c>
      <c r="AH45" s="1871"/>
      <c r="AI45" s="1903">
        <f>SUM('5.9.a. sz. mell'!M45+'5.9.b. sz. mell.'!M45)</f>
        <v>61735987</v>
      </c>
    </row>
    <row r="46" spans="1:35" s="145" customFormat="1" ht="15" customHeight="1" x14ac:dyDescent="0.2">
      <c r="A46" s="173"/>
      <c r="B46" s="174" t="s">
        <v>152</v>
      </c>
      <c r="C46" s="251" t="s">
        <v>153</v>
      </c>
      <c r="D46" s="175">
        <v>17907</v>
      </c>
      <c r="E46" s="175">
        <v>18593</v>
      </c>
      <c r="F46" s="831">
        <v>38552054</v>
      </c>
      <c r="G46" s="1415">
        <f t="shared" si="8"/>
        <v>1958593</v>
      </c>
      <c r="H46" s="831">
        <v>40510647</v>
      </c>
      <c r="I46" s="1386">
        <f t="shared" si="8"/>
        <v>1804641</v>
      </c>
      <c r="J46" s="831">
        <v>42315288</v>
      </c>
      <c r="K46" s="3345">
        <f t="shared" si="8"/>
        <v>0</v>
      </c>
      <c r="L46" s="831">
        <v>42315288</v>
      </c>
      <c r="M46" s="831">
        <v>42315288</v>
      </c>
      <c r="N46" s="463"/>
      <c r="O46" s="463"/>
      <c r="Q46" s="1916">
        <f t="shared" si="9"/>
        <v>0</v>
      </c>
      <c r="R46" s="1916"/>
      <c r="S46" s="1915">
        <f t="shared" si="2"/>
        <v>0</v>
      </c>
      <c r="T46" s="1915"/>
      <c r="U46" s="205">
        <f t="shared" si="5"/>
        <v>0</v>
      </c>
      <c r="V46" s="205"/>
      <c r="W46" s="1912">
        <f t="shared" si="7"/>
        <v>0</v>
      </c>
      <c r="X46" s="1912"/>
      <c r="Y46" s="2227">
        <f t="shared" si="4"/>
        <v>0</v>
      </c>
      <c r="Z46" s="1876">
        <f>SUM('5.9.a. sz. mell'!F46+'5.9.b. sz. mell.'!F46)</f>
        <v>38552054</v>
      </c>
      <c r="AA46" s="1876"/>
      <c r="AB46" s="1876"/>
      <c r="AC46" s="1885">
        <f>SUM('5.9.a. sz. mell'!H46+'5.9.b. sz. mell.'!H46)</f>
        <v>40510647</v>
      </c>
      <c r="AD46" s="1885"/>
      <c r="AE46" s="248">
        <f>SUM('5.9.a. sz. mell'!J46+'5.9.b. sz. mell.'!J46)</f>
        <v>42315288</v>
      </c>
      <c r="AF46" s="248"/>
      <c r="AG46" s="1871">
        <f>SUM('5.9.a. sz. mell'!L46+'5.9.b. sz. mell.'!L46)</f>
        <v>42315288</v>
      </c>
      <c r="AH46" s="1871"/>
      <c r="AI46" s="1903">
        <f>SUM('5.9.a. sz. mell'!M46+'5.9.b. sz. mell.'!M46)</f>
        <v>42315288</v>
      </c>
    </row>
    <row r="47" spans="1:35" s="145" customFormat="1" ht="15" customHeight="1" x14ac:dyDescent="0.2">
      <c r="A47" s="142"/>
      <c r="B47" s="176" t="s">
        <v>154</v>
      </c>
      <c r="C47" s="55" t="s">
        <v>155</v>
      </c>
      <c r="D47" s="144">
        <v>4749</v>
      </c>
      <c r="E47" s="144">
        <v>4934</v>
      </c>
      <c r="F47" s="483">
        <v>7435732</v>
      </c>
      <c r="G47" s="1415">
        <f t="shared" si="8"/>
        <v>394084</v>
      </c>
      <c r="H47" s="483">
        <v>7829816</v>
      </c>
      <c r="I47" s="1376">
        <f t="shared" si="8"/>
        <v>435482</v>
      </c>
      <c r="J47" s="483">
        <v>8265298</v>
      </c>
      <c r="K47" s="3334">
        <f t="shared" si="8"/>
        <v>0</v>
      </c>
      <c r="L47" s="483">
        <v>8265298</v>
      </c>
      <c r="M47" s="483">
        <v>8265298</v>
      </c>
      <c r="N47" s="463"/>
      <c r="O47" s="463"/>
      <c r="Q47" s="1916">
        <f t="shared" si="9"/>
        <v>0</v>
      </c>
      <c r="R47" s="1916"/>
      <c r="S47" s="1915">
        <f t="shared" si="2"/>
        <v>0</v>
      </c>
      <c r="T47" s="1915"/>
      <c r="U47" s="205">
        <f t="shared" si="5"/>
        <v>0</v>
      </c>
      <c r="V47" s="205"/>
      <c r="W47" s="1912">
        <f t="shared" si="7"/>
        <v>0</v>
      </c>
      <c r="X47" s="1912"/>
      <c r="Y47" s="2227">
        <f t="shared" si="4"/>
        <v>0</v>
      </c>
      <c r="Z47" s="1876">
        <f>SUM('5.9.a. sz. mell'!F47+'5.9.b. sz. mell.'!F47)</f>
        <v>7435732</v>
      </c>
      <c r="AA47" s="1876"/>
      <c r="AB47" s="1876"/>
      <c r="AC47" s="1885">
        <f>SUM('5.9.a. sz. mell'!H47+'5.9.b. sz. mell.'!H47)</f>
        <v>7829816</v>
      </c>
      <c r="AD47" s="1885"/>
      <c r="AE47" s="248">
        <f>SUM('5.9.a. sz. mell'!J47+'5.9.b. sz. mell.'!J47)</f>
        <v>8265298</v>
      </c>
      <c r="AF47" s="248"/>
      <c r="AG47" s="1871">
        <f>SUM('5.9.a. sz. mell'!L47+'5.9.b. sz. mell.'!L47)</f>
        <v>8265298</v>
      </c>
      <c r="AH47" s="1871"/>
      <c r="AI47" s="1903">
        <f>SUM('5.9.a. sz. mell'!M47+'5.9.b. sz. mell.'!M47)</f>
        <v>8265298</v>
      </c>
    </row>
    <row r="48" spans="1:35" s="145" customFormat="1" ht="15" customHeight="1" x14ac:dyDescent="0.2">
      <c r="A48" s="142"/>
      <c r="B48" s="176" t="s">
        <v>156</v>
      </c>
      <c r="C48" s="55" t="s">
        <v>157</v>
      </c>
      <c r="D48" s="144">
        <v>16849</v>
      </c>
      <c r="E48" s="144">
        <v>16824</v>
      </c>
      <c r="F48" s="483">
        <v>14737766</v>
      </c>
      <c r="G48" s="1415">
        <f t="shared" si="8"/>
        <v>215423</v>
      </c>
      <c r="H48" s="483">
        <v>14953189</v>
      </c>
      <c r="I48" s="1376">
        <f t="shared" si="8"/>
        <v>-3797788</v>
      </c>
      <c r="J48" s="483">
        <v>11155401</v>
      </c>
      <c r="K48" s="3334">
        <f t="shared" si="8"/>
        <v>0</v>
      </c>
      <c r="L48" s="483">
        <v>11155401</v>
      </c>
      <c r="M48" s="483">
        <v>11155401</v>
      </c>
      <c r="N48" s="463"/>
      <c r="O48" s="463"/>
      <c r="Q48" s="1916">
        <f t="shared" si="9"/>
        <v>0</v>
      </c>
      <c r="R48" s="1916"/>
      <c r="S48" s="1915">
        <f t="shared" si="2"/>
        <v>0</v>
      </c>
      <c r="T48" s="1915"/>
      <c r="U48" s="205">
        <f t="shared" si="5"/>
        <v>0</v>
      </c>
      <c r="V48" s="205"/>
      <c r="W48" s="1912">
        <f t="shared" si="7"/>
        <v>0</v>
      </c>
      <c r="X48" s="1912"/>
      <c r="Y48" s="2227">
        <f t="shared" si="4"/>
        <v>0</v>
      </c>
      <c r="Z48" s="1876">
        <f>SUM('5.9.a. sz. mell'!F48+'5.9.b. sz. mell.'!F48)</f>
        <v>14737766</v>
      </c>
      <c r="AA48" s="1876"/>
      <c r="AB48" s="1876"/>
      <c r="AC48" s="1885">
        <f>SUM('5.9.a. sz. mell'!H48+'5.9.b. sz. mell.'!H48)</f>
        <v>14953189</v>
      </c>
      <c r="AD48" s="1885"/>
      <c r="AE48" s="248">
        <f>SUM('5.9.a. sz. mell'!J48+'5.9.b. sz. mell.'!J48)</f>
        <v>11155401</v>
      </c>
      <c r="AF48" s="248"/>
      <c r="AG48" s="1871">
        <f>SUM('5.9.a. sz. mell'!L48+'5.9.b. sz. mell.'!L48)</f>
        <v>11155401</v>
      </c>
      <c r="AH48" s="1871"/>
      <c r="AI48" s="1903">
        <f>SUM('5.9.a. sz. mell'!M48+'5.9.b. sz. mell.'!M48)</f>
        <v>11155401</v>
      </c>
    </row>
    <row r="49" spans="1:35" s="145" customFormat="1" ht="15" customHeight="1" x14ac:dyDescent="0.2">
      <c r="A49" s="142"/>
      <c r="B49" s="176" t="s">
        <v>158</v>
      </c>
      <c r="C49" s="55" t="s">
        <v>159</v>
      </c>
      <c r="D49" s="144"/>
      <c r="E49" s="144"/>
      <c r="F49" s="483"/>
      <c r="G49" s="1415">
        <f t="shared" si="8"/>
        <v>0</v>
      </c>
      <c r="H49" s="483"/>
      <c r="I49" s="1378">
        <f t="shared" si="8"/>
        <v>0</v>
      </c>
      <c r="J49" s="483"/>
      <c r="K49" s="3336">
        <f t="shared" si="8"/>
        <v>0</v>
      </c>
      <c r="L49" s="483"/>
      <c r="M49" s="483"/>
      <c r="N49" s="463"/>
      <c r="O49" s="463"/>
      <c r="Q49" s="1916">
        <f t="shared" si="9"/>
        <v>0</v>
      </c>
      <c r="R49" s="1916"/>
      <c r="S49" s="1915">
        <f t="shared" si="2"/>
        <v>0</v>
      </c>
      <c r="T49" s="1915"/>
      <c r="U49" s="205">
        <f t="shared" si="5"/>
        <v>0</v>
      </c>
      <c r="V49" s="205"/>
      <c r="W49" s="1912">
        <f t="shared" si="7"/>
        <v>0</v>
      </c>
      <c r="X49" s="1912"/>
      <c r="Y49" s="2227">
        <f t="shared" si="4"/>
        <v>0</v>
      </c>
      <c r="Z49" s="1876">
        <f>SUM('5.9.a. sz. mell'!F49+'5.9.b. sz. mell.'!F49)</f>
        <v>0</v>
      </c>
      <c r="AA49" s="1876"/>
      <c r="AB49" s="1876"/>
      <c r="AC49" s="1885">
        <f>SUM('5.9.a. sz. mell'!H49+'5.9.b. sz. mell.'!H49)</f>
        <v>0</v>
      </c>
      <c r="AD49" s="1885"/>
      <c r="AE49" s="248">
        <f>SUM('5.9.a. sz. mell'!J49+'5.9.b. sz. mell.'!J49)</f>
        <v>0</v>
      </c>
      <c r="AF49" s="248"/>
      <c r="AG49" s="1871">
        <f>SUM('5.9.a. sz. mell'!L49+'5.9.b. sz. mell.'!L49)</f>
        <v>0</v>
      </c>
      <c r="AH49" s="1871"/>
      <c r="AI49" s="1903">
        <f>SUM('5.9.a. sz. mell'!M49+'5.9.b. sz. mell.'!M49)</f>
        <v>0</v>
      </c>
    </row>
    <row r="50" spans="1:35" s="145" customFormat="1" ht="15" customHeight="1" thickBot="1" x14ac:dyDescent="0.25">
      <c r="A50" s="142"/>
      <c r="B50" s="176" t="s">
        <v>160</v>
      </c>
      <c r="C50" s="55" t="s">
        <v>161</v>
      </c>
      <c r="D50" s="144">
        <v>5839</v>
      </c>
      <c r="E50" s="144">
        <v>5839</v>
      </c>
      <c r="F50" s="483"/>
      <c r="G50" s="1415">
        <f t="shared" si="8"/>
        <v>0</v>
      </c>
      <c r="H50" s="483"/>
      <c r="I50" s="1422">
        <f t="shared" si="8"/>
        <v>0</v>
      </c>
      <c r="J50" s="483"/>
      <c r="K50" s="3356">
        <f t="shared" si="8"/>
        <v>0</v>
      </c>
      <c r="L50" s="483"/>
      <c r="M50" s="483"/>
      <c r="N50" s="463"/>
      <c r="O50" s="463"/>
      <c r="Q50" s="1916">
        <f t="shared" si="9"/>
        <v>0</v>
      </c>
      <c r="R50" s="1916"/>
      <c r="S50" s="1915">
        <f t="shared" si="2"/>
        <v>0</v>
      </c>
      <c r="T50" s="1915"/>
      <c r="U50" s="205">
        <f t="shared" si="5"/>
        <v>0</v>
      </c>
      <c r="V50" s="205"/>
      <c r="W50" s="1912">
        <f t="shared" si="7"/>
        <v>0</v>
      </c>
      <c r="X50" s="1912"/>
      <c r="Y50" s="2227">
        <f t="shared" si="4"/>
        <v>0</v>
      </c>
      <c r="Z50" s="1876">
        <f>SUM('5.9.a. sz. mell'!F50+'5.9.b. sz. mell.'!F50)</f>
        <v>0</v>
      </c>
      <c r="AA50" s="1876"/>
      <c r="AB50" s="1876"/>
      <c r="AC50" s="1885">
        <f>SUM('5.9.a. sz. mell'!H50+'5.9.b. sz. mell.'!H50)</f>
        <v>0</v>
      </c>
      <c r="AD50" s="1885"/>
      <c r="AE50" s="248">
        <f>SUM('5.9.a. sz. mell'!J50+'5.9.b. sz. mell.'!J50)</f>
        <v>0</v>
      </c>
      <c r="AF50" s="248"/>
      <c r="AG50" s="1871">
        <f>SUM('5.9.a. sz. mell'!L50+'5.9.b. sz. mell.'!L50)</f>
        <v>0</v>
      </c>
      <c r="AH50" s="1871"/>
      <c r="AI50" s="1903">
        <f>SUM('5.9.a. sz. mell'!M50+'5.9.b. sz. mell.'!M50)</f>
        <v>0</v>
      </c>
    </row>
    <row r="51" spans="1:35" s="145" customFormat="1" ht="15" customHeight="1" thickBot="1" x14ac:dyDescent="0.25">
      <c r="A51" s="134" t="s">
        <v>17</v>
      </c>
      <c r="B51" s="170"/>
      <c r="C51" s="170" t="s">
        <v>443</v>
      </c>
      <c r="D51" s="137">
        <f>SUM(D52:D54)</f>
        <v>0</v>
      </c>
      <c r="E51" s="137">
        <f>SUM(E52:E54)</f>
        <v>486</v>
      </c>
      <c r="F51" s="826">
        <f>SUM(F52:F54)</f>
        <v>1905000</v>
      </c>
      <c r="G51" s="1382">
        <f t="shared" si="8"/>
        <v>0</v>
      </c>
      <c r="H51" s="826">
        <f>SUM(H52:H54)</f>
        <v>1905000</v>
      </c>
      <c r="I51" s="1421">
        <f t="shared" si="8"/>
        <v>-919985</v>
      </c>
      <c r="J51" s="826">
        <f>SUM(J52:J54)</f>
        <v>985015</v>
      </c>
      <c r="K51" s="3350">
        <f t="shared" si="8"/>
        <v>0</v>
      </c>
      <c r="L51" s="826">
        <f>SUM(L52:L54)</f>
        <v>985015</v>
      </c>
      <c r="M51" s="826">
        <f>SUM(M52:M54)</f>
        <v>985015</v>
      </c>
      <c r="N51" s="286"/>
      <c r="O51" s="286"/>
      <c r="Q51" s="1916">
        <f t="shared" si="9"/>
        <v>0</v>
      </c>
      <c r="R51" s="1916"/>
      <c r="S51" s="1915">
        <f t="shared" si="2"/>
        <v>0</v>
      </c>
      <c r="T51" s="1915"/>
      <c r="U51" s="205">
        <f t="shared" si="5"/>
        <v>0</v>
      </c>
      <c r="V51" s="205"/>
      <c r="W51" s="1912">
        <f t="shared" si="7"/>
        <v>0</v>
      </c>
      <c r="X51" s="1912"/>
      <c r="Y51" s="2227">
        <f t="shared" si="4"/>
        <v>0</v>
      </c>
      <c r="Z51" s="1876">
        <f>SUM('5.9.a. sz. mell'!F51+'5.9.b. sz. mell.'!F51)</f>
        <v>1905000</v>
      </c>
      <c r="AA51" s="1876"/>
      <c r="AB51" s="1876"/>
      <c r="AC51" s="1885">
        <f>SUM('5.9.a. sz. mell'!H51+'5.9.b. sz. mell.'!H51)</f>
        <v>1905000</v>
      </c>
      <c r="AD51" s="1885"/>
      <c r="AE51" s="248">
        <f>SUM('5.9.a. sz. mell'!J51+'5.9.b. sz. mell.'!J51)</f>
        <v>985015</v>
      </c>
      <c r="AF51" s="248"/>
      <c r="AG51" s="1871">
        <f>SUM('5.9.a. sz. mell'!L51+'5.9.b. sz. mell.'!L51)</f>
        <v>985015</v>
      </c>
      <c r="AH51" s="1871"/>
      <c r="AI51" s="1903">
        <f>SUM('5.9.a. sz. mell'!M51+'5.9.b. sz. mell.'!M51)</f>
        <v>985015</v>
      </c>
    </row>
    <row r="52" spans="1:35" s="141" customFormat="1" ht="15" customHeight="1" x14ac:dyDescent="0.2">
      <c r="A52" s="173"/>
      <c r="B52" s="267" t="s">
        <v>5</v>
      </c>
      <c r="C52" s="251" t="s">
        <v>183</v>
      </c>
      <c r="D52" s="175">
        <v>0</v>
      </c>
      <c r="E52" s="175">
        <v>486</v>
      </c>
      <c r="F52" s="831">
        <v>1905000</v>
      </c>
      <c r="G52" s="1415">
        <f t="shared" si="8"/>
        <v>0</v>
      </c>
      <c r="H52" s="831">
        <v>1905000</v>
      </c>
      <c r="I52" s="1386">
        <f t="shared" si="8"/>
        <v>-919985</v>
      </c>
      <c r="J52" s="831">
        <v>985015</v>
      </c>
      <c r="K52" s="3345">
        <f t="shared" si="8"/>
        <v>0</v>
      </c>
      <c r="L52" s="831">
        <v>985015</v>
      </c>
      <c r="M52" s="831">
        <v>985015</v>
      </c>
      <c r="N52" s="463"/>
      <c r="O52" s="463"/>
      <c r="Q52" s="1916">
        <f t="shared" si="9"/>
        <v>0</v>
      </c>
      <c r="R52" s="1916"/>
      <c r="S52" s="1915">
        <f t="shared" si="2"/>
        <v>0</v>
      </c>
      <c r="T52" s="1915"/>
      <c r="U52" s="205">
        <f t="shared" si="5"/>
        <v>0</v>
      </c>
      <c r="V52" s="205"/>
      <c r="W52" s="1912">
        <f t="shared" si="7"/>
        <v>0</v>
      </c>
      <c r="X52" s="1912"/>
      <c r="Y52" s="2227">
        <f t="shared" si="4"/>
        <v>0</v>
      </c>
      <c r="Z52" s="1876">
        <f>SUM('5.9.a. sz. mell'!F52+'5.9.b. sz. mell.'!F52)</f>
        <v>1905000</v>
      </c>
      <c r="AA52" s="1876"/>
      <c r="AB52" s="1876"/>
      <c r="AC52" s="1885">
        <f>SUM('5.9.a. sz. mell'!H52+'5.9.b. sz. mell.'!H52)</f>
        <v>1905000</v>
      </c>
      <c r="AD52" s="1885"/>
      <c r="AE52" s="248">
        <f>SUM('5.9.a. sz. mell'!J52+'5.9.b. sz. mell.'!J52)</f>
        <v>985015</v>
      </c>
      <c r="AF52" s="248"/>
      <c r="AG52" s="1871">
        <f>SUM('5.9.a. sz. mell'!L52+'5.9.b. sz. mell.'!L52)</f>
        <v>985015</v>
      </c>
      <c r="AH52" s="1871"/>
      <c r="AI52" s="1903">
        <f>SUM('5.9.a. sz. mell'!M52+'5.9.b. sz. mell.'!M52)</f>
        <v>985015</v>
      </c>
    </row>
    <row r="53" spans="1:35" s="145" customFormat="1" ht="15" customHeight="1" x14ac:dyDescent="0.2">
      <c r="A53" s="142"/>
      <c r="B53" s="253" t="s">
        <v>7</v>
      </c>
      <c r="C53" s="55" t="s">
        <v>185</v>
      </c>
      <c r="D53" s="144">
        <v>0</v>
      </c>
      <c r="E53" s="144">
        <v>0</v>
      </c>
      <c r="F53" s="483">
        <v>0</v>
      </c>
      <c r="G53" s="1415">
        <f t="shared" si="8"/>
        <v>0</v>
      </c>
      <c r="H53" s="483"/>
      <c r="I53" s="1404">
        <f t="shared" si="8"/>
        <v>0</v>
      </c>
      <c r="J53" s="483"/>
      <c r="K53" s="3336">
        <f t="shared" si="8"/>
        <v>0</v>
      </c>
      <c r="L53" s="483"/>
      <c r="M53" s="483">
        <v>0</v>
      </c>
      <c r="N53" s="463"/>
      <c r="O53" s="463"/>
      <c r="Q53" s="1916">
        <f t="shared" si="9"/>
        <v>0</v>
      </c>
      <c r="R53" s="1916"/>
      <c r="S53" s="1915">
        <f t="shared" si="2"/>
        <v>0</v>
      </c>
      <c r="T53" s="1915"/>
      <c r="U53" s="205">
        <f t="shared" si="5"/>
        <v>0</v>
      </c>
      <c r="V53" s="205"/>
      <c r="W53" s="1912">
        <f t="shared" si="7"/>
        <v>0</v>
      </c>
      <c r="X53" s="1912"/>
      <c r="Y53" s="2227">
        <f t="shared" si="4"/>
        <v>0</v>
      </c>
      <c r="Z53" s="1876">
        <f>SUM('5.9.a. sz. mell'!F53+'5.9.b. sz. mell.'!F53)</f>
        <v>0</v>
      </c>
      <c r="AA53" s="1876"/>
      <c r="AB53" s="1876"/>
      <c r="AC53" s="1885">
        <f>SUM('5.9.a. sz. mell'!H53+'5.9.b. sz. mell.'!H53)</f>
        <v>0</v>
      </c>
      <c r="AD53" s="1885"/>
      <c r="AE53" s="248">
        <f>SUM('5.9.a. sz. mell'!J53+'5.9.b. sz. mell.'!J53)</f>
        <v>0</v>
      </c>
      <c r="AF53" s="248"/>
      <c r="AG53" s="1871">
        <f>SUM('5.9.a. sz. mell'!L53+'5.9.b. sz. mell.'!L53)</f>
        <v>0</v>
      </c>
      <c r="AH53" s="1871"/>
      <c r="AI53" s="1903">
        <f>SUM('5.9.a. sz. mell'!M53+'5.9.b. sz. mell.'!M53)</f>
        <v>0</v>
      </c>
    </row>
    <row r="54" spans="1:35" s="145" customFormat="1" ht="12.75" customHeight="1" thickBot="1" x14ac:dyDescent="0.25">
      <c r="A54" s="142"/>
      <c r="B54" s="253" t="s">
        <v>9</v>
      </c>
      <c r="C54" s="55" t="s">
        <v>444</v>
      </c>
      <c r="D54" s="144">
        <v>0</v>
      </c>
      <c r="E54" s="144">
        <v>0</v>
      </c>
      <c r="F54" s="483">
        <v>0</v>
      </c>
      <c r="G54" s="1415">
        <f t="shared" si="8"/>
        <v>0</v>
      </c>
      <c r="H54" s="483">
        <v>0</v>
      </c>
      <c r="I54" s="1430">
        <f t="shared" si="8"/>
        <v>0</v>
      </c>
      <c r="J54" s="483"/>
      <c r="K54" s="3368">
        <f t="shared" si="8"/>
        <v>0</v>
      </c>
      <c r="L54" s="483"/>
      <c r="M54" s="483">
        <v>0</v>
      </c>
      <c r="N54" s="463"/>
      <c r="O54" s="463"/>
      <c r="Q54" s="1916">
        <f t="shared" si="9"/>
        <v>0</v>
      </c>
      <c r="R54" s="1916"/>
      <c r="S54" s="1915">
        <f t="shared" si="2"/>
        <v>0</v>
      </c>
      <c r="T54" s="1915"/>
      <c r="U54" s="205">
        <f t="shared" si="5"/>
        <v>0</v>
      </c>
      <c r="V54" s="205"/>
      <c r="W54" s="1912">
        <f t="shared" si="7"/>
        <v>0</v>
      </c>
      <c r="X54" s="1912"/>
      <c r="Y54" s="2227">
        <f t="shared" si="4"/>
        <v>0</v>
      </c>
      <c r="Z54" s="1876">
        <f>SUM('5.9.a. sz. mell'!F54+'5.9.b. sz. mell.'!F54)</f>
        <v>0</v>
      </c>
      <c r="AA54" s="1876"/>
      <c r="AB54" s="1876"/>
      <c r="AC54" s="1885">
        <f>SUM('5.9.a. sz. mell'!H54+'5.9.b. sz. mell.'!H54)</f>
        <v>0</v>
      </c>
      <c r="AD54" s="1885"/>
      <c r="AE54" s="248">
        <f>SUM('5.9.a. sz. mell'!J54+'5.9.b. sz. mell.'!J54)</f>
        <v>0</v>
      </c>
      <c r="AF54" s="248"/>
      <c r="AG54" s="1871">
        <f>SUM('5.9.a. sz. mell'!L54+'5.9.b. sz. mell.'!L54)</f>
        <v>0</v>
      </c>
      <c r="AH54" s="1871"/>
      <c r="AI54" s="1903">
        <f>SUM('5.9.a. sz. mell'!M54+'5.9.b. sz. mell.'!M54)</f>
        <v>0</v>
      </c>
    </row>
    <row r="55" spans="1:35" s="145" customFormat="1" ht="15" customHeight="1" thickBot="1" x14ac:dyDescent="0.25">
      <c r="A55" s="192" t="s">
        <v>31</v>
      </c>
      <c r="B55" s="160"/>
      <c r="C55" s="274" t="s">
        <v>465</v>
      </c>
      <c r="D55" s="162" t="e">
        <f>+D45+D51+#REF!</f>
        <v>#REF!</v>
      </c>
      <c r="E55" s="162" t="e">
        <f>+E45+E51+#REF!</f>
        <v>#REF!</v>
      </c>
      <c r="F55" s="545">
        <f>+F45+F51</f>
        <v>62630552</v>
      </c>
      <c r="G55" s="1437">
        <f t="shared" si="8"/>
        <v>2568100</v>
      </c>
      <c r="H55" s="545">
        <f>+H45+H51</f>
        <v>65198652</v>
      </c>
      <c r="I55" s="1401">
        <f t="shared" si="8"/>
        <v>-2477650</v>
      </c>
      <c r="J55" s="545">
        <f>+J45+J51</f>
        <v>62721002</v>
      </c>
      <c r="K55" s="3371">
        <f t="shared" si="8"/>
        <v>0</v>
      </c>
      <c r="L55" s="545">
        <f>+L45+L51</f>
        <v>62721002</v>
      </c>
      <c r="M55" s="545">
        <f>+M45+M51</f>
        <v>62721002</v>
      </c>
      <c r="N55" s="195"/>
      <c r="O55" s="195"/>
      <c r="Q55" s="1916">
        <f t="shared" si="9"/>
        <v>0</v>
      </c>
      <c r="R55" s="1916"/>
      <c r="S55" s="1915">
        <f t="shared" si="2"/>
        <v>0</v>
      </c>
      <c r="T55" s="1915"/>
      <c r="U55" s="205">
        <f t="shared" si="5"/>
        <v>0</v>
      </c>
      <c r="V55" s="205"/>
      <c r="W55" s="1912">
        <f t="shared" si="7"/>
        <v>0</v>
      </c>
      <c r="X55" s="1912"/>
      <c r="Y55" s="2227">
        <f t="shared" si="4"/>
        <v>0</v>
      </c>
      <c r="Z55" s="1876">
        <f>SUM('5.9.a. sz. mell'!F55+'5.9.b. sz. mell.'!F55)</f>
        <v>62630552</v>
      </c>
      <c r="AA55" s="1876"/>
      <c r="AB55" s="1876"/>
      <c r="AC55" s="1885">
        <f>SUM('5.9.a. sz. mell'!H55+'5.9.b. sz. mell.'!H55)</f>
        <v>65198652</v>
      </c>
      <c r="AD55" s="1885"/>
      <c r="AE55" s="248">
        <f>SUM('5.9.a. sz. mell'!J55+'5.9.b. sz. mell.'!J55)</f>
        <v>62721002</v>
      </c>
      <c r="AF55" s="248"/>
      <c r="AG55" s="1871">
        <f>SUM('5.9.a. sz. mell'!L55+'5.9.b. sz. mell.'!L55)</f>
        <v>62721002</v>
      </c>
      <c r="AH55" s="1871"/>
      <c r="AI55" s="1903">
        <f>SUM('5.9.a. sz. mell'!M55+'5.9.b. sz. mell.'!M55)</f>
        <v>62721002</v>
      </c>
    </row>
    <row r="56" spans="1:35" s="145" customFormat="1" ht="15" customHeight="1" thickBot="1" x14ac:dyDescent="0.25">
      <c r="A56" s="1303"/>
      <c r="B56" s="886"/>
      <c r="C56" s="886"/>
      <c r="D56" s="886"/>
      <c r="E56" s="886"/>
      <c r="F56" s="1304"/>
      <c r="G56" s="1550"/>
      <c r="H56" s="1550"/>
      <c r="I56" s="1550"/>
      <c r="J56" s="886"/>
      <c r="K56" s="1550"/>
      <c r="L56" s="886"/>
      <c r="M56" s="1304"/>
      <c r="N56" s="198"/>
      <c r="O56" s="198"/>
      <c r="Q56" s="1916">
        <f t="shared" si="9"/>
        <v>0</v>
      </c>
      <c r="R56" s="1916"/>
      <c r="S56" s="1915">
        <f t="shared" si="2"/>
        <v>0</v>
      </c>
      <c r="T56" s="1915"/>
      <c r="U56" s="205">
        <f t="shared" si="5"/>
        <v>0</v>
      </c>
      <c r="V56" s="205"/>
      <c r="W56" s="1912">
        <f t="shared" si="7"/>
        <v>0</v>
      </c>
      <c r="X56" s="1912"/>
      <c r="Y56" s="2227">
        <f t="shared" si="4"/>
        <v>0</v>
      </c>
      <c r="Z56" s="1876">
        <f>SUM('5.9.a. sz. mell'!F56+'5.9.b. sz. mell.'!F56)</f>
        <v>0</v>
      </c>
      <c r="AA56" s="1876"/>
      <c r="AB56" s="1876"/>
      <c r="AC56" s="1885">
        <f>SUM('5.9.a. sz. mell'!H56+'5.9.b. sz. mell.'!H56)</f>
        <v>0</v>
      </c>
      <c r="AD56" s="1885"/>
      <c r="AE56" s="248">
        <f>SUM('5.9.a. sz. mell'!J56+'5.9.b. sz. mell.'!J56)</f>
        <v>0</v>
      </c>
      <c r="AF56" s="248"/>
      <c r="AG56" s="1871">
        <f>SUM('5.9.a. sz. mell'!L56+'5.9.b. sz. mell.'!L56)</f>
        <v>0</v>
      </c>
      <c r="AH56" s="1871"/>
      <c r="AI56" s="1903">
        <f>SUM('5.9.a. sz. mell'!M56+'5.9.b. sz. mell.'!M56)</f>
        <v>0</v>
      </c>
    </row>
    <row r="57" spans="1:35" s="145" customFormat="1" ht="15" customHeight="1" thickBot="1" x14ac:dyDescent="0.25">
      <c r="A57" s="276" t="s">
        <v>324</v>
      </c>
      <c r="B57" s="277"/>
      <c r="C57" s="278"/>
      <c r="D57" s="200">
        <v>10.5</v>
      </c>
      <c r="E57" s="200">
        <v>10.5</v>
      </c>
      <c r="F57" s="835">
        <v>15</v>
      </c>
      <c r="G57" s="1559">
        <f>SUM(H57-F57)</f>
        <v>0</v>
      </c>
      <c r="H57" s="835">
        <v>15</v>
      </c>
      <c r="I57" s="1412"/>
      <c r="J57" s="835">
        <v>15</v>
      </c>
      <c r="K57" s="3382">
        <f>SUM(L57-J57)</f>
        <v>0</v>
      </c>
      <c r="L57" s="835">
        <v>15</v>
      </c>
      <c r="M57" s="835">
        <v>15</v>
      </c>
      <c r="N57" s="485"/>
      <c r="O57" s="485"/>
      <c r="Q57" s="1916">
        <f t="shared" si="9"/>
        <v>0</v>
      </c>
      <c r="R57" s="1916"/>
      <c r="S57" s="1915">
        <f t="shared" si="2"/>
        <v>0</v>
      </c>
      <c r="T57" s="1915"/>
      <c r="U57" s="205">
        <f t="shared" si="5"/>
        <v>0</v>
      </c>
      <c r="V57" s="205"/>
      <c r="W57" s="1912">
        <f t="shared" si="7"/>
        <v>0</v>
      </c>
      <c r="X57" s="1912"/>
      <c r="Y57" s="2227">
        <f t="shared" si="4"/>
        <v>0</v>
      </c>
      <c r="Z57" s="1876">
        <f>SUM('5.9.a. sz. mell'!F57+'5.9.b. sz. mell.'!F57)</f>
        <v>15</v>
      </c>
      <c r="AA57" s="1876"/>
      <c r="AB57" s="1876"/>
      <c r="AC57" s="1885">
        <f>SUM('5.9.a. sz. mell'!H57+'5.9.b. sz. mell.'!H57)</f>
        <v>15</v>
      </c>
      <c r="AD57" s="1885"/>
      <c r="AE57" s="248">
        <f>SUM('5.9.a. sz. mell'!J57+'5.9.b. sz. mell.'!J57)</f>
        <v>15</v>
      </c>
      <c r="AF57" s="248"/>
      <c r="AG57" s="1871">
        <f>SUM('5.9.a. sz. mell'!L57+'5.9.b. sz. mell.'!L57)</f>
        <v>15</v>
      </c>
      <c r="AH57" s="1871"/>
      <c r="AI57" s="1903">
        <f>SUM('5.9.a. sz. mell'!M57+'5.9.b. sz. mell.'!M57)</f>
        <v>15</v>
      </c>
    </row>
    <row r="58" spans="1:35" s="145" customFormat="1" ht="15" customHeight="1" thickBot="1" x14ac:dyDescent="0.25">
      <c r="A58" s="276" t="s">
        <v>325</v>
      </c>
      <c r="B58" s="277"/>
      <c r="C58" s="278"/>
      <c r="D58" s="279"/>
      <c r="E58" s="279"/>
      <c r="F58" s="836"/>
      <c r="G58" s="1560"/>
      <c r="H58" s="836"/>
      <c r="I58" s="1413"/>
      <c r="J58" s="836"/>
      <c r="K58" s="3383"/>
      <c r="L58" s="836"/>
      <c r="M58" s="836"/>
      <c r="N58" s="486"/>
      <c r="O58" s="486"/>
      <c r="Q58" s="1916">
        <f t="shared" si="9"/>
        <v>0</v>
      </c>
      <c r="R58" s="1916"/>
      <c r="S58" s="1915">
        <f t="shared" si="2"/>
        <v>0</v>
      </c>
      <c r="T58" s="1915"/>
      <c r="U58" s="205">
        <f t="shared" si="5"/>
        <v>0</v>
      </c>
      <c r="V58" s="205"/>
      <c r="W58" s="1912">
        <f t="shared" si="7"/>
        <v>0</v>
      </c>
      <c r="X58" s="1912"/>
      <c r="Y58" s="2227">
        <f t="shared" si="4"/>
        <v>0</v>
      </c>
      <c r="Z58" s="1876">
        <f>SUM('5.9.a. sz. mell'!F58+'5.9.b. sz. mell.'!F58)</f>
        <v>0</v>
      </c>
      <c r="AA58" s="1876"/>
      <c r="AB58" s="1876"/>
      <c r="AC58" s="1885">
        <f>SUM('5.9.a. sz. mell'!H58+'5.9.b. sz. mell.'!H58)</f>
        <v>0</v>
      </c>
      <c r="AD58" s="1885"/>
      <c r="AE58" s="248">
        <f>SUM('5.9.a. sz. mell'!J58+'5.9.b. sz. mell.'!J58)</f>
        <v>0</v>
      </c>
      <c r="AF58" s="248"/>
      <c r="AG58" s="1871">
        <f>SUM('5.9.a. sz. mell'!L58+'5.9.b. sz. mell.'!L58)</f>
        <v>0</v>
      </c>
      <c r="AH58" s="1871"/>
      <c r="AI58" s="1903">
        <f>SUM('5.9.a. sz. mell'!M58+'5.9.b. sz. mell.'!M58)</f>
        <v>0</v>
      </c>
    </row>
    <row r="63" spans="1:35" ht="15.75" x14ac:dyDescent="0.2">
      <c r="C63" s="116" t="s">
        <v>945</v>
      </c>
    </row>
    <row r="64" spans="1:35" ht="15.75" x14ac:dyDescent="0.2">
      <c r="C64" s="116" t="s">
        <v>942</v>
      </c>
      <c r="H64" s="203">
        <v>65198652</v>
      </c>
      <c r="I64" s="1470"/>
      <c r="J64" s="203">
        <v>62721002</v>
      </c>
      <c r="K64" s="1470"/>
      <c r="L64" s="203">
        <v>62721002</v>
      </c>
      <c r="M64" s="203">
        <v>62721002</v>
      </c>
    </row>
    <row r="65" spans="3:14" ht="15.75" x14ac:dyDescent="0.2">
      <c r="C65" s="116" t="s">
        <v>943</v>
      </c>
      <c r="H65" s="203">
        <v>0</v>
      </c>
      <c r="I65" s="1470"/>
      <c r="J65" s="203"/>
      <c r="K65" s="1470"/>
      <c r="L65" s="203"/>
      <c r="M65" s="203">
        <v>0</v>
      </c>
    </row>
    <row r="66" spans="3:14" ht="18.75" x14ac:dyDescent="0.2">
      <c r="C66" s="781" t="s">
        <v>944</v>
      </c>
      <c r="H66" s="203">
        <f t="shared" ref="H66:M66" si="10">SUM(H64:H65)</f>
        <v>65198652</v>
      </c>
      <c r="I66" s="203">
        <f t="shared" si="10"/>
        <v>0</v>
      </c>
      <c r="J66" s="203">
        <f t="shared" si="10"/>
        <v>62721002</v>
      </c>
      <c r="K66" s="203">
        <f t="shared" si="10"/>
        <v>0</v>
      </c>
      <c r="L66" s="203">
        <f t="shared" si="10"/>
        <v>62721002</v>
      </c>
      <c r="M66" s="203">
        <f t="shared" si="10"/>
        <v>62721002</v>
      </c>
    </row>
    <row r="67" spans="3:14" ht="15.75" x14ac:dyDescent="0.2">
      <c r="C67" s="116"/>
      <c r="H67" s="116"/>
      <c r="I67" s="1416"/>
      <c r="J67" s="116"/>
      <c r="K67" s="116"/>
      <c r="L67" s="116"/>
      <c r="M67" s="116"/>
    </row>
    <row r="68" spans="3:14" ht="15.75" x14ac:dyDescent="0.2">
      <c r="C68" s="780" t="s">
        <v>893</v>
      </c>
      <c r="H68" s="482">
        <f>SUM(H55-H66)</f>
        <v>0</v>
      </c>
      <c r="I68" s="482"/>
      <c r="J68" s="482">
        <f>SUM(J55-J66)</f>
        <v>0</v>
      </c>
      <c r="K68" s="482">
        <f>SUM(K55-K66)</f>
        <v>0</v>
      </c>
      <c r="L68" s="482">
        <f>SUM(L55-L66)</f>
        <v>0</v>
      </c>
      <c r="M68" s="482">
        <f>SUM(M55-M66)</f>
        <v>0</v>
      </c>
    </row>
    <row r="69" spans="3:14" ht="15.75" x14ac:dyDescent="0.2">
      <c r="H69" s="116"/>
      <c r="I69" s="1416"/>
      <c r="J69" s="116"/>
      <c r="K69" s="1416"/>
      <c r="L69" s="116"/>
      <c r="M69" s="116"/>
    </row>
    <row r="70" spans="3:14" ht="15.75" x14ac:dyDescent="0.2">
      <c r="H70" s="116"/>
      <c r="I70" s="1416"/>
      <c r="J70" s="116"/>
      <c r="K70" s="1416"/>
      <c r="L70" s="116"/>
      <c r="M70" s="116"/>
    </row>
    <row r="71" spans="3:14" ht="15.75" x14ac:dyDescent="0.2">
      <c r="H71" s="116"/>
      <c r="I71" s="1416"/>
      <c r="J71" s="116"/>
      <c r="K71" s="1416"/>
      <c r="L71" s="116"/>
      <c r="M71" s="116"/>
    </row>
    <row r="72" spans="3:14" ht="15.75" x14ac:dyDescent="0.2">
      <c r="C72" s="116" t="s">
        <v>946</v>
      </c>
      <c r="H72" s="116"/>
      <c r="I72" s="1416"/>
      <c r="J72" s="116"/>
      <c r="K72" s="1416"/>
      <c r="L72" s="116"/>
      <c r="M72" s="116"/>
    </row>
    <row r="73" spans="3:14" ht="15.75" x14ac:dyDescent="0.2">
      <c r="C73" s="116"/>
      <c r="I73" s="1416"/>
      <c r="J73" s="116"/>
      <c r="K73" s="1416"/>
      <c r="L73" s="116"/>
    </row>
    <row r="74" spans="3:14" ht="15.75" x14ac:dyDescent="0.2">
      <c r="C74" s="116" t="s">
        <v>947</v>
      </c>
      <c r="H74" s="203">
        <v>6168376</v>
      </c>
      <c r="I74" s="1470"/>
      <c r="J74" s="203">
        <v>6419087</v>
      </c>
      <c r="K74" s="1470"/>
      <c r="L74" s="203">
        <v>6419087</v>
      </c>
      <c r="M74" s="203">
        <v>6419087</v>
      </c>
    </row>
    <row r="75" spans="3:14" ht="15.75" x14ac:dyDescent="0.2">
      <c r="C75" s="116" t="s">
        <v>948</v>
      </c>
      <c r="H75" s="203">
        <v>59030276</v>
      </c>
      <c r="I75" s="1470"/>
      <c r="J75" s="203">
        <v>56301915</v>
      </c>
      <c r="K75" s="1470"/>
      <c r="L75" s="203">
        <v>56301915</v>
      </c>
      <c r="M75" s="203">
        <v>56301915</v>
      </c>
    </row>
    <row r="76" spans="3:14" ht="18.75" x14ac:dyDescent="0.2">
      <c r="C76" s="471" t="s">
        <v>944</v>
      </c>
      <c r="H76" s="203">
        <f t="shared" ref="H76:M76" si="11">SUM(H74:H75)</f>
        <v>65198652</v>
      </c>
      <c r="I76" s="203">
        <f t="shared" si="11"/>
        <v>0</v>
      </c>
      <c r="J76" s="203">
        <f>SUM(J74:J75)</f>
        <v>62721002</v>
      </c>
      <c r="K76" s="203">
        <f t="shared" si="11"/>
        <v>0</v>
      </c>
      <c r="L76" s="203">
        <f t="shared" si="11"/>
        <v>62721002</v>
      </c>
      <c r="M76" s="203">
        <f t="shared" si="11"/>
        <v>62721002</v>
      </c>
    </row>
    <row r="77" spans="3:14" ht="15.75" x14ac:dyDescent="0.2">
      <c r="C77" s="116"/>
      <c r="H77" s="116"/>
      <c r="I77" s="1416"/>
      <c r="J77" s="116"/>
      <c r="K77" s="116"/>
      <c r="L77" s="116"/>
      <c r="M77" s="116"/>
    </row>
    <row r="78" spans="3:14" ht="15.75" x14ac:dyDescent="0.2">
      <c r="C78" s="780" t="s">
        <v>279</v>
      </c>
      <c r="H78" s="482">
        <f>SUM(H42-H76)</f>
        <v>0</v>
      </c>
      <c r="I78" s="482"/>
      <c r="J78" s="482">
        <f>SUM(J42-J76)</f>
        <v>0</v>
      </c>
      <c r="K78" s="482">
        <f>SUM(K42-K76)</f>
        <v>0</v>
      </c>
      <c r="L78" s="482">
        <f>SUM(L42-L76)</f>
        <v>0</v>
      </c>
      <c r="M78" s="482">
        <f>SUM(M42-M76)</f>
        <v>0</v>
      </c>
      <c r="N78" s="203"/>
    </row>
    <row r="79" spans="3:14" ht="15.75" x14ac:dyDescent="0.2">
      <c r="C79" s="116"/>
    </row>
  </sheetData>
  <mergeCells count="20">
    <mergeCell ref="AC5:AC6"/>
    <mergeCell ref="AE5:AE6"/>
    <mergeCell ref="AG5:AG6"/>
    <mergeCell ref="S5:S6"/>
    <mergeCell ref="U5:U6"/>
    <mergeCell ref="W5:W6"/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23622047244094491" top="0.55118110236220474" bottom="0.35433070866141736" header="0.6692913385826772" footer="0.15748031496062992"/>
  <pageSetup paperSize="9" scale="75" firstPageNumber="84" orientation="portrait" useFirstPageNumber="1" r:id="rId1"/>
  <headerFooter>
    <oddFooter>&amp;C&amp;11- &amp;P -</oddFooter>
  </headerFooter>
  <colBreaks count="1" manualBreakCount="1">
    <brk id="15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58"/>
  <sheetViews>
    <sheetView view="pageBreakPreview" zoomScaleNormal="100" zoomScaleSheetLayoutView="100" zoomScalePageLayoutView="60" workbookViewId="0">
      <selection activeCell="J42" sqref="J42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83203125" style="115" customWidth="1"/>
    <col min="4" max="5" width="9.33203125" style="115" hidden="1" customWidth="1"/>
    <col min="6" max="6" width="13.33203125" style="115" customWidth="1"/>
    <col min="7" max="7" width="12.6640625" style="1390" hidden="1" customWidth="1"/>
    <col min="8" max="8" width="12.1640625" style="115" hidden="1" customWidth="1"/>
    <col min="9" max="9" width="11.83203125" style="1390" hidden="1" customWidth="1"/>
    <col min="10" max="10" width="14.5" style="115" customWidth="1"/>
    <col min="11" max="11" width="14.6640625" style="1390" customWidth="1"/>
    <col min="12" max="12" width="14.6640625" style="115" customWidth="1"/>
    <col min="13" max="13" width="14.83203125" style="115" customWidth="1"/>
    <col min="14" max="15" width="9.33203125" style="115"/>
    <col min="16" max="16" width="10.1640625" style="115" bestFit="1" customWidth="1"/>
    <col min="17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748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805" t="s">
        <v>488</v>
      </c>
      <c r="D2" s="4415" t="s">
        <v>282</v>
      </c>
      <c r="E2" s="818"/>
      <c r="F2" s="4415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49" t="s">
        <v>1032</v>
      </c>
      <c r="L2" s="4415" t="s">
        <v>234</v>
      </c>
      <c r="M2" s="4633" t="s">
        <v>1945</v>
      </c>
    </row>
    <row r="3" spans="1:13" s="303" customFormat="1" ht="30" customHeight="1" thickBot="1" x14ac:dyDescent="0.25">
      <c r="A3" s="4506" t="s">
        <v>283</v>
      </c>
      <c r="B3" s="4506"/>
      <c r="C3" s="806" t="s">
        <v>487</v>
      </c>
      <c r="D3" s="4415"/>
      <c r="E3" s="819"/>
      <c r="F3" s="4415"/>
      <c r="G3" s="4509"/>
      <c r="H3" s="4416" t="s">
        <v>1028</v>
      </c>
      <c r="I3" s="4423" t="s">
        <v>1031</v>
      </c>
      <c r="J3" s="4496" t="s">
        <v>1028</v>
      </c>
      <c r="K3" s="4450"/>
      <c r="L3" s="4416"/>
      <c r="M3" s="4416"/>
    </row>
    <row r="4" spans="1:13" s="303" customFormat="1" ht="15" customHeight="1" thickBot="1" x14ac:dyDescent="0.25">
      <c r="A4" s="1300"/>
      <c r="B4" s="1301"/>
      <c r="C4" s="1452"/>
      <c r="D4" s="4465"/>
      <c r="E4" s="4574"/>
      <c r="F4" s="4574"/>
      <c r="G4" s="1453"/>
      <c r="H4" s="1454"/>
      <c r="I4" s="1449"/>
      <c r="J4" s="1454"/>
      <c r="K4" s="1449"/>
      <c r="L4" s="1455"/>
      <c r="M4" s="1456" t="s">
        <v>935</v>
      </c>
    </row>
    <row r="5" spans="1:13" s="145" customFormat="1" ht="37.5" customHeight="1" thickBot="1" x14ac:dyDescent="0.25">
      <c r="A5" s="4431" t="s">
        <v>285</v>
      </c>
      <c r="B5" s="4431"/>
      <c r="C5" s="807" t="s">
        <v>286</v>
      </c>
      <c r="D5" s="821" t="s">
        <v>287</v>
      </c>
      <c r="E5" s="821" t="s">
        <v>288</v>
      </c>
      <c r="F5" s="821"/>
      <c r="G5" s="2659"/>
      <c r="H5" s="821"/>
      <c r="I5" s="1399"/>
      <c r="J5" s="821"/>
      <c r="K5" s="3369"/>
      <c r="L5" s="821"/>
      <c r="M5" s="821"/>
    </row>
    <row r="6" spans="1:13" s="305" customFormat="1" ht="15" customHeight="1" thickBot="1" x14ac:dyDescent="0.25">
      <c r="A6" s="134"/>
      <c r="B6" s="270"/>
      <c r="C6" s="808"/>
      <c r="D6" s="822"/>
      <c r="E6" s="822"/>
      <c r="F6" s="446"/>
      <c r="G6" s="2455"/>
      <c r="H6" s="446"/>
      <c r="I6" s="1400"/>
      <c r="J6" s="446"/>
      <c r="K6" s="3370"/>
      <c r="L6" s="446"/>
      <c r="M6" s="446"/>
    </row>
    <row r="7" spans="1:13" s="305" customFormat="1" ht="15" customHeight="1" thickBot="1" x14ac:dyDescent="0.25">
      <c r="A7" s="192"/>
      <c r="B7" s="160"/>
      <c r="C7" s="809" t="s">
        <v>230</v>
      </c>
      <c r="D7" s="545"/>
      <c r="E7" s="545"/>
      <c r="F7" s="545"/>
      <c r="G7" s="1437"/>
      <c r="H7" s="545"/>
      <c r="I7" s="1401"/>
      <c r="J7" s="545"/>
      <c r="K7" s="3371"/>
      <c r="L7" s="545"/>
      <c r="M7" s="545"/>
    </row>
    <row r="8" spans="1:13" s="141" customFormat="1" ht="15" customHeight="1" thickBot="1" x14ac:dyDescent="0.25">
      <c r="A8" s="134" t="s">
        <v>3</v>
      </c>
      <c r="B8" s="148"/>
      <c r="C8" s="810" t="s">
        <v>413</v>
      </c>
      <c r="D8" s="823">
        <f>SUM(D9:D18)</f>
        <v>4119</v>
      </c>
      <c r="E8" s="823">
        <f>SUM(E9:E18)</f>
        <v>4119</v>
      </c>
      <c r="F8" s="823">
        <f>SUM(F9:F18)</f>
        <v>4764000</v>
      </c>
      <c r="G8" s="1382">
        <f t="shared" ref="G8:K19" si="0">SUM(H8-F8)</f>
        <v>4376</v>
      </c>
      <c r="H8" s="823">
        <f>SUM(H9:H18)</f>
        <v>4768376</v>
      </c>
      <c r="I8" s="1407">
        <f t="shared" si="0"/>
        <v>167488</v>
      </c>
      <c r="J8" s="823">
        <f>SUM(J9:J18)</f>
        <v>4935864</v>
      </c>
      <c r="K8" s="3350">
        <f t="shared" si="0"/>
        <v>0</v>
      </c>
      <c r="L8" s="823">
        <f>SUM(L9:L18)</f>
        <v>4935864</v>
      </c>
      <c r="M8" s="823">
        <f>SUM(M9:M18)</f>
        <v>4935864</v>
      </c>
    </row>
    <row r="9" spans="1:13" s="141" customFormat="1" ht="15" customHeight="1" x14ac:dyDescent="0.2">
      <c r="A9" s="149"/>
      <c r="B9" s="143" t="s">
        <v>152</v>
      </c>
      <c r="C9" s="811" t="s">
        <v>48</v>
      </c>
      <c r="D9" s="310">
        <v>0</v>
      </c>
      <c r="E9" s="310">
        <v>0</v>
      </c>
      <c r="F9" s="483">
        <f>SUM('5.9. sz. mell.'!F9-'5.9.b. sz. mell.'!F9)</f>
        <v>0</v>
      </c>
      <c r="G9" s="1415">
        <f t="shared" si="0"/>
        <v>0</v>
      </c>
      <c r="H9" s="310"/>
      <c r="I9" s="1386">
        <f t="shared" si="0"/>
        <v>0</v>
      </c>
      <c r="J9" s="310"/>
      <c r="K9" s="3345">
        <f t="shared" si="0"/>
        <v>0</v>
      </c>
      <c r="L9" s="310"/>
      <c r="M9" s="310"/>
    </row>
    <row r="10" spans="1:13" s="141" customFormat="1" ht="15" customHeight="1" x14ac:dyDescent="0.2">
      <c r="A10" s="142"/>
      <c r="B10" s="143" t="s">
        <v>154</v>
      </c>
      <c r="C10" s="812" t="s">
        <v>50</v>
      </c>
      <c r="D10" s="483">
        <v>4119</v>
      </c>
      <c r="E10" s="483">
        <v>4119</v>
      </c>
      <c r="F10" s="483">
        <f>SUM('5.9. sz. mell.'!F10-'5.9.b. sz. mell.'!F10)</f>
        <v>0</v>
      </c>
      <c r="G10" s="1415">
        <f t="shared" si="0"/>
        <v>0</v>
      </c>
      <c r="H10" s="483"/>
      <c r="I10" s="1376">
        <f t="shared" si="0"/>
        <v>0</v>
      </c>
      <c r="J10" s="483">
        <f>SUM('5.9. sz. mell.'!J10-'5.9.b. sz. mell.'!J10)</f>
        <v>0</v>
      </c>
      <c r="K10" s="3334">
        <f t="shared" si="0"/>
        <v>0</v>
      </c>
      <c r="L10" s="483"/>
      <c r="M10" s="483">
        <f>SUM('5.9. sz. mell.'!M10-'5.9.b. sz. mell.'!M10)</f>
        <v>0</v>
      </c>
    </row>
    <row r="11" spans="1:13" s="141" customFormat="1" ht="15" customHeight="1" x14ac:dyDescent="0.2">
      <c r="A11" s="142"/>
      <c r="B11" s="143" t="s">
        <v>156</v>
      </c>
      <c r="C11" s="812" t="s">
        <v>414</v>
      </c>
      <c r="D11" s="483">
        <v>0</v>
      </c>
      <c r="E11" s="483">
        <v>0</v>
      </c>
      <c r="F11" s="483">
        <f>SUM('5.9. sz. mell.'!F11-'5.9.b. sz. mell.'!F11)</f>
        <v>0</v>
      </c>
      <c r="G11" s="1415">
        <f t="shared" si="0"/>
        <v>0</v>
      </c>
      <c r="H11" s="483">
        <f>SUM('5.9. sz. mell.'!H11-'5.9.b. sz. mell.'!H11)</f>
        <v>0</v>
      </c>
      <c r="I11" s="1376">
        <f t="shared" si="0"/>
        <v>0</v>
      </c>
      <c r="J11" s="483">
        <f>SUM('5.9. sz. mell.'!J11-'5.9.b. sz. mell.'!J11)</f>
        <v>0</v>
      </c>
      <c r="K11" s="3334">
        <f t="shared" si="0"/>
        <v>0</v>
      </c>
      <c r="L11" s="483"/>
      <c r="M11" s="483">
        <f>SUM('5.9. sz. mell.'!M11-'5.9.b. sz. mell.'!M11)</f>
        <v>0</v>
      </c>
    </row>
    <row r="12" spans="1:13" s="141" customFormat="1" ht="15" customHeight="1" x14ac:dyDescent="0.2">
      <c r="A12" s="142"/>
      <c r="B12" s="143" t="s">
        <v>158</v>
      </c>
      <c r="C12" s="812" t="s">
        <v>415</v>
      </c>
      <c r="D12" s="483">
        <v>0</v>
      </c>
      <c r="E12" s="483">
        <v>0</v>
      </c>
      <c r="F12" s="483">
        <f>SUM('5.9. sz. mell.'!F12-'5.9.b. sz. mell.'!F12)</f>
        <v>4764000</v>
      </c>
      <c r="G12" s="1415">
        <f t="shared" si="0"/>
        <v>0</v>
      </c>
      <c r="H12" s="483">
        <f>SUM('5.9. sz. mell.'!H12-'5.9.b. sz. mell.'!H12)</f>
        <v>4764000</v>
      </c>
      <c r="I12" s="1376">
        <f t="shared" si="0"/>
        <v>162722</v>
      </c>
      <c r="J12" s="483">
        <f>SUM('5.9. sz. mell.'!J12-'5.9.b. sz. mell.'!J12)</f>
        <v>4926722</v>
      </c>
      <c r="K12" s="3334">
        <f t="shared" si="0"/>
        <v>0</v>
      </c>
      <c r="L12" s="483">
        <f>SUM('5.9. sz. mell.'!L12-'5.9.b. sz. mell.'!L12)</f>
        <v>4926722</v>
      </c>
      <c r="M12" s="483">
        <f>SUM('5.9. sz. mell.'!M12-'5.9.b. sz. mell.'!M12)</f>
        <v>4926722</v>
      </c>
    </row>
    <row r="13" spans="1:13" s="141" customFormat="1" ht="15" customHeight="1" x14ac:dyDescent="0.2">
      <c r="A13" s="142"/>
      <c r="B13" s="143" t="s">
        <v>375</v>
      </c>
      <c r="C13" s="813" t="s">
        <v>416</v>
      </c>
      <c r="D13" s="483">
        <v>0</v>
      </c>
      <c r="E13" s="483">
        <v>0</v>
      </c>
      <c r="F13" s="483">
        <f>SUM('5.9. sz. mell.'!F13-'5.9.b. sz. mell.'!F13)</f>
        <v>0</v>
      </c>
      <c r="G13" s="1415">
        <f t="shared" si="0"/>
        <v>0</v>
      </c>
      <c r="H13" s="483">
        <f>SUM('5.9. sz. mell.'!H13-'5.9.b. sz. mell.'!H13)</f>
        <v>0</v>
      </c>
      <c r="I13" s="1376">
        <f t="shared" si="0"/>
        <v>0</v>
      </c>
      <c r="J13" s="483">
        <f>SUM('5.9. sz. mell.'!J13-'5.9.b. sz. mell.'!J13)</f>
        <v>0</v>
      </c>
      <c r="K13" s="3334">
        <f t="shared" si="0"/>
        <v>0</v>
      </c>
      <c r="L13" s="483"/>
      <c r="M13" s="483">
        <f>SUM('5.9. sz. mell.'!M13-'5.9.b. sz. mell.'!M13)</f>
        <v>0</v>
      </c>
    </row>
    <row r="14" spans="1:13" s="141" customFormat="1" ht="15" customHeight="1" x14ac:dyDescent="0.2">
      <c r="A14" s="146"/>
      <c r="B14" s="143" t="s">
        <v>162</v>
      </c>
      <c r="C14" s="812" t="s">
        <v>340</v>
      </c>
      <c r="D14" s="824">
        <v>0</v>
      </c>
      <c r="E14" s="824">
        <v>0</v>
      </c>
      <c r="F14" s="483">
        <f>SUM('5.9. sz. mell.'!F14-'5.9.b. sz. mell.'!F14)</f>
        <v>0</v>
      </c>
      <c r="G14" s="1415">
        <f t="shared" si="0"/>
        <v>0</v>
      </c>
      <c r="H14" s="483">
        <f>SUM('5.9. sz. mell.'!H14-'5.9.b. sz. mell.'!H14)</f>
        <v>0</v>
      </c>
      <c r="I14" s="1376">
        <f t="shared" si="0"/>
        <v>0</v>
      </c>
      <c r="J14" s="483">
        <f>SUM('5.9. sz. mell.'!J14-'5.9.b. sz. mell.'!J14)</f>
        <v>0</v>
      </c>
      <c r="K14" s="3334">
        <f t="shared" si="0"/>
        <v>0</v>
      </c>
      <c r="L14" s="483"/>
      <c r="M14" s="483">
        <f>SUM('5.9. sz. mell.'!M14-'5.9.b. sz. mell.'!M14)</f>
        <v>0</v>
      </c>
    </row>
    <row r="15" spans="1:13" s="145" customFormat="1" ht="15" customHeight="1" x14ac:dyDescent="0.2">
      <c r="A15" s="142"/>
      <c r="B15" s="143" t="s">
        <v>164</v>
      </c>
      <c r="C15" s="812" t="s">
        <v>60</v>
      </c>
      <c r="D15" s="483">
        <v>0</v>
      </c>
      <c r="E15" s="483">
        <v>0</v>
      </c>
      <c r="F15" s="483">
        <f>SUM('5.9. sz. mell.'!F15-'5.9.b. sz. mell.'!F15)</f>
        <v>0</v>
      </c>
      <c r="G15" s="1415">
        <f t="shared" si="0"/>
        <v>0</v>
      </c>
      <c r="H15" s="483">
        <f>SUM('5.9. sz. mell.'!H15-'5.9.b. sz. mell.'!H15)</f>
        <v>0</v>
      </c>
      <c r="I15" s="1376">
        <f t="shared" si="0"/>
        <v>0</v>
      </c>
      <c r="J15" s="483">
        <f>SUM('5.9. sz. mell.'!J15-'5.9.b. sz. mell.'!J15)</f>
        <v>0</v>
      </c>
      <c r="K15" s="3334">
        <f t="shared" si="0"/>
        <v>0</v>
      </c>
      <c r="L15" s="483"/>
      <c r="M15" s="483">
        <f>SUM('5.9. sz. mell.'!M15-'5.9.b. sz. mell.'!M15)</f>
        <v>0</v>
      </c>
    </row>
    <row r="16" spans="1:13" s="145" customFormat="1" ht="15" customHeight="1" x14ac:dyDescent="0.2">
      <c r="A16" s="151"/>
      <c r="B16" s="152" t="s">
        <v>166</v>
      </c>
      <c r="C16" s="812" t="s">
        <v>417</v>
      </c>
      <c r="D16" s="825"/>
      <c r="E16" s="825"/>
      <c r="F16" s="483">
        <f>SUM('5.9. sz. mell.'!F16-'5.9.b. sz. mell.'!F16)</f>
        <v>0</v>
      </c>
      <c r="G16" s="1415">
        <f t="shared" si="0"/>
        <v>0</v>
      </c>
      <c r="H16" s="483">
        <f>SUM('5.9. sz. mell.'!H16-'5.9.b. sz. mell.'!H16)</f>
        <v>0</v>
      </c>
      <c r="I16" s="1376">
        <f t="shared" si="0"/>
        <v>1</v>
      </c>
      <c r="J16" s="483">
        <f>SUM('5.9. sz. mell.'!J16-'5.9.b. sz. mell.'!J16)</f>
        <v>1</v>
      </c>
      <c r="K16" s="3334">
        <f t="shared" si="0"/>
        <v>0</v>
      </c>
      <c r="L16" s="483">
        <f>SUM('5.9. sz. mell.'!L16-'5.9.b. sz. mell.'!L16)</f>
        <v>1</v>
      </c>
      <c r="M16" s="483">
        <f>SUM('5.9. sz. mell.'!M16-'5.9.b. sz. mell.'!M16)</f>
        <v>1</v>
      </c>
    </row>
    <row r="17" spans="1:16" s="145" customFormat="1" ht="15" customHeight="1" x14ac:dyDescent="0.2">
      <c r="A17" s="151"/>
      <c r="B17" s="152" t="s">
        <v>168</v>
      </c>
      <c r="C17" s="812" t="s">
        <v>64</v>
      </c>
      <c r="D17" s="825"/>
      <c r="E17" s="825"/>
      <c r="F17" s="483">
        <f>SUM('5.9. sz. mell.'!F17-'5.9.b. sz. mell.'!F17)</f>
        <v>0</v>
      </c>
      <c r="G17" s="1415">
        <f t="shared" si="0"/>
        <v>0</v>
      </c>
      <c r="H17" s="483">
        <f>SUM('5.9. sz. mell.'!H17-'5.9.b. sz. mell.'!H17)</f>
        <v>0</v>
      </c>
      <c r="I17" s="1404">
        <f t="shared" si="0"/>
        <v>0</v>
      </c>
      <c r="J17" s="483">
        <f>SUM('5.9. sz. mell.'!J17-'5.9.b. sz. mell.'!J17)</f>
        <v>0</v>
      </c>
      <c r="K17" s="3351">
        <f t="shared" si="0"/>
        <v>0</v>
      </c>
      <c r="L17" s="483"/>
      <c r="M17" s="483">
        <f>SUM('5.9. sz. mell.'!M17-'5.9.b. sz. mell.'!M17)</f>
        <v>0</v>
      </c>
    </row>
    <row r="18" spans="1:16" s="145" customFormat="1" ht="15" customHeight="1" thickBot="1" x14ac:dyDescent="0.25">
      <c r="A18" s="151"/>
      <c r="B18" s="152" t="s">
        <v>170</v>
      </c>
      <c r="C18" s="813" t="s">
        <v>418</v>
      </c>
      <c r="D18" s="825">
        <v>0</v>
      </c>
      <c r="E18" s="825">
        <v>0</v>
      </c>
      <c r="F18" s="483">
        <f>SUM('5.9. sz. mell.'!F18-'5.9.b. sz. mell.'!F18)</f>
        <v>0</v>
      </c>
      <c r="G18" s="1415">
        <f t="shared" si="0"/>
        <v>4376</v>
      </c>
      <c r="H18" s="483">
        <f>SUM('5.9. sz. mell.'!H18-'5.9.b. sz. mell.'!H18)</f>
        <v>4376</v>
      </c>
      <c r="I18" s="1461"/>
      <c r="J18" s="483">
        <f>SUM('5.9. sz. mell.'!J18-'5.9.b. sz. mell.'!J18)</f>
        <v>9141</v>
      </c>
      <c r="K18" s="3351">
        <f t="shared" si="0"/>
        <v>0</v>
      </c>
      <c r="L18" s="483">
        <f>SUM('5.9. sz. mell.'!L18-'5.9.b. sz. mell.'!L18)</f>
        <v>9141</v>
      </c>
      <c r="M18" s="483">
        <f>SUM('5.9. sz. mell.'!M18-'5.9.b. sz. mell.'!M18)</f>
        <v>9141</v>
      </c>
    </row>
    <row r="19" spans="1:16" s="141" customFormat="1" ht="32.25" customHeight="1" thickBot="1" x14ac:dyDescent="0.25">
      <c r="A19" s="134" t="s">
        <v>17</v>
      </c>
      <c r="B19" s="148"/>
      <c r="C19" s="810" t="s">
        <v>419</v>
      </c>
      <c r="D19" s="826">
        <f>SUM(D20:D25)</f>
        <v>15092</v>
      </c>
      <c r="E19" s="826">
        <f>SUM(E20:E25)</f>
        <v>15750</v>
      </c>
      <c r="F19" s="826">
        <f>SUM(F20+F24+F25)</f>
        <v>0</v>
      </c>
      <c r="G19" s="1382">
        <f t="shared" si="0"/>
        <v>0</v>
      </c>
      <c r="H19" s="826">
        <f>SUM(H20+H24+H25)</f>
        <v>0</v>
      </c>
      <c r="I19" s="1407">
        <f t="shared" si="0"/>
        <v>30423</v>
      </c>
      <c r="J19" s="826">
        <f>SUM(J20+J24+J25)</f>
        <v>30423</v>
      </c>
      <c r="K19" s="3375">
        <f t="shared" si="0"/>
        <v>0</v>
      </c>
      <c r="L19" s="826">
        <f>SUM(L20+L24+L25)</f>
        <v>30423</v>
      </c>
      <c r="M19" s="826">
        <f>SUM(M20+M24+M25)</f>
        <v>30423</v>
      </c>
    </row>
    <row r="20" spans="1:16" s="145" customFormat="1" ht="30.75" customHeight="1" x14ac:dyDescent="0.2">
      <c r="A20" s="142"/>
      <c r="B20" s="143" t="s">
        <v>5</v>
      </c>
      <c r="C20" s="814" t="s">
        <v>420</v>
      </c>
      <c r="D20" s="483">
        <v>12768</v>
      </c>
      <c r="E20" s="483">
        <v>13426</v>
      </c>
      <c r="F20" s="483">
        <f>SUM(F21:F22)</f>
        <v>0</v>
      </c>
      <c r="G20" s="1415"/>
      <c r="H20" s="483">
        <f>SUM(H21:H22)</f>
        <v>0</v>
      </c>
      <c r="I20" s="1411"/>
      <c r="J20" s="483">
        <f>SUM('5.9. sz. mell.'!J20)</f>
        <v>30423</v>
      </c>
      <c r="K20" s="3381"/>
      <c r="L20" s="483">
        <f>SUM('5.9. sz. mell.'!L20)</f>
        <v>30423</v>
      </c>
      <c r="M20" s="483">
        <f>SUM('5.9. sz. mell.'!M20)</f>
        <v>30423</v>
      </c>
    </row>
    <row r="21" spans="1:16" s="145" customFormat="1" ht="15" customHeight="1" x14ac:dyDescent="0.2">
      <c r="A21" s="142"/>
      <c r="B21" s="143" t="s">
        <v>421</v>
      </c>
      <c r="C21" s="812" t="s">
        <v>422</v>
      </c>
      <c r="D21" s="483"/>
      <c r="E21" s="483"/>
      <c r="F21" s="483"/>
      <c r="G21" s="1415"/>
      <c r="H21" s="483"/>
      <c r="I21" s="1404"/>
      <c r="J21" s="483"/>
      <c r="K21" s="3351"/>
      <c r="L21" s="483"/>
      <c r="M21" s="483"/>
    </row>
    <row r="22" spans="1:16" s="145" customFormat="1" ht="16.5" customHeight="1" x14ac:dyDescent="0.2">
      <c r="A22" s="142"/>
      <c r="B22" s="143" t="s">
        <v>360</v>
      </c>
      <c r="C22" s="812" t="s">
        <v>1429</v>
      </c>
      <c r="D22" s="483">
        <v>0</v>
      </c>
      <c r="E22" s="483">
        <v>0</v>
      </c>
      <c r="F22" s="483"/>
      <c r="G22" s="1415"/>
      <c r="H22" s="483">
        <f>SUM('5.9. sz. mell.'!H22)</f>
        <v>0</v>
      </c>
      <c r="I22" s="1404"/>
      <c r="J22" s="483">
        <f>SUM('5.9. sz. mell.'!J22)</f>
        <v>0</v>
      </c>
      <c r="K22" s="3351"/>
      <c r="L22" s="483"/>
      <c r="M22" s="483">
        <f>SUM('5.9. sz. mell.'!M22)</f>
        <v>0</v>
      </c>
    </row>
    <row r="23" spans="1:16" s="145" customFormat="1" ht="15" customHeight="1" x14ac:dyDescent="0.2">
      <c r="A23" s="142"/>
      <c r="B23" s="143" t="s">
        <v>357</v>
      </c>
      <c r="C23" s="812" t="s">
        <v>424</v>
      </c>
      <c r="D23" s="483">
        <v>0</v>
      </c>
      <c r="E23" s="483">
        <v>0</v>
      </c>
      <c r="F23" s="483">
        <f>SUM('5.9. sz. mell.'!F23-'5.9.b. sz. mell.'!F23)</f>
        <v>0</v>
      </c>
      <c r="G23" s="1415"/>
      <c r="H23" s="483">
        <f>SUM('5.9. sz. mell.'!H23-'5.9.b. sz. mell.'!H23)</f>
        <v>0</v>
      </c>
      <c r="I23" s="1404"/>
      <c r="J23" s="483">
        <f>SUM('5.9. sz. mell.'!J23-'5.9.b. sz. mell.'!J23)</f>
        <v>0</v>
      </c>
      <c r="K23" s="3351"/>
      <c r="L23" s="483"/>
      <c r="M23" s="483">
        <f>SUM('5.9. sz. mell.'!M23-'5.9.b. sz. mell.'!M23)</f>
        <v>0</v>
      </c>
    </row>
    <row r="24" spans="1:16" s="145" customFormat="1" ht="15" customHeight="1" x14ac:dyDescent="0.2">
      <c r="A24" s="142"/>
      <c r="B24" s="143" t="s">
        <v>7</v>
      </c>
      <c r="C24" s="812" t="s">
        <v>6</v>
      </c>
      <c r="D24" s="483">
        <v>2324</v>
      </c>
      <c r="E24" s="483">
        <v>2324</v>
      </c>
      <c r="F24" s="483">
        <f>SUM('5.9. sz. mell.'!F24-'5.9.b. sz. mell.'!F24)</f>
        <v>0</v>
      </c>
      <c r="G24" s="1415"/>
      <c r="H24" s="483">
        <f>SUM('5.9. sz. mell.'!H24-'5.9.b. sz. mell.'!H24)</f>
        <v>0</v>
      </c>
      <c r="I24" s="1404"/>
      <c r="J24" s="483">
        <f>SUM('5.9. sz. mell.'!J24-'5.9.b. sz. mell.'!J24)</f>
        <v>0</v>
      </c>
      <c r="K24" s="3351"/>
      <c r="L24" s="483"/>
      <c r="M24" s="483">
        <f>SUM('5.9. sz. mell.'!M24-'5.9.b. sz. mell.'!M24)</f>
        <v>0</v>
      </c>
    </row>
    <row r="25" spans="1:16" s="145" customFormat="1" ht="15" customHeight="1" thickBot="1" x14ac:dyDescent="0.25">
      <c r="A25" s="142"/>
      <c r="B25" s="143" t="s">
        <v>9</v>
      </c>
      <c r="C25" s="812" t="s">
        <v>425</v>
      </c>
      <c r="D25" s="483">
        <v>0</v>
      </c>
      <c r="E25" s="483">
        <v>0</v>
      </c>
      <c r="F25" s="483">
        <f>SUM('5.9. sz. mell.'!F25-'5.9.b. sz. mell.'!F25)</f>
        <v>0</v>
      </c>
      <c r="G25" s="1415"/>
      <c r="H25" s="483">
        <f>SUM('5.9. sz. mell.'!H25-'5.9.b. sz. mell.'!H25)</f>
        <v>0</v>
      </c>
      <c r="I25" s="1464"/>
      <c r="J25" s="483">
        <f>SUM('5.9. sz. mell.'!J25-'5.9.b. sz. mell.'!J25)</f>
        <v>0</v>
      </c>
      <c r="K25" s="3387"/>
      <c r="L25" s="483"/>
      <c r="M25" s="483">
        <f>SUM('5.9. sz. mell.'!M25-'5.9.b. sz. mell.'!M25)</f>
        <v>0</v>
      </c>
    </row>
    <row r="26" spans="1:16" s="145" customFormat="1" ht="15" customHeight="1" thickBot="1" x14ac:dyDescent="0.25">
      <c r="A26" s="134" t="s">
        <v>31</v>
      </c>
      <c r="B26" s="170"/>
      <c r="C26" s="810" t="s">
        <v>426</v>
      </c>
      <c r="D26" s="827">
        <v>0</v>
      </c>
      <c r="E26" s="827">
        <v>0</v>
      </c>
      <c r="F26" s="827">
        <v>0</v>
      </c>
      <c r="G26" s="1381"/>
      <c r="H26" s="827">
        <v>0</v>
      </c>
      <c r="I26" s="1408"/>
      <c r="J26" s="827"/>
      <c r="K26" s="3376"/>
      <c r="L26" s="827">
        <f>SUM(L27)</f>
        <v>0</v>
      </c>
      <c r="M26" s="827">
        <f>SUM(M27)</f>
        <v>0</v>
      </c>
    </row>
    <row r="27" spans="1:16" s="145" customFormat="1" ht="15" customHeight="1" thickBot="1" x14ac:dyDescent="0.25">
      <c r="A27" s="134"/>
      <c r="B27" s="143" t="s">
        <v>19</v>
      </c>
      <c r="C27" s="812" t="s">
        <v>427</v>
      </c>
      <c r="D27" s="827"/>
      <c r="E27" s="827"/>
      <c r="F27" s="827"/>
      <c r="G27" s="1381"/>
      <c r="H27" s="827"/>
      <c r="I27" s="1408"/>
      <c r="J27" s="827"/>
      <c r="K27" s="3376"/>
      <c r="L27" s="854">
        <f>SUM('5.9. sz. mell.'!L27)</f>
        <v>0</v>
      </c>
      <c r="M27" s="854">
        <f>SUM('5.9. sz. mell.'!M27)</f>
        <v>0</v>
      </c>
    </row>
    <row r="28" spans="1:16" s="145" customFormat="1" ht="15" customHeight="1" thickBot="1" x14ac:dyDescent="0.25">
      <c r="A28" s="134" t="s">
        <v>45</v>
      </c>
      <c r="B28" s="148"/>
      <c r="C28" s="815" t="s">
        <v>428</v>
      </c>
      <c r="D28" s="827"/>
      <c r="E28" s="827"/>
      <c r="F28" s="827"/>
      <c r="G28" s="1381"/>
      <c r="H28" s="827"/>
      <c r="I28" s="1407">
        <f>SUM(J28-H28)</f>
        <v>20000</v>
      </c>
      <c r="J28" s="827">
        <f>SUM(J29:J31)</f>
        <v>20000</v>
      </c>
      <c r="K28" s="3376">
        <f>SUM(L28-J28)</f>
        <v>0</v>
      </c>
      <c r="L28" s="827">
        <f>SUM(L29:L31)</f>
        <v>20000</v>
      </c>
      <c r="M28" s="827">
        <f>SUM(M29:M31)</f>
        <v>20000</v>
      </c>
    </row>
    <row r="29" spans="1:16" s="145" customFormat="1" ht="15" customHeight="1" thickBot="1" x14ac:dyDescent="0.25">
      <c r="A29" s="149"/>
      <c r="B29" s="253" t="s">
        <v>33</v>
      </c>
      <c r="C29" s="812" t="s">
        <v>359</v>
      </c>
      <c r="D29" s="827"/>
      <c r="E29" s="827"/>
      <c r="F29" s="802"/>
      <c r="G29" s="1546"/>
      <c r="H29" s="802"/>
      <c r="I29" s="1462"/>
      <c r="J29" s="802"/>
      <c r="K29" s="3388"/>
      <c r="L29" s="802"/>
      <c r="M29" s="802"/>
    </row>
    <row r="30" spans="1:16" s="145" customFormat="1" ht="15" customHeight="1" thickBot="1" x14ac:dyDescent="0.25">
      <c r="A30" s="146"/>
      <c r="B30" s="253" t="s">
        <v>39</v>
      </c>
      <c r="C30" s="812" t="s">
        <v>72</v>
      </c>
      <c r="D30" s="827"/>
      <c r="E30" s="827"/>
      <c r="F30" s="803"/>
      <c r="G30" s="2666"/>
      <c r="H30" s="803"/>
      <c r="I30" s="1463"/>
      <c r="J30" s="803"/>
      <c r="K30" s="3389"/>
      <c r="L30" s="803"/>
      <c r="M30" s="803"/>
    </row>
    <row r="31" spans="1:16" s="145" customFormat="1" ht="15" customHeight="1" thickBot="1" x14ac:dyDescent="0.25">
      <c r="A31" s="178"/>
      <c r="B31" s="253" t="s">
        <v>41</v>
      </c>
      <c r="C31" s="812" t="s">
        <v>74</v>
      </c>
      <c r="D31" s="827"/>
      <c r="E31" s="827"/>
      <c r="F31" s="804"/>
      <c r="G31" s="1433"/>
      <c r="H31" s="483">
        <f>SUM('5.9. sz. mell.'!H31-'5.9.b. sz. mell.'!H31)</f>
        <v>0</v>
      </c>
      <c r="I31" s="1404">
        <f>SUM(J31-H31)</f>
        <v>20000</v>
      </c>
      <c r="J31" s="841">
        <f>SUM('5.9. sz. mell.'!J31)</f>
        <v>20000</v>
      </c>
      <c r="K31" s="3363">
        <f>SUM(L31-J31)</f>
        <v>0</v>
      </c>
      <c r="L31" s="841">
        <f>SUM('5.9. sz. mell.'!L31)</f>
        <v>20000</v>
      </c>
      <c r="M31" s="841">
        <f>SUM('5.9. sz. mell.'!M31)</f>
        <v>20000</v>
      </c>
    </row>
    <row r="32" spans="1:16" s="141" customFormat="1" ht="30" customHeight="1" thickBot="1" x14ac:dyDescent="0.25">
      <c r="A32" s="134" t="s">
        <v>67</v>
      </c>
      <c r="B32" s="254"/>
      <c r="C32" s="815" t="s">
        <v>429</v>
      </c>
      <c r="D32" s="827">
        <v>0</v>
      </c>
      <c r="E32" s="827">
        <v>0</v>
      </c>
      <c r="F32" s="827">
        <f>SUM(D33)</f>
        <v>0</v>
      </c>
      <c r="G32" s="1381"/>
      <c r="H32" s="827">
        <f>SUM(F33)</f>
        <v>0</v>
      </c>
      <c r="I32" s="1408"/>
      <c r="J32" s="827">
        <f>SUM(H33)</f>
        <v>0</v>
      </c>
      <c r="K32" s="3376"/>
      <c r="L32" s="827">
        <f>SUM(J33)</f>
        <v>0</v>
      </c>
      <c r="M32" s="827">
        <v>0</v>
      </c>
      <c r="P32" s="205"/>
    </row>
    <row r="33" spans="1:16" s="141" customFormat="1" ht="30" customHeight="1" thickBot="1" x14ac:dyDescent="0.25">
      <c r="A33" s="146"/>
      <c r="B33" s="255" t="s">
        <v>47</v>
      </c>
      <c r="C33" s="814" t="s">
        <v>430</v>
      </c>
      <c r="D33" s="827"/>
      <c r="E33" s="827"/>
      <c r="F33" s="827"/>
      <c r="G33" s="1381"/>
      <c r="H33" s="827"/>
      <c r="I33" s="1408"/>
      <c r="J33" s="827"/>
      <c r="K33" s="3376"/>
      <c r="L33" s="827"/>
      <c r="M33" s="827"/>
      <c r="P33" s="205"/>
    </row>
    <row r="34" spans="1:16" s="141" customFormat="1" ht="18" customHeight="1" thickBot="1" x14ac:dyDescent="0.3">
      <c r="A34" s="258" t="s">
        <v>79</v>
      </c>
      <c r="B34" s="256"/>
      <c r="C34" s="810" t="s">
        <v>431</v>
      </c>
      <c r="D34" s="827"/>
      <c r="E34" s="827"/>
      <c r="F34" s="827">
        <f>SUM(F35)</f>
        <v>0</v>
      </c>
      <c r="G34" s="1381"/>
      <c r="H34" s="827">
        <f>SUM(H35)</f>
        <v>0</v>
      </c>
      <c r="I34" s="1408"/>
      <c r="J34" s="827">
        <f>SUM(J35)</f>
        <v>0</v>
      </c>
      <c r="K34" s="3376"/>
      <c r="L34" s="827">
        <f>SUM(L35)</f>
        <v>0</v>
      </c>
      <c r="M34" s="827"/>
      <c r="P34" s="205"/>
    </row>
    <row r="35" spans="1:16" s="141" customFormat="1" ht="27" customHeight="1" thickBot="1" x14ac:dyDescent="0.25">
      <c r="A35" s="258"/>
      <c r="B35" s="257" t="s">
        <v>69</v>
      </c>
      <c r="C35" s="812" t="s">
        <v>432</v>
      </c>
      <c r="D35" s="827"/>
      <c r="E35" s="827"/>
      <c r="F35" s="827"/>
      <c r="G35" s="1381"/>
      <c r="H35" s="827"/>
      <c r="I35" s="1407">
        <f t="shared" ref="I35:I41" si="1">SUM(J35-H35)</f>
        <v>0</v>
      </c>
      <c r="J35" s="827"/>
      <c r="K35" s="3375">
        <f t="shared" ref="K35:K41" si="2">SUM(L35-J35)</f>
        <v>0</v>
      </c>
      <c r="L35" s="827"/>
      <c r="M35" s="827"/>
      <c r="P35" s="205"/>
    </row>
    <row r="36" spans="1:16" s="141" customFormat="1" ht="15" customHeight="1" thickBot="1" x14ac:dyDescent="0.3">
      <c r="A36" s="258" t="s">
        <v>89</v>
      </c>
      <c r="B36" s="256"/>
      <c r="C36" s="815" t="s">
        <v>433</v>
      </c>
      <c r="D36" s="826">
        <f>+D37+D38</f>
        <v>0</v>
      </c>
      <c r="E36" s="826">
        <f>+E37+E38</f>
        <v>16</v>
      </c>
      <c r="F36" s="826">
        <f>SUM(F37:F39)</f>
        <v>53985502</v>
      </c>
      <c r="G36" s="1382">
        <f t="shared" ref="G36:G42" si="3">SUM(H36-F36)</f>
        <v>5044774</v>
      </c>
      <c r="H36" s="826">
        <f>SUM(H37:H39)</f>
        <v>59030276</v>
      </c>
      <c r="I36" s="1421">
        <f t="shared" si="1"/>
        <v>-4902178</v>
      </c>
      <c r="J36" s="826">
        <f>SUM(J37:J39)</f>
        <v>54128098</v>
      </c>
      <c r="K36" s="3350">
        <f t="shared" si="2"/>
        <v>0</v>
      </c>
      <c r="L36" s="826">
        <f>SUM(L37:L39)</f>
        <v>54128098</v>
      </c>
      <c r="M36" s="826">
        <f>SUM(M37:M39)</f>
        <v>54128098</v>
      </c>
      <c r="P36" s="205"/>
    </row>
    <row r="37" spans="1:16" s="141" customFormat="1" ht="15" customHeight="1" x14ac:dyDescent="0.2">
      <c r="A37" s="149"/>
      <c r="B37" s="253" t="s">
        <v>81</v>
      </c>
      <c r="C37" s="812" t="s">
        <v>434</v>
      </c>
      <c r="D37" s="828">
        <v>0</v>
      </c>
      <c r="E37" s="828">
        <v>16</v>
      </c>
      <c r="F37" s="828"/>
      <c r="G37" s="1468">
        <f t="shared" si="3"/>
        <v>73626</v>
      </c>
      <c r="H37" s="310">
        <f>SUM('5.9. sz. mell.'!H37)</f>
        <v>73626</v>
      </c>
      <c r="I37" s="1466">
        <f t="shared" si="1"/>
        <v>0</v>
      </c>
      <c r="J37" s="310">
        <f>SUM('5.9. sz. mell.'!J37)</f>
        <v>73626</v>
      </c>
      <c r="K37" s="3373">
        <f t="shared" si="2"/>
        <v>0</v>
      </c>
      <c r="L37" s="310">
        <f>SUM('5.9. sz. mell.'!L37)</f>
        <v>73626</v>
      </c>
      <c r="M37" s="828">
        <f>SUM('5.9. sz. mell.'!M37)</f>
        <v>73626</v>
      </c>
      <c r="P37" s="205"/>
    </row>
    <row r="38" spans="1:16" s="141" customFormat="1" ht="15" customHeight="1" x14ac:dyDescent="0.2">
      <c r="A38" s="142"/>
      <c r="B38" s="253" t="s">
        <v>83</v>
      </c>
      <c r="C38" s="812" t="s">
        <v>435</v>
      </c>
      <c r="D38" s="483">
        <v>0</v>
      </c>
      <c r="E38" s="483">
        <v>0</v>
      </c>
      <c r="F38" s="483">
        <v>0</v>
      </c>
      <c r="G38" s="1468">
        <f t="shared" si="3"/>
        <v>0</v>
      </c>
      <c r="H38" s="483"/>
      <c r="I38" s="1467">
        <f t="shared" si="1"/>
        <v>0</v>
      </c>
      <c r="J38" s="483"/>
      <c r="K38" s="3351">
        <f t="shared" si="2"/>
        <v>0</v>
      </c>
      <c r="L38" s="483"/>
      <c r="M38" s="483"/>
      <c r="P38" s="205"/>
    </row>
    <row r="39" spans="1:16" s="145" customFormat="1" ht="18.75" customHeight="1" x14ac:dyDescent="0.2">
      <c r="A39" s="142"/>
      <c r="B39" s="253" t="s">
        <v>85</v>
      </c>
      <c r="C39" s="812" t="s">
        <v>1432</v>
      </c>
      <c r="D39" s="803">
        <v>26133</v>
      </c>
      <c r="E39" s="803">
        <v>26791</v>
      </c>
      <c r="F39" s="483">
        <f>SUM(F40:F41)</f>
        <v>53985502</v>
      </c>
      <c r="G39" s="1468">
        <f t="shared" si="3"/>
        <v>4971148</v>
      </c>
      <c r="H39" s="483">
        <f>SUM(H40:H41)</f>
        <v>58956650</v>
      </c>
      <c r="I39" s="1467">
        <f t="shared" si="1"/>
        <v>-4902178</v>
      </c>
      <c r="J39" s="483">
        <f>SUM(J40:J41)</f>
        <v>54054472</v>
      </c>
      <c r="K39" s="3351">
        <f t="shared" si="2"/>
        <v>0</v>
      </c>
      <c r="L39" s="483">
        <f>SUM(L40:L41)</f>
        <v>54054472</v>
      </c>
      <c r="M39" s="483">
        <f>SUM(M40:M41)</f>
        <v>54054472</v>
      </c>
      <c r="P39" s="205"/>
    </row>
    <row r="40" spans="1:16" s="145" customFormat="1" ht="15" customHeight="1" x14ac:dyDescent="0.2">
      <c r="A40" s="142"/>
      <c r="B40" s="2685" t="s">
        <v>437</v>
      </c>
      <c r="C40" s="2726" t="s">
        <v>891</v>
      </c>
      <c r="D40" s="2727"/>
      <c r="E40" s="2727"/>
      <c r="F40" s="1297">
        <f>SUM('5.9. sz. mell.'!F40-'5.9.b. sz. mell.'!F40)</f>
        <v>13866520</v>
      </c>
      <c r="G40" s="1468">
        <f t="shared" si="3"/>
        <v>4019338</v>
      </c>
      <c r="H40" s="483">
        <f>SUM('5.9. sz. mell.'!H40-'5.9.b. sz. mell.'!H40)</f>
        <v>17885858</v>
      </c>
      <c r="I40" s="1467">
        <f t="shared" si="1"/>
        <v>-1715558</v>
      </c>
      <c r="J40" s="1297">
        <f>SUM('5.9. sz. mell.'!J40-'5.9.b. sz. mell.'!J40)</f>
        <v>16170300</v>
      </c>
      <c r="K40" s="3390">
        <f t="shared" si="2"/>
        <v>0</v>
      </c>
      <c r="L40" s="1297">
        <f>SUM('5.9. sz. mell.'!L40-'5.9.b. sz. mell.'!L40)</f>
        <v>16170300</v>
      </c>
      <c r="M40" s="1297">
        <f>SUM('5.9. sz. mell.'!M40-'5.9.b. sz. mell.'!M40)</f>
        <v>16170300</v>
      </c>
      <c r="P40" s="205"/>
    </row>
    <row r="41" spans="1:16" s="145" customFormat="1" ht="15" customHeight="1" thickBot="1" x14ac:dyDescent="0.25">
      <c r="A41" s="142"/>
      <c r="B41" s="2685" t="s">
        <v>439</v>
      </c>
      <c r="C41" s="2726" t="s">
        <v>532</v>
      </c>
      <c r="D41" s="2727"/>
      <c r="E41" s="2727"/>
      <c r="F41" s="1297">
        <f>SUM('5.9. sz. mell.'!F41-'5.9.b. sz. mell.'!F41)</f>
        <v>40118982</v>
      </c>
      <c r="G41" s="1468">
        <f t="shared" si="3"/>
        <v>951810</v>
      </c>
      <c r="H41" s="829">
        <f>SUM('5.9. sz. mell.'!H41-'5.9.b. sz. mell.'!H41)</f>
        <v>41070792</v>
      </c>
      <c r="I41" s="1465">
        <f t="shared" si="1"/>
        <v>-3186620</v>
      </c>
      <c r="J41" s="2739">
        <f>SUM('5.9. sz. mell.'!J41-'5.9.b. sz. mell.'!J41)</f>
        <v>37884172</v>
      </c>
      <c r="K41" s="3390">
        <f t="shared" si="2"/>
        <v>0</v>
      </c>
      <c r="L41" s="2739">
        <f>SUM('5.9. sz. mell.'!L41-'5.9.b. sz. mell.'!L41)</f>
        <v>37884172</v>
      </c>
      <c r="M41" s="2739">
        <f>SUM('5.9. sz. mell.'!M41-'5.9.b. sz. mell.'!M41)</f>
        <v>37884172</v>
      </c>
      <c r="P41" s="205"/>
    </row>
    <row r="42" spans="1:16" s="145" customFormat="1" ht="15" customHeight="1" thickBot="1" x14ac:dyDescent="0.25">
      <c r="A42" s="2668" t="s">
        <v>99</v>
      </c>
      <c r="B42" s="2669"/>
      <c r="C42" s="2670" t="s">
        <v>441</v>
      </c>
      <c r="D42" s="2671">
        <f>SUM(D8,D19,D26,D32,D36,D39)</f>
        <v>45344</v>
      </c>
      <c r="E42" s="2671">
        <f>SUM(E8,E19,E26,E32,E36,E39)</f>
        <v>46676</v>
      </c>
      <c r="F42" s="2671">
        <f>SUM(F8,F19,F26,F32,F36)</f>
        <v>58749502</v>
      </c>
      <c r="G42" s="1437">
        <f t="shared" si="3"/>
        <v>5049150</v>
      </c>
      <c r="H42" s="545">
        <f>SUM(H8,H19,H26,H32,H36)</f>
        <v>63798652</v>
      </c>
      <c r="I42" s="1401">
        <f>SUM(J42-H42)</f>
        <v>-4684267</v>
      </c>
      <c r="J42" s="545">
        <f>SUM(J8,J19,J26,J32,J36)+J28</f>
        <v>59114385</v>
      </c>
      <c r="K42" s="3371">
        <f>SUM(L42-J42)</f>
        <v>0</v>
      </c>
      <c r="L42" s="545">
        <f>SUM(L8,L19,L26,L32,L36)+L28</f>
        <v>59114385</v>
      </c>
      <c r="M42" s="545">
        <f>SUM(M8,M19,M26,M32,M36,M31)</f>
        <v>59114385</v>
      </c>
      <c r="N42" s="205">
        <f>SUM(F42-F55)</f>
        <v>0</v>
      </c>
      <c r="O42" s="205">
        <f>SUM(H42-H55)</f>
        <v>-1400000</v>
      </c>
      <c r="P42" s="205"/>
    </row>
    <row r="43" spans="1:16" s="145" customFormat="1" ht="15" customHeight="1" thickBot="1" x14ac:dyDescent="0.25">
      <c r="A43" s="837"/>
      <c r="B43" s="2672"/>
      <c r="C43" s="838"/>
      <c r="D43" s="839"/>
      <c r="E43" s="839"/>
      <c r="F43" s="2456"/>
      <c r="G43" s="1438"/>
      <c r="H43" s="1460"/>
      <c r="I43" s="1460"/>
      <c r="J43" s="1460"/>
      <c r="K43" s="1460"/>
      <c r="L43" s="839"/>
      <c r="M43" s="285"/>
      <c r="P43" s="205"/>
    </row>
    <row r="44" spans="1:16" s="305" customFormat="1" ht="15" customHeight="1" thickBot="1" x14ac:dyDescent="0.25">
      <c r="A44" s="192"/>
      <c r="B44" s="160"/>
      <c r="C44" s="809" t="s">
        <v>231</v>
      </c>
      <c r="D44" s="545"/>
      <c r="E44" s="545"/>
      <c r="F44" s="545"/>
      <c r="G44" s="1437"/>
      <c r="H44" s="545"/>
      <c r="I44" s="1401"/>
      <c r="J44" s="545"/>
      <c r="K44" s="3371"/>
      <c r="L44" s="545"/>
      <c r="M44" s="545"/>
      <c r="P44" s="205"/>
    </row>
    <row r="45" spans="1:16" s="141" customFormat="1" ht="15" customHeight="1" thickBot="1" x14ac:dyDescent="0.25">
      <c r="A45" s="134" t="s">
        <v>3</v>
      </c>
      <c r="B45" s="170"/>
      <c r="C45" s="817" t="s">
        <v>442</v>
      </c>
      <c r="D45" s="826">
        <f>SUM(D46:D50)</f>
        <v>45344</v>
      </c>
      <c r="E45" s="826">
        <f>SUM(E46:E50)</f>
        <v>46190</v>
      </c>
      <c r="F45" s="826">
        <f>SUM(F46:F50)</f>
        <v>56844502</v>
      </c>
      <c r="G45" s="1382">
        <f t="shared" ref="G45:G55" si="4">SUM(H45-F45)</f>
        <v>6449150</v>
      </c>
      <c r="H45" s="826">
        <f>SUM(H46:H50)</f>
        <v>63293652</v>
      </c>
      <c r="I45" s="1407">
        <f t="shared" ref="I45:I57" si="5">SUM(J45-H45)</f>
        <v>-5164282</v>
      </c>
      <c r="J45" s="826">
        <f>SUM(J46:J50)</f>
        <v>58129370</v>
      </c>
      <c r="K45" s="3375">
        <f t="shared" ref="K45:K55" si="6">SUM(L45-J45)</f>
        <v>0</v>
      </c>
      <c r="L45" s="826">
        <f>SUM(L46:L50)</f>
        <v>58129370</v>
      </c>
      <c r="M45" s="826">
        <f>SUM(M46:M50)</f>
        <v>58129370</v>
      </c>
      <c r="P45" s="205"/>
    </row>
    <row r="46" spans="1:16" s="145" customFormat="1" ht="15" customHeight="1" x14ac:dyDescent="0.2">
      <c r="A46" s="173"/>
      <c r="B46" s="174" t="s">
        <v>152</v>
      </c>
      <c r="C46" s="814" t="s">
        <v>153</v>
      </c>
      <c r="D46" s="831">
        <v>17907</v>
      </c>
      <c r="E46" s="831">
        <v>18593</v>
      </c>
      <c r="F46" s="483">
        <f>SUM('5.9. sz. mell.'!F46-'5.9.b. sz. mell.'!F46)</f>
        <v>37041054</v>
      </c>
      <c r="G46" s="1415">
        <f t="shared" si="4"/>
        <v>3469593</v>
      </c>
      <c r="H46" s="483">
        <f>SUM('5.9. sz. mell.'!H46-'5.9.b. sz. mell.'!H46)</f>
        <v>40510647</v>
      </c>
      <c r="I46" s="1376">
        <f t="shared" si="5"/>
        <v>221847</v>
      </c>
      <c r="J46" s="483">
        <f>SUM('5.9. sz. mell.'!J46-'5.9.b. sz. mell.'!J46)</f>
        <v>40732494</v>
      </c>
      <c r="K46" s="3334">
        <f t="shared" si="6"/>
        <v>0</v>
      </c>
      <c r="L46" s="483">
        <f>SUM('5.9. sz. mell.'!L46-'5.9.b. sz. mell.'!L46)</f>
        <v>40732494</v>
      </c>
      <c r="M46" s="483">
        <f>SUM('5.9. sz. mell.'!M46-'5.9.b. sz. mell.'!M46)</f>
        <v>40732494</v>
      </c>
      <c r="P46" s="205"/>
    </row>
    <row r="47" spans="1:16" s="145" customFormat="1" ht="15" customHeight="1" x14ac:dyDescent="0.2">
      <c r="A47" s="142"/>
      <c r="B47" s="176" t="s">
        <v>154</v>
      </c>
      <c r="C47" s="812" t="s">
        <v>155</v>
      </c>
      <c r="D47" s="483">
        <v>4749</v>
      </c>
      <c r="E47" s="483">
        <v>4934</v>
      </c>
      <c r="F47" s="483">
        <f>SUM('5.9. sz. mell.'!F47-'5.9.b. sz. mell.'!F47)</f>
        <v>7243732</v>
      </c>
      <c r="G47" s="1415">
        <f t="shared" si="4"/>
        <v>586084</v>
      </c>
      <c r="H47" s="483">
        <f>SUM('5.9. sz. mell.'!H47-'5.9.b. sz. mell.'!H47)</f>
        <v>7829816</v>
      </c>
      <c r="I47" s="1376">
        <f t="shared" si="5"/>
        <v>258239</v>
      </c>
      <c r="J47" s="483">
        <f>SUM('5.9. sz. mell.'!J47-'5.9.b. sz. mell.'!J47)</f>
        <v>8088055</v>
      </c>
      <c r="K47" s="3334">
        <f t="shared" si="6"/>
        <v>0</v>
      </c>
      <c r="L47" s="483">
        <f>SUM('5.9. sz. mell.'!L47-'5.9.b. sz. mell.'!L47)</f>
        <v>8088055</v>
      </c>
      <c r="M47" s="483">
        <f>SUM('5.9. sz. mell.'!M47-'5.9.b. sz. mell.'!M47)</f>
        <v>8088055</v>
      </c>
      <c r="P47" s="205"/>
    </row>
    <row r="48" spans="1:16" s="145" customFormat="1" ht="15" customHeight="1" x14ac:dyDescent="0.2">
      <c r="A48" s="142"/>
      <c r="B48" s="176" t="s">
        <v>156</v>
      </c>
      <c r="C48" s="812" t="s">
        <v>157</v>
      </c>
      <c r="D48" s="483">
        <v>16849</v>
      </c>
      <c r="E48" s="483">
        <v>16824</v>
      </c>
      <c r="F48" s="483">
        <f>SUM('5.9. sz. mell.'!F48-'5.9.b. sz. mell.'!F48)</f>
        <v>12559716</v>
      </c>
      <c r="G48" s="1415">
        <f t="shared" si="4"/>
        <v>2393473</v>
      </c>
      <c r="H48" s="483">
        <f>SUM('5.9. sz. mell.'!H48-'5.9.b. sz. mell.'!H48)</f>
        <v>14953189</v>
      </c>
      <c r="I48" s="1376">
        <f t="shared" si="5"/>
        <v>-5644368</v>
      </c>
      <c r="J48" s="483">
        <f>SUM('5.9. sz. mell.'!J48-'5.9.b. sz. mell.'!J48)</f>
        <v>9308821</v>
      </c>
      <c r="K48" s="3334">
        <f t="shared" si="6"/>
        <v>0</v>
      </c>
      <c r="L48" s="483">
        <f>SUM('5.9. sz. mell.'!L48-'5.9.b. sz. mell.'!L48)</f>
        <v>9308821</v>
      </c>
      <c r="M48" s="483">
        <f>SUM('5.9. sz. mell.'!M48-'5.9.b. sz. mell.'!M48)</f>
        <v>9308821</v>
      </c>
      <c r="P48" s="205"/>
    </row>
    <row r="49" spans="1:16" s="145" customFormat="1" ht="15" customHeight="1" x14ac:dyDescent="0.2">
      <c r="A49" s="142"/>
      <c r="B49" s="176" t="s">
        <v>158</v>
      </c>
      <c r="C49" s="812" t="s">
        <v>159</v>
      </c>
      <c r="D49" s="483"/>
      <c r="E49" s="483"/>
      <c r="F49" s="483">
        <f>SUM('5.9. sz. mell.'!F49-'5.9.b. sz. mell.'!F49)</f>
        <v>0</v>
      </c>
      <c r="G49" s="1415">
        <f t="shared" si="4"/>
        <v>0</v>
      </c>
      <c r="H49" s="483">
        <f>SUM('5.9. sz. mell.'!H49-'5.9.b. sz. mell.'!H49)</f>
        <v>0</v>
      </c>
      <c r="I49" s="1376">
        <f t="shared" si="5"/>
        <v>0</v>
      </c>
      <c r="J49" s="483">
        <f>SUM('5.9. sz. mell.'!J49-'5.9.b. sz. mell.'!J49)</f>
        <v>0</v>
      </c>
      <c r="K49" s="3334">
        <f t="shared" si="6"/>
        <v>0</v>
      </c>
      <c r="L49" s="483">
        <f>SUM('5.9. sz. mell.'!L49-'5.9.b. sz. mell.'!L49)</f>
        <v>0</v>
      </c>
      <c r="M49" s="483">
        <f>SUM('5.9. sz. mell.'!M49-'5.9.b. sz. mell.'!M49)</f>
        <v>0</v>
      </c>
      <c r="P49" s="205"/>
    </row>
    <row r="50" spans="1:16" s="145" customFormat="1" ht="15" customHeight="1" thickBot="1" x14ac:dyDescent="0.25">
      <c r="A50" s="142"/>
      <c r="B50" s="176" t="s">
        <v>160</v>
      </c>
      <c r="C50" s="812" t="s">
        <v>161</v>
      </c>
      <c r="D50" s="483">
        <v>5839</v>
      </c>
      <c r="E50" s="483">
        <v>5839</v>
      </c>
      <c r="F50" s="483">
        <f>SUM('5.9. sz. mell.'!F50-'5.9.b. sz. mell.'!F50)</f>
        <v>0</v>
      </c>
      <c r="G50" s="1415">
        <f t="shared" si="4"/>
        <v>0</v>
      </c>
      <c r="H50" s="483">
        <f>SUM('5.9. sz. mell.'!H50-'5.9.b. sz. mell.'!H50)</f>
        <v>0</v>
      </c>
      <c r="I50" s="1376">
        <f t="shared" si="5"/>
        <v>0</v>
      </c>
      <c r="J50" s="483">
        <f>SUM('5.9. sz. mell.'!J50-'5.9.b. sz. mell.'!J50)</f>
        <v>0</v>
      </c>
      <c r="K50" s="3334">
        <f t="shared" si="6"/>
        <v>0</v>
      </c>
      <c r="L50" s="483">
        <f>SUM('5.9. sz. mell.'!L50-'5.9.b. sz. mell.'!L50)</f>
        <v>0</v>
      </c>
      <c r="M50" s="483">
        <f>SUM('5.9. sz. mell.'!M50-'5.9.b. sz. mell.'!M50)</f>
        <v>0</v>
      </c>
      <c r="P50" s="205"/>
    </row>
    <row r="51" spans="1:16" s="145" customFormat="1" ht="15" customHeight="1" thickBot="1" x14ac:dyDescent="0.25">
      <c r="A51" s="134" t="s">
        <v>17</v>
      </c>
      <c r="B51" s="170"/>
      <c r="C51" s="815" t="s">
        <v>443</v>
      </c>
      <c r="D51" s="826">
        <f>SUM(D52:D54)</f>
        <v>0</v>
      </c>
      <c r="E51" s="826">
        <f>SUM(E52:E54)</f>
        <v>486</v>
      </c>
      <c r="F51" s="826">
        <f>SUM(F52:F54)</f>
        <v>1905000</v>
      </c>
      <c r="G51" s="1382">
        <f t="shared" si="4"/>
        <v>0</v>
      </c>
      <c r="H51" s="826">
        <f>SUM(H52:H54)</f>
        <v>1905000</v>
      </c>
      <c r="I51" s="1407">
        <f t="shared" si="5"/>
        <v>-919985</v>
      </c>
      <c r="J51" s="826">
        <f>SUM(J52:J54)</f>
        <v>985015</v>
      </c>
      <c r="K51" s="3375">
        <f t="shared" si="6"/>
        <v>0</v>
      </c>
      <c r="L51" s="826">
        <f>SUM(L52:L54)</f>
        <v>985015</v>
      </c>
      <c r="M51" s="826">
        <f>SUM(M52:M54)</f>
        <v>985015</v>
      </c>
      <c r="P51" s="205"/>
    </row>
    <row r="52" spans="1:16" s="141" customFormat="1" ht="15" customHeight="1" x14ac:dyDescent="0.2">
      <c r="A52" s="173"/>
      <c r="B52" s="267" t="s">
        <v>5</v>
      </c>
      <c r="C52" s="814" t="s">
        <v>183</v>
      </c>
      <c r="D52" s="831">
        <v>0</v>
      </c>
      <c r="E52" s="831">
        <v>486</v>
      </c>
      <c r="F52" s="483">
        <f>SUM('5.9. sz. mell.'!F52-'5.9.b. sz. mell.'!F52)</f>
        <v>1905000</v>
      </c>
      <c r="G52" s="1415">
        <f t="shared" si="4"/>
        <v>0</v>
      </c>
      <c r="H52" s="483">
        <f>SUM('5.9. sz. mell.'!H52-'5.9.b. sz. mell.'!H52)</f>
        <v>1905000</v>
      </c>
      <c r="I52" s="1376">
        <f t="shared" si="5"/>
        <v>-919985</v>
      </c>
      <c r="J52" s="483">
        <f>SUM('5.9. sz. mell.'!J52-'5.9.b. sz. mell.'!J52)</f>
        <v>985015</v>
      </c>
      <c r="K52" s="3334">
        <f t="shared" si="6"/>
        <v>0</v>
      </c>
      <c r="L52" s="483">
        <f>SUM('5.9. sz. mell.'!L52-'5.9.b. sz. mell.'!L52)</f>
        <v>985015</v>
      </c>
      <c r="M52" s="483">
        <f>SUM('5.9. sz. mell.'!M52-'5.9.b. sz. mell.'!M52)</f>
        <v>985015</v>
      </c>
      <c r="P52" s="205"/>
    </row>
    <row r="53" spans="1:16" s="145" customFormat="1" ht="15" customHeight="1" x14ac:dyDescent="0.2">
      <c r="A53" s="142"/>
      <c r="B53" s="253" t="s">
        <v>7</v>
      </c>
      <c r="C53" s="812" t="s">
        <v>185</v>
      </c>
      <c r="D53" s="483">
        <v>0</v>
      </c>
      <c r="E53" s="483">
        <v>0</v>
      </c>
      <c r="F53" s="483">
        <f>SUM('5.9. sz. mell.'!F53-'5.9.b. sz. mell.'!F53)</f>
        <v>0</v>
      </c>
      <c r="G53" s="1415">
        <f t="shared" si="4"/>
        <v>0</v>
      </c>
      <c r="H53" s="483">
        <f>SUM('5.9. sz. mell.'!H53-'5.9.b. sz. mell.'!H53)</f>
        <v>0</v>
      </c>
      <c r="I53" s="1376">
        <f t="shared" si="5"/>
        <v>0</v>
      </c>
      <c r="J53" s="483">
        <f>SUM('5.9. sz. mell.'!J53-'5.9.b. sz. mell.'!J53)</f>
        <v>0</v>
      </c>
      <c r="K53" s="3334">
        <f t="shared" si="6"/>
        <v>0</v>
      </c>
      <c r="L53" s="483">
        <f>SUM('5.9. sz. mell.'!L53-'5.9.b. sz. mell.'!L53)</f>
        <v>0</v>
      </c>
      <c r="M53" s="483">
        <v>0</v>
      </c>
      <c r="P53" s="205"/>
    </row>
    <row r="54" spans="1:16" s="145" customFormat="1" ht="30" customHeight="1" thickBot="1" x14ac:dyDescent="0.25">
      <c r="A54" s="142"/>
      <c r="B54" s="253" t="s">
        <v>9</v>
      </c>
      <c r="C54" s="812" t="s">
        <v>444</v>
      </c>
      <c r="D54" s="483">
        <v>0</v>
      </c>
      <c r="E54" s="483">
        <v>0</v>
      </c>
      <c r="F54" s="483">
        <f>SUM('5.9. sz. mell.'!F54-'5.9.b. sz. mell.'!F54)</f>
        <v>0</v>
      </c>
      <c r="G54" s="1415">
        <f t="shared" si="4"/>
        <v>0</v>
      </c>
      <c r="H54" s="483">
        <f>SUM('5.9. sz. mell.'!H54-'5.9.b. sz. mell.'!H54)</f>
        <v>0</v>
      </c>
      <c r="I54" s="1376">
        <f t="shared" si="5"/>
        <v>0</v>
      </c>
      <c r="J54" s="483">
        <f>SUM('5.9. sz. mell.'!J54-'5.9.b. sz. mell.'!J54)</f>
        <v>0</v>
      </c>
      <c r="K54" s="3334">
        <f t="shared" si="6"/>
        <v>0</v>
      </c>
      <c r="L54" s="483">
        <f>SUM('5.9. sz. mell.'!L54-'5.9.b. sz. mell.'!L54)</f>
        <v>0</v>
      </c>
      <c r="M54" s="483">
        <v>0</v>
      </c>
      <c r="P54" s="205"/>
    </row>
    <row r="55" spans="1:16" s="145" customFormat="1" ht="15" customHeight="1" thickBot="1" x14ac:dyDescent="0.25">
      <c r="A55" s="192" t="s">
        <v>31</v>
      </c>
      <c r="B55" s="160"/>
      <c r="C55" s="816" t="s">
        <v>465</v>
      </c>
      <c r="D55" s="545" t="e">
        <f>+D45+D51+#REF!</f>
        <v>#REF!</v>
      </c>
      <c r="E55" s="545" t="e">
        <f>+E45+E51+#REF!</f>
        <v>#REF!</v>
      </c>
      <c r="F55" s="545">
        <f>+F45+F51</f>
        <v>58749502</v>
      </c>
      <c r="G55" s="1437">
        <f t="shared" si="4"/>
        <v>6449150</v>
      </c>
      <c r="H55" s="545">
        <f>+H45+H51</f>
        <v>65198652</v>
      </c>
      <c r="I55" s="1401">
        <f t="shared" si="5"/>
        <v>-6084267</v>
      </c>
      <c r="J55" s="545">
        <f>+J45+J51</f>
        <v>59114385</v>
      </c>
      <c r="K55" s="3371">
        <f t="shared" si="6"/>
        <v>0</v>
      </c>
      <c r="L55" s="545">
        <f>+L45+L51</f>
        <v>59114385</v>
      </c>
      <c r="M55" s="545">
        <f>+M45+M51</f>
        <v>59114385</v>
      </c>
      <c r="P55" s="205"/>
    </row>
    <row r="56" spans="1:16" s="145" customFormat="1" ht="15" customHeight="1" thickBot="1" x14ac:dyDescent="0.25">
      <c r="A56" s="1303"/>
      <c r="B56" s="886"/>
      <c r="C56" s="886"/>
      <c r="D56" s="886"/>
      <c r="E56" s="886"/>
      <c r="F56" s="1304"/>
      <c r="G56" s="1550"/>
      <c r="H56" s="1550"/>
      <c r="I56" s="1550"/>
      <c r="J56" s="1550"/>
      <c r="K56" s="1550"/>
      <c r="L56" s="1550"/>
      <c r="M56" s="1304"/>
      <c r="P56" s="205"/>
    </row>
    <row r="57" spans="1:16" s="145" customFormat="1" ht="15" customHeight="1" thickBot="1" x14ac:dyDescent="0.25">
      <c r="A57" s="276" t="s">
        <v>324</v>
      </c>
      <c r="B57" s="277"/>
      <c r="C57" s="278"/>
      <c r="D57" s="200">
        <v>10.5</v>
      </c>
      <c r="E57" s="200">
        <v>10.5</v>
      </c>
      <c r="F57" s="835">
        <f>SUM('5.9. sz. mell.'!F57)</f>
        <v>15</v>
      </c>
      <c r="G57" s="1559">
        <f>SUM(H57-F57)</f>
        <v>0</v>
      </c>
      <c r="H57" s="835">
        <f>SUM('5.9. sz. mell.'!H57)</f>
        <v>15</v>
      </c>
      <c r="I57" s="1401">
        <f t="shared" si="5"/>
        <v>0</v>
      </c>
      <c r="J57" s="835">
        <f>SUM('5.9. sz. mell.'!J57)</f>
        <v>15</v>
      </c>
      <c r="K57" s="3382">
        <f>SUM(L57-J57)</f>
        <v>0</v>
      </c>
      <c r="L57" s="835">
        <f>SUM('5.9. sz. mell.'!L57)</f>
        <v>15</v>
      </c>
      <c r="M57" s="835">
        <f>SUM('5.9. sz. mell.'!M57)</f>
        <v>15</v>
      </c>
      <c r="P57" s="205"/>
    </row>
    <row r="58" spans="1:16" s="145" customFormat="1" ht="15" customHeight="1" thickBot="1" x14ac:dyDescent="0.25">
      <c r="A58" s="276" t="s">
        <v>325</v>
      </c>
      <c r="B58" s="277"/>
      <c r="C58" s="278"/>
      <c r="D58" s="279"/>
      <c r="E58" s="279"/>
      <c r="F58" s="836"/>
      <c r="G58" s="1560"/>
      <c r="H58" s="836"/>
      <c r="I58" s="1413"/>
      <c r="J58" s="836"/>
      <c r="K58" s="3383"/>
      <c r="L58" s="836"/>
      <c r="M58" s="836"/>
      <c r="P58" s="205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23622047244094491" top="0.19685039370078741" bottom="0.35433070866141736" header="0.51181102362204722" footer="0.15748031496062992"/>
  <pageSetup paperSize="9" scale="74" firstPageNumber="85" orientation="portrait" useFirstPageNumber="1" r:id="rId1"/>
  <headerFooter>
    <oddFooter>&amp;C&amp;11- &amp;P -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Q58"/>
  <sheetViews>
    <sheetView view="pageBreakPreview" topLeftCell="A37" zoomScaleNormal="100" zoomScaleSheetLayoutView="100" zoomScalePageLayoutView="60" workbookViewId="0">
      <selection activeCell="J46" sqref="J46:J48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83203125" style="115" customWidth="1"/>
    <col min="4" max="5" width="9.33203125" style="115" hidden="1" customWidth="1"/>
    <col min="6" max="6" width="12.5" style="115" customWidth="1"/>
    <col min="7" max="7" width="13.1640625" style="1390" hidden="1" customWidth="1"/>
    <col min="8" max="8" width="13.33203125" style="115" hidden="1" customWidth="1"/>
    <col min="9" max="9" width="12.83203125" style="1390" hidden="1" customWidth="1"/>
    <col min="10" max="10" width="13.1640625" style="115" customWidth="1"/>
    <col min="11" max="11" width="14.6640625" style="1390" customWidth="1"/>
    <col min="12" max="12" width="14.6640625" style="115" customWidth="1"/>
    <col min="13" max="13" width="13.1640625" style="115" customWidth="1"/>
    <col min="14" max="16384" width="9.33203125" style="115"/>
  </cols>
  <sheetData>
    <row r="1" spans="1:16" s="98" customFormat="1" ht="15" customHeight="1" thickBot="1" x14ac:dyDescent="0.25">
      <c r="A1" s="240"/>
      <c r="B1" s="241"/>
      <c r="C1" s="4526" t="s">
        <v>749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6" s="303" customFormat="1" ht="30" customHeight="1" thickBot="1" x14ac:dyDescent="0.25">
      <c r="A2" s="4516" t="s">
        <v>411</v>
      </c>
      <c r="B2" s="4516"/>
      <c r="C2" s="805" t="s">
        <v>488</v>
      </c>
      <c r="D2" s="4415" t="s">
        <v>282</v>
      </c>
      <c r="E2" s="818"/>
      <c r="F2" s="4415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633" t="s">
        <v>1945</v>
      </c>
    </row>
    <row r="3" spans="1:16" s="303" customFormat="1" ht="30" customHeight="1" thickBot="1" x14ac:dyDescent="0.25">
      <c r="A3" s="4506" t="s">
        <v>283</v>
      </c>
      <c r="B3" s="4506"/>
      <c r="C3" s="806" t="s">
        <v>327</v>
      </c>
      <c r="D3" s="4415"/>
      <c r="E3" s="819"/>
      <c r="F3" s="4415"/>
      <c r="G3" s="4603"/>
      <c r="H3" s="4416" t="s">
        <v>1028</v>
      </c>
      <c r="I3" s="4423" t="s">
        <v>1031</v>
      </c>
      <c r="J3" s="4496" t="s">
        <v>1028</v>
      </c>
      <c r="K3" s="4450"/>
      <c r="L3" s="4416"/>
      <c r="M3" s="4416"/>
    </row>
    <row r="4" spans="1:16" s="303" customFormat="1" ht="15" customHeight="1" thickBot="1" x14ac:dyDescent="0.25">
      <c r="A4" s="1300"/>
      <c r="B4" s="1301"/>
      <c r="C4" s="3161" t="s">
        <v>490</v>
      </c>
      <c r="D4" s="4464"/>
      <c r="E4" s="4464"/>
      <c r="F4" s="4464"/>
      <c r="G4" s="3162"/>
      <c r="H4" s="1449"/>
      <c r="I4" s="3162"/>
      <c r="J4" s="1449"/>
      <c r="K4" s="1449"/>
      <c r="L4" s="1455"/>
      <c r="M4" s="1456" t="s">
        <v>935</v>
      </c>
    </row>
    <row r="5" spans="1:16" s="145" customFormat="1" ht="37.5" customHeight="1" thickBot="1" x14ac:dyDescent="0.25">
      <c r="A5" s="4431" t="s">
        <v>285</v>
      </c>
      <c r="B5" s="4431"/>
      <c r="C5" s="807" t="s">
        <v>286</v>
      </c>
      <c r="D5" s="821" t="s">
        <v>287</v>
      </c>
      <c r="E5" s="821" t="s">
        <v>288</v>
      </c>
      <c r="F5" s="821"/>
      <c r="G5" s="2659"/>
      <c r="H5" s="821"/>
      <c r="I5" s="1399"/>
      <c r="J5" s="821"/>
      <c r="K5" s="3369"/>
      <c r="L5" s="821"/>
      <c r="M5" s="821"/>
      <c r="P5" s="204"/>
    </row>
    <row r="6" spans="1:16" s="305" customFormat="1" ht="15" customHeight="1" thickBot="1" x14ac:dyDescent="0.25">
      <c r="A6" s="134"/>
      <c r="B6" s="270"/>
      <c r="C6" s="808"/>
      <c r="D6" s="822"/>
      <c r="E6" s="822"/>
      <c r="F6" s="446"/>
      <c r="G6" s="2455"/>
      <c r="H6" s="446"/>
      <c r="I6" s="1400"/>
      <c r="J6" s="446"/>
      <c r="K6" s="3370"/>
      <c r="L6" s="446"/>
      <c r="M6" s="446"/>
    </row>
    <row r="7" spans="1:16" s="305" customFormat="1" ht="15" customHeight="1" thickBot="1" x14ac:dyDescent="0.25">
      <c r="A7" s="192"/>
      <c r="B7" s="160"/>
      <c r="C7" s="809" t="s">
        <v>230</v>
      </c>
      <c r="D7" s="545"/>
      <c r="E7" s="545"/>
      <c r="F7" s="545"/>
      <c r="G7" s="1437"/>
      <c r="H7" s="545"/>
      <c r="I7" s="1401"/>
      <c r="J7" s="545"/>
      <c r="K7" s="3371"/>
      <c r="L7" s="545"/>
      <c r="M7" s="545"/>
    </row>
    <row r="8" spans="1:16" s="141" customFormat="1" ht="15" customHeight="1" thickBot="1" x14ac:dyDescent="0.25">
      <c r="A8" s="134" t="s">
        <v>3</v>
      </c>
      <c r="B8" s="148"/>
      <c r="C8" s="810" t="s">
        <v>413</v>
      </c>
      <c r="D8" s="823">
        <f>SUM(D9:D18)</f>
        <v>4119</v>
      </c>
      <c r="E8" s="823">
        <f>SUM(E9:E18)</f>
        <v>4119</v>
      </c>
      <c r="F8" s="823">
        <f>SUM(F9:F18)</f>
        <v>1400000</v>
      </c>
      <c r="G8" s="2665"/>
      <c r="H8" s="823">
        <f>SUM(H9:H18)</f>
        <v>1400000</v>
      </c>
      <c r="I8" s="3263">
        <f>SUM(I9:I18)</f>
        <v>0</v>
      </c>
      <c r="J8" s="823">
        <f>SUM(J9:J18)</f>
        <v>1432800</v>
      </c>
      <c r="K8" s="3372">
        <f>SUM(L8-J8)</f>
        <v>0</v>
      </c>
      <c r="L8" s="823">
        <f>SUM(L9:L18)</f>
        <v>1432800</v>
      </c>
      <c r="M8" s="823">
        <f>SUM(M9:M18)</f>
        <v>1432800</v>
      </c>
    </row>
    <row r="9" spans="1:16" s="141" customFormat="1" ht="15" customHeight="1" x14ac:dyDescent="0.2">
      <c r="A9" s="149"/>
      <c r="B9" s="143" t="s">
        <v>152</v>
      </c>
      <c r="C9" s="811" t="s">
        <v>48</v>
      </c>
      <c r="D9" s="310">
        <v>0</v>
      </c>
      <c r="E9" s="310">
        <v>0</v>
      </c>
      <c r="F9" s="310">
        <v>0</v>
      </c>
      <c r="G9" s="1533"/>
      <c r="H9" s="310">
        <v>0</v>
      </c>
      <c r="I9" s="1403"/>
      <c r="J9" s="310"/>
      <c r="K9" s="3373"/>
      <c r="L9" s="310"/>
      <c r="M9" s="310">
        <v>0</v>
      </c>
    </row>
    <row r="10" spans="1:16" s="141" customFormat="1" ht="15" customHeight="1" x14ac:dyDescent="0.2">
      <c r="A10" s="142"/>
      <c r="B10" s="143" t="s">
        <v>154</v>
      </c>
      <c r="C10" s="812" t="s">
        <v>50</v>
      </c>
      <c r="D10" s="483">
        <v>4119</v>
      </c>
      <c r="E10" s="483">
        <v>4119</v>
      </c>
      <c r="F10" s="483"/>
      <c r="G10" s="1415"/>
      <c r="H10" s="483"/>
      <c r="I10" s="1404"/>
      <c r="J10" s="483"/>
      <c r="K10" s="3351"/>
      <c r="L10" s="483"/>
      <c r="M10" s="483"/>
    </row>
    <row r="11" spans="1:16" s="141" customFormat="1" ht="15" customHeight="1" x14ac:dyDescent="0.2">
      <c r="A11" s="142"/>
      <c r="B11" s="143" t="s">
        <v>156</v>
      </c>
      <c r="C11" s="812" t="s">
        <v>414</v>
      </c>
      <c r="D11" s="483">
        <v>0</v>
      </c>
      <c r="E11" s="483">
        <v>0</v>
      </c>
      <c r="F11" s="483">
        <v>0</v>
      </c>
      <c r="G11" s="1415"/>
      <c r="H11" s="483">
        <v>0</v>
      </c>
      <c r="I11" s="1404"/>
      <c r="J11" s="483"/>
      <c r="K11" s="3351"/>
      <c r="L11" s="483"/>
      <c r="M11" s="483">
        <v>0</v>
      </c>
    </row>
    <row r="12" spans="1:16" s="141" customFormat="1" ht="15" customHeight="1" x14ac:dyDescent="0.2">
      <c r="A12" s="142"/>
      <c r="B12" s="143" t="s">
        <v>158</v>
      </c>
      <c r="C12" s="812" t="s">
        <v>415</v>
      </c>
      <c r="D12" s="483">
        <v>0</v>
      </c>
      <c r="E12" s="483">
        <v>0</v>
      </c>
      <c r="F12" s="483">
        <f>SUM('5.9.d.sz.mell.'!AI7)</f>
        <v>1400000</v>
      </c>
      <c r="G12" s="483">
        <f>SUM('5.9.d.sz.mell.'!AJ7)</f>
        <v>0</v>
      </c>
      <c r="H12" s="483">
        <f>SUM('5.9.d.sz.mell.'!AK7)</f>
        <v>1400000</v>
      </c>
      <c r="I12" s="1404">
        <f>SUM('5.9.d.sz.mell.'!AL7)</f>
        <v>0</v>
      </c>
      <c r="J12" s="483">
        <v>1432800</v>
      </c>
      <c r="K12" s="3351">
        <f>SUM(L12-J12)</f>
        <v>0</v>
      </c>
      <c r="L12" s="483">
        <f>SUM('5.9.d.sz.mell.'!AO7)</f>
        <v>1432800</v>
      </c>
      <c r="M12" s="831">
        <f>SUM('5.9.d.sz.mell.'!AP7)</f>
        <v>1432800</v>
      </c>
    </row>
    <row r="13" spans="1:16" s="141" customFormat="1" ht="15" customHeight="1" x14ac:dyDescent="0.2">
      <c r="A13" s="142"/>
      <c r="B13" s="143" t="s">
        <v>375</v>
      </c>
      <c r="C13" s="813" t="s">
        <v>416</v>
      </c>
      <c r="D13" s="483">
        <v>0</v>
      </c>
      <c r="E13" s="483">
        <v>0</v>
      </c>
      <c r="F13" s="483">
        <v>0</v>
      </c>
      <c r="G13" s="1415"/>
      <c r="H13" s="483">
        <v>0</v>
      </c>
      <c r="I13" s="1404"/>
      <c r="J13" s="483"/>
      <c r="K13" s="3351"/>
      <c r="L13" s="483"/>
      <c r="M13" s="483">
        <v>0</v>
      </c>
    </row>
    <row r="14" spans="1:16" s="141" customFormat="1" ht="15" customHeight="1" x14ac:dyDescent="0.2">
      <c r="A14" s="146"/>
      <c r="B14" s="143" t="s">
        <v>162</v>
      </c>
      <c r="C14" s="812" t="s">
        <v>340</v>
      </c>
      <c r="D14" s="824">
        <v>0</v>
      </c>
      <c r="E14" s="824">
        <v>0</v>
      </c>
      <c r="F14" s="824">
        <v>0</v>
      </c>
      <c r="G14" s="1519"/>
      <c r="H14" s="824">
        <v>0</v>
      </c>
      <c r="I14" s="1405"/>
      <c r="J14" s="824"/>
      <c r="K14" s="3374"/>
      <c r="L14" s="824"/>
      <c r="M14" s="824">
        <v>0</v>
      </c>
    </row>
    <row r="15" spans="1:16" s="145" customFormat="1" ht="15" customHeight="1" x14ac:dyDescent="0.2">
      <c r="A15" s="142"/>
      <c r="B15" s="143" t="s">
        <v>164</v>
      </c>
      <c r="C15" s="812" t="s">
        <v>60</v>
      </c>
      <c r="D15" s="483">
        <v>0</v>
      </c>
      <c r="E15" s="483">
        <v>0</v>
      </c>
      <c r="F15" s="483"/>
      <c r="G15" s="1415"/>
      <c r="H15" s="483"/>
      <c r="I15" s="1404"/>
      <c r="J15" s="483"/>
      <c r="K15" s="3351"/>
      <c r="L15" s="483"/>
      <c r="M15" s="483"/>
    </row>
    <row r="16" spans="1:16" s="145" customFormat="1" ht="15" customHeight="1" x14ac:dyDescent="0.2">
      <c r="A16" s="151"/>
      <c r="B16" s="152" t="s">
        <v>166</v>
      </c>
      <c r="C16" s="812" t="s">
        <v>417</v>
      </c>
      <c r="D16" s="825"/>
      <c r="E16" s="825"/>
      <c r="F16" s="825"/>
      <c r="G16" s="1518"/>
      <c r="H16" s="825"/>
      <c r="I16" s="1406"/>
      <c r="J16" s="825"/>
      <c r="K16" s="3349"/>
      <c r="L16" s="825"/>
      <c r="M16" s="825"/>
    </row>
    <row r="17" spans="1:13" s="145" customFormat="1" ht="15" customHeight="1" x14ac:dyDescent="0.2">
      <c r="A17" s="151"/>
      <c r="B17" s="152" t="s">
        <v>168</v>
      </c>
      <c r="C17" s="812" t="s">
        <v>64</v>
      </c>
      <c r="D17" s="825"/>
      <c r="E17" s="825"/>
      <c r="F17" s="825"/>
      <c r="G17" s="1518"/>
      <c r="H17" s="825"/>
      <c r="I17" s="1406"/>
      <c r="J17" s="825"/>
      <c r="K17" s="3349"/>
      <c r="L17" s="825"/>
      <c r="M17" s="825"/>
    </row>
    <row r="18" spans="1:13" s="145" customFormat="1" ht="15" customHeight="1" thickBot="1" x14ac:dyDescent="0.25">
      <c r="A18" s="151"/>
      <c r="B18" s="152" t="s">
        <v>170</v>
      </c>
      <c r="C18" s="813" t="s">
        <v>418</v>
      </c>
      <c r="D18" s="825">
        <v>0</v>
      </c>
      <c r="E18" s="825">
        <v>0</v>
      </c>
      <c r="F18" s="825">
        <v>0</v>
      </c>
      <c r="G18" s="1518"/>
      <c r="H18" s="825">
        <v>0</v>
      </c>
      <c r="I18" s="1406"/>
      <c r="J18" s="825"/>
      <c r="K18" s="3349"/>
      <c r="L18" s="825"/>
      <c r="M18" s="825">
        <v>0</v>
      </c>
    </row>
    <row r="19" spans="1:13" s="141" customFormat="1" ht="30.75" customHeight="1" thickBot="1" x14ac:dyDescent="0.25">
      <c r="A19" s="134" t="s">
        <v>17</v>
      </c>
      <c r="B19" s="148"/>
      <c r="C19" s="810" t="s">
        <v>419</v>
      </c>
      <c r="D19" s="826">
        <f>SUM(D20:D25)</f>
        <v>15092</v>
      </c>
      <c r="E19" s="826">
        <f>SUM(E20:E25)</f>
        <v>15750</v>
      </c>
      <c r="F19" s="826">
        <f>SUM(F20+F24+F25)</f>
        <v>0</v>
      </c>
      <c r="G19" s="1382"/>
      <c r="H19" s="826">
        <f>SUM(H20+H24+H25)</f>
        <v>0</v>
      </c>
      <c r="I19" s="1407"/>
      <c r="J19" s="826">
        <f>SUM(J20+J24+J25)</f>
        <v>0</v>
      </c>
      <c r="K19" s="3375"/>
      <c r="L19" s="826">
        <f>SUM(L20+L24+L25)</f>
        <v>0</v>
      </c>
      <c r="M19" s="826">
        <f>SUM(M20+M24+M25)</f>
        <v>0</v>
      </c>
    </row>
    <row r="20" spans="1:13" s="145" customFormat="1" ht="31.5" customHeight="1" x14ac:dyDescent="0.2">
      <c r="A20" s="142"/>
      <c r="B20" s="143" t="s">
        <v>5</v>
      </c>
      <c r="C20" s="814" t="s">
        <v>420</v>
      </c>
      <c r="D20" s="483">
        <v>12768</v>
      </c>
      <c r="E20" s="483">
        <v>13426</v>
      </c>
      <c r="F20" s="483"/>
      <c r="G20" s="1415"/>
      <c r="H20" s="483"/>
      <c r="I20" s="1404"/>
      <c r="J20" s="483"/>
      <c r="K20" s="3351"/>
      <c r="L20" s="483"/>
      <c r="M20" s="483"/>
    </row>
    <row r="21" spans="1:13" s="145" customFormat="1" ht="15" customHeight="1" x14ac:dyDescent="0.2">
      <c r="A21" s="142"/>
      <c r="B21" s="143" t="s">
        <v>421</v>
      </c>
      <c r="C21" s="812" t="s">
        <v>422</v>
      </c>
      <c r="D21" s="483"/>
      <c r="E21" s="483"/>
      <c r="F21" s="483"/>
      <c r="G21" s="1415"/>
      <c r="H21" s="483"/>
      <c r="I21" s="1404"/>
      <c r="J21" s="483"/>
      <c r="K21" s="3351"/>
      <c r="L21" s="483"/>
      <c r="M21" s="483"/>
    </row>
    <row r="22" spans="1:13" s="145" customFormat="1" ht="15" customHeight="1" x14ac:dyDescent="0.2">
      <c r="A22" s="142"/>
      <c r="B22" s="143" t="s">
        <v>360</v>
      </c>
      <c r="C22" s="812" t="s">
        <v>1429</v>
      </c>
      <c r="D22" s="483">
        <v>0</v>
      </c>
      <c r="E22" s="483">
        <v>0</v>
      </c>
      <c r="F22" s="483"/>
      <c r="G22" s="1415"/>
      <c r="H22" s="483"/>
      <c r="I22" s="1404"/>
      <c r="J22" s="483"/>
      <c r="K22" s="3351"/>
      <c r="L22" s="483"/>
      <c r="M22" s="483"/>
    </row>
    <row r="23" spans="1:13" s="145" customFormat="1" ht="15" customHeight="1" x14ac:dyDescent="0.2">
      <c r="A23" s="142"/>
      <c r="B23" s="143" t="s">
        <v>357</v>
      </c>
      <c r="C23" s="812" t="s">
        <v>424</v>
      </c>
      <c r="D23" s="483">
        <v>0</v>
      </c>
      <c r="E23" s="483">
        <v>0</v>
      </c>
      <c r="F23" s="483">
        <v>0</v>
      </c>
      <c r="G23" s="1415"/>
      <c r="H23" s="483">
        <v>0</v>
      </c>
      <c r="I23" s="1404"/>
      <c r="J23" s="483"/>
      <c r="K23" s="3351"/>
      <c r="L23" s="483"/>
      <c r="M23" s="483">
        <v>0</v>
      </c>
    </row>
    <row r="24" spans="1:13" s="145" customFormat="1" ht="15" customHeight="1" x14ac:dyDescent="0.2">
      <c r="A24" s="142"/>
      <c r="B24" s="143" t="s">
        <v>7</v>
      </c>
      <c r="C24" s="812" t="s">
        <v>6</v>
      </c>
      <c r="D24" s="483">
        <v>2324</v>
      </c>
      <c r="E24" s="483">
        <v>2324</v>
      </c>
      <c r="F24" s="483"/>
      <c r="G24" s="1415"/>
      <c r="H24" s="483"/>
      <c r="I24" s="1404"/>
      <c r="J24" s="483"/>
      <c r="K24" s="3351"/>
      <c r="L24" s="483"/>
      <c r="M24" s="483"/>
    </row>
    <row r="25" spans="1:13" s="145" customFormat="1" ht="15" customHeight="1" thickBot="1" x14ac:dyDescent="0.25">
      <c r="A25" s="142"/>
      <c r="B25" s="143" t="s">
        <v>9</v>
      </c>
      <c r="C25" s="812" t="s">
        <v>425</v>
      </c>
      <c r="D25" s="483">
        <v>0</v>
      </c>
      <c r="E25" s="483">
        <v>0</v>
      </c>
      <c r="F25" s="483">
        <v>0</v>
      </c>
      <c r="G25" s="1415"/>
      <c r="H25" s="483">
        <v>0</v>
      </c>
      <c r="I25" s="1404"/>
      <c r="J25" s="483"/>
      <c r="K25" s="3351"/>
      <c r="L25" s="483"/>
      <c r="M25" s="483">
        <v>0</v>
      </c>
    </row>
    <row r="26" spans="1:13" s="145" customFormat="1" ht="15" customHeight="1" thickBot="1" x14ac:dyDescent="0.25">
      <c r="A26" s="134" t="s">
        <v>31</v>
      </c>
      <c r="B26" s="170"/>
      <c r="C26" s="810" t="s">
        <v>426</v>
      </c>
      <c r="D26" s="827">
        <v>0</v>
      </c>
      <c r="E26" s="827">
        <v>0</v>
      </c>
      <c r="F26" s="827">
        <v>0</v>
      </c>
      <c r="G26" s="1381"/>
      <c r="H26" s="827">
        <v>0</v>
      </c>
      <c r="I26" s="1408"/>
      <c r="J26" s="827"/>
      <c r="K26" s="3376"/>
      <c r="L26" s="827"/>
      <c r="M26" s="827">
        <v>0</v>
      </c>
    </row>
    <row r="27" spans="1:13" s="145" customFormat="1" ht="15" customHeight="1" thickBot="1" x14ac:dyDescent="0.25">
      <c r="A27" s="134"/>
      <c r="B27" s="143" t="s">
        <v>19</v>
      </c>
      <c r="C27" s="812" t="s">
        <v>427</v>
      </c>
      <c r="D27" s="827"/>
      <c r="E27" s="827"/>
      <c r="F27" s="827"/>
      <c r="G27" s="1381"/>
      <c r="H27" s="827"/>
      <c r="I27" s="1408"/>
      <c r="J27" s="827"/>
      <c r="K27" s="3376"/>
      <c r="L27" s="827"/>
      <c r="M27" s="827"/>
    </row>
    <row r="28" spans="1:13" s="145" customFormat="1" ht="15" customHeight="1" thickBot="1" x14ac:dyDescent="0.25">
      <c r="A28" s="134" t="s">
        <v>45</v>
      </c>
      <c r="B28" s="148"/>
      <c r="C28" s="815" t="s">
        <v>428</v>
      </c>
      <c r="D28" s="827"/>
      <c r="E28" s="827"/>
      <c r="F28" s="827"/>
      <c r="G28" s="1381"/>
      <c r="H28" s="827"/>
      <c r="I28" s="1408"/>
      <c r="J28" s="827"/>
      <c r="K28" s="3376"/>
      <c r="L28" s="827"/>
      <c r="M28" s="827"/>
    </row>
    <row r="29" spans="1:13" s="145" customFormat="1" ht="15" customHeight="1" thickBot="1" x14ac:dyDescent="0.25">
      <c r="A29" s="149"/>
      <c r="B29" s="253" t="s">
        <v>33</v>
      </c>
      <c r="C29" s="812" t="s">
        <v>359</v>
      </c>
      <c r="D29" s="827"/>
      <c r="E29" s="827"/>
      <c r="F29" s="802"/>
      <c r="G29" s="1546"/>
      <c r="H29" s="802"/>
      <c r="I29" s="1391"/>
      <c r="J29" s="802"/>
      <c r="K29" s="3377"/>
      <c r="L29" s="802"/>
      <c r="M29" s="802"/>
    </row>
    <row r="30" spans="1:13" s="145" customFormat="1" ht="15" customHeight="1" thickBot="1" x14ac:dyDescent="0.25">
      <c r="A30" s="146"/>
      <c r="B30" s="253" t="s">
        <v>39</v>
      </c>
      <c r="C30" s="812" t="s">
        <v>72</v>
      </c>
      <c r="D30" s="827"/>
      <c r="E30" s="827"/>
      <c r="F30" s="803"/>
      <c r="G30" s="2666"/>
      <c r="H30" s="803"/>
      <c r="I30" s="1392"/>
      <c r="J30" s="803"/>
      <c r="K30" s="3378"/>
      <c r="L30" s="803"/>
      <c r="M30" s="803"/>
    </row>
    <row r="31" spans="1:13" s="145" customFormat="1" ht="15" customHeight="1" thickBot="1" x14ac:dyDescent="0.25">
      <c r="A31" s="178"/>
      <c r="B31" s="253" t="s">
        <v>41</v>
      </c>
      <c r="C31" s="812" t="s">
        <v>74</v>
      </c>
      <c r="D31" s="827"/>
      <c r="E31" s="827"/>
      <c r="F31" s="804"/>
      <c r="G31" s="1433"/>
      <c r="H31" s="804"/>
      <c r="I31" s="1409"/>
      <c r="J31" s="804"/>
      <c r="K31" s="3379"/>
      <c r="L31" s="804"/>
      <c r="M31" s="804"/>
    </row>
    <row r="32" spans="1:13" s="141" customFormat="1" ht="31.5" customHeight="1" thickBot="1" x14ac:dyDescent="0.25">
      <c r="A32" s="134" t="s">
        <v>67</v>
      </c>
      <c r="B32" s="254"/>
      <c r="C32" s="815" t="s">
        <v>429</v>
      </c>
      <c r="D32" s="827">
        <v>0</v>
      </c>
      <c r="E32" s="827">
        <v>0</v>
      </c>
      <c r="F32" s="827">
        <v>0</v>
      </c>
      <c r="G32" s="1381"/>
      <c r="H32" s="827">
        <v>0</v>
      </c>
      <c r="I32" s="1408"/>
      <c r="J32" s="827"/>
      <c r="K32" s="3376"/>
      <c r="L32" s="827"/>
      <c r="M32" s="827">
        <v>0</v>
      </c>
    </row>
    <row r="33" spans="1:17" s="141" customFormat="1" ht="30" customHeight="1" thickBot="1" x14ac:dyDescent="0.25">
      <c r="A33" s="146"/>
      <c r="B33" s="255" t="s">
        <v>47</v>
      </c>
      <c r="C33" s="814" t="s">
        <v>430</v>
      </c>
      <c r="D33" s="827"/>
      <c r="E33" s="827"/>
      <c r="F33" s="827"/>
      <c r="G33" s="1381"/>
      <c r="H33" s="827"/>
      <c r="I33" s="1408"/>
      <c r="J33" s="827"/>
      <c r="K33" s="3376"/>
      <c r="L33" s="827"/>
      <c r="M33" s="827"/>
    </row>
    <row r="34" spans="1:17" s="141" customFormat="1" ht="15" customHeight="1" thickBot="1" x14ac:dyDescent="0.3">
      <c r="A34" s="258" t="s">
        <v>79</v>
      </c>
      <c r="B34" s="256"/>
      <c r="C34" s="810" t="s">
        <v>431</v>
      </c>
      <c r="D34" s="827"/>
      <c r="E34" s="827"/>
      <c r="F34" s="827"/>
      <c r="G34" s="1381"/>
      <c r="H34" s="827"/>
      <c r="I34" s="1408"/>
      <c r="J34" s="827"/>
      <c r="K34" s="3376"/>
      <c r="L34" s="827"/>
      <c r="M34" s="827"/>
    </row>
    <row r="35" spans="1:17" s="141" customFormat="1" ht="30" customHeight="1" thickBot="1" x14ac:dyDescent="0.25">
      <c r="A35" s="258"/>
      <c r="B35" s="257" t="s">
        <v>69</v>
      </c>
      <c r="C35" s="812" t="s">
        <v>432</v>
      </c>
      <c r="D35" s="827"/>
      <c r="E35" s="827"/>
      <c r="F35" s="827"/>
      <c r="G35" s="1381"/>
      <c r="H35" s="827"/>
      <c r="I35" s="1408"/>
      <c r="J35" s="827"/>
      <c r="K35" s="3376"/>
      <c r="L35" s="827"/>
      <c r="M35" s="827"/>
    </row>
    <row r="36" spans="1:17" s="141" customFormat="1" ht="15" customHeight="1" thickBot="1" x14ac:dyDescent="0.3">
      <c r="A36" s="258" t="s">
        <v>89</v>
      </c>
      <c r="B36" s="256"/>
      <c r="C36" s="815" t="s">
        <v>433</v>
      </c>
      <c r="D36" s="826">
        <f>+D37+D38</f>
        <v>0</v>
      </c>
      <c r="E36" s="826">
        <f>+E37+E38</f>
        <v>16</v>
      </c>
      <c r="F36" s="826">
        <f>SUM(F37:F39)</f>
        <v>2481050</v>
      </c>
      <c r="G36" s="1382"/>
      <c r="H36" s="826">
        <f>SUM(H37:H39)</f>
        <v>0</v>
      </c>
      <c r="I36" s="1407"/>
      <c r="J36" s="826">
        <f>SUM(J37:J39)</f>
        <v>2173817</v>
      </c>
      <c r="K36" s="3375">
        <f>SUM(K37:K39)</f>
        <v>0</v>
      </c>
      <c r="L36" s="826">
        <f>SUM(L37:L39)</f>
        <v>2173817</v>
      </c>
      <c r="M36" s="826">
        <f>SUM(M37:M39)</f>
        <v>2173817</v>
      </c>
    </row>
    <row r="37" spans="1:17" s="141" customFormat="1" ht="15" customHeight="1" x14ac:dyDescent="0.2">
      <c r="A37" s="149"/>
      <c r="B37" s="255" t="s">
        <v>81</v>
      </c>
      <c r="C37" s="833" t="s">
        <v>434</v>
      </c>
      <c r="D37" s="828">
        <v>0</v>
      </c>
      <c r="E37" s="828">
        <v>16</v>
      </c>
      <c r="F37" s="310"/>
      <c r="G37" s="1533"/>
      <c r="H37" s="310"/>
      <c r="I37" s="1403"/>
      <c r="J37" s="310"/>
      <c r="K37" s="3373"/>
      <c r="L37" s="310"/>
      <c r="M37" s="310"/>
    </row>
    <row r="38" spans="1:17" s="141" customFormat="1" ht="15" customHeight="1" thickBot="1" x14ac:dyDescent="0.25">
      <c r="A38" s="142"/>
      <c r="B38" s="253" t="s">
        <v>83</v>
      </c>
      <c r="C38" s="834" t="s">
        <v>435</v>
      </c>
      <c r="D38" s="829">
        <v>0</v>
      </c>
      <c r="E38" s="829">
        <v>0</v>
      </c>
      <c r="F38" s="483">
        <v>0</v>
      </c>
      <c r="G38" s="1415"/>
      <c r="H38" s="483"/>
      <c r="I38" s="1404"/>
      <c r="J38" s="483"/>
      <c r="K38" s="3351"/>
      <c r="L38" s="483"/>
      <c r="M38" s="483"/>
    </row>
    <row r="39" spans="1:17" s="145" customFormat="1" ht="15" customHeight="1" thickBot="1" x14ac:dyDescent="0.25">
      <c r="A39" s="142"/>
      <c r="B39" s="253" t="s">
        <v>85</v>
      </c>
      <c r="C39" s="834" t="s">
        <v>1433</v>
      </c>
      <c r="D39" s="827">
        <v>26133</v>
      </c>
      <c r="E39" s="827">
        <v>26791</v>
      </c>
      <c r="F39" s="832">
        <f>SUM(F40:F41)</f>
        <v>2481050</v>
      </c>
      <c r="G39" s="832">
        <f>SUM(G40:G41)</f>
        <v>0</v>
      </c>
      <c r="H39" s="832">
        <f>SUM(H40:H41)</f>
        <v>0</v>
      </c>
      <c r="I39" s="1425"/>
      <c r="J39" s="832">
        <f>SUM(J40:J41)</f>
        <v>2173817</v>
      </c>
      <c r="K39" s="3363">
        <f>SUM(L39-J39)</f>
        <v>0</v>
      </c>
      <c r="L39" s="832">
        <f>SUM(L40:L41)</f>
        <v>2173817</v>
      </c>
      <c r="M39" s="831">
        <f>SUM(M40:M41)</f>
        <v>2173817</v>
      </c>
    </row>
    <row r="40" spans="1:17" s="145" customFormat="1" ht="15" customHeight="1" thickBot="1" x14ac:dyDescent="0.25">
      <c r="A40" s="142"/>
      <c r="B40" s="2685" t="s">
        <v>437</v>
      </c>
      <c r="C40" s="2723" t="s">
        <v>891</v>
      </c>
      <c r="D40" s="2724"/>
      <c r="E40" s="2724"/>
      <c r="F40" s="1297">
        <f>SUM('5.9.d.sz.mell.'!AI9)</f>
        <v>0</v>
      </c>
      <c r="G40" s="1297">
        <f>SUM('5.9.d.sz.mell.'!AJ9)</f>
        <v>0</v>
      </c>
      <c r="H40" s="1297"/>
      <c r="I40" s="1404"/>
      <c r="J40" s="1297">
        <v>1497776</v>
      </c>
      <c r="K40" s="3390">
        <f>SUM('5.9.d.sz.mell.'!AN9)</f>
        <v>0</v>
      </c>
      <c r="L40" s="1297">
        <f>SUM('5.9.d.sz.mell.'!AO9)</f>
        <v>1497776</v>
      </c>
      <c r="M40" s="1297">
        <f>SUM('5.9.d.sz.mell.'!AP9)</f>
        <v>1497776</v>
      </c>
    </row>
    <row r="41" spans="1:17" s="145" customFormat="1" ht="15" customHeight="1" thickBot="1" x14ac:dyDescent="0.25">
      <c r="A41" s="178"/>
      <c r="B41" s="2698" t="s">
        <v>439</v>
      </c>
      <c r="C41" s="2725" t="s">
        <v>532</v>
      </c>
      <c r="D41" s="2724"/>
      <c r="E41" s="2724"/>
      <c r="F41" s="1297">
        <f>SUM('5.9.d.sz.mell.'!AI10)</f>
        <v>2481050</v>
      </c>
      <c r="G41" s="1297">
        <f>SUM('5.9.d.sz.mell.'!AJ10)</f>
        <v>0</v>
      </c>
      <c r="H41" s="1297"/>
      <c r="I41" s="1435"/>
      <c r="J41" s="1297">
        <v>676041</v>
      </c>
      <c r="K41" s="3390">
        <f>SUM('5.9.d.sz.mell.'!AN10)</f>
        <v>0</v>
      </c>
      <c r="L41" s="1297">
        <f>SUM('5.9.d.sz.mell.'!AO10)</f>
        <v>676041</v>
      </c>
      <c r="M41" s="1297">
        <f>SUM('5.9.d.sz.mell.'!AP10)</f>
        <v>676041</v>
      </c>
    </row>
    <row r="42" spans="1:17" s="145" customFormat="1" ht="15" customHeight="1" thickBot="1" x14ac:dyDescent="0.25">
      <c r="A42" s="192" t="s">
        <v>99</v>
      </c>
      <c r="B42" s="160"/>
      <c r="C42" s="816" t="s">
        <v>441</v>
      </c>
      <c r="D42" s="545">
        <f>SUM(D8,D19,D26,D32,D36,D39)</f>
        <v>45344</v>
      </c>
      <c r="E42" s="545">
        <f>SUM(E8,E19,E26,E32,E36,E39)</f>
        <v>46676</v>
      </c>
      <c r="F42" s="545">
        <f>SUM(F8,F19,F26,F32,F36)</f>
        <v>3881050</v>
      </c>
      <c r="G42" s="1437"/>
      <c r="H42" s="545"/>
      <c r="I42" s="1401"/>
      <c r="J42" s="545">
        <f>SUM(J8,J19,J26,J32,J36)</f>
        <v>3606617</v>
      </c>
      <c r="K42" s="3371">
        <f>SUM(L42-J42)</f>
        <v>0</v>
      </c>
      <c r="L42" s="545">
        <f>SUM(L8,L19,L26,L32,L36)</f>
        <v>3606617</v>
      </c>
      <c r="M42" s="545">
        <f>SUM(M8,M19,M26,M32,M36)</f>
        <v>3606617</v>
      </c>
      <c r="O42" s="205">
        <f>SUM(F42-F55)</f>
        <v>0</v>
      </c>
      <c r="P42" s="205">
        <f>SUM(H42-H55)</f>
        <v>0</v>
      </c>
      <c r="Q42" s="205">
        <f>SUM(M42-M55)</f>
        <v>0</v>
      </c>
    </row>
    <row r="43" spans="1:17" s="145" customFormat="1" ht="15" customHeight="1" thickBot="1" x14ac:dyDescent="0.25">
      <c r="A43" s="2098"/>
      <c r="B43" s="266"/>
      <c r="C43" s="275"/>
      <c r="D43" s="830"/>
      <c r="E43" s="830"/>
      <c r="F43" s="830"/>
      <c r="G43" s="1437"/>
      <c r="H43" s="1457"/>
      <c r="I43" s="1437"/>
      <c r="J43" s="1457"/>
      <c r="K43" s="3385"/>
      <c r="L43" s="830"/>
      <c r="M43" s="830"/>
    </row>
    <row r="44" spans="1:17" s="305" customFormat="1" ht="15" customHeight="1" thickBot="1" x14ac:dyDescent="0.25">
      <c r="A44" s="192"/>
      <c r="B44" s="160"/>
      <c r="C44" s="809" t="s">
        <v>231</v>
      </c>
      <c r="D44" s="545"/>
      <c r="E44" s="545"/>
      <c r="F44" s="545"/>
      <c r="G44" s="1437"/>
      <c r="H44" s="545"/>
      <c r="I44" s="1401"/>
      <c r="J44" s="545"/>
      <c r="K44" s="3371"/>
      <c r="L44" s="545"/>
      <c r="M44" s="545"/>
    </row>
    <row r="45" spans="1:17" s="141" customFormat="1" ht="15" customHeight="1" thickBot="1" x14ac:dyDescent="0.25">
      <c r="A45" s="134" t="s">
        <v>3</v>
      </c>
      <c r="B45" s="170"/>
      <c r="C45" s="817" t="s">
        <v>442</v>
      </c>
      <c r="D45" s="826">
        <f>SUM(D46:D50)</f>
        <v>45344</v>
      </c>
      <c r="E45" s="826">
        <f>SUM(E46:E50)</f>
        <v>46190</v>
      </c>
      <c r="F45" s="826">
        <f>SUM(F46:F50)</f>
        <v>3881050</v>
      </c>
      <c r="G45" s="1382"/>
      <c r="H45" s="826">
        <f>SUM(H46:H50)</f>
        <v>0</v>
      </c>
      <c r="I45" s="1407"/>
      <c r="J45" s="826">
        <f>SUM(J46:J50)</f>
        <v>3606617</v>
      </c>
      <c r="K45" s="3375">
        <f>SUM(L45-J45)</f>
        <v>0</v>
      </c>
      <c r="L45" s="826">
        <f>SUM(L46:L50)</f>
        <v>3606617</v>
      </c>
      <c r="M45" s="826">
        <f>SUM(M46:M50)</f>
        <v>3606617</v>
      </c>
    </row>
    <row r="46" spans="1:17" s="145" customFormat="1" ht="15" customHeight="1" x14ac:dyDescent="0.2">
      <c r="A46" s="173"/>
      <c r="B46" s="174" t="s">
        <v>152</v>
      </c>
      <c r="C46" s="814" t="s">
        <v>153</v>
      </c>
      <c r="D46" s="831">
        <v>17907</v>
      </c>
      <c r="E46" s="831">
        <v>18593</v>
      </c>
      <c r="F46" s="831">
        <f>SUM('5.9.d.sz.mell.'!AI16)</f>
        <v>1511000</v>
      </c>
      <c r="G46" s="1432"/>
      <c r="H46" s="831"/>
      <c r="I46" s="1411"/>
      <c r="J46" s="831">
        <v>1582794</v>
      </c>
      <c r="K46" s="3363">
        <f>SUM('5.9.d.sz.mell.'!AN16)</f>
        <v>0</v>
      </c>
      <c r="L46" s="831">
        <f>SUM('5.9.d.sz.mell.'!AO16)</f>
        <v>1582794</v>
      </c>
      <c r="M46" s="831">
        <f>SUM('5.9.d.sz.mell.'!AP16)</f>
        <v>1582794</v>
      </c>
    </row>
    <row r="47" spans="1:17" s="145" customFormat="1" ht="15" customHeight="1" x14ac:dyDescent="0.2">
      <c r="A47" s="142"/>
      <c r="B47" s="176" t="s">
        <v>154</v>
      </c>
      <c r="C47" s="812" t="s">
        <v>155</v>
      </c>
      <c r="D47" s="483">
        <v>4749</v>
      </c>
      <c r="E47" s="483">
        <v>4934</v>
      </c>
      <c r="F47" s="831">
        <f>SUM('5.9.d.sz.mell.'!AI17)</f>
        <v>192000</v>
      </c>
      <c r="G47" s="1415"/>
      <c r="H47" s="831"/>
      <c r="I47" s="1411"/>
      <c r="J47" s="831">
        <v>177243</v>
      </c>
      <c r="K47" s="3363">
        <f>SUM('5.9.d.sz.mell.'!AN17)</f>
        <v>0</v>
      </c>
      <c r="L47" s="831">
        <f>SUM('5.9.d.sz.mell.'!AO17)</f>
        <v>177243</v>
      </c>
      <c r="M47" s="831">
        <f>SUM('5.9.d.sz.mell.'!AP17)</f>
        <v>177243</v>
      </c>
    </row>
    <row r="48" spans="1:17" s="145" customFormat="1" ht="15" customHeight="1" x14ac:dyDescent="0.2">
      <c r="A48" s="142"/>
      <c r="B48" s="176" t="s">
        <v>156</v>
      </c>
      <c r="C48" s="812" t="s">
        <v>157</v>
      </c>
      <c r="D48" s="483">
        <v>16849</v>
      </c>
      <c r="E48" s="483">
        <v>16824</v>
      </c>
      <c r="F48" s="831">
        <f>SUM('5.9.d.sz.mell.'!AI18)</f>
        <v>2178050</v>
      </c>
      <c r="G48" s="1415"/>
      <c r="H48" s="831"/>
      <c r="I48" s="1411"/>
      <c r="J48" s="831">
        <v>1846580</v>
      </c>
      <c r="K48" s="3363">
        <f>SUM('5.9.d.sz.mell.'!AN18)</f>
        <v>0</v>
      </c>
      <c r="L48" s="831">
        <f>SUM('5.9.d.sz.mell.'!AO18)</f>
        <v>1846580</v>
      </c>
      <c r="M48" s="831">
        <f>SUM('5.9.d.sz.mell.'!AP18)</f>
        <v>1846580</v>
      </c>
    </row>
    <row r="49" spans="1:13" s="145" customFormat="1" ht="15" customHeight="1" x14ac:dyDescent="0.2">
      <c r="A49" s="142"/>
      <c r="B49" s="176" t="s">
        <v>158</v>
      </c>
      <c r="C49" s="812" t="s">
        <v>159</v>
      </c>
      <c r="D49" s="483"/>
      <c r="E49" s="483"/>
      <c r="F49" s="483"/>
      <c r="G49" s="1415"/>
      <c r="H49" s="483"/>
      <c r="I49" s="1404"/>
      <c r="J49" s="483"/>
      <c r="K49" s="3351"/>
      <c r="L49" s="483"/>
      <c r="M49" s="831"/>
    </row>
    <row r="50" spans="1:13" s="145" customFormat="1" ht="15" customHeight="1" thickBot="1" x14ac:dyDescent="0.25">
      <c r="A50" s="142"/>
      <c r="B50" s="176" t="s">
        <v>160</v>
      </c>
      <c r="C50" s="812" t="s">
        <v>161</v>
      </c>
      <c r="D50" s="483">
        <v>5839</v>
      </c>
      <c r="E50" s="483">
        <v>5839</v>
      </c>
      <c r="F50" s="483"/>
      <c r="G50" s="1415"/>
      <c r="H50" s="483"/>
      <c r="I50" s="1404"/>
      <c r="J50" s="483"/>
      <c r="K50" s="3351"/>
      <c r="L50" s="483"/>
      <c r="M50" s="483"/>
    </row>
    <row r="51" spans="1:13" s="145" customFormat="1" ht="15" customHeight="1" thickBot="1" x14ac:dyDescent="0.25">
      <c r="A51" s="134" t="s">
        <v>17</v>
      </c>
      <c r="B51" s="170"/>
      <c r="C51" s="815" t="s">
        <v>443</v>
      </c>
      <c r="D51" s="826">
        <f>SUM(D52:D54)</f>
        <v>0</v>
      </c>
      <c r="E51" s="826">
        <f>SUM(E52:E54)</f>
        <v>486</v>
      </c>
      <c r="F51" s="826">
        <f>SUM(F52:F54)</f>
        <v>0</v>
      </c>
      <c r="G51" s="1382"/>
      <c r="H51" s="826">
        <f>SUM(H52:H54)</f>
        <v>0</v>
      </c>
      <c r="I51" s="1407"/>
      <c r="J51" s="826">
        <f>SUM(J52:J54)</f>
        <v>0</v>
      </c>
      <c r="K51" s="3375">
        <f>SUM(K52:K54)</f>
        <v>0</v>
      </c>
      <c r="L51" s="826">
        <f>SUM(L52:L54)</f>
        <v>0</v>
      </c>
      <c r="M51" s="826">
        <f>SUM(M52:M54)</f>
        <v>0</v>
      </c>
    </row>
    <row r="52" spans="1:13" s="141" customFormat="1" ht="15" customHeight="1" x14ac:dyDescent="0.2">
      <c r="A52" s="173"/>
      <c r="B52" s="267" t="s">
        <v>5</v>
      </c>
      <c r="C52" s="814" t="s">
        <v>183</v>
      </c>
      <c r="D52" s="831">
        <v>0</v>
      </c>
      <c r="E52" s="831">
        <v>486</v>
      </c>
      <c r="F52" s="831"/>
      <c r="G52" s="1432"/>
      <c r="H52" s="831"/>
      <c r="I52" s="1411"/>
      <c r="J52" s="831"/>
      <c r="K52" s="3381"/>
      <c r="L52" s="831"/>
      <c r="M52" s="831"/>
    </row>
    <row r="53" spans="1:13" s="145" customFormat="1" ht="15" customHeight="1" x14ac:dyDescent="0.2">
      <c r="A53" s="142"/>
      <c r="B53" s="253" t="s">
        <v>7</v>
      </c>
      <c r="C53" s="812" t="s">
        <v>185</v>
      </c>
      <c r="D53" s="483">
        <v>0</v>
      </c>
      <c r="E53" s="483">
        <v>0</v>
      </c>
      <c r="F53" s="483">
        <v>0</v>
      </c>
      <c r="G53" s="1415"/>
      <c r="H53" s="483">
        <v>0</v>
      </c>
      <c r="I53" s="1404"/>
      <c r="J53" s="483"/>
      <c r="K53" s="3351"/>
      <c r="L53" s="483"/>
      <c r="M53" s="483">
        <v>0</v>
      </c>
    </row>
    <row r="54" spans="1:13" s="145" customFormat="1" ht="14.25" customHeight="1" thickBot="1" x14ac:dyDescent="0.25">
      <c r="A54" s="142"/>
      <c r="B54" s="253" t="s">
        <v>9</v>
      </c>
      <c r="C54" s="812" t="s">
        <v>444</v>
      </c>
      <c r="D54" s="483">
        <v>0</v>
      </c>
      <c r="E54" s="483">
        <v>0</v>
      </c>
      <c r="F54" s="483">
        <v>0</v>
      </c>
      <c r="G54" s="1415"/>
      <c r="H54" s="483">
        <v>0</v>
      </c>
      <c r="I54" s="1404"/>
      <c r="J54" s="483"/>
      <c r="K54" s="3351"/>
      <c r="L54" s="483"/>
      <c r="M54" s="483">
        <v>0</v>
      </c>
    </row>
    <row r="55" spans="1:13" s="145" customFormat="1" ht="15" customHeight="1" thickBot="1" x14ac:dyDescent="0.25">
      <c r="A55" s="192" t="s">
        <v>31</v>
      </c>
      <c r="B55" s="160"/>
      <c r="C55" s="816" t="s">
        <v>465</v>
      </c>
      <c r="D55" s="545" t="e">
        <f>+D45+D51+#REF!</f>
        <v>#REF!</v>
      </c>
      <c r="E55" s="545" t="e">
        <f>+E45+E51+#REF!</f>
        <v>#REF!</v>
      </c>
      <c r="F55" s="545">
        <f>+F45+F51</f>
        <v>3881050</v>
      </c>
      <c r="G55" s="1437"/>
      <c r="H55" s="545">
        <f>+H45+H51</f>
        <v>0</v>
      </c>
      <c r="I55" s="1401"/>
      <c r="J55" s="545">
        <f>+J45+J51</f>
        <v>3606617</v>
      </c>
      <c r="K55" s="3371">
        <f>SUM(L55-J55)</f>
        <v>0</v>
      </c>
      <c r="L55" s="545">
        <f>+L45+L51</f>
        <v>3606617</v>
      </c>
      <c r="M55" s="545">
        <f>+M45+M51</f>
        <v>3606617</v>
      </c>
    </row>
    <row r="56" spans="1:13" s="145" customFormat="1" ht="15" customHeight="1" thickBot="1" x14ac:dyDescent="0.25">
      <c r="A56" s="1303"/>
      <c r="B56" s="886"/>
      <c r="C56" s="886"/>
      <c r="D56" s="886"/>
      <c r="E56" s="886"/>
      <c r="F56" s="277"/>
      <c r="G56" s="1550"/>
      <c r="H56" s="1550"/>
      <c r="I56" s="1550"/>
      <c r="J56" s="1550"/>
      <c r="K56" s="1550"/>
      <c r="L56" s="886"/>
      <c r="M56" s="1304"/>
    </row>
    <row r="57" spans="1:13" s="145" customFormat="1" ht="15" customHeight="1" thickBot="1" x14ac:dyDescent="0.25">
      <c r="A57" s="276" t="s">
        <v>324</v>
      </c>
      <c r="B57" s="277"/>
      <c r="C57" s="278"/>
      <c r="D57" s="200">
        <v>10.5</v>
      </c>
      <c r="E57" s="200">
        <v>10.5</v>
      </c>
      <c r="F57" s="835"/>
      <c r="G57" s="1559"/>
      <c r="H57" s="835"/>
      <c r="I57" s="1412"/>
      <c r="J57" s="835"/>
      <c r="K57" s="3382"/>
      <c r="L57" s="835"/>
      <c r="M57" s="835"/>
    </row>
    <row r="58" spans="1:13" s="145" customFormat="1" ht="15" customHeight="1" thickBot="1" x14ac:dyDescent="0.25">
      <c r="A58" s="2166" t="s">
        <v>325</v>
      </c>
      <c r="B58" s="2167"/>
      <c r="C58" s="278"/>
      <c r="D58" s="279"/>
      <c r="E58" s="279"/>
      <c r="F58" s="836"/>
      <c r="G58" s="1560"/>
      <c r="H58" s="836"/>
      <c r="I58" s="1413"/>
      <c r="J58" s="836"/>
      <c r="K58" s="3383"/>
      <c r="L58" s="836"/>
      <c r="M58" s="836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23622047244094491" top="0.19685039370078741" bottom="0.35433070866141736" header="0.51181102362204722" footer="0.15748031496062992"/>
  <pageSetup paperSize="9" scale="65" firstPageNumber="86" orientation="portrait" useFirstPageNumber="1" r:id="rId1"/>
  <headerFooter>
    <oddFooter>&amp;C&amp;11- &amp;P -</oddFooter>
  </headerFooter>
  <colBreaks count="1" manualBreakCount="1">
    <brk id="13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57"/>
  <sheetViews>
    <sheetView view="pageBreakPreview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83203125" style="115" customWidth="1"/>
    <col min="4" max="5" width="9.33203125" style="115" hidden="1" customWidth="1"/>
    <col min="6" max="6" width="10.5" style="115" customWidth="1"/>
    <col min="7" max="7" width="14.33203125" style="1390" hidden="1" customWidth="1"/>
    <col min="8" max="8" width="12.1640625" style="115" hidden="1" customWidth="1"/>
    <col min="9" max="9" width="12.6640625" style="1390" hidden="1" customWidth="1"/>
    <col min="10" max="10" width="13.5" style="115" customWidth="1"/>
    <col min="11" max="11" width="14.1640625" style="1390" customWidth="1"/>
    <col min="12" max="12" width="14.1640625" style="115" customWidth="1"/>
    <col min="13" max="13" width="14.6640625" style="115" customWidth="1"/>
    <col min="14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750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805" t="s">
        <v>488</v>
      </c>
      <c r="D2" s="4415" t="s">
        <v>282</v>
      </c>
      <c r="E2" s="818"/>
      <c r="F2" s="4415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633" t="s">
        <v>1945</v>
      </c>
    </row>
    <row r="3" spans="1:13" s="303" customFormat="1" ht="30" customHeight="1" thickBot="1" x14ac:dyDescent="0.25">
      <c r="A3" s="4506" t="s">
        <v>283</v>
      </c>
      <c r="B3" s="4506"/>
      <c r="C3" s="806" t="s">
        <v>328</v>
      </c>
      <c r="D3" s="4415"/>
      <c r="E3" s="819"/>
      <c r="F3" s="4415"/>
      <c r="G3" s="4603"/>
      <c r="H3" s="4416" t="s">
        <v>1028</v>
      </c>
      <c r="I3" s="4423" t="s">
        <v>1031</v>
      </c>
      <c r="J3" s="4496" t="s">
        <v>1028</v>
      </c>
      <c r="K3" s="4450"/>
      <c r="L3" s="4416"/>
      <c r="M3" s="4416"/>
    </row>
    <row r="4" spans="1:13" s="303" customFormat="1" ht="15" customHeight="1" thickBot="1" x14ac:dyDescent="0.25">
      <c r="A4" s="1300"/>
      <c r="B4" s="1301"/>
      <c r="C4" s="1452"/>
      <c r="D4" s="4465"/>
      <c r="E4" s="4574"/>
      <c r="F4" s="4634"/>
      <c r="G4" s="1453"/>
      <c r="H4" s="1454"/>
      <c r="I4" s="1449"/>
      <c r="J4" s="1454"/>
      <c r="K4" s="1449"/>
      <c r="L4" s="1455"/>
      <c r="M4" s="1456" t="s">
        <v>935</v>
      </c>
    </row>
    <row r="5" spans="1:13" s="145" customFormat="1" ht="37.5" customHeight="1" thickBot="1" x14ac:dyDescent="0.25">
      <c r="A5" s="4431" t="s">
        <v>285</v>
      </c>
      <c r="B5" s="4431"/>
      <c r="C5" s="807" t="s">
        <v>286</v>
      </c>
      <c r="D5" s="821" t="s">
        <v>287</v>
      </c>
      <c r="E5" s="821" t="s">
        <v>288</v>
      </c>
      <c r="F5" s="821"/>
      <c r="G5" s="2659"/>
      <c r="H5" s="821"/>
      <c r="I5" s="1399"/>
      <c r="J5" s="821"/>
      <c r="K5" s="3369"/>
      <c r="L5" s="821"/>
      <c r="M5" s="821"/>
    </row>
    <row r="6" spans="1:13" s="305" customFormat="1" ht="15" customHeight="1" thickBot="1" x14ac:dyDescent="0.25">
      <c r="A6" s="134"/>
      <c r="B6" s="270"/>
      <c r="C6" s="808"/>
      <c r="D6" s="822"/>
      <c r="E6" s="822"/>
      <c r="F6" s="446"/>
      <c r="G6" s="2455"/>
      <c r="H6" s="446"/>
      <c r="I6" s="1400"/>
      <c r="J6" s="446"/>
      <c r="K6" s="3370"/>
      <c r="L6" s="446"/>
      <c r="M6" s="446"/>
    </row>
    <row r="7" spans="1:13" s="305" customFormat="1" ht="15" customHeight="1" thickBot="1" x14ac:dyDescent="0.25">
      <c r="A7" s="192"/>
      <c r="B7" s="160"/>
      <c r="C7" s="809" t="s">
        <v>230</v>
      </c>
      <c r="D7" s="545"/>
      <c r="E7" s="545"/>
      <c r="F7" s="545"/>
      <c r="G7" s="1437"/>
      <c r="H7" s="545"/>
      <c r="I7" s="1401"/>
      <c r="J7" s="545"/>
      <c r="K7" s="3371"/>
      <c r="L7" s="545"/>
      <c r="M7" s="545"/>
    </row>
    <row r="8" spans="1:13" s="141" customFormat="1" ht="15" customHeight="1" thickBot="1" x14ac:dyDescent="0.25">
      <c r="A8" s="134" t="s">
        <v>3</v>
      </c>
      <c r="B8" s="148"/>
      <c r="C8" s="810" t="s">
        <v>413</v>
      </c>
      <c r="D8" s="823">
        <f>SUM(D9:D18)</f>
        <v>4119</v>
      </c>
      <c r="E8" s="823">
        <f>SUM(E9:E18)</f>
        <v>4119</v>
      </c>
      <c r="F8" s="823">
        <f>SUM(F9:F18)</f>
        <v>0</v>
      </c>
      <c r="G8" s="2665"/>
      <c r="H8" s="823">
        <f>SUM(H9:H18)</f>
        <v>0</v>
      </c>
      <c r="I8" s="1402"/>
      <c r="J8" s="823"/>
      <c r="K8" s="3372"/>
      <c r="L8" s="823"/>
      <c r="M8" s="823">
        <f>SUM(M9:M18)</f>
        <v>0</v>
      </c>
    </row>
    <row r="9" spans="1:13" s="141" customFormat="1" ht="15" customHeight="1" x14ac:dyDescent="0.2">
      <c r="A9" s="149"/>
      <c r="B9" s="143" t="s">
        <v>152</v>
      </c>
      <c r="C9" s="811" t="s">
        <v>48</v>
      </c>
      <c r="D9" s="310">
        <v>0</v>
      </c>
      <c r="E9" s="310">
        <v>0</v>
      </c>
      <c r="F9" s="310">
        <v>0</v>
      </c>
      <c r="G9" s="1533"/>
      <c r="H9" s="310">
        <v>0</v>
      </c>
      <c r="I9" s="1403"/>
      <c r="J9" s="310"/>
      <c r="K9" s="3373"/>
      <c r="L9" s="310"/>
      <c r="M9" s="310">
        <v>0</v>
      </c>
    </row>
    <row r="10" spans="1:13" s="141" customFormat="1" ht="15" customHeight="1" x14ac:dyDescent="0.2">
      <c r="A10" s="142"/>
      <c r="B10" s="143" t="s">
        <v>154</v>
      </c>
      <c r="C10" s="812" t="s">
        <v>50</v>
      </c>
      <c r="D10" s="483">
        <v>4119</v>
      </c>
      <c r="E10" s="483">
        <v>4119</v>
      </c>
      <c r="F10" s="483"/>
      <c r="G10" s="1415"/>
      <c r="H10" s="483"/>
      <c r="I10" s="1404"/>
      <c r="J10" s="483"/>
      <c r="K10" s="3351"/>
      <c r="L10" s="483"/>
      <c r="M10" s="483"/>
    </row>
    <row r="11" spans="1:13" s="141" customFormat="1" ht="15" customHeight="1" x14ac:dyDescent="0.2">
      <c r="A11" s="142"/>
      <c r="B11" s="143" t="s">
        <v>156</v>
      </c>
      <c r="C11" s="812" t="s">
        <v>414</v>
      </c>
      <c r="D11" s="483">
        <v>0</v>
      </c>
      <c r="E11" s="483">
        <v>0</v>
      </c>
      <c r="F11" s="483">
        <v>0</v>
      </c>
      <c r="G11" s="1415"/>
      <c r="H11" s="483">
        <v>0</v>
      </c>
      <c r="I11" s="1404"/>
      <c r="J11" s="483"/>
      <c r="K11" s="3351"/>
      <c r="L11" s="483"/>
      <c r="M11" s="483">
        <v>0</v>
      </c>
    </row>
    <row r="12" spans="1:13" s="141" customFormat="1" ht="15" customHeight="1" x14ac:dyDescent="0.2">
      <c r="A12" s="142"/>
      <c r="B12" s="143" t="s">
        <v>158</v>
      </c>
      <c r="C12" s="812" t="s">
        <v>415</v>
      </c>
      <c r="D12" s="483">
        <v>0</v>
      </c>
      <c r="E12" s="483">
        <v>0</v>
      </c>
      <c r="F12" s="483"/>
      <c r="G12" s="1415"/>
      <c r="H12" s="483"/>
      <c r="I12" s="1404"/>
      <c r="J12" s="483"/>
      <c r="K12" s="3351"/>
      <c r="L12" s="483"/>
      <c r="M12" s="483"/>
    </row>
    <row r="13" spans="1:13" s="141" customFormat="1" ht="15" customHeight="1" x14ac:dyDescent="0.2">
      <c r="A13" s="142"/>
      <c r="B13" s="143" t="s">
        <v>375</v>
      </c>
      <c r="C13" s="813" t="s">
        <v>416</v>
      </c>
      <c r="D13" s="483">
        <v>0</v>
      </c>
      <c r="E13" s="483">
        <v>0</v>
      </c>
      <c r="F13" s="483">
        <v>0</v>
      </c>
      <c r="G13" s="1415"/>
      <c r="H13" s="483">
        <v>0</v>
      </c>
      <c r="I13" s="1404"/>
      <c r="J13" s="483"/>
      <c r="K13" s="3351"/>
      <c r="L13" s="483"/>
      <c r="M13" s="483">
        <v>0</v>
      </c>
    </row>
    <row r="14" spans="1:13" s="141" customFormat="1" ht="15" customHeight="1" x14ac:dyDescent="0.2">
      <c r="A14" s="146"/>
      <c r="B14" s="143" t="s">
        <v>162</v>
      </c>
      <c r="C14" s="812" t="s">
        <v>340</v>
      </c>
      <c r="D14" s="824">
        <v>0</v>
      </c>
      <c r="E14" s="824">
        <v>0</v>
      </c>
      <c r="F14" s="824">
        <v>0</v>
      </c>
      <c r="G14" s="1519"/>
      <c r="H14" s="824">
        <v>0</v>
      </c>
      <c r="I14" s="1405"/>
      <c r="J14" s="824"/>
      <c r="K14" s="3374"/>
      <c r="L14" s="824"/>
      <c r="M14" s="824">
        <v>0</v>
      </c>
    </row>
    <row r="15" spans="1:13" s="145" customFormat="1" ht="15" customHeight="1" x14ac:dyDescent="0.2">
      <c r="A15" s="142"/>
      <c r="B15" s="143" t="s">
        <v>164</v>
      </c>
      <c r="C15" s="812" t="s">
        <v>60</v>
      </c>
      <c r="D15" s="483">
        <v>0</v>
      </c>
      <c r="E15" s="483">
        <v>0</v>
      </c>
      <c r="F15" s="483"/>
      <c r="G15" s="1415"/>
      <c r="H15" s="483"/>
      <c r="I15" s="1404"/>
      <c r="J15" s="483"/>
      <c r="K15" s="3351"/>
      <c r="L15" s="483"/>
      <c r="M15" s="483"/>
    </row>
    <row r="16" spans="1:13" s="145" customFormat="1" ht="15" customHeight="1" x14ac:dyDescent="0.2">
      <c r="A16" s="151"/>
      <c r="B16" s="152" t="s">
        <v>166</v>
      </c>
      <c r="C16" s="812" t="s">
        <v>417</v>
      </c>
      <c r="D16" s="825"/>
      <c r="E16" s="825"/>
      <c r="F16" s="825"/>
      <c r="G16" s="1518"/>
      <c r="H16" s="825"/>
      <c r="I16" s="1406"/>
      <c r="J16" s="825"/>
      <c r="K16" s="3349"/>
      <c r="L16" s="825"/>
      <c r="M16" s="825"/>
    </row>
    <row r="17" spans="1:13" s="145" customFormat="1" ht="15" customHeight="1" x14ac:dyDescent="0.2">
      <c r="A17" s="151"/>
      <c r="B17" s="152" t="s">
        <v>168</v>
      </c>
      <c r="C17" s="812" t="s">
        <v>64</v>
      </c>
      <c r="D17" s="825"/>
      <c r="E17" s="825"/>
      <c r="F17" s="825"/>
      <c r="G17" s="1518"/>
      <c r="H17" s="825"/>
      <c r="I17" s="1406"/>
      <c r="J17" s="825"/>
      <c r="K17" s="3349"/>
      <c r="L17" s="825"/>
      <c r="M17" s="825"/>
    </row>
    <row r="18" spans="1:13" s="145" customFormat="1" ht="15" customHeight="1" thickBot="1" x14ac:dyDescent="0.25">
      <c r="A18" s="151"/>
      <c r="B18" s="152" t="s">
        <v>170</v>
      </c>
      <c r="C18" s="813" t="s">
        <v>418</v>
      </c>
      <c r="D18" s="825">
        <v>0</v>
      </c>
      <c r="E18" s="825">
        <v>0</v>
      </c>
      <c r="F18" s="825">
        <v>0</v>
      </c>
      <c r="G18" s="1518"/>
      <c r="H18" s="825">
        <v>0</v>
      </c>
      <c r="I18" s="1406"/>
      <c r="J18" s="825"/>
      <c r="K18" s="3349"/>
      <c r="L18" s="825"/>
      <c r="M18" s="825">
        <v>0</v>
      </c>
    </row>
    <row r="19" spans="1:13" s="141" customFormat="1" ht="30" customHeight="1" thickBot="1" x14ac:dyDescent="0.25">
      <c r="A19" s="134" t="s">
        <v>17</v>
      </c>
      <c r="B19" s="148"/>
      <c r="C19" s="810" t="s">
        <v>419</v>
      </c>
      <c r="D19" s="826">
        <f>SUM(D20:D25)</f>
        <v>15092</v>
      </c>
      <c r="E19" s="826">
        <f>SUM(E20:E25)</f>
        <v>15750</v>
      </c>
      <c r="F19" s="826">
        <f>SUM(F20:F25)</f>
        <v>0</v>
      </c>
      <c r="G19" s="1382"/>
      <c r="H19" s="826">
        <f>SUM(H20:H25)</f>
        <v>0</v>
      </c>
      <c r="I19" s="1407"/>
      <c r="J19" s="826"/>
      <c r="K19" s="3375"/>
      <c r="L19" s="826"/>
      <c r="M19" s="826">
        <f>SUM(M20:M25)</f>
        <v>0</v>
      </c>
    </row>
    <row r="20" spans="1:13" s="145" customFormat="1" ht="30" customHeight="1" x14ac:dyDescent="0.2">
      <c r="A20" s="142"/>
      <c r="B20" s="143" t="s">
        <v>5</v>
      </c>
      <c r="C20" s="814" t="s">
        <v>420</v>
      </c>
      <c r="D20" s="483">
        <v>12768</v>
      </c>
      <c r="E20" s="483">
        <v>13426</v>
      </c>
      <c r="F20" s="483"/>
      <c r="G20" s="1415"/>
      <c r="H20" s="483"/>
      <c r="I20" s="1404"/>
      <c r="J20" s="483"/>
      <c r="K20" s="3351"/>
      <c r="L20" s="483"/>
      <c r="M20" s="483"/>
    </row>
    <row r="21" spans="1:13" s="145" customFormat="1" ht="15" customHeight="1" x14ac:dyDescent="0.2">
      <c r="A21" s="142"/>
      <c r="B21" s="143" t="s">
        <v>421</v>
      </c>
      <c r="C21" s="812" t="s">
        <v>422</v>
      </c>
      <c r="D21" s="483"/>
      <c r="E21" s="483"/>
      <c r="F21" s="483"/>
      <c r="G21" s="1415"/>
      <c r="H21" s="483"/>
      <c r="I21" s="1404"/>
      <c r="J21" s="483"/>
      <c r="K21" s="3351"/>
      <c r="L21" s="483"/>
      <c r="M21" s="483"/>
    </row>
    <row r="22" spans="1:13" s="145" customFormat="1" ht="15" customHeight="1" x14ac:dyDescent="0.2">
      <c r="A22" s="142"/>
      <c r="B22" s="143" t="s">
        <v>360</v>
      </c>
      <c r="C22" s="812" t="s">
        <v>1430</v>
      </c>
      <c r="D22" s="483">
        <v>0</v>
      </c>
      <c r="E22" s="483">
        <v>0</v>
      </c>
      <c r="F22" s="483">
        <v>0</v>
      </c>
      <c r="G22" s="1415"/>
      <c r="H22" s="483">
        <v>0</v>
      </c>
      <c r="I22" s="1404"/>
      <c r="J22" s="483"/>
      <c r="K22" s="3351"/>
      <c r="L22" s="483"/>
      <c r="M22" s="483">
        <v>0</v>
      </c>
    </row>
    <row r="23" spans="1:13" s="145" customFormat="1" ht="15" customHeight="1" x14ac:dyDescent="0.2">
      <c r="A23" s="142"/>
      <c r="B23" s="143" t="s">
        <v>357</v>
      </c>
      <c r="C23" s="812" t="s">
        <v>424</v>
      </c>
      <c r="D23" s="483">
        <v>0</v>
      </c>
      <c r="E23" s="483">
        <v>0</v>
      </c>
      <c r="F23" s="483">
        <v>0</v>
      </c>
      <c r="G23" s="1415"/>
      <c r="H23" s="483">
        <v>0</v>
      </c>
      <c r="I23" s="1404"/>
      <c r="J23" s="483"/>
      <c r="K23" s="3351"/>
      <c r="L23" s="483"/>
      <c r="M23" s="483">
        <v>0</v>
      </c>
    </row>
    <row r="24" spans="1:13" s="145" customFormat="1" ht="15" customHeight="1" x14ac:dyDescent="0.2">
      <c r="A24" s="142"/>
      <c r="B24" s="143" t="s">
        <v>7</v>
      </c>
      <c r="C24" s="812" t="s">
        <v>6</v>
      </c>
      <c r="D24" s="483">
        <v>2324</v>
      </c>
      <c r="E24" s="483">
        <v>2324</v>
      </c>
      <c r="F24" s="483"/>
      <c r="G24" s="1415"/>
      <c r="H24" s="483"/>
      <c r="I24" s="1404"/>
      <c r="J24" s="483"/>
      <c r="K24" s="3351"/>
      <c r="L24" s="483"/>
      <c r="M24" s="483"/>
    </row>
    <row r="25" spans="1:13" s="145" customFormat="1" ht="15" customHeight="1" thickBot="1" x14ac:dyDescent="0.25">
      <c r="A25" s="142"/>
      <c r="B25" s="143" t="s">
        <v>9</v>
      </c>
      <c r="C25" s="812" t="s">
        <v>425</v>
      </c>
      <c r="D25" s="483">
        <v>0</v>
      </c>
      <c r="E25" s="483">
        <v>0</v>
      </c>
      <c r="F25" s="483">
        <v>0</v>
      </c>
      <c r="G25" s="1415"/>
      <c r="H25" s="483">
        <v>0</v>
      </c>
      <c r="I25" s="1404"/>
      <c r="J25" s="483"/>
      <c r="K25" s="3351"/>
      <c r="L25" s="483"/>
      <c r="M25" s="483">
        <v>0</v>
      </c>
    </row>
    <row r="26" spans="1:13" s="145" customFormat="1" ht="15" customHeight="1" thickBot="1" x14ac:dyDescent="0.25">
      <c r="A26" s="134" t="s">
        <v>31</v>
      </c>
      <c r="B26" s="170"/>
      <c r="C26" s="810" t="s">
        <v>426</v>
      </c>
      <c r="D26" s="827">
        <v>0</v>
      </c>
      <c r="E26" s="827">
        <v>0</v>
      </c>
      <c r="F26" s="827">
        <v>0</v>
      </c>
      <c r="G26" s="1381"/>
      <c r="H26" s="827">
        <v>0</v>
      </c>
      <c r="I26" s="1408"/>
      <c r="J26" s="827"/>
      <c r="K26" s="3376"/>
      <c r="L26" s="827"/>
      <c r="M26" s="827">
        <v>0</v>
      </c>
    </row>
    <row r="27" spans="1:13" s="145" customFormat="1" ht="30.75" customHeight="1" thickBot="1" x14ac:dyDescent="0.25">
      <c r="A27" s="134"/>
      <c r="B27" s="143" t="s">
        <v>19</v>
      </c>
      <c r="C27" s="812" t="s">
        <v>427</v>
      </c>
      <c r="D27" s="827"/>
      <c r="E27" s="827"/>
      <c r="F27" s="827"/>
      <c r="G27" s="1381"/>
      <c r="H27" s="827"/>
      <c r="I27" s="1408"/>
      <c r="J27" s="827"/>
      <c r="K27" s="3376"/>
      <c r="L27" s="827"/>
      <c r="M27" s="827"/>
    </row>
    <row r="28" spans="1:13" s="145" customFormat="1" ht="15" customHeight="1" thickBot="1" x14ac:dyDescent="0.25">
      <c r="A28" s="134" t="s">
        <v>45</v>
      </c>
      <c r="B28" s="148"/>
      <c r="C28" s="815" t="s">
        <v>428</v>
      </c>
      <c r="D28" s="827"/>
      <c r="E28" s="827"/>
      <c r="F28" s="827"/>
      <c r="G28" s="1381"/>
      <c r="H28" s="827"/>
      <c r="I28" s="1408"/>
      <c r="J28" s="827"/>
      <c r="K28" s="3376"/>
      <c r="L28" s="827"/>
      <c r="M28" s="827"/>
    </row>
    <row r="29" spans="1:13" s="145" customFormat="1" ht="15" customHeight="1" thickBot="1" x14ac:dyDescent="0.25">
      <c r="A29" s="149"/>
      <c r="B29" s="253" t="s">
        <v>33</v>
      </c>
      <c r="C29" s="812" t="s">
        <v>359</v>
      </c>
      <c r="D29" s="827"/>
      <c r="E29" s="827"/>
      <c r="F29" s="802"/>
      <c r="G29" s="1546"/>
      <c r="H29" s="802"/>
      <c r="I29" s="1391"/>
      <c r="J29" s="802"/>
      <c r="K29" s="3377"/>
      <c r="L29" s="802"/>
      <c r="M29" s="802"/>
    </row>
    <row r="30" spans="1:13" s="145" customFormat="1" ht="15" customHeight="1" thickBot="1" x14ac:dyDescent="0.25">
      <c r="A30" s="146"/>
      <c r="B30" s="253" t="s">
        <v>39</v>
      </c>
      <c r="C30" s="812" t="s">
        <v>72</v>
      </c>
      <c r="D30" s="827"/>
      <c r="E30" s="827"/>
      <c r="F30" s="803"/>
      <c r="G30" s="2666"/>
      <c r="H30" s="803"/>
      <c r="I30" s="1392"/>
      <c r="J30" s="803"/>
      <c r="K30" s="3378"/>
      <c r="L30" s="803"/>
      <c r="M30" s="803"/>
    </row>
    <row r="31" spans="1:13" s="145" customFormat="1" ht="15" customHeight="1" thickBot="1" x14ac:dyDescent="0.25">
      <c r="A31" s="178"/>
      <c r="B31" s="253" t="s">
        <v>41</v>
      </c>
      <c r="C31" s="812" t="s">
        <v>74</v>
      </c>
      <c r="D31" s="827"/>
      <c r="E31" s="827"/>
      <c r="F31" s="804"/>
      <c r="G31" s="1433"/>
      <c r="H31" s="804"/>
      <c r="I31" s="1409"/>
      <c r="J31" s="804"/>
      <c r="K31" s="3379"/>
      <c r="L31" s="804"/>
      <c r="M31" s="804"/>
    </row>
    <row r="32" spans="1:13" s="141" customFormat="1" ht="30" customHeight="1" thickBot="1" x14ac:dyDescent="0.25">
      <c r="A32" s="134" t="s">
        <v>67</v>
      </c>
      <c r="B32" s="254"/>
      <c r="C32" s="815" t="s">
        <v>429</v>
      </c>
      <c r="D32" s="827">
        <v>0</v>
      </c>
      <c r="E32" s="827">
        <v>0</v>
      </c>
      <c r="F32" s="827">
        <v>0</v>
      </c>
      <c r="G32" s="1381"/>
      <c r="H32" s="827">
        <v>0</v>
      </c>
      <c r="I32" s="1408"/>
      <c r="J32" s="827"/>
      <c r="K32" s="3376"/>
      <c r="L32" s="827"/>
      <c r="M32" s="827">
        <v>0</v>
      </c>
    </row>
    <row r="33" spans="1:13" s="141" customFormat="1" ht="27.75" customHeight="1" thickBot="1" x14ac:dyDescent="0.25">
      <c r="A33" s="146"/>
      <c r="B33" s="255" t="s">
        <v>47</v>
      </c>
      <c r="C33" s="814" t="s">
        <v>430</v>
      </c>
      <c r="D33" s="827"/>
      <c r="E33" s="827"/>
      <c r="F33" s="827"/>
      <c r="G33" s="1381"/>
      <c r="H33" s="827"/>
      <c r="I33" s="1408"/>
      <c r="J33" s="827"/>
      <c r="K33" s="3376"/>
      <c r="L33" s="827"/>
      <c r="M33" s="827"/>
    </row>
    <row r="34" spans="1:13" s="141" customFormat="1" ht="15" customHeight="1" thickBot="1" x14ac:dyDescent="0.3">
      <c r="A34" s="258" t="s">
        <v>79</v>
      </c>
      <c r="B34" s="256"/>
      <c r="C34" s="810" t="s">
        <v>431</v>
      </c>
      <c r="D34" s="827"/>
      <c r="E34" s="827"/>
      <c r="F34" s="827"/>
      <c r="G34" s="1381"/>
      <c r="H34" s="827"/>
      <c r="I34" s="1408"/>
      <c r="J34" s="827"/>
      <c r="K34" s="3376"/>
      <c r="L34" s="827"/>
      <c r="M34" s="827"/>
    </row>
    <row r="35" spans="1:13" s="141" customFormat="1" ht="33" customHeight="1" thickBot="1" x14ac:dyDescent="0.25">
      <c r="A35" s="258"/>
      <c r="B35" s="257" t="s">
        <v>69</v>
      </c>
      <c r="C35" s="812" t="s">
        <v>432</v>
      </c>
      <c r="D35" s="827"/>
      <c r="E35" s="827"/>
      <c r="F35" s="827"/>
      <c r="G35" s="1381"/>
      <c r="H35" s="827"/>
      <c r="I35" s="1408"/>
      <c r="J35" s="827"/>
      <c r="K35" s="3376"/>
      <c r="L35" s="827"/>
      <c r="M35" s="827"/>
    </row>
    <row r="36" spans="1:13" s="141" customFormat="1" ht="15" customHeight="1" thickBot="1" x14ac:dyDescent="0.3">
      <c r="A36" s="258" t="s">
        <v>89</v>
      </c>
      <c r="B36" s="256"/>
      <c r="C36" s="815" t="s">
        <v>433</v>
      </c>
      <c r="D36" s="826">
        <f>+D37+D38</f>
        <v>0</v>
      </c>
      <c r="E36" s="826">
        <f>+E37+E38</f>
        <v>16</v>
      </c>
      <c r="F36" s="826">
        <f>+F37+F38</f>
        <v>0</v>
      </c>
      <c r="G36" s="1382"/>
      <c r="H36" s="826">
        <f>+H37+H38</f>
        <v>0</v>
      </c>
      <c r="I36" s="1407"/>
      <c r="J36" s="826"/>
      <c r="K36" s="3375"/>
      <c r="L36" s="826"/>
      <c r="M36" s="826">
        <f>+M37+M38</f>
        <v>0</v>
      </c>
    </row>
    <row r="37" spans="1:13" s="141" customFormat="1" ht="15" customHeight="1" x14ac:dyDescent="0.2">
      <c r="A37" s="149"/>
      <c r="B37" s="253" t="s">
        <v>81</v>
      </c>
      <c r="C37" s="812" t="s">
        <v>434</v>
      </c>
      <c r="D37" s="828">
        <v>0</v>
      </c>
      <c r="E37" s="828">
        <v>16</v>
      </c>
      <c r="F37" s="828"/>
      <c r="G37" s="1383"/>
      <c r="H37" s="828"/>
      <c r="I37" s="1410"/>
      <c r="J37" s="828"/>
      <c r="K37" s="3380"/>
      <c r="L37" s="828"/>
      <c r="M37" s="828"/>
    </row>
    <row r="38" spans="1:13" s="141" customFormat="1" ht="15" customHeight="1" thickBot="1" x14ac:dyDescent="0.25">
      <c r="A38" s="146"/>
      <c r="B38" s="253" t="s">
        <v>83</v>
      </c>
      <c r="C38" s="812" t="s">
        <v>435</v>
      </c>
      <c r="D38" s="829">
        <v>0</v>
      </c>
      <c r="E38" s="829">
        <v>0</v>
      </c>
      <c r="F38" s="483">
        <v>0</v>
      </c>
      <c r="G38" s="1415"/>
      <c r="H38" s="483"/>
      <c r="I38" s="1404"/>
      <c r="J38" s="483"/>
      <c r="K38" s="3351"/>
      <c r="L38" s="483"/>
      <c r="M38" s="483"/>
    </row>
    <row r="39" spans="1:13" s="145" customFormat="1" ht="15" customHeight="1" thickBot="1" x14ac:dyDescent="0.25">
      <c r="A39" s="178"/>
      <c r="B39" s="253" t="s">
        <v>85</v>
      </c>
      <c r="C39" s="812" t="s">
        <v>1433</v>
      </c>
      <c r="D39" s="827">
        <v>26133</v>
      </c>
      <c r="E39" s="827">
        <v>26791</v>
      </c>
      <c r="F39" s="804"/>
      <c r="G39" s="1433"/>
      <c r="H39" s="804"/>
      <c r="I39" s="1409"/>
      <c r="J39" s="804"/>
      <c r="K39" s="3379"/>
      <c r="L39" s="804"/>
      <c r="M39" s="804"/>
    </row>
    <row r="40" spans="1:13" s="145" customFormat="1" ht="12.75" hidden="1" customHeight="1" x14ac:dyDescent="0.25">
      <c r="A40" s="258"/>
      <c r="B40" s="256"/>
      <c r="C40" s="815" t="s">
        <v>458</v>
      </c>
      <c r="D40" s="827"/>
      <c r="E40" s="827"/>
      <c r="F40" s="827"/>
      <c r="G40" s="1381"/>
      <c r="H40" s="827"/>
      <c r="I40" s="1408"/>
      <c r="J40" s="827"/>
      <c r="K40" s="3376"/>
      <c r="L40" s="827"/>
      <c r="M40" s="827"/>
    </row>
    <row r="41" spans="1:13" s="145" customFormat="1" ht="15" customHeight="1" thickBot="1" x14ac:dyDescent="0.25">
      <c r="A41" s="192" t="s">
        <v>99</v>
      </c>
      <c r="B41" s="160"/>
      <c r="C41" s="816" t="s">
        <v>441</v>
      </c>
      <c r="D41" s="545">
        <f>SUM(D8,D19,D26,D32,D36,D39)</f>
        <v>45344</v>
      </c>
      <c r="E41" s="545">
        <f>SUM(E8,E19,E26,E32,E36,E39)</f>
        <v>46676</v>
      </c>
      <c r="F41" s="545">
        <f>SUM(F8,F19,F26,F32,F36,F39,F40)</f>
        <v>0</v>
      </c>
      <c r="G41" s="1437"/>
      <c r="H41" s="545">
        <f>SUM(H8,H19,H26,H32,H36,H39,H40)</f>
        <v>0</v>
      </c>
      <c r="I41" s="1401"/>
      <c r="J41" s="545"/>
      <c r="K41" s="3371"/>
      <c r="L41" s="545"/>
      <c r="M41" s="545">
        <f>SUM(M8,M19,M26,M32,M36,M39,M40)</f>
        <v>0</v>
      </c>
    </row>
    <row r="42" spans="1:13" s="145" customFormat="1" ht="15" customHeight="1" thickBot="1" x14ac:dyDescent="0.25">
      <c r="A42" s="2098"/>
      <c r="B42" s="266"/>
      <c r="C42" s="838"/>
      <c r="D42" s="1458"/>
      <c r="E42" s="1459"/>
      <c r="F42" s="285"/>
      <c r="G42" s="1460"/>
      <c r="H42" s="1443"/>
      <c r="I42" s="1460"/>
      <c r="J42" s="1443"/>
      <c r="K42" s="1460"/>
      <c r="L42" s="1443"/>
      <c r="M42" s="285"/>
    </row>
    <row r="43" spans="1:13" s="305" customFormat="1" ht="15" customHeight="1" thickBot="1" x14ac:dyDescent="0.25">
      <c r="A43" s="192"/>
      <c r="B43" s="160"/>
      <c r="C43" s="809" t="s">
        <v>231</v>
      </c>
      <c r="D43" s="545"/>
      <c r="E43" s="545"/>
      <c r="F43" s="545"/>
      <c r="G43" s="1437"/>
      <c r="H43" s="545"/>
      <c r="I43" s="1401"/>
      <c r="J43" s="545"/>
      <c r="K43" s="3371"/>
      <c r="L43" s="545"/>
      <c r="M43" s="545"/>
    </row>
    <row r="44" spans="1:13" s="141" customFormat="1" ht="15" customHeight="1" thickBot="1" x14ac:dyDescent="0.25">
      <c r="A44" s="134" t="s">
        <v>3</v>
      </c>
      <c r="B44" s="170"/>
      <c r="C44" s="817" t="s">
        <v>442</v>
      </c>
      <c r="D44" s="826">
        <f>SUM(D45:D49)</f>
        <v>45344</v>
      </c>
      <c r="E44" s="826">
        <f>SUM(E45:E49)</f>
        <v>46190</v>
      </c>
      <c r="F44" s="826">
        <f>SUM(F45:F49)</f>
        <v>0</v>
      </c>
      <c r="G44" s="1382"/>
      <c r="H44" s="826">
        <f>SUM(H45:H49)</f>
        <v>0</v>
      </c>
      <c r="I44" s="1407"/>
      <c r="J44" s="826"/>
      <c r="K44" s="3375"/>
      <c r="L44" s="826"/>
      <c r="M44" s="826">
        <f>SUM(M45:M49)</f>
        <v>0</v>
      </c>
    </row>
    <row r="45" spans="1:13" s="145" customFormat="1" ht="15" customHeight="1" x14ac:dyDescent="0.2">
      <c r="A45" s="173"/>
      <c r="B45" s="174" t="s">
        <v>152</v>
      </c>
      <c r="C45" s="814" t="s">
        <v>153</v>
      </c>
      <c r="D45" s="831">
        <v>17907</v>
      </c>
      <c r="E45" s="831">
        <v>18593</v>
      </c>
      <c r="F45" s="831"/>
      <c r="G45" s="1432"/>
      <c r="H45" s="831"/>
      <c r="I45" s="1411"/>
      <c r="J45" s="831"/>
      <c r="K45" s="3381"/>
      <c r="L45" s="831"/>
      <c r="M45" s="831"/>
    </row>
    <row r="46" spans="1:13" s="145" customFormat="1" ht="15" customHeight="1" x14ac:dyDescent="0.2">
      <c r="A46" s="142"/>
      <c r="B46" s="176" t="s">
        <v>154</v>
      </c>
      <c r="C46" s="812" t="s">
        <v>155</v>
      </c>
      <c r="D46" s="483">
        <v>4749</v>
      </c>
      <c r="E46" s="483">
        <v>4934</v>
      </c>
      <c r="F46" s="483"/>
      <c r="G46" s="1415"/>
      <c r="H46" s="483"/>
      <c r="I46" s="1404"/>
      <c r="J46" s="483"/>
      <c r="K46" s="3351"/>
      <c r="L46" s="483"/>
      <c r="M46" s="483"/>
    </row>
    <row r="47" spans="1:13" s="145" customFormat="1" ht="15" customHeight="1" x14ac:dyDescent="0.2">
      <c r="A47" s="142"/>
      <c r="B47" s="176" t="s">
        <v>156</v>
      </c>
      <c r="C47" s="812" t="s">
        <v>157</v>
      </c>
      <c r="D47" s="483">
        <v>16849</v>
      </c>
      <c r="E47" s="483">
        <v>16824</v>
      </c>
      <c r="F47" s="483"/>
      <c r="G47" s="1415"/>
      <c r="H47" s="483"/>
      <c r="I47" s="1404"/>
      <c r="J47" s="483"/>
      <c r="K47" s="3351"/>
      <c r="L47" s="483"/>
      <c r="M47" s="483"/>
    </row>
    <row r="48" spans="1:13" s="145" customFormat="1" ht="15" customHeight="1" x14ac:dyDescent="0.2">
      <c r="A48" s="142"/>
      <c r="B48" s="176" t="s">
        <v>158</v>
      </c>
      <c r="C48" s="812" t="s">
        <v>159</v>
      </c>
      <c r="D48" s="483"/>
      <c r="E48" s="483"/>
      <c r="F48" s="483"/>
      <c r="G48" s="1415"/>
      <c r="H48" s="483"/>
      <c r="I48" s="1404"/>
      <c r="J48" s="483"/>
      <c r="K48" s="3351"/>
      <c r="L48" s="483"/>
      <c r="M48" s="483"/>
    </row>
    <row r="49" spans="1:13" s="145" customFormat="1" ht="15" customHeight="1" thickBot="1" x14ac:dyDescent="0.25">
      <c r="A49" s="142"/>
      <c r="B49" s="176" t="s">
        <v>160</v>
      </c>
      <c r="C49" s="812" t="s">
        <v>161</v>
      </c>
      <c r="D49" s="483">
        <v>5839</v>
      </c>
      <c r="E49" s="483">
        <v>5839</v>
      </c>
      <c r="F49" s="483"/>
      <c r="G49" s="1415"/>
      <c r="H49" s="483"/>
      <c r="I49" s="1404"/>
      <c r="J49" s="483"/>
      <c r="K49" s="3351"/>
      <c r="L49" s="483"/>
      <c r="M49" s="483"/>
    </row>
    <row r="50" spans="1:13" s="145" customFormat="1" ht="15" customHeight="1" thickBot="1" x14ac:dyDescent="0.25">
      <c r="A50" s="134" t="s">
        <v>17</v>
      </c>
      <c r="B50" s="170"/>
      <c r="C50" s="815" t="s">
        <v>443</v>
      </c>
      <c r="D50" s="826">
        <f>SUM(D51:D53)</f>
        <v>0</v>
      </c>
      <c r="E50" s="826">
        <f>SUM(E51:E53)</f>
        <v>486</v>
      </c>
      <c r="F50" s="826">
        <f>SUM(F51:F53)</f>
        <v>0</v>
      </c>
      <c r="G50" s="1382"/>
      <c r="H50" s="826">
        <f>SUM(H51:H53)</f>
        <v>0</v>
      </c>
      <c r="I50" s="1407"/>
      <c r="J50" s="826"/>
      <c r="K50" s="3375"/>
      <c r="L50" s="826"/>
      <c r="M50" s="826">
        <f>SUM(M51:M53)</f>
        <v>0</v>
      </c>
    </row>
    <row r="51" spans="1:13" s="141" customFormat="1" ht="15" customHeight="1" x14ac:dyDescent="0.2">
      <c r="A51" s="173"/>
      <c r="B51" s="267" t="s">
        <v>5</v>
      </c>
      <c r="C51" s="814" t="s">
        <v>183</v>
      </c>
      <c r="D51" s="831">
        <v>0</v>
      </c>
      <c r="E51" s="831">
        <v>486</v>
      </c>
      <c r="F51" s="831"/>
      <c r="G51" s="1432"/>
      <c r="H51" s="831"/>
      <c r="I51" s="1411"/>
      <c r="J51" s="831"/>
      <c r="K51" s="3381"/>
      <c r="L51" s="831"/>
      <c r="M51" s="831"/>
    </row>
    <row r="52" spans="1:13" s="145" customFormat="1" ht="15" customHeight="1" x14ac:dyDescent="0.2">
      <c r="A52" s="142"/>
      <c r="B52" s="253" t="s">
        <v>7</v>
      </c>
      <c r="C52" s="812" t="s">
        <v>185</v>
      </c>
      <c r="D52" s="483">
        <v>0</v>
      </c>
      <c r="E52" s="483">
        <v>0</v>
      </c>
      <c r="F52" s="483">
        <v>0</v>
      </c>
      <c r="G52" s="1415"/>
      <c r="H52" s="483">
        <v>0</v>
      </c>
      <c r="I52" s="1404"/>
      <c r="J52" s="483"/>
      <c r="K52" s="3351"/>
      <c r="L52" s="483"/>
      <c r="M52" s="483">
        <v>0</v>
      </c>
    </row>
    <row r="53" spans="1:13" s="145" customFormat="1" ht="30" customHeight="1" thickBot="1" x14ac:dyDescent="0.25">
      <c r="A53" s="142"/>
      <c r="B53" s="253" t="s">
        <v>9</v>
      </c>
      <c r="C53" s="812" t="s">
        <v>444</v>
      </c>
      <c r="D53" s="483">
        <v>0</v>
      </c>
      <c r="E53" s="483">
        <v>0</v>
      </c>
      <c r="F53" s="483">
        <v>0</v>
      </c>
      <c r="G53" s="1415"/>
      <c r="H53" s="483">
        <v>0</v>
      </c>
      <c r="I53" s="1404"/>
      <c r="J53" s="483"/>
      <c r="K53" s="3351"/>
      <c r="L53" s="483"/>
      <c r="M53" s="483">
        <v>0</v>
      </c>
    </row>
    <row r="54" spans="1:13" s="145" customFormat="1" ht="15" customHeight="1" thickBot="1" x14ac:dyDescent="0.25">
      <c r="A54" s="192" t="s">
        <v>31</v>
      </c>
      <c r="B54" s="160"/>
      <c r="C54" s="816" t="s">
        <v>465</v>
      </c>
      <c r="D54" s="545" t="e">
        <f>+D44+D50+#REF!</f>
        <v>#REF!</v>
      </c>
      <c r="E54" s="545" t="e">
        <f>+E44+E50+#REF!</f>
        <v>#REF!</v>
      </c>
      <c r="F54" s="545">
        <f>+F44+F50</f>
        <v>0</v>
      </c>
      <c r="G54" s="1437"/>
      <c r="H54" s="545">
        <f>+H44+H50</f>
        <v>0</v>
      </c>
      <c r="I54" s="1401"/>
      <c r="J54" s="545"/>
      <c r="K54" s="3371"/>
      <c r="L54" s="545"/>
      <c r="M54" s="545">
        <f>+M44+M50</f>
        <v>0</v>
      </c>
    </row>
    <row r="55" spans="1:13" s="145" customFormat="1" ht="15" customHeight="1" thickBot="1" x14ac:dyDescent="0.25">
      <c r="A55" s="1303"/>
      <c r="B55" s="886"/>
      <c r="C55" s="886"/>
      <c r="D55" s="886"/>
      <c r="E55" s="886"/>
      <c r="F55" s="277"/>
      <c r="G55" s="1550"/>
      <c r="H55" s="1550"/>
      <c r="I55" s="1550"/>
      <c r="J55" s="1550"/>
      <c r="K55" s="1550"/>
      <c r="L55" s="886"/>
      <c r="M55" s="1304"/>
    </row>
    <row r="56" spans="1:13" s="145" customFormat="1" ht="15" customHeight="1" thickBot="1" x14ac:dyDescent="0.25">
      <c r="A56" s="276" t="s">
        <v>324</v>
      </c>
      <c r="B56" s="277"/>
      <c r="C56" s="278"/>
      <c r="D56" s="200">
        <v>10.5</v>
      </c>
      <c r="E56" s="200">
        <v>10.5</v>
      </c>
      <c r="F56" s="835"/>
      <c r="G56" s="1559"/>
      <c r="H56" s="835"/>
      <c r="I56" s="1412"/>
      <c r="J56" s="835"/>
      <c r="K56" s="3382"/>
      <c r="L56" s="835"/>
      <c r="M56" s="835"/>
    </row>
    <row r="57" spans="1:13" s="145" customFormat="1" ht="15" customHeight="1" thickBot="1" x14ac:dyDescent="0.25">
      <c r="A57" s="276" t="s">
        <v>325</v>
      </c>
      <c r="B57" s="277"/>
      <c r="C57" s="278"/>
      <c r="D57" s="279"/>
      <c r="E57" s="279"/>
      <c r="F57" s="836"/>
      <c r="G57" s="1560"/>
      <c r="H57" s="836"/>
      <c r="I57" s="1413"/>
      <c r="J57" s="836"/>
      <c r="K57" s="3383"/>
      <c r="L57" s="836"/>
      <c r="M57" s="836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23622047244094491" top="0.47244094488188981" bottom="0.35433070866141736" header="0.23622047244094491" footer="0.15748031496062992"/>
  <pageSetup paperSize="9" scale="77" firstPageNumber="87" orientation="portrait" useFirstPageNumber="1" r:id="rId1"/>
  <headerFooter>
    <oddFooter>&amp;C&amp;11- &amp;P -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S48"/>
  <sheetViews>
    <sheetView showWhiteSpace="0" view="pageBreakPreview" topLeftCell="B7" zoomScale="90" zoomScaleNormal="100" zoomScaleSheetLayoutView="90" zoomScalePageLayoutView="80" workbookViewId="0">
      <selection activeCell="AG29" sqref="AG29"/>
    </sheetView>
  </sheetViews>
  <sheetFormatPr defaultColWidth="9.33203125" defaultRowHeight="15" x14ac:dyDescent="0.25"/>
  <cols>
    <col min="1" max="1" width="15.33203125" style="621" customWidth="1"/>
    <col min="2" max="2" width="24.5" style="621" customWidth="1"/>
    <col min="3" max="3" width="11.5" style="621" customWidth="1"/>
    <col min="4" max="4" width="16.83203125" style="621" hidden="1" customWidth="1"/>
    <col min="5" max="5" width="12.83203125" style="621" hidden="1" customWidth="1"/>
    <col min="6" max="6" width="14" style="621" hidden="1" customWidth="1"/>
    <col min="7" max="7" width="14.1640625" style="621" hidden="1" customWidth="1"/>
    <col min="8" max="8" width="14" style="621" hidden="1" customWidth="1"/>
    <col min="9" max="9" width="14" style="621" customWidth="1"/>
    <col min="10" max="10" width="15" style="621" customWidth="1"/>
    <col min="11" max="11" width="12.6640625" style="621" customWidth="1"/>
    <col min="12" max="12" width="14.1640625" style="621" hidden="1" customWidth="1"/>
    <col min="13" max="13" width="12.33203125" style="621" hidden="1" customWidth="1"/>
    <col min="14" max="14" width="15" style="621" hidden="1" customWidth="1"/>
    <col min="15" max="15" width="13.83203125" style="621" hidden="1" customWidth="1"/>
    <col min="16" max="16" width="15" style="621" hidden="1" customWidth="1"/>
    <col min="17" max="17" width="15" style="621" customWidth="1"/>
    <col min="18" max="18" width="14" style="621" customWidth="1"/>
    <col min="19" max="19" width="13.83203125" style="621" customWidth="1"/>
    <col min="20" max="20" width="14.33203125" style="621" hidden="1" customWidth="1"/>
    <col min="21" max="21" width="11.1640625" style="621" hidden="1" customWidth="1"/>
    <col min="22" max="22" width="13" style="621" hidden="1" customWidth="1"/>
    <col min="23" max="23" width="13.6640625" style="621" hidden="1" customWidth="1"/>
    <col min="24" max="24" width="13" style="621" hidden="1" customWidth="1"/>
    <col min="25" max="25" width="13" style="621" customWidth="1"/>
    <col min="26" max="26" width="12" style="621" customWidth="1"/>
    <col min="27" max="27" width="14.6640625" style="619" customWidth="1"/>
    <col min="28" max="28" width="15.83203125" style="619" hidden="1" customWidth="1"/>
    <col min="29" max="29" width="12.5" style="619" hidden="1" customWidth="1"/>
    <col min="30" max="32" width="13" style="619" hidden="1" customWidth="1"/>
    <col min="33" max="33" width="15" style="619" customWidth="1"/>
    <col min="34" max="34" width="12.6640625" style="619" customWidth="1"/>
    <col min="35" max="35" width="13.6640625" style="619" customWidth="1"/>
    <col min="36" max="36" width="15.33203125" style="619" hidden="1" customWidth="1"/>
    <col min="37" max="37" width="11.1640625" style="619" hidden="1" customWidth="1"/>
    <col min="38" max="38" width="13.6640625" style="619" hidden="1" customWidth="1"/>
    <col min="39" max="39" width="11.83203125" style="619" hidden="1" customWidth="1"/>
    <col min="40" max="40" width="13.6640625" style="619" hidden="1" customWidth="1"/>
    <col min="41" max="41" width="13.6640625" style="619" customWidth="1"/>
    <col min="42" max="42" width="12.33203125" style="619" customWidth="1"/>
    <col min="43" max="43" width="14.83203125" style="619" customWidth="1"/>
    <col min="44" max="44" width="12.6640625" style="619" customWidth="1"/>
    <col min="45" max="45" width="9.33203125" style="619" customWidth="1"/>
    <col min="46" max="16384" width="9.33203125" style="619"/>
  </cols>
  <sheetData>
    <row r="1" spans="1:45" ht="26.25" customHeight="1" x14ac:dyDescent="0.3">
      <c r="A1" s="4536" t="s">
        <v>488</v>
      </c>
      <c r="B1" s="4536"/>
      <c r="C1" s="4536"/>
      <c r="D1" s="4536"/>
      <c r="E1" s="4536"/>
      <c r="F1" s="4536"/>
      <c r="G1" s="4536"/>
      <c r="H1" s="4536"/>
      <c r="I1" s="4536"/>
      <c r="J1" s="4536"/>
      <c r="K1" s="4536"/>
      <c r="L1" s="4536"/>
      <c r="M1" s="4536"/>
      <c r="N1" s="4536"/>
      <c r="O1" s="4536"/>
      <c r="P1" s="4536"/>
      <c r="Q1" s="4536"/>
      <c r="R1" s="4536"/>
      <c r="S1" s="4536"/>
      <c r="T1" s="4536"/>
      <c r="U1" s="4536"/>
      <c r="V1" s="4536"/>
      <c r="W1" s="4536"/>
      <c r="X1" s="4536"/>
      <c r="Y1" s="4536"/>
      <c r="Z1" s="4536"/>
      <c r="AA1" s="4536"/>
      <c r="AB1" s="4536"/>
      <c r="AC1" s="4536"/>
      <c r="AD1" s="4536"/>
      <c r="AE1" s="4536"/>
      <c r="AF1" s="4536"/>
      <c r="AG1" s="4536"/>
      <c r="AH1" s="4536"/>
      <c r="AI1" s="4536"/>
      <c r="AJ1" s="4536"/>
      <c r="AK1" s="4536"/>
      <c r="AL1" s="4536"/>
      <c r="AM1" s="4536"/>
      <c r="AN1" s="4536"/>
      <c r="AO1" s="4536"/>
      <c r="AP1" s="4536"/>
      <c r="AQ1" s="952"/>
    </row>
    <row r="2" spans="1:45" ht="26.25" customHeight="1" x14ac:dyDescent="0.3">
      <c r="A2" s="4536" t="s">
        <v>860</v>
      </c>
      <c r="B2" s="4536"/>
      <c r="C2" s="4536"/>
      <c r="D2" s="4536"/>
      <c r="E2" s="4536"/>
      <c r="F2" s="4536"/>
      <c r="G2" s="4536"/>
      <c r="H2" s="4536"/>
      <c r="I2" s="4536"/>
      <c r="J2" s="4536"/>
      <c r="K2" s="4536"/>
      <c r="L2" s="4536"/>
      <c r="M2" s="4536"/>
      <c r="N2" s="4536"/>
      <c r="O2" s="4536"/>
      <c r="P2" s="4536"/>
      <c r="Q2" s="4536"/>
      <c r="R2" s="4536"/>
      <c r="S2" s="4536"/>
      <c r="T2" s="4536"/>
      <c r="U2" s="4536"/>
      <c r="V2" s="4536"/>
      <c r="W2" s="4536"/>
      <c r="X2" s="4536"/>
      <c r="Y2" s="4536"/>
      <c r="Z2" s="4536"/>
      <c r="AA2" s="4536"/>
      <c r="AB2" s="4536"/>
      <c r="AC2" s="4536"/>
      <c r="AD2" s="4536"/>
      <c r="AE2" s="4536"/>
      <c r="AF2" s="4536"/>
      <c r="AG2" s="4536"/>
      <c r="AH2" s="4536"/>
      <c r="AI2" s="4536"/>
      <c r="AJ2" s="4536"/>
      <c r="AK2" s="4536"/>
      <c r="AL2" s="4536"/>
      <c r="AM2" s="4536"/>
      <c r="AN2" s="4536"/>
      <c r="AO2" s="4536"/>
      <c r="AP2" s="4536"/>
      <c r="AQ2" s="952"/>
    </row>
    <row r="3" spans="1:45" ht="21.75" customHeight="1" thickBot="1" x14ac:dyDescent="0.35">
      <c r="A3" s="956"/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956"/>
      <c r="W3" s="956"/>
      <c r="X3" s="956"/>
      <c r="Y3" s="956"/>
      <c r="Z3" s="956"/>
      <c r="AA3" s="956"/>
      <c r="AB3" s="956"/>
      <c r="AC3" s="956"/>
      <c r="AD3" s="956"/>
      <c r="AE3" s="956"/>
      <c r="AF3" s="956"/>
      <c r="AG3" s="956"/>
      <c r="AH3" s="956"/>
      <c r="AI3" s="956"/>
      <c r="AJ3" s="956"/>
      <c r="AK3" s="956"/>
      <c r="AL3" s="956"/>
      <c r="AM3" s="956"/>
      <c r="AN3" s="956"/>
      <c r="AO3" s="956"/>
      <c r="AP3" s="956"/>
      <c r="AQ3" s="952"/>
    </row>
    <row r="4" spans="1:45" ht="29.25" customHeight="1" thickTop="1" thickBot="1" x14ac:dyDescent="0.3">
      <c r="A4" s="4533" t="s">
        <v>230</v>
      </c>
      <c r="B4" s="4534"/>
      <c r="C4" s="4534"/>
      <c r="D4" s="4534"/>
      <c r="E4" s="4534"/>
      <c r="F4" s="4534"/>
      <c r="G4" s="4534"/>
      <c r="H4" s="4534"/>
      <c r="I4" s="4534"/>
      <c r="J4" s="4534"/>
      <c r="K4" s="4534"/>
      <c r="L4" s="4534"/>
      <c r="M4" s="4534"/>
      <c r="N4" s="4534"/>
      <c r="O4" s="4534"/>
      <c r="P4" s="4534"/>
      <c r="Q4" s="4534"/>
      <c r="R4" s="4534"/>
      <c r="S4" s="4534"/>
      <c r="T4" s="4534"/>
      <c r="U4" s="4534"/>
      <c r="V4" s="4534"/>
      <c r="W4" s="4534"/>
      <c r="X4" s="4534"/>
      <c r="Y4" s="4534"/>
      <c r="Z4" s="4534"/>
      <c r="AA4" s="4534"/>
      <c r="AB4" s="4534"/>
      <c r="AC4" s="4534"/>
      <c r="AD4" s="4534"/>
      <c r="AE4" s="4534"/>
      <c r="AF4" s="4534"/>
      <c r="AG4" s="4534"/>
      <c r="AH4" s="4534"/>
      <c r="AI4" s="4534"/>
      <c r="AJ4" s="4534"/>
      <c r="AK4" s="4534"/>
      <c r="AL4" s="4534"/>
      <c r="AM4" s="4534"/>
      <c r="AN4" s="4534"/>
      <c r="AO4" s="4534"/>
      <c r="AP4" s="4535"/>
      <c r="AQ4" s="952"/>
    </row>
    <row r="5" spans="1:45" ht="66.75" customHeight="1" thickTop="1" thickBot="1" x14ac:dyDescent="0.3">
      <c r="A5" s="4537"/>
      <c r="B5" s="4538"/>
      <c r="C5" s="4541" t="s">
        <v>869</v>
      </c>
      <c r="D5" s="4542"/>
      <c r="E5" s="4542"/>
      <c r="F5" s="4542"/>
      <c r="G5" s="4542"/>
      <c r="H5" s="4542"/>
      <c r="I5" s="4542"/>
      <c r="J5" s="4545"/>
      <c r="K5" s="4541" t="s">
        <v>934</v>
      </c>
      <c r="L5" s="4542"/>
      <c r="M5" s="4542"/>
      <c r="N5" s="4542"/>
      <c r="O5" s="4542"/>
      <c r="P5" s="4542"/>
      <c r="Q5" s="4542"/>
      <c r="R5" s="4545"/>
      <c r="S5" s="4541" t="s">
        <v>1836</v>
      </c>
      <c r="T5" s="4542"/>
      <c r="U5" s="4542"/>
      <c r="V5" s="4542"/>
      <c r="W5" s="4542"/>
      <c r="X5" s="4542"/>
      <c r="Y5" s="4542"/>
      <c r="Z5" s="4545"/>
      <c r="AA5" s="4541" t="s">
        <v>1077</v>
      </c>
      <c r="AB5" s="4542"/>
      <c r="AC5" s="4542"/>
      <c r="AD5" s="4542"/>
      <c r="AE5" s="4542"/>
      <c r="AF5" s="4542"/>
      <c r="AG5" s="4542"/>
      <c r="AH5" s="4545"/>
      <c r="AI5" s="4635" t="s">
        <v>1026</v>
      </c>
      <c r="AJ5" s="4636"/>
      <c r="AK5" s="4543"/>
      <c r="AL5" s="4543"/>
      <c r="AM5" s="4543"/>
      <c r="AN5" s="4543"/>
      <c r="AO5" s="4543"/>
      <c r="AP5" s="4544"/>
      <c r="AQ5" s="952"/>
    </row>
    <row r="6" spans="1:45" ht="71.25" customHeight="1" thickTop="1" thickBot="1" x14ac:dyDescent="0.3">
      <c r="A6" s="4539"/>
      <c r="B6" s="4540"/>
      <c r="C6" s="958" t="s">
        <v>867</v>
      </c>
      <c r="D6" s="959"/>
      <c r="E6" s="959" t="s">
        <v>1070</v>
      </c>
      <c r="F6" s="959"/>
      <c r="G6" s="959" t="s">
        <v>1071</v>
      </c>
      <c r="H6" s="959"/>
      <c r="I6" s="959" t="s">
        <v>1072</v>
      </c>
      <c r="J6" s="959" t="s">
        <v>289</v>
      </c>
      <c r="K6" s="959" t="s">
        <v>867</v>
      </c>
      <c r="L6" s="959"/>
      <c r="M6" s="959" t="s">
        <v>1070</v>
      </c>
      <c r="N6" s="959"/>
      <c r="O6" s="959" t="s">
        <v>1071</v>
      </c>
      <c r="P6" s="959"/>
      <c r="Q6" s="959" t="s">
        <v>1072</v>
      </c>
      <c r="R6" s="959" t="s">
        <v>289</v>
      </c>
      <c r="S6" s="959" t="s">
        <v>867</v>
      </c>
      <c r="T6" s="959"/>
      <c r="U6" s="959" t="s">
        <v>1070</v>
      </c>
      <c r="V6" s="959"/>
      <c r="W6" s="959" t="s">
        <v>1071</v>
      </c>
      <c r="X6" s="959"/>
      <c r="Y6" s="959" t="s">
        <v>1072</v>
      </c>
      <c r="Z6" s="959" t="s">
        <v>289</v>
      </c>
      <c r="AA6" s="959" t="s">
        <v>867</v>
      </c>
      <c r="AB6" s="959"/>
      <c r="AC6" s="959" t="s">
        <v>1070</v>
      </c>
      <c r="AD6" s="959"/>
      <c r="AE6" s="959" t="s">
        <v>1071</v>
      </c>
      <c r="AF6" s="959"/>
      <c r="AG6" s="959" t="s">
        <v>1072</v>
      </c>
      <c r="AH6" s="959" t="s">
        <v>289</v>
      </c>
      <c r="AI6" s="958" t="s">
        <v>867</v>
      </c>
      <c r="AJ6" s="1028"/>
      <c r="AK6" s="959" t="s">
        <v>1070</v>
      </c>
      <c r="AL6" s="959"/>
      <c r="AM6" s="959" t="s">
        <v>1071</v>
      </c>
      <c r="AN6" s="959"/>
      <c r="AO6" s="959" t="s">
        <v>1072</v>
      </c>
      <c r="AP6" s="1027" t="s">
        <v>289</v>
      </c>
      <c r="AQ6" s="952"/>
    </row>
    <row r="7" spans="1:45" ht="20.25" customHeight="1" thickTop="1" x14ac:dyDescent="0.25">
      <c r="A7" s="4527" t="s">
        <v>837</v>
      </c>
      <c r="B7" s="4555"/>
      <c r="C7" s="1046">
        <f t="shared" ref="C7:J13" si="0">SUM(K7+S7+AA7+AI7)</f>
        <v>6164000</v>
      </c>
      <c r="D7" s="1041">
        <f t="shared" si="0"/>
        <v>0</v>
      </c>
      <c r="E7" s="1046">
        <f t="shared" si="0"/>
        <v>6168376</v>
      </c>
      <c r="F7" s="1046">
        <f t="shared" si="0"/>
        <v>0</v>
      </c>
      <c r="G7" s="1046">
        <f t="shared" si="0"/>
        <v>6172783</v>
      </c>
      <c r="H7" s="1046">
        <f t="shared" si="0"/>
        <v>0</v>
      </c>
      <c r="I7" s="2314">
        <f t="shared" si="0"/>
        <v>6368664</v>
      </c>
      <c r="J7" s="2313">
        <f t="shared" si="0"/>
        <v>6368664</v>
      </c>
      <c r="K7" s="1046">
        <v>904000</v>
      </c>
      <c r="L7" s="1044"/>
      <c r="M7" s="1044">
        <v>908376</v>
      </c>
      <c r="N7" s="1044"/>
      <c r="O7" s="1044">
        <v>912783</v>
      </c>
      <c r="P7" s="1044"/>
      <c r="Q7" s="1044">
        <v>788002</v>
      </c>
      <c r="R7" s="1042">
        <v>788002</v>
      </c>
      <c r="S7" s="1046">
        <v>1700000</v>
      </c>
      <c r="T7" s="1041"/>
      <c r="U7" s="1044">
        <v>1700000</v>
      </c>
      <c r="V7" s="1045"/>
      <c r="W7" s="1045">
        <v>1700000</v>
      </c>
      <c r="X7" s="1045"/>
      <c r="Y7" s="1045">
        <v>1585455</v>
      </c>
      <c r="Z7" s="1042">
        <v>1585455</v>
      </c>
      <c r="AA7" s="1046">
        <v>2160000</v>
      </c>
      <c r="AB7" s="1041"/>
      <c r="AC7" s="1044">
        <v>2160000</v>
      </c>
      <c r="AD7" s="1045"/>
      <c r="AE7" s="1045">
        <v>2160000</v>
      </c>
      <c r="AF7" s="1045"/>
      <c r="AG7" s="1045">
        <v>2562407</v>
      </c>
      <c r="AH7" s="1042">
        <v>2562407</v>
      </c>
      <c r="AI7" s="1060">
        <v>1400000</v>
      </c>
      <c r="AJ7" s="1041"/>
      <c r="AK7" s="1041">
        <v>1400000</v>
      </c>
      <c r="AL7" s="1041"/>
      <c r="AM7" s="1041">
        <v>1400000</v>
      </c>
      <c r="AN7" s="1041"/>
      <c r="AO7" s="1041">
        <v>1432800</v>
      </c>
      <c r="AP7" s="1048">
        <v>1432800</v>
      </c>
      <c r="AQ7" s="952"/>
    </row>
    <row r="8" spans="1:45" ht="20.25" customHeight="1" x14ac:dyDescent="0.25">
      <c r="A8" s="4531" t="s">
        <v>838</v>
      </c>
      <c r="B8" s="4552"/>
      <c r="C8" s="1072">
        <f t="shared" si="0"/>
        <v>56466552</v>
      </c>
      <c r="D8" s="1036">
        <f t="shared" si="0"/>
        <v>0</v>
      </c>
      <c r="E8" s="1072">
        <f t="shared" si="0"/>
        <v>59030276</v>
      </c>
      <c r="F8" s="1072">
        <f t="shared" si="0"/>
        <v>0</v>
      </c>
      <c r="G8" s="1072">
        <f t="shared" si="0"/>
        <v>61231623</v>
      </c>
      <c r="H8" s="1072">
        <f t="shared" si="0"/>
        <v>0</v>
      </c>
      <c r="I8" s="2315">
        <f t="shared" si="0"/>
        <v>56301915</v>
      </c>
      <c r="J8" s="2310">
        <f t="shared" si="0"/>
        <v>56301915</v>
      </c>
      <c r="K8" s="1072">
        <f t="shared" ref="K8:S8" si="1">SUM(K9:K10)</f>
        <v>22564670</v>
      </c>
      <c r="L8" s="1035">
        <f t="shared" si="1"/>
        <v>0</v>
      </c>
      <c r="M8" s="1035">
        <f t="shared" si="1"/>
        <v>23813630</v>
      </c>
      <c r="N8" s="1035">
        <f t="shared" si="1"/>
        <v>0</v>
      </c>
      <c r="O8" s="1035">
        <f t="shared" si="1"/>
        <v>24997795</v>
      </c>
      <c r="P8" s="1035">
        <f t="shared" si="1"/>
        <v>0</v>
      </c>
      <c r="Q8" s="1035">
        <f t="shared" si="1"/>
        <v>25275274</v>
      </c>
      <c r="R8" s="973">
        <f>SUM(R9:R10)</f>
        <v>25275274</v>
      </c>
      <c r="S8" s="1093">
        <f t="shared" si="1"/>
        <v>11584768</v>
      </c>
      <c r="T8" s="1093">
        <f t="shared" ref="T8:Y8" si="2">SUM(T9:T10)</f>
        <v>0</v>
      </c>
      <c r="U8" s="1093">
        <f t="shared" si="2"/>
        <v>11899162</v>
      </c>
      <c r="V8" s="1093">
        <f t="shared" si="2"/>
        <v>0</v>
      </c>
      <c r="W8" s="1093">
        <f t="shared" si="2"/>
        <v>12182366</v>
      </c>
      <c r="X8" s="1093">
        <f t="shared" si="2"/>
        <v>0</v>
      </c>
      <c r="Y8" s="1035">
        <f t="shared" si="2"/>
        <v>10228923</v>
      </c>
      <c r="Z8" s="965">
        <f>SUM(Z9:Z10)</f>
        <v>10228923</v>
      </c>
      <c r="AA8" s="1072">
        <f>SUM(AA9:AA10)</f>
        <v>19836064</v>
      </c>
      <c r="AB8" s="1035">
        <f t="shared" ref="AB8:AG8" si="3">SUM(AB9:AB10)</f>
        <v>0</v>
      </c>
      <c r="AC8" s="1035">
        <f t="shared" si="3"/>
        <v>20724674</v>
      </c>
      <c r="AD8" s="1035">
        <f t="shared" si="3"/>
        <v>0</v>
      </c>
      <c r="AE8" s="1035">
        <f t="shared" si="3"/>
        <v>21458652</v>
      </c>
      <c r="AF8" s="1035">
        <f t="shared" si="3"/>
        <v>0</v>
      </c>
      <c r="AG8" s="1035">
        <f t="shared" si="3"/>
        <v>18623901</v>
      </c>
      <c r="AH8" s="970">
        <f t="shared" ref="AH8:AP8" si="4">SUM(AH9:AH10)</f>
        <v>18623901</v>
      </c>
      <c r="AI8" s="969">
        <f t="shared" si="4"/>
        <v>2481050</v>
      </c>
      <c r="AJ8" s="1050">
        <f t="shared" si="4"/>
        <v>0</v>
      </c>
      <c r="AK8" s="964">
        <f t="shared" si="4"/>
        <v>2592810</v>
      </c>
      <c r="AL8" s="1050">
        <f t="shared" si="4"/>
        <v>0</v>
      </c>
      <c r="AM8" s="964">
        <f t="shared" si="4"/>
        <v>2592810</v>
      </c>
      <c r="AN8" s="1050">
        <f t="shared" si="4"/>
        <v>0</v>
      </c>
      <c r="AO8" s="964">
        <f t="shared" si="4"/>
        <v>2173817</v>
      </c>
      <c r="AP8" s="974">
        <f t="shared" si="4"/>
        <v>2173817</v>
      </c>
      <c r="AQ8" s="952"/>
    </row>
    <row r="9" spans="1:45" ht="20.25" customHeight="1" x14ac:dyDescent="0.25">
      <c r="A9" s="4531" t="s">
        <v>839</v>
      </c>
      <c r="B9" s="4552"/>
      <c r="C9" s="1072">
        <f t="shared" si="0"/>
        <v>13866520</v>
      </c>
      <c r="D9" s="1036">
        <f t="shared" si="0"/>
        <v>0</v>
      </c>
      <c r="E9" s="1072">
        <f t="shared" si="0"/>
        <v>17885858</v>
      </c>
      <c r="F9" s="1072">
        <f t="shared" si="0"/>
        <v>0</v>
      </c>
      <c r="G9" s="1072">
        <f t="shared" si="0"/>
        <v>19081971</v>
      </c>
      <c r="H9" s="1072">
        <f t="shared" si="0"/>
        <v>0</v>
      </c>
      <c r="I9" s="2315">
        <f t="shared" si="0"/>
        <v>17668076</v>
      </c>
      <c r="J9" s="2310">
        <f t="shared" si="0"/>
        <v>17668076</v>
      </c>
      <c r="K9" s="969">
        <v>2616000</v>
      </c>
      <c r="L9" s="964"/>
      <c r="M9" s="964">
        <v>3702334</v>
      </c>
      <c r="N9" s="964"/>
      <c r="O9" s="964">
        <v>4245740</v>
      </c>
      <c r="P9" s="964"/>
      <c r="Q9" s="964">
        <v>4225909</v>
      </c>
      <c r="R9" s="970">
        <v>4225909</v>
      </c>
      <c r="S9" s="969">
        <v>3155520</v>
      </c>
      <c r="T9" s="963"/>
      <c r="U9" s="964">
        <v>3469914</v>
      </c>
      <c r="V9" s="968"/>
      <c r="W9" s="968">
        <v>3627643</v>
      </c>
      <c r="X9" s="968"/>
      <c r="Y9" s="968">
        <v>3349252</v>
      </c>
      <c r="Z9" s="970">
        <v>3349252</v>
      </c>
      <c r="AA9" s="969">
        <v>8095000</v>
      </c>
      <c r="AB9" s="964"/>
      <c r="AC9" s="964">
        <v>8983610</v>
      </c>
      <c r="AD9" s="964"/>
      <c r="AE9" s="964">
        <v>9478588</v>
      </c>
      <c r="AF9" s="964"/>
      <c r="AG9" s="964">
        <v>8595139</v>
      </c>
      <c r="AH9" s="970">
        <v>8595139</v>
      </c>
      <c r="AI9" s="1066"/>
      <c r="AJ9" s="963"/>
      <c r="AK9" s="963">
        <v>1730000</v>
      </c>
      <c r="AL9" s="963"/>
      <c r="AM9" s="963">
        <v>1730000</v>
      </c>
      <c r="AN9" s="963"/>
      <c r="AO9" s="963">
        <v>1497776</v>
      </c>
      <c r="AP9" s="966">
        <v>1497776</v>
      </c>
      <c r="AQ9" s="952"/>
    </row>
    <row r="10" spans="1:45" ht="20.25" customHeight="1" x14ac:dyDescent="0.25">
      <c r="A10" s="4531" t="s">
        <v>840</v>
      </c>
      <c r="B10" s="4552"/>
      <c r="C10" s="1072">
        <f t="shared" si="0"/>
        <v>42600032</v>
      </c>
      <c r="D10" s="1036">
        <f t="shared" si="0"/>
        <v>0</v>
      </c>
      <c r="E10" s="1072">
        <f t="shared" si="0"/>
        <v>41144418</v>
      </c>
      <c r="F10" s="1072">
        <f t="shared" si="0"/>
        <v>0</v>
      </c>
      <c r="G10" s="1072">
        <f t="shared" si="0"/>
        <v>42149652</v>
      </c>
      <c r="H10" s="1072">
        <f t="shared" si="0"/>
        <v>0</v>
      </c>
      <c r="I10" s="2315">
        <f t="shared" si="0"/>
        <v>38633839</v>
      </c>
      <c r="J10" s="2310">
        <f>SUM(R10+Z10+AH10+AP10)</f>
        <v>38633839</v>
      </c>
      <c r="K10" s="969">
        <v>19948670</v>
      </c>
      <c r="L10" s="964"/>
      <c r="M10" s="972">
        <v>20111296</v>
      </c>
      <c r="N10" s="972"/>
      <c r="O10" s="972">
        <v>20752055</v>
      </c>
      <c r="P10" s="972"/>
      <c r="Q10" s="972">
        <v>21049365</v>
      </c>
      <c r="R10" s="973">
        <v>21049365</v>
      </c>
      <c r="S10" s="969">
        <v>8429248</v>
      </c>
      <c r="T10" s="963"/>
      <c r="U10" s="964">
        <v>8429248</v>
      </c>
      <c r="V10" s="968"/>
      <c r="W10" s="968">
        <v>8554723</v>
      </c>
      <c r="X10" s="968"/>
      <c r="Y10" s="968">
        <v>6879671</v>
      </c>
      <c r="Z10" s="970">
        <v>6879671</v>
      </c>
      <c r="AA10" s="969">
        <v>11741064</v>
      </c>
      <c r="AB10" s="964"/>
      <c r="AC10" s="964">
        <v>11741064</v>
      </c>
      <c r="AD10" s="964"/>
      <c r="AE10" s="964">
        <v>11980064</v>
      </c>
      <c r="AF10" s="964"/>
      <c r="AG10" s="964">
        <v>10028762</v>
      </c>
      <c r="AH10" s="970">
        <v>10028762</v>
      </c>
      <c r="AI10" s="969">
        <v>2481050</v>
      </c>
      <c r="AJ10" s="963"/>
      <c r="AK10" s="963">
        <v>862810</v>
      </c>
      <c r="AL10" s="963"/>
      <c r="AM10" s="963">
        <v>862810</v>
      </c>
      <c r="AN10" s="963"/>
      <c r="AO10" s="963">
        <v>676041</v>
      </c>
      <c r="AP10" s="974">
        <v>676041</v>
      </c>
      <c r="AQ10" s="960"/>
      <c r="AR10" s="960"/>
      <c r="AS10" s="960"/>
    </row>
    <row r="11" spans="1:45" ht="20.25" customHeight="1" x14ac:dyDescent="0.25">
      <c r="A11" s="4531" t="s">
        <v>872</v>
      </c>
      <c r="B11" s="4552"/>
      <c r="C11" s="1072">
        <f t="shared" si="0"/>
        <v>0</v>
      </c>
      <c r="D11" s="1036">
        <f t="shared" si="0"/>
        <v>0</v>
      </c>
      <c r="E11" s="1035">
        <f t="shared" si="0"/>
        <v>0</v>
      </c>
      <c r="F11" s="2310">
        <f t="shared" si="0"/>
        <v>0</v>
      </c>
      <c r="G11" s="1072">
        <f t="shared" si="0"/>
        <v>0</v>
      </c>
      <c r="H11" s="2310">
        <f t="shared" si="0"/>
        <v>0</v>
      </c>
      <c r="I11" s="2315">
        <f t="shared" si="0"/>
        <v>1528199</v>
      </c>
      <c r="J11" s="2310">
        <f t="shared" si="0"/>
        <v>30423</v>
      </c>
      <c r="K11" s="969"/>
      <c r="L11" s="964"/>
      <c r="M11" s="972"/>
      <c r="N11" s="972"/>
      <c r="O11" s="972"/>
      <c r="P11" s="972"/>
      <c r="Q11" s="972">
        <v>30423</v>
      </c>
      <c r="R11" s="973">
        <v>30423</v>
      </c>
      <c r="S11" s="976"/>
      <c r="T11" s="979"/>
      <c r="U11" s="977"/>
      <c r="V11" s="978"/>
      <c r="W11" s="978"/>
      <c r="X11" s="978"/>
      <c r="Y11" s="978"/>
      <c r="Z11" s="978"/>
      <c r="AA11" s="969"/>
      <c r="AB11" s="964"/>
      <c r="AC11" s="964"/>
      <c r="AD11" s="964"/>
      <c r="AE11" s="964"/>
      <c r="AF11" s="964"/>
      <c r="AG11" s="964"/>
      <c r="AH11" s="970"/>
      <c r="AI11" s="976"/>
      <c r="AJ11" s="979"/>
      <c r="AK11" s="979"/>
      <c r="AL11" s="979"/>
      <c r="AM11" s="979"/>
      <c r="AN11" s="979"/>
      <c r="AO11" s="963">
        <v>1497776</v>
      </c>
      <c r="AP11" s="974"/>
      <c r="AQ11" s="960"/>
      <c r="AR11" s="960"/>
      <c r="AS11" s="960"/>
    </row>
    <row r="12" spans="1:45" ht="20.25" customHeight="1" x14ac:dyDescent="0.25">
      <c r="A12" s="4531" t="s">
        <v>1052</v>
      </c>
      <c r="B12" s="4637"/>
      <c r="C12" s="1072">
        <f t="shared" si="0"/>
        <v>0</v>
      </c>
      <c r="D12" s="1036">
        <f t="shared" si="0"/>
        <v>0</v>
      </c>
      <c r="E12" s="1035">
        <f t="shared" si="0"/>
        <v>0</v>
      </c>
      <c r="F12" s="2310">
        <f t="shared" si="0"/>
        <v>0</v>
      </c>
      <c r="G12" s="1072">
        <f t="shared" si="0"/>
        <v>0</v>
      </c>
      <c r="H12" s="2310">
        <f t="shared" si="0"/>
        <v>0</v>
      </c>
      <c r="I12" s="2315">
        <f>SUM(Q12+Y12+AG12+AO12)</f>
        <v>20000</v>
      </c>
      <c r="J12" s="2310">
        <f>SUM(R12+Z12+AH12+AP12)</f>
        <v>20000</v>
      </c>
      <c r="K12" s="969"/>
      <c r="L12" s="964"/>
      <c r="M12" s="972"/>
      <c r="N12" s="972"/>
      <c r="O12" s="972"/>
      <c r="P12" s="972"/>
      <c r="Q12" s="972">
        <v>20000</v>
      </c>
      <c r="R12" s="973">
        <v>20000</v>
      </c>
      <c r="S12" s="976"/>
      <c r="T12" s="979"/>
      <c r="U12" s="977"/>
      <c r="V12" s="978"/>
      <c r="W12" s="978"/>
      <c r="X12" s="978"/>
      <c r="Y12" s="978"/>
      <c r="Z12" s="978"/>
      <c r="AA12" s="969"/>
      <c r="AB12" s="964"/>
      <c r="AC12" s="964"/>
      <c r="AD12" s="964"/>
      <c r="AE12" s="964"/>
      <c r="AF12" s="964"/>
      <c r="AG12" s="964"/>
      <c r="AH12" s="970"/>
      <c r="AI12" s="976"/>
      <c r="AJ12" s="979"/>
      <c r="AK12" s="979"/>
      <c r="AL12" s="979"/>
      <c r="AM12" s="979"/>
      <c r="AN12" s="979"/>
      <c r="AO12" s="979"/>
      <c r="AP12" s="981"/>
      <c r="AQ12" s="960"/>
      <c r="AR12" s="960"/>
      <c r="AS12" s="960"/>
    </row>
    <row r="13" spans="1:45" ht="24.75" customHeight="1" thickBot="1" x14ac:dyDescent="0.3">
      <c r="A13" s="4638" t="s">
        <v>299</v>
      </c>
      <c r="B13" s="4639"/>
      <c r="C13" s="2224">
        <f t="shared" si="0"/>
        <v>62630552</v>
      </c>
      <c r="D13" s="3118">
        <f t="shared" si="0"/>
        <v>0</v>
      </c>
      <c r="E13" s="3123">
        <f t="shared" si="0"/>
        <v>65198652</v>
      </c>
      <c r="F13" s="3117">
        <f t="shared" si="0"/>
        <v>0</v>
      </c>
      <c r="G13" s="2224">
        <f t="shared" si="0"/>
        <v>67404406</v>
      </c>
      <c r="H13" s="2224">
        <f t="shared" si="0"/>
        <v>0</v>
      </c>
      <c r="I13" s="3122">
        <f>SUM(Q13+Y13+AG13+AO13)</f>
        <v>62721002</v>
      </c>
      <c r="J13" s="3119">
        <f t="shared" si="0"/>
        <v>62721002</v>
      </c>
      <c r="K13" s="1031">
        <f t="shared" ref="K13:P13" si="5">SUM(K7+K9+K10)</f>
        <v>23468670</v>
      </c>
      <c r="L13" s="2312">
        <f t="shared" si="5"/>
        <v>0</v>
      </c>
      <c r="M13" s="3123">
        <f t="shared" si="5"/>
        <v>24722006</v>
      </c>
      <c r="N13" s="2312">
        <f t="shared" si="5"/>
        <v>0</v>
      </c>
      <c r="O13" s="2312">
        <f t="shared" si="5"/>
        <v>25910578</v>
      </c>
      <c r="P13" s="2312">
        <f t="shared" si="5"/>
        <v>0</v>
      </c>
      <c r="Q13" s="2312">
        <f>SUM(Q7+Q9+Q10+Q11+Q12)</f>
        <v>26113699</v>
      </c>
      <c r="R13" s="3119">
        <f>SUM(R7+R9+R10)+R11+R12</f>
        <v>26113699</v>
      </c>
      <c r="S13" s="1031">
        <f>SUM(S7+S9+S10)</f>
        <v>13284768</v>
      </c>
      <c r="T13" s="1030">
        <f t="shared" ref="T13:Y13" si="6">SUM(T7+T9+T10)</f>
        <v>0</v>
      </c>
      <c r="U13" s="3123">
        <f t="shared" si="6"/>
        <v>13599162</v>
      </c>
      <c r="V13" s="1031">
        <f t="shared" si="6"/>
        <v>0</v>
      </c>
      <c r="W13" s="1031">
        <f t="shared" si="6"/>
        <v>13882366</v>
      </c>
      <c r="X13" s="1031">
        <f t="shared" si="6"/>
        <v>0</v>
      </c>
      <c r="Y13" s="1031">
        <f t="shared" si="6"/>
        <v>11814378</v>
      </c>
      <c r="Z13" s="1029">
        <f>SUM(Z7+Z9+Z10)</f>
        <v>11814378</v>
      </c>
      <c r="AA13" s="1031">
        <f>SUM(AA7+AA9+AA10)</f>
        <v>21996064</v>
      </c>
      <c r="AB13" s="2312">
        <f t="shared" ref="AB13:AG13" si="7">SUM(AB7+AB9+AB10)</f>
        <v>0</v>
      </c>
      <c r="AC13" s="3123">
        <f t="shared" si="7"/>
        <v>22884674</v>
      </c>
      <c r="AD13" s="2312">
        <f t="shared" si="7"/>
        <v>0</v>
      </c>
      <c r="AE13" s="2312">
        <f t="shared" si="7"/>
        <v>23618652</v>
      </c>
      <c r="AF13" s="2312">
        <f t="shared" si="7"/>
        <v>0</v>
      </c>
      <c r="AG13" s="2312">
        <f t="shared" si="7"/>
        <v>21186308</v>
      </c>
      <c r="AH13" s="1859">
        <f>SUM(AH7+AH9+AH10)</f>
        <v>21186308</v>
      </c>
      <c r="AI13" s="1031">
        <f>SUM(AI7+AI9+AI10)</f>
        <v>3881050</v>
      </c>
      <c r="AJ13" s="1032"/>
      <c r="AK13" s="1032">
        <f t="shared" ref="AK13:AP13" si="8">SUM(AK7+AK9+AK10)</f>
        <v>3992810</v>
      </c>
      <c r="AL13" s="1032">
        <f t="shared" si="8"/>
        <v>0</v>
      </c>
      <c r="AM13" s="1032">
        <f t="shared" si="8"/>
        <v>3992810</v>
      </c>
      <c r="AN13" s="1032">
        <f t="shared" si="8"/>
        <v>0</v>
      </c>
      <c r="AO13" s="1032">
        <f t="shared" si="8"/>
        <v>3606617</v>
      </c>
      <c r="AP13" s="1033">
        <f t="shared" si="8"/>
        <v>3606617</v>
      </c>
      <c r="AQ13" s="952"/>
    </row>
    <row r="14" spans="1:45" ht="22.5" customHeight="1" thickTop="1" thickBot="1" x14ac:dyDescent="0.3">
      <c r="A14" s="2147"/>
      <c r="B14" s="953"/>
      <c r="C14" s="953"/>
      <c r="D14" s="953"/>
      <c r="E14" s="953"/>
      <c r="F14" s="953"/>
      <c r="G14" s="953"/>
      <c r="H14" s="953"/>
      <c r="I14" s="953"/>
      <c r="J14" s="953"/>
      <c r="K14" s="953"/>
      <c r="L14" s="953"/>
      <c r="M14" s="953"/>
      <c r="N14" s="953"/>
      <c r="O14" s="953"/>
      <c r="P14" s="953"/>
      <c r="Q14" s="953"/>
      <c r="R14" s="953"/>
      <c r="S14" s="953"/>
      <c r="T14" s="953"/>
      <c r="U14" s="953"/>
      <c r="V14" s="953"/>
      <c r="W14" s="953"/>
      <c r="X14" s="953"/>
      <c r="Y14" s="953"/>
      <c r="Z14" s="953"/>
      <c r="AA14" s="953"/>
      <c r="AB14" s="953"/>
      <c r="AC14" s="953"/>
      <c r="AD14" s="953"/>
      <c r="AE14" s="953"/>
      <c r="AF14" s="953"/>
      <c r="AG14" s="953"/>
      <c r="AH14" s="953"/>
      <c r="AI14" s="953"/>
      <c r="AJ14" s="953"/>
      <c r="AK14" s="953"/>
      <c r="AL14" s="953"/>
      <c r="AM14" s="953"/>
      <c r="AN14" s="953"/>
      <c r="AO14" s="953"/>
      <c r="AP14" s="2138"/>
      <c r="AQ14" s="952"/>
    </row>
    <row r="15" spans="1:45" ht="32.25" customHeight="1" thickTop="1" thickBot="1" x14ac:dyDescent="0.3">
      <c r="A15" s="4533" t="s">
        <v>841</v>
      </c>
      <c r="B15" s="4534"/>
      <c r="C15" s="4534"/>
      <c r="D15" s="4534"/>
      <c r="E15" s="4534"/>
      <c r="F15" s="4534"/>
      <c r="G15" s="4534"/>
      <c r="H15" s="4534"/>
      <c r="I15" s="4534"/>
      <c r="J15" s="4534"/>
      <c r="K15" s="4534"/>
      <c r="L15" s="4534"/>
      <c r="M15" s="4534"/>
      <c r="N15" s="4534"/>
      <c r="O15" s="4534"/>
      <c r="P15" s="4534"/>
      <c r="Q15" s="4534"/>
      <c r="R15" s="4534"/>
      <c r="S15" s="4534"/>
      <c r="T15" s="4534"/>
      <c r="U15" s="4534"/>
      <c r="V15" s="4534"/>
      <c r="W15" s="4534"/>
      <c r="X15" s="4534"/>
      <c r="Y15" s="4534"/>
      <c r="Z15" s="4534"/>
      <c r="AA15" s="4534"/>
      <c r="AB15" s="4534"/>
      <c r="AC15" s="4534"/>
      <c r="AD15" s="4534"/>
      <c r="AE15" s="4534"/>
      <c r="AF15" s="4534"/>
      <c r="AG15" s="4534"/>
      <c r="AH15" s="4534"/>
      <c r="AI15" s="4534"/>
      <c r="AJ15" s="4534"/>
      <c r="AK15" s="4642"/>
      <c r="AL15" s="4642"/>
      <c r="AM15" s="4642"/>
      <c r="AN15" s="4642"/>
      <c r="AO15" s="4642"/>
      <c r="AP15" s="4643"/>
      <c r="AQ15" s="952"/>
    </row>
    <row r="16" spans="1:45" ht="20.25" customHeight="1" thickTop="1" x14ac:dyDescent="0.25">
      <c r="A16" s="4527" t="s">
        <v>842</v>
      </c>
      <c r="B16" s="4555"/>
      <c r="C16" s="997">
        <f>SUM(K16+S16+AA16+AI16)</f>
        <v>38552054</v>
      </c>
      <c r="D16" s="2265">
        <f t="shared" ref="D16:I19" si="9">SUM(L16+T16+AB16+AJ16)</f>
        <v>0</v>
      </c>
      <c r="E16" s="994">
        <f t="shared" si="9"/>
        <v>40510647</v>
      </c>
      <c r="F16" s="2265">
        <f t="shared" si="9"/>
        <v>0</v>
      </c>
      <c r="G16" s="993">
        <f t="shared" si="9"/>
        <v>42352781</v>
      </c>
      <c r="H16" s="993">
        <f t="shared" si="9"/>
        <v>0</v>
      </c>
      <c r="I16" s="993">
        <f t="shared" si="9"/>
        <v>42315288</v>
      </c>
      <c r="J16" s="995">
        <f>SUM(R16+Z16+AH16+AP16)</f>
        <v>42315288</v>
      </c>
      <c r="K16" s="997">
        <v>12665576</v>
      </c>
      <c r="L16" s="996"/>
      <c r="M16" s="994">
        <v>13620804</v>
      </c>
      <c r="N16" s="1034"/>
      <c r="O16" s="1034">
        <v>14611736</v>
      </c>
      <c r="P16" s="1034"/>
      <c r="Q16" s="1034">
        <v>15844823</v>
      </c>
      <c r="R16" s="995">
        <v>15844823</v>
      </c>
      <c r="S16" s="997">
        <v>6879188</v>
      </c>
      <c r="T16" s="996"/>
      <c r="U16" s="994">
        <v>7141328</v>
      </c>
      <c r="V16" s="1034"/>
      <c r="W16" s="1034">
        <v>7379445</v>
      </c>
      <c r="X16" s="1034"/>
      <c r="Y16" s="1034">
        <v>7371115</v>
      </c>
      <c r="Z16" s="995">
        <v>7371115</v>
      </c>
      <c r="AA16" s="997">
        <v>17496290</v>
      </c>
      <c r="AB16" s="996"/>
      <c r="AC16" s="994">
        <v>18237515</v>
      </c>
      <c r="AD16" s="1034"/>
      <c r="AE16" s="1034">
        <v>18850600</v>
      </c>
      <c r="AF16" s="1034"/>
      <c r="AG16" s="1034">
        <v>17516556</v>
      </c>
      <c r="AH16" s="995">
        <v>17516556</v>
      </c>
      <c r="AI16" s="1234">
        <v>1511000</v>
      </c>
      <c r="AJ16" s="998"/>
      <c r="AK16" s="998">
        <v>1511000</v>
      </c>
      <c r="AL16" s="1041"/>
      <c r="AM16" s="1041">
        <v>1511000</v>
      </c>
      <c r="AN16" s="1041"/>
      <c r="AO16" s="1041">
        <v>1582794</v>
      </c>
      <c r="AP16" s="999">
        <v>1582794</v>
      </c>
      <c r="AQ16" s="952"/>
    </row>
    <row r="17" spans="1:43" ht="20.25" customHeight="1" x14ac:dyDescent="0.25">
      <c r="A17" s="4531" t="s">
        <v>843</v>
      </c>
      <c r="B17" s="4552"/>
      <c r="C17" s="969">
        <f>SUM(K17+S17+AA17+AI17)</f>
        <v>7435732</v>
      </c>
      <c r="D17" s="1050">
        <f t="shared" si="9"/>
        <v>0</v>
      </c>
      <c r="E17" s="964">
        <f t="shared" si="9"/>
        <v>7829816</v>
      </c>
      <c r="F17" s="1050">
        <f t="shared" si="9"/>
        <v>0</v>
      </c>
      <c r="G17" s="962">
        <f t="shared" si="9"/>
        <v>8189029</v>
      </c>
      <c r="H17" s="962">
        <f t="shared" si="9"/>
        <v>0</v>
      </c>
      <c r="I17" s="962">
        <f t="shared" si="9"/>
        <v>8265298</v>
      </c>
      <c r="J17" s="970">
        <f>SUM(R17+Z17+AH17+AP17)</f>
        <v>8265298</v>
      </c>
      <c r="K17" s="969">
        <v>2557543</v>
      </c>
      <c r="L17" s="963"/>
      <c r="M17" s="1035">
        <v>2751988</v>
      </c>
      <c r="N17" s="1065"/>
      <c r="O17" s="1065">
        <v>2945221</v>
      </c>
      <c r="P17" s="1065"/>
      <c r="Q17" s="1065">
        <v>3136461</v>
      </c>
      <c r="R17" s="970">
        <v>3136461</v>
      </c>
      <c r="S17" s="969">
        <v>1391620</v>
      </c>
      <c r="T17" s="963"/>
      <c r="U17" s="1035">
        <v>1443874</v>
      </c>
      <c r="V17" s="1035"/>
      <c r="W17" s="1035">
        <v>1488961</v>
      </c>
      <c r="X17" s="2223"/>
      <c r="Y17" s="2223">
        <v>1481392</v>
      </c>
      <c r="Z17" s="970">
        <v>1481392</v>
      </c>
      <c r="AA17" s="969">
        <v>3294569</v>
      </c>
      <c r="AB17" s="963"/>
      <c r="AC17" s="1035">
        <v>3441954</v>
      </c>
      <c r="AD17" s="1065"/>
      <c r="AE17" s="1065">
        <v>3562847</v>
      </c>
      <c r="AF17" s="1065"/>
      <c r="AG17" s="1065">
        <v>3470202</v>
      </c>
      <c r="AH17" s="970">
        <v>3470202</v>
      </c>
      <c r="AI17" s="1072">
        <v>192000</v>
      </c>
      <c r="AJ17" s="1036"/>
      <c r="AK17" s="1036">
        <v>192000</v>
      </c>
      <c r="AL17" s="1035"/>
      <c r="AM17" s="1035">
        <v>192000</v>
      </c>
      <c r="AN17" s="1035"/>
      <c r="AO17" s="1035">
        <v>177243</v>
      </c>
      <c r="AP17" s="1037">
        <v>177243</v>
      </c>
      <c r="AQ17" s="952"/>
    </row>
    <row r="18" spans="1:43" ht="20.25" customHeight="1" x14ac:dyDescent="0.25">
      <c r="A18" s="4546" t="s">
        <v>844</v>
      </c>
      <c r="B18" s="4547"/>
      <c r="C18" s="969">
        <f>SUM(K18+S18+AA18+AI18)</f>
        <v>14737766</v>
      </c>
      <c r="D18" s="1050">
        <f t="shared" si="9"/>
        <v>0</v>
      </c>
      <c r="E18" s="964">
        <f t="shared" si="9"/>
        <v>14953189</v>
      </c>
      <c r="F18" s="1050">
        <f t="shared" si="9"/>
        <v>0</v>
      </c>
      <c r="G18" s="962">
        <f t="shared" si="9"/>
        <v>14957596</v>
      </c>
      <c r="H18" s="962">
        <f t="shared" si="9"/>
        <v>0</v>
      </c>
      <c r="I18" s="962">
        <f t="shared" si="9"/>
        <v>11155401</v>
      </c>
      <c r="J18" s="970">
        <f>SUM(R18+Z18+AH18+AP18)</f>
        <v>11155401</v>
      </c>
      <c r="K18" s="969">
        <v>6848551</v>
      </c>
      <c r="L18" s="963"/>
      <c r="M18" s="1035">
        <v>6952214</v>
      </c>
      <c r="N18" s="1065"/>
      <c r="O18" s="1065">
        <v>6956621</v>
      </c>
      <c r="P18" s="1065"/>
      <c r="Q18" s="1065">
        <v>6244996</v>
      </c>
      <c r="R18" s="970">
        <v>6244996</v>
      </c>
      <c r="S18" s="969">
        <v>4696460</v>
      </c>
      <c r="T18" s="963"/>
      <c r="U18" s="1035">
        <v>4696460</v>
      </c>
      <c r="V18" s="1035"/>
      <c r="W18" s="1035">
        <v>4696460</v>
      </c>
      <c r="X18" s="2223"/>
      <c r="Y18" s="2223">
        <v>2864275</v>
      </c>
      <c r="Z18" s="970">
        <v>2864275</v>
      </c>
      <c r="AA18" s="969">
        <v>1014705</v>
      </c>
      <c r="AB18" s="963"/>
      <c r="AC18" s="1035">
        <v>1014705</v>
      </c>
      <c r="AD18" s="1065"/>
      <c r="AE18" s="1065">
        <v>1014705</v>
      </c>
      <c r="AF18" s="1065"/>
      <c r="AG18" s="1065">
        <v>199550</v>
      </c>
      <c r="AH18" s="970">
        <v>199550</v>
      </c>
      <c r="AI18" s="1072">
        <v>2178050</v>
      </c>
      <c r="AJ18" s="1036"/>
      <c r="AK18" s="1036">
        <v>2289810</v>
      </c>
      <c r="AL18" s="963"/>
      <c r="AM18" s="963">
        <v>2289810</v>
      </c>
      <c r="AN18" s="963"/>
      <c r="AO18" s="963">
        <v>1846580</v>
      </c>
      <c r="AP18" s="1037">
        <v>1846580</v>
      </c>
      <c r="AQ18" s="952"/>
    </row>
    <row r="19" spans="1:43" ht="20.25" customHeight="1" x14ac:dyDescent="0.25">
      <c r="A19" s="4546" t="s">
        <v>845</v>
      </c>
      <c r="B19" s="4547"/>
      <c r="C19" s="969">
        <f>SUM(K19+S19+AA19+AI19)</f>
        <v>1905000</v>
      </c>
      <c r="D19" s="1050">
        <f t="shared" si="9"/>
        <v>0</v>
      </c>
      <c r="E19" s="964">
        <f t="shared" si="9"/>
        <v>1905000</v>
      </c>
      <c r="F19" s="1050">
        <f t="shared" si="9"/>
        <v>0</v>
      </c>
      <c r="G19" s="962">
        <f t="shared" si="9"/>
        <v>1905000</v>
      </c>
      <c r="H19" s="962">
        <f t="shared" si="9"/>
        <v>0</v>
      </c>
      <c r="I19" s="962">
        <f t="shared" si="9"/>
        <v>985015</v>
      </c>
      <c r="J19" s="970">
        <f>SUM(R19+Z19+AH19+AP19)</f>
        <v>985015</v>
      </c>
      <c r="K19" s="969">
        <v>1397000</v>
      </c>
      <c r="L19" s="963"/>
      <c r="M19" s="1035">
        <v>1397000</v>
      </c>
      <c r="N19" s="1065"/>
      <c r="O19" s="1065">
        <v>1397000</v>
      </c>
      <c r="P19" s="1065"/>
      <c r="Q19" s="1065">
        <v>887419</v>
      </c>
      <c r="R19" s="970">
        <v>887419</v>
      </c>
      <c r="S19" s="969">
        <v>317500</v>
      </c>
      <c r="T19" s="963"/>
      <c r="U19" s="1035">
        <v>317500</v>
      </c>
      <c r="V19" s="1035"/>
      <c r="W19" s="1035">
        <v>317500</v>
      </c>
      <c r="X19" s="2223"/>
      <c r="Y19" s="2223">
        <v>97596</v>
      </c>
      <c r="Z19" s="970">
        <v>97596</v>
      </c>
      <c r="AA19" s="969">
        <v>190500</v>
      </c>
      <c r="AB19" s="963"/>
      <c r="AC19" s="1035">
        <v>190500</v>
      </c>
      <c r="AD19" s="1035"/>
      <c r="AE19" s="1035">
        <v>190500</v>
      </c>
      <c r="AF19" s="2223"/>
      <c r="AG19" s="2223"/>
      <c r="AH19" s="970"/>
      <c r="AI19" s="1072"/>
      <c r="AJ19" s="1036"/>
      <c r="AK19" s="1036"/>
      <c r="AL19" s="963"/>
      <c r="AM19" s="963"/>
      <c r="AN19" s="963"/>
      <c r="AO19" s="963"/>
      <c r="AP19" s="1037"/>
      <c r="AQ19" s="952"/>
    </row>
    <row r="20" spans="1:43" ht="24.75" customHeight="1" thickBot="1" x14ac:dyDescent="0.3">
      <c r="A20" s="4640" t="s">
        <v>517</v>
      </c>
      <c r="B20" s="4641"/>
      <c r="C20" s="2224">
        <f>SUM(C16:C19)</f>
        <v>62630552</v>
      </c>
      <c r="D20" s="3120">
        <f t="shared" ref="D20:I20" si="10">SUM(D16:D19)</f>
        <v>0</v>
      </c>
      <c r="E20" s="2312">
        <f t="shared" si="10"/>
        <v>65198652</v>
      </c>
      <c r="F20" s="3120">
        <f t="shared" si="10"/>
        <v>0</v>
      </c>
      <c r="G20" s="1030">
        <f t="shared" si="10"/>
        <v>67404406</v>
      </c>
      <c r="H20" s="1030">
        <f t="shared" si="10"/>
        <v>0</v>
      </c>
      <c r="I20" s="1030">
        <f t="shared" si="10"/>
        <v>62721002</v>
      </c>
      <c r="J20" s="3121">
        <f>SUM(J16:J19)</f>
        <v>62721002</v>
      </c>
      <c r="K20" s="2224">
        <f>SUM(K16:K19)</f>
        <v>23468670</v>
      </c>
      <c r="L20" s="2311">
        <f t="shared" ref="L20:Q20" si="11">SUM(L16:L19)</f>
        <v>0</v>
      </c>
      <c r="M20" s="2312">
        <f t="shared" si="11"/>
        <v>24722006</v>
      </c>
      <c r="N20" s="2311">
        <f t="shared" si="11"/>
        <v>0</v>
      </c>
      <c r="O20" s="2311">
        <f t="shared" si="11"/>
        <v>25910578</v>
      </c>
      <c r="P20" s="2311">
        <f t="shared" si="11"/>
        <v>0</v>
      </c>
      <c r="Q20" s="2311">
        <f t="shared" si="11"/>
        <v>26113699</v>
      </c>
      <c r="R20" s="3121">
        <f>SUM(R16:R19)</f>
        <v>26113699</v>
      </c>
      <c r="S20" s="2224">
        <f>SUM(S16:S19)</f>
        <v>13284768</v>
      </c>
      <c r="T20" s="2311">
        <f t="shared" ref="T20:Y20" si="12">SUM(T16:T19)</f>
        <v>0</v>
      </c>
      <c r="U20" s="2312">
        <f t="shared" si="12"/>
        <v>13599162</v>
      </c>
      <c r="V20" s="2311">
        <f t="shared" si="12"/>
        <v>0</v>
      </c>
      <c r="W20" s="2311">
        <f t="shared" si="12"/>
        <v>13882366</v>
      </c>
      <c r="X20" s="2311">
        <f t="shared" si="12"/>
        <v>0</v>
      </c>
      <c r="Y20" s="2311">
        <f t="shared" si="12"/>
        <v>11814378</v>
      </c>
      <c r="Z20" s="3121">
        <f>SUM(Z16:Z19)</f>
        <v>11814378</v>
      </c>
      <c r="AA20" s="2224">
        <f>SUM(AA16:AA19)</f>
        <v>21996064</v>
      </c>
      <c r="AB20" s="2312">
        <f t="shared" ref="AB20:AG20" si="13">SUM(AB16:AB19)</f>
        <v>0</v>
      </c>
      <c r="AC20" s="2312">
        <f t="shared" si="13"/>
        <v>22884674</v>
      </c>
      <c r="AD20" s="2312">
        <f t="shared" si="13"/>
        <v>0</v>
      </c>
      <c r="AE20" s="2312">
        <f t="shared" si="13"/>
        <v>23618652</v>
      </c>
      <c r="AF20" s="2312">
        <f t="shared" si="13"/>
        <v>0</v>
      </c>
      <c r="AG20" s="2312">
        <f t="shared" si="13"/>
        <v>21186308</v>
      </c>
      <c r="AH20" s="3121">
        <f>SUM(AH16:AH19)</f>
        <v>21186308</v>
      </c>
      <c r="AI20" s="1860">
        <f>SUM(AI16:AI19)</f>
        <v>3881050</v>
      </c>
      <c r="AJ20" s="1038"/>
      <c r="AK20" s="1038">
        <f t="shared" ref="AK20:AP20" si="14">SUM(AK16:AK19)</f>
        <v>3992810</v>
      </c>
      <c r="AL20" s="1038">
        <f t="shared" si="14"/>
        <v>0</v>
      </c>
      <c r="AM20" s="1038">
        <f t="shared" si="14"/>
        <v>3992810</v>
      </c>
      <c r="AN20" s="1038">
        <f t="shared" si="14"/>
        <v>0</v>
      </c>
      <c r="AO20" s="1038">
        <f t="shared" si="14"/>
        <v>3606617</v>
      </c>
      <c r="AP20" s="1039">
        <f t="shared" si="14"/>
        <v>3606617</v>
      </c>
      <c r="AQ20" s="952"/>
    </row>
    <row r="21" spans="1:43" ht="15.75" thickTop="1" x14ac:dyDescent="0.25">
      <c r="A21" s="1104"/>
      <c r="B21" s="1104"/>
      <c r="C21" s="1105"/>
      <c r="D21" s="1105"/>
      <c r="E21" s="1105"/>
      <c r="F21" s="1105"/>
      <c r="G21" s="1105"/>
      <c r="H21" s="1105"/>
      <c r="I21" s="1105"/>
      <c r="J21" s="1105"/>
      <c r="K21" s="1106"/>
      <c r="L21" s="1106"/>
      <c r="M21" s="1106"/>
      <c r="N21" s="1106"/>
      <c r="O21" s="1106"/>
      <c r="P21" s="1106"/>
      <c r="Q21" s="1106"/>
      <c r="R21" s="1106"/>
      <c r="S21" s="1106"/>
      <c r="T21" s="1106"/>
      <c r="U21" s="1106"/>
      <c r="V21" s="1106"/>
      <c r="W21" s="1106"/>
      <c r="X21" s="1106"/>
      <c r="Y21" s="1106"/>
      <c r="Z21" s="1106"/>
      <c r="AA21" s="1105"/>
      <c r="AB21" s="1105"/>
      <c r="AC21" s="1105"/>
      <c r="AD21" s="1105"/>
      <c r="AE21" s="1105"/>
      <c r="AF21" s="1105"/>
      <c r="AG21" s="1105"/>
      <c r="AH21" s="1106"/>
      <c r="AI21" s="1106"/>
      <c r="AJ21" s="1106"/>
      <c r="AK21" s="1106"/>
      <c r="AL21" s="1106"/>
      <c r="AM21" s="1106"/>
      <c r="AN21" s="1106"/>
      <c r="AO21" s="1106"/>
      <c r="AP21" s="1105"/>
      <c r="AQ21" s="952"/>
    </row>
    <row r="22" spans="1:43" x14ac:dyDescent="0.25">
      <c r="A22" s="992"/>
      <c r="B22" s="992"/>
      <c r="C22" s="992"/>
      <c r="D22" s="992"/>
      <c r="E22" s="992"/>
      <c r="F22" s="992"/>
      <c r="G22" s="992"/>
      <c r="H22" s="992"/>
      <c r="I22" s="992"/>
      <c r="J22" s="992"/>
      <c r="K22" s="992"/>
      <c r="L22" s="992"/>
      <c r="M22" s="992"/>
      <c r="N22" s="992"/>
      <c r="O22" s="992"/>
      <c r="P22" s="992"/>
      <c r="Q22" s="992"/>
      <c r="R22" s="992"/>
      <c r="S22" s="992"/>
      <c r="T22" s="992"/>
      <c r="U22" s="992"/>
      <c r="V22" s="992"/>
      <c r="W22" s="992"/>
      <c r="X22" s="992"/>
      <c r="Y22" s="992"/>
      <c r="Z22" s="992"/>
      <c r="AA22" s="952"/>
      <c r="AB22" s="952"/>
      <c r="AC22" s="952"/>
      <c r="AD22" s="952"/>
      <c r="AE22" s="952"/>
      <c r="AF22" s="952"/>
      <c r="AG22" s="952"/>
      <c r="AH22" s="952"/>
      <c r="AI22" s="952"/>
      <c r="AJ22" s="952"/>
      <c r="AK22" s="952"/>
      <c r="AL22" s="952"/>
      <c r="AM22" s="952"/>
      <c r="AN22" s="952"/>
      <c r="AO22" s="952"/>
      <c r="AP22" s="952"/>
      <c r="AQ22" s="952"/>
    </row>
    <row r="23" spans="1:43" x14ac:dyDescent="0.25">
      <c r="A23" s="992"/>
      <c r="B23" s="992"/>
      <c r="C23" s="1007">
        <f>SUM(C20-C13)</f>
        <v>0</v>
      </c>
      <c r="D23" s="1007">
        <f t="shared" ref="D23:AP23" si="15">SUM(D20-D13)</f>
        <v>0</v>
      </c>
      <c r="E23" s="1007">
        <f t="shared" si="15"/>
        <v>0</v>
      </c>
      <c r="F23" s="1007">
        <f t="shared" si="15"/>
        <v>0</v>
      </c>
      <c r="G23" s="1007">
        <f t="shared" si="15"/>
        <v>0</v>
      </c>
      <c r="H23" s="1007">
        <f t="shared" si="15"/>
        <v>0</v>
      </c>
      <c r="I23" s="1007">
        <f t="shared" si="15"/>
        <v>0</v>
      </c>
      <c r="J23" s="1007">
        <f t="shared" si="15"/>
        <v>0</v>
      </c>
      <c r="K23" s="1007">
        <f t="shared" si="15"/>
        <v>0</v>
      </c>
      <c r="L23" s="1007">
        <f t="shared" si="15"/>
        <v>0</v>
      </c>
      <c r="M23" s="1007">
        <f t="shared" si="15"/>
        <v>0</v>
      </c>
      <c r="N23" s="1007">
        <f t="shared" si="15"/>
        <v>0</v>
      </c>
      <c r="O23" s="1007">
        <f t="shared" si="15"/>
        <v>0</v>
      </c>
      <c r="P23" s="1007">
        <f t="shared" si="15"/>
        <v>0</v>
      </c>
      <c r="Q23" s="1007">
        <f t="shared" si="15"/>
        <v>0</v>
      </c>
      <c r="R23" s="1007">
        <f t="shared" si="15"/>
        <v>0</v>
      </c>
      <c r="S23" s="1007">
        <f t="shared" si="15"/>
        <v>0</v>
      </c>
      <c r="T23" s="1007">
        <f t="shared" si="15"/>
        <v>0</v>
      </c>
      <c r="U23" s="1007">
        <f t="shared" si="15"/>
        <v>0</v>
      </c>
      <c r="V23" s="1007">
        <f t="shared" si="15"/>
        <v>0</v>
      </c>
      <c r="W23" s="1007">
        <f t="shared" si="15"/>
        <v>0</v>
      </c>
      <c r="X23" s="1007">
        <f t="shared" si="15"/>
        <v>0</v>
      </c>
      <c r="Y23" s="1007">
        <f t="shared" si="15"/>
        <v>0</v>
      </c>
      <c r="Z23" s="1007">
        <f t="shared" si="15"/>
        <v>0</v>
      </c>
      <c r="AA23" s="1007">
        <f t="shared" si="15"/>
        <v>0</v>
      </c>
      <c r="AB23" s="1007">
        <f t="shared" si="15"/>
        <v>0</v>
      </c>
      <c r="AC23" s="1007">
        <f t="shared" si="15"/>
        <v>0</v>
      </c>
      <c r="AD23" s="1007">
        <f t="shared" si="15"/>
        <v>0</v>
      </c>
      <c r="AE23" s="1007">
        <f t="shared" si="15"/>
        <v>0</v>
      </c>
      <c r="AF23" s="1007">
        <f t="shared" si="15"/>
        <v>0</v>
      </c>
      <c r="AG23" s="1007">
        <f t="shared" si="15"/>
        <v>0</v>
      </c>
      <c r="AH23" s="1007">
        <f>SUM(AH20-AH13)</f>
        <v>0</v>
      </c>
      <c r="AI23" s="1007">
        <f t="shared" si="15"/>
        <v>0</v>
      </c>
      <c r="AJ23" s="1007">
        <f t="shared" si="15"/>
        <v>0</v>
      </c>
      <c r="AK23" s="1007">
        <f t="shared" si="15"/>
        <v>0</v>
      </c>
      <c r="AL23" s="1007">
        <f t="shared" si="15"/>
        <v>0</v>
      </c>
      <c r="AM23" s="1007">
        <f t="shared" si="15"/>
        <v>0</v>
      </c>
      <c r="AN23" s="1007">
        <f t="shared" si="15"/>
        <v>0</v>
      </c>
      <c r="AO23" s="1007">
        <f t="shared" si="15"/>
        <v>0</v>
      </c>
      <c r="AP23" s="1007">
        <f t="shared" si="15"/>
        <v>0</v>
      </c>
      <c r="AQ23" s="952"/>
    </row>
    <row r="24" spans="1:43" x14ac:dyDescent="0.25">
      <c r="A24" s="992"/>
      <c r="B24" s="992"/>
      <c r="C24" s="992"/>
      <c r="D24" s="992"/>
      <c r="E24" s="992"/>
      <c r="F24" s="992"/>
      <c r="G24" s="992"/>
      <c r="H24" s="992"/>
      <c r="I24" s="992"/>
      <c r="J24" s="992"/>
      <c r="K24" s="992"/>
      <c r="L24" s="992"/>
      <c r="M24" s="992"/>
      <c r="N24" s="992"/>
      <c r="O24" s="992"/>
      <c r="P24" s="992"/>
      <c r="Q24" s="992"/>
      <c r="R24" s="992"/>
      <c r="S24" s="992"/>
      <c r="T24" s="992"/>
      <c r="U24" s="992"/>
      <c r="V24" s="992"/>
      <c r="W24" s="992"/>
      <c r="X24" s="992"/>
      <c r="Y24" s="992"/>
      <c r="Z24" s="992"/>
      <c r="AA24" s="952"/>
      <c r="AB24" s="952"/>
      <c r="AC24" s="952"/>
      <c r="AD24" s="952"/>
      <c r="AE24" s="952"/>
      <c r="AF24" s="952"/>
      <c r="AG24" s="952"/>
      <c r="AH24" s="952"/>
      <c r="AI24" s="952"/>
      <c r="AJ24" s="952"/>
      <c r="AK24" s="952"/>
      <c r="AL24" s="952"/>
      <c r="AM24" s="952"/>
      <c r="AN24" s="952"/>
      <c r="AO24" s="952"/>
      <c r="AP24" s="952"/>
      <c r="AQ24" s="952"/>
    </row>
    <row r="25" spans="1:43" ht="15.75" x14ac:dyDescent="0.25">
      <c r="A25" s="4558" t="s">
        <v>909</v>
      </c>
      <c r="B25" s="4558"/>
      <c r="C25" s="1008"/>
      <c r="D25" s="1008"/>
      <c r="E25" s="1008"/>
      <c r="F25" s="1008"/>
      <c r="G25" s="1008"/>
      <c r="H25" s="1008"/>
      <c r="I25" s="1008"/>
      <c r="J25" s="1008"/>
      <c r="K25" s="992"/>
      <c r="L25" s="992"/>
      <c r="M25" s="992"/>
      <c r="N25" s="992"/>
      <c r="O25" s="992"/>
      <c r="P25" s="992"/>
      <c r="Q25" s="992"/>
      <c r="R25" s="992"/>
      <c r="S25" s="992"/>
      <c r="T25" s="992"/>
      <c r="U25" s="992"/>
      <c r="V25" s="992"/>
      <c r="W25" s="992"/>
      <c r="X25" s="992"/>
      <c r="Y25" s="992"/>
      <c r="Z25" s="992"/>
      <c r="AA25" s="952"/>
      <c r="AB25" s="952"/>
      <c r="AC25" s="952"/>
      <c r="AD25" s="952"/>
      <c r="AE25" s="952"/>
      <c r="AF25" s="952"/>
      <c r="AG25" s="952"/>
      <c r="AH25" s="952"/>
      <c r="AI25" s="952"/>
      <c r="AJ25" s="952"/>
      <c r="AK25" s="952"/>
      <c r="AL25" s="952"/>
      <c r="AM25" s="952"/>
      <c r="AN25" s="952"/>
      <c r="AO25" s="952"/>
      <c r="AP25" s="952"/>
      <c r="AQ25" s="952"/>
    </row>
    <row r="26" spans="1:43" x14ac:dyDescent="0.25">
      <c r="A26" s="992"/>
      <c r="B26" s="992"/>
      <c r="C26" s="992"/>
      <c r="D26" s="992"/>
      <c r="E26" s="992"/>
      <c r="F26" s="992"/>
      <c r="G26" s="992"/>
      <c r="H26" s="992"/>
      <c r="I26" s="992"/>
      <c r="J26" s="992"/>
      <c r="K26" s="992"/>
      <c r="L26" s="992"/>
      <c r="M26" s="992"/>
      <c r="N26" s="992"/>
      <c r="O26" s="992"/>
      <c r="P26" s="992"/>
      <c r="Q26" s="992"/>
      <c r="R26" s="992"/>
      <c r="S26" s="992"/>
      <c r="T26" s="992"/>
      <c r="U26" s="992"/>
      <c r="V26" s="992"/>
      <c r="W26" s="992"/>
      <c r="X26" s="992"/>
      <c r="Y26" s="992"/>
      <c r="Z26" s="992"/>
      <c r="AA26" s="952"/>
      <c r="AB26" s="952"/>
      <c r="AC26" s="952"/>
      <c r="AD26" s="952"/>
      <c r="AE26" s="952"/>
      <c r="AF26" s="952"/>
      <c r="AG26" s="952"/>
      <c r="AH26" s="952"/>
      <c r="AI26" s="952"/>
      <c r="AJ26" s="952"/>
      <c r="AK26" s="952"/>
      <c r="AL26" s="952"/>
      <c r="AM26" s="952"/>
      <c r="AN26" s="952"/>
      <c r="AO26" s="952"/>
      <c r="AP26" s="952"/>
      <c r="AQ26" s="952"/>
    </row>
    <row r="27" spans="1:43" ht="15.75" x14ac:dyDescent="0.25">
      <c r="A27" s="4548" t="s">
        <v>786</v>
      </c>
      <c r="B27" s="4548"/>
      <c r="C27" s="1007">
        <f>SUM('5.9. sz. mell.'!F8)</f>
        <v>6164000</v>
      </c>
      <c r="D27" s="1007"/>
      <c r="E27" s="1007">
        <f>SUM('5.9. sz. mell.'!H8)</f>
        <v>6168376</v>
      </c>
      <c r="F27" s="1007">
        <f>SUM('5.9. sz. mell.'!I8)</f>
        <v>200288</v>
      </c>
      <c r="G27" s="1007">
        <f>SUM('5.9. sz. mell.'!J8)</f>
        <v>6368664</v>
      </c>
      <c r="H27" s="1007">
        <f>SUM('5.9. sz. mell.'!K8)</f>
        <v>0</v>
      </c>
      <c r="I27" s="1007">
        <f>SUM('5.9. sz. mell.'!L8)</f>
        <v>6368664</v>
      </c>
      <c r="J27" s="1007">
        <f>SUM('5.9. sz. mell.'!M8)</f>
        <v>6368664</v>
      </c>
      <c r="K27" s="992"/>
      <c r="L27" s="992"/>
      <c r="M27" s="4548" t="s">
        <v>236</v>
      </c>
      <c r="N27" s="4548"/>
      <c r="O27" s="4548"/>
      <c r="P27" s="4548"/>
      <c r="Q27" s="4548"/>
      <c r="R27" s="4548"/>
      <c r="S27" s="1010">
        <f>SUM('5.9. sz. mell.'!F46)</f>
        <v>38552054</v>
      </c>
      <c r="T27" s="1010"/>
      <c r="U27" s="1010">
        <f>SUM('5.9. sz. mell.'!H46)</f>
        <v>40510647</v>
      </c>
      <c r="V27" s="1010">
        <f>SUM('5.9. sz. mell.'!I46)</f>
        <v>1804641</v>
      </c>
      <c r="W27" s="1010">
        <f>SUM('5.9. sz. mell.'!J46)</f>
        <v>42315288</v>
      </c>
      <c r="X27" s="1010">
        <f>SUM('5.9. sz. mell.'!K46)</f>
        <v>0</v>
      </c>
      <c r="Y27" s="1010">
        <f>SUM('5.9. sz. mell.'!L46)</f>
        <v>42315288</v>
      </c>
      <c r="Z27" s="1010">
        <f>SUM('5.9. sz. mell.'!M46)</f>
        <v>42315288</v>
      </c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  <c r="AQ27" s="952"/>
    </row>
    <row r="28" spans="1:43" ht="15.75" x14ac:dyDescent="0.25">
      <c r="A28" s="1006" t="s">
        <v>893</v>
      </c>
      <c r="B28" s="1006"/>
      <c r="C28" s="1011">
        <f>SUM(C27-C7)</f>
        <v>0</v>
      </c>
      <c r="D28" s="1011"/>
      <c r="E28" s="1011">
        <f t="shared" ref="E28:J28" si="16">SUM(E27-E7)</f>
        <v>0</v>
      </c>
      <c r="F28" s="1011">
        <f t="shared" si="16"/>
        <v>200288</v>
      </c>
      <c r="G28" s="1011">
        <f t="shared" si="16"/>
        <v>195881</v>
      </c>
      <c r="H28" s="1011">
        <f t="shared" si="16"/>
        <v>0</v>
      </c>
      <c r="I28" s="1011">
        <f t="shared" si="16"/>
        <v>0</v>
      </c>
      <c r="J28" s="1011">
        <f t="shared" si="16"/>
        <v>0</v>
      </c>
      <c r="K28" s="992"/>
      <c r="L28" s="992"/>
      <c r="M28" s="1006" t="s">
        <v>893</v>
      </c>
      <c r="N28" s="1006"/>
      <c r="O28" s="1006"/>
      <c r="P28" s="1006"/>
      <c r="Q28" s="1006"/>
      <c r="R28" s="992"/>
      <c r="S28" s="1012">
        <f>SUM(S27-C16)</f>
        <v>0</v>
      </c>
      <c r="T28" s="1012"/>
      <c r="U28" s="1012">
        <f t="shared" ref="U28:Z28" si="17">SUM(U27-E16)</f>
        <v>0</v>
      </c>
      <c r="V28" s="1012">
        <f t="shared" si="17"/>
        <v>1804641</v>
      </c>
      <c r="W28" s="1012">
        <f t="shared" si="17"/>
        <v>-37493</v>
      </c>
      <c r="X28" s="1012">
        <f t="shared" si="17"/>
        <v>0</v>
      </c>
      <c r="Y28" s="1012">
        <f t="shared" si="17"/>
        <v>0</v>
      </c>
      <c r="Z28" s="1012">
        <f t="shared" si="17"/>
        <v>0</v>
      </c>
      <c r="AA28" s="952"/>
      <c r="AB28" s="952"/>
      <c r="AC28" s="952"/>
      <c r="AD28" s="952"/>
      <c r="AE28" s="952"/>
      <c r="AF28" s="952"/>
      <c r="AG28" s="952"/>
      <c r="AH28" s="952"/>
      <c r="AI28" s="952"/>
      <c r="AJ28" s="952"/>
      <c r="AK28" s="952"/>
      <c r="AL28" s="952"/>
      <c r="AM28" s="952"/>
      <c r="AN28" s="952"/>
      <c r="AO28" s="952"/>
      <c r="AP28" s="952"/>
      <c r="AQ28" s="952"/>
    </row>
    <row r="29" spans="1:43" ht="15.75" x14ac:dyDescent="0.25">
      <c r="A29" s="1006"/>
      <c r="B29" s="1006"/>
      <c r="C29" s="1011"/>
      <c r="D29" s="1011"/>
      <c r="E29" s="1011"/>
      <c r="F29" s="1011"/>
      <c r="G29" s="1011"/>
      <c r="H29" s="1011"/>
      <c r="I29" s="1011"/>
      <c r="J29" s="1011"/>
      <c r="K29" s="992"/>
      <c r="L29" s="992"/>
      <c r="M29" s="1006"/>
      <c r="N29" s="1006"/>
      <c r="O29" s="1006"/>
      <c r="P29" s="1006"/>
      <c r="Q29" s="1006"/>
      <c r="R29" s="992"/>
      <c r="S29" s="1012"/>
      <c r="T29" s="1012"/>
      <c r="U29" s="1012"/>
      <c r="V29" s="1012"/>
      <c r="W29" s="1012"/>
      <c r="X29" s="1012"/>
      <c r="Y29" s="1012"/>
      <c r="Z29" s="1012"/>
      <c r="AA29" s="952"/>
      <c r="AB29" s="952"/>
      <c r="AC29" s="952"/>
      <c r="AD29" s="952"/>
      <c r="AE29" s="952"/>
      <c r="AF29" s="952"/>
      <c r="AG29" s="952"/>
      <c r="AH29" s="952"/>
      <c r="AI29" s="952"/>
      <c r="AJ29" s="952"/>
      <c r="AK29" s="952"/>
      <c r="AL29" s="952"/>
      <c r="AM29" s="952"/>
      <c r="AN29" s="952"/>
      <c r="AO29" s="952"/>
      <c r="AP29" s="952"/>
      <c r="AQ29" s="952"/>
    </row>
    <row r="30" spans="1:43" ht="15.75" x14ac:dyDescent="0.25">
      <c r="A30" s="4548" t="s">
        <v>904</v>
      </c>
      <c r="B30" s="4548"/>
      <c r="C30" s="1007">
        <f>SUM('5.9. sz. mell.'!F19)</f>
        <v>0</v>
      </c>
      <c r="D30" s="1007">
        <f>SUM('5.9. sz. mell.'!G19)</f>
        <v>0</v>
      </c>
      <c r="E30" s="1007">
        <f>SUM('5.9. sz. mell.'!H19)</f>
        <v>0</v>
      </c>
      <c r="F30" s="1007">
        <f>SUM('5.9. sz. mell.'!I19)</f>
        <v>0</v>
      </c>
      <c r="G30" s="1007">
        <f>SUM('5.9. sz. mell.'!J19)</f>
        <v>30423</v>
      </c>
      <c r="H30" s="1007">
        <f>SUM('5.9. sz. mell.'!K19)</f>
        <v>0</v>
      </c>
      <c r="I30" s="1007">
        <f>SUM('5.9. sz. mell.'!L19)</f>
        <v>30423</v>
      </c>
      <c r="J30" s="1007">
        <f>SUM('5.9. sz. mell.'!M19)</f>
        <v>30423</v>
      </c>
      <c r="K30" s="992"/>
      <c r="L30" s="992"/>
      <c r="M30" s="4548" t="s">
        <v>895</v>
      </c>
      <c r="N30" s="4548"/>
      <c r="O30" s="4548"/>
      <c r="P30" s="4548"/>
      <c r="Q30" s="4548"/>
      <c r="R30" s="4548"/>
      <c r="S30" s="1010">
        <f>SUM('5.9. sz. mell.'!F47)</f>
        <v>7435732</v>
      </c>
      <c r="T30" s="1010"/>
      <c r="U30" s="1010">
        <f>SUM('5.9. sz. mell.'!H47)</f>
        <v>7829816</v>
      </c>
      <c r="V30" s="1010">
        <f>SUM('5.9. sz. mell.'!I47)</f>
        <v>435482</v>
      </c>
      <c r="W30" s="1010">
        <f>SUM('5.9. sz. mell.'!J47)</f>
        <v>8265298</v>
      </c>
      <c r="X30" s="1010">
        <f>SUM('5.9. sz. mell.'!K47)</f>
        <v>0</v>
      </c>
      <c r="Y30" s="1010">
        <f>SUM('5.9. sz. mell.'!L47)</f>
        <v>8265298</v>
      </c>
      <c r="Z30" s="1010">
        <f>SUM('5.9. sz. mell.'!M47)</f>
        <v>8265298</v>
      </c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</row>
    <row r="31" spans="1:43" ht="15.75" x14ac:dyDescent="0.25">
      <c r="A31" s="1006" t="s">
        <v>893</v>
      </c>
      <c r="B31" s="1006"/>
      <c r="C31" s="1011">
        <f>SUM(C30-C11)</f>
        <v>0</v>
      </c>
      <c r="D31" s="1011"/>
      <c r="E31" s="1011">
        <f t="shared" ref="E31:J31" si="18">SUM(E30-E11)</f>
        <v>0</v>
      </c>
      <c r="F31" s="1011">
        <f t="shared" si="18"/>
        <v>0</v>
      </c>
      <c r="G31" s="1011">
        <f t="shared" si="18"/>
        <v>30423</v>
      </c>
      <c r="H31" s="1011">
        <f t="shared" si="18"/>
        <v>0</v>
      </c>
      <c r="I31" s="1011">
        <f t="shared" si="18"/>
        <v>-1497776</v>
      </c>
      <c r="J31" s="1011">
        <f t="shared" si="18"/>
        <v>0</v>
      </c>
      <c r="K31" s="992"/>
      <c r="L31" s="992"/>
      <c r="M31" s="1006" t="s">
        <v>893</v>
      </c>
      <c r="N31" s="1006"/>
      <c r="O31" s="1006"/>
      <c r="P31" s="1006"/>
      <c r="Q31" s="1006"/>
      <c r="R31" s="992"/>
      <c r="S31" s="1012">
        <f>SUM(S30-C17)</f>
        <v>0</v>
      </c>
      <c r="T31" s="1012"/>
      <c r="U31" s="1012">
        <f t="shared" ref="U31:Z31" si="19">SUM(U30-E17)</f>
        <v>0</v>
      </c>
      <c r="V31" s="1012">
        <f t="shared" si="19"/>
        <v>435482</v>
      </c>
      <c r="W31" s="1012">
        <f t="shared" si="19"/>
        <v>76269</v>
      </c>
      <c r="X31" s="1012">
        <f t="shared" si="19"/>
        <v>0</v>
      </c>
      <c r="Y31" s="1012">
        <f t="shared" si="19"/>
        <v>0</v>
      </c>
      <c r="Z31" s="1012">
        <f t="shared" si="19"/>
        <v>0</v>
      </c>
      <c r="AA31" s="952"/>
      <c r="AB31" s="952"/>
      <c r="AC31" s="952"/>
      <c r="AD31" s="952"/>
      <c r="AE31" s="952"/>
      <c r="AF31" s="952"/>
      <c r="AG31" s="952"/>
      <c r="AH31" s="952"/>
      <c r="AI31" s="952"/>
      <c r="AJ31" s="952"/>
      <c r="AK31" s="952"/>
      <c r="AL31" s="952"/>
      <c r="AM31" s="952"/>
      <c r="AN31" s="952"/>
      <c r="AO31" s="952"/>
      <c r="AP31" s="952"/>
      <c r="AQ31" s="952"/>
    </row>
    <row r="32" spans="1:43" ht="15.75" x14ac:dyDescent="0.25">
      <c r="A32" s="1008"/>
      <c r="B32" s="1008"/>
      <c r="C32" s="992"/>
      <c r="D32" s="992"/>
      <c r="E32" s="992"/>
      <c r="F32" s="992"/>
      <c r="G32" s="992"/>
      <c r="H32" s="992"/>
      <c r="I32" s="992"/>
      <c r="J32" s="992"/>
      <c r="K32" s="992"/>
      <c r="L32" s="992"/>
      <c r="M32" s="992"/>
      <c r="N32" s="992"/>
      <c r="O32" s="992"/>
      <c r="P32" s="992"/>
      <c r="Q32" s="992"/>
      <c r="R32" s="992"/>
      <c r="S32" s="1008"/>
      <c r="T32" s="1008"/>
      <c r="U32" s="1008"/>
      <c r="V32" s="1008"/>
      <c r="W32" s="1008"/>
      <c r="X32" s="1008"/>
      <c r="Y32" s="1008"/>
      <c r="Z32" s="1008"/>
      <c r="AA32" s="952"/>
      <c r="AB32" s="952"/>
      <c r="AC32" s="952"/>
      <c r="AD32" s="952"/>
      <c r="AE32" s="952"/>
      <c r="AF32" s="952"/>
      <c r="AG32" s="952"/>
      <c r="AH32" s="952"/>
      <c r="AI32" s="952"/>
      <c r="AJ32" s="952"/>
      <c r="AK32" s="952"/>
      <c r="AL32" s="952"/>
      <c r="AM32" s="952"/>
      <c r="AN32" s="952"/>
      <c r="AO32" s="952"/>
      <c r="AP32" s="952"/>
      <c r="AQ32" s="952"/>
    </row>
    <row r="33" spans="1:43" ht="15.75" x14ac:dyDescent="0.25">
      <c r="A33" s="4548" t="s">
        <v>892</v>
      </c>
      <c r="B33" s="4548"/>
      <c r="C33" s="1007">
        <f>SUM('5.9. sz. mell.'!F36)</f>
        <v>56466552</v>
      </c>
      <c r="D33" s="1007"/>
      <c r="E33" s="1007">
        <f>SUM('5.9. sz. mell.'!H36)</f>
        <v>59030276</v>
      </c>
      <c r="F33" s="1007">
        <f>SUM('5.9. sz. mell.'!I36)</f>
        <v>-2728361</v>
      </c>
      <c r="G33" s="1007">
        <f>SUM('5.9. sz. mell.'!J36)</f>
        <v>56301915</v>
      </c>
      <c r="H33" s="1007">
        <f>SUM('5.9. sz. mell.'!K36)</f>
        <v>0</v>
      </c>
      <c r="I33" s="1007">
        <f>SUM('5.9. sz. mell.'!L36)</f>
        <v>56301915</v>
      </c>
      <c r="J33" s="1007">
        <f>SUM('5.9. sz. mell.'!M36)</f>
        <v>56301915</v>
      </c>
      <c r="K33" s="992"/>
      <c r="L33" s="992"/>
      <c r="M33" s="4549" t="s">
        <v>896</v>
      </c>
      <c r="N33" s="4549"/>
      <c r="O33" s="4549"/>
      <c r="P33" s="4549"/>
      <c r="Q33" s="4549"/>
      <c r="R33" s="4549"/>
      <c r="S33" s="1010">
        <f>SUM('5.9. sz. mell.'!F48)</f>
        <v>14737766</v>
      </c>
      <c r="T33" s="1010"/>
      <c r="U33" s="1010">
        <f>SUM('5.9. sz. mell.'!H48)</f>
        <v>14953189</v>
      </c>
      <c r="V33" s="1010">
        <f>SUM('5.9. sz. mell.'!I48)</f>
        <v>-3797788</v>
      </c>
      <c r="W33" s="1010">
        <f>SUM('5.9. sz. mell.'!J48)</f>
        <v>11155401</v>
      </c>
      <c r="X33" s="1010">
        <f>SUM('5.9. sz. mell.'!K48)</f>
        <v>0</v>
      </c>
      <c r="Y33" s="1010">
        <f>SUM('5.9. sz. mell.'!L48)</f>
        <v>11155401</v>
      </c>
      <c r="Z33" s="1010">
        <f>SUM('5.9. sz. mell.'!M48)</f>
        <v>11155401</v>
      </c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</row>
    <row r="34" spans="1:43" ht="15.75" x14ac:dyDescent="0.25">
      <c r="A34" s="1006" t="s">
        <v>893</v>
      </c>
      <c r="B34" s="1008"/>
      <c r="C34" s="1012">
        <f>SUM(C33-C8)</f>
        <v>0</v>
      </c>
      <c r="D34" s="1012"/>
      <c r="E34" s="1012">
        <f t="shared" ref="E34:J34" si="20">SUM(E33-E8)</f>
        <v>0</v>
      </c>
      <c r="F34" s="1012">
        <f t="shared" si="20"/>
        <v>-2728361</v>
      </c>
      <c r="G34" s="1012">
        <f t="shared" si="20"/>
        <v>-4929708</v>
      </c>
      <c r="H34" s="1012">
        <f t="shared" si="20"/>
        <v>0</v>
      </c>
      <c r="I34" s="1012">
        <f>SUM(I33-I8)</f>
        <v>0</v>
      </c>
      <c r="J34" s="1012">
        <f t="shared" si="20"/>
        <v>0</v>
      </c>
      <c r="K34" s="992"/>
      <c r="L34" s="992"/>
      <c r="M34" s="1006" t="s">
        <v>893</v>
      </c>
      <c r="N34" s="1006"/>
      <c r="O34" s="1006"/>
      <c r="P34" s="1006"/>
      <c r="Q34" s="1006"/>
      <c r="R34" s="992"/>
      <c r="S34" s="1012">
        <f>SUM(S33-C18)</f>
        <v>0</v>
      </c>
      <c r="T34" s="1012"/>
      <c r="U34" s="1012">
        <f t="shared" ref="U34:Z34" si="21">SUM(U33-E18)</f>
        <v>0</v>
      </c>
      <c r="V34" s="1012">
        <f t="shared" si="21"/>
        <v>-3797788</v>
      </c>
      <c r="W34" s="1012">
        <f t="shared" si="21"/>
        <v>-3802195</v>
      </c>
      <c r="X34" s="1012">
        <f t="shared" si="21"/>
        <v>0</v>
      </c>
      <c r="Y34" s="1012">
        <f t="shared" si="21"/>
        <v>0</v>
      </c>
      <c r="Z34" s="1012">
        <f t="shared" si="21"/>
        <v>0</v>
      </c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  <c r="AN34" s="952"/>
      <c r="AO34" s="952"/>
      <c r="AP34" s="952"/>
      <c r="AQ34" s="952"/>
    </row>
    <row r="35" spans="1:43" ht="15.75" x14ac:dyDescent="0.25">
      <c r="A35" s="1008"/>
      <c r="B35" s="1008"/>
      <c r="C35" s="992"/>
      <c r="D35" s="992"/>
      <c r="E35" s="992"/>
      <c r="F35" s="992"/>
      <c r="G35" s="992"/>
      <c r="H35" s="992"/>
      <c r="I35" s="992"/>
      <c r="J35" s="992"/>
      <c r="K35" s="992"/>
      <c r="L35" s="992"/>
      <c r="M35" s="992"/>
      <c r="N35" s="992"/>
      <c r="O35" s="992"/>
      <c r="P35" s="992"/>
      <c r="Q35" s="992"/>
      <c r="R35" s="992"/>
      <c r="S35" s="1008"/>
      <c r="T35" s="1008"/>
      <c r="U35" s="1008"/>
      <c r="V35" s="1008"/>
      <c r="W35" s="1008"/>
      <c r="X35" s="1008"/>
      <c r="Y35" s="1008"/>
      <c r="Z35" s="1008"/>
      <c r="AA35" s="952"/>
      <c r="AB35" s="952"/>
      <c r="AC35" s="952"/>
      <c r="AD35" s="952"/>
      <c r="AE35" s="952"/>
      <c r="AF35" s="952"/>
      <c r="AG35" s="952"/>
      <c r="AH35" s="952"/>
      <c r="AI35" s="952"/>
      <c r="AJ35" s="952"/>
      <c r="AK35" s="952"/>
      <c r="AL35" s="952"/>
      <c r="AM35" s="952"/>
      <c r="AN35" s="952"/>
      <c r="AO35" s="952"/>
      <c r="AP35" s="952"/>
      <c r="AQ35" s="952"/>
    </row>
    <row r="36" spans="1:43" ht="15.75" x14ac:dyDescent="0.25">
      <c r="A36" s="4548" t="s">
        <v>891</v>
      </c>
      <c r="B36" s="4548"/>
      <c r="C36" s="1007">
        <f>SUM('5.9. sz. mell.'!F40)</f>
        <v>13866520</v>
      </c>
      <c r="D36" s="1007"/>
      <c r="E36" s="1007">
        <f>SUM('5.9. sz. mell.'!H40)</f>
        <v>17885858</v>
      </c>
      <c r="F36" s="1007">
        <f>SUM('5.9. sz. mell.'!I40)</f>
        <v>-217782</v>
      </c>
      <c r="G36" s="1007">
        <f>SUM('5.9. sz. mell.'!J40)</f>
        <v>17668076</v>
      </c>
      <c r="H36" s="1007">
        <f>SUM('5.9. sz. mell.'!K40)</f>
        <v>0</v>
      </c>
      <c r="I36" s="1007">
        <f>SUM('5.9. sz. mell.'!L40)</f>
        <v>17668076</v>
      </c>
      <c r="J36" s="1007">
        <f>SUM('5.9. sz. mell.'!M40)</f>
        <v>17668076</v>
      </c>
      <c r="K36" s="992"/>
      <c r="L36" s="992"/>
      <c r="M36" s="4549" t="s">
        <v>897</v>
      </c>
      <c r="N36" s="4549"/>
      <c r="O36" s="4549"/>
      <c r="P36" s="4549"/>
      <c r="Q36" s="4549"/>
      <c r="R36" s="4549"/>
      <c r="S36" s="1012"/>
      <c r="T36" s="1012"/>
      <c r="U36" s="1012"/>
      <c r="V36" s="1012"/>
      <c r="W36" s="1012"/>
      <c r="X36" s="1012"/>
      <c r="Y36" s="1012"/>
      <c r="Z36" s="1012"/>
      <c r="AA36" s="952"/>
      <c r="AB36" s="952"/>
      <c r="AC36" s="952"/>
      <c r="AD36" s="952"/>
      <c r="AE36" s="952"/>
      <c r="AF36" s="952"/>
      <c r="AG36" s="952"/>
      <c r="AH36" s="952"/>
      <c r="AI36" s="952"/>
      <c r="AJ36" s="952"/>
      <c r="AK36" s="952"/>
      <c r="AL36" s="952"/>
      <c r="AM36" s="952"/>
      <c r="AN36" s="952"/>
      <c r="AO36" s="952"/>
      <c r="AP36" s="952"/>
      <c r="AQ36" s="952"/>
    </row>
    <row r="37" spans="1:43" ht="15.75" x14ac:dyDescent="0.25">
      <c r="A37" s="1006" t="s">
        <v>893</v>
      </c>
      <c r="B37" s="1008"/>
      <c r="C37" s="1012">
        <f>SUM(C36-C9)</f>
        <v>0</v>
      </c>
      <c r="D37" s="1012"/>
      <c r="E37" s="1012">
        <f t="shared" ref="E37:J37" si="22">SUM(E36-E9)</f>
        <v>0</v>
      </c>
      <c r="F37" s="1012">
        <f t="shared" si="22"/>
        <v>-217782</v>
      </c>
      <c r="G37" s="1012">
        <f t="shared" si="22"/>
        <v>-1413895</v>
      </c>
      <c r="H37" s="1012">
        <f t="shared" si="22"/>
        <v>0</v>
      </c>
      <c r="I37" s="1012">
        <f t="shared" si="22"/>
        <v>0</v>
      </c>
      <c r="J37" s="1012">
        <f t="shared" si="22"/>
        <v>0</v>
      </c>
      <c r="K37" s="992"/>
      <c r="L37" s="992"/>
      <c r="M37" s="1006" t="s">
        <v>893</v>
      </c>
      <c r="N37" s="1006"/>
      <c r="O37" s="1006"/>
      <c r="P37" s="1006"/>
      <c r="Q37" s="1006"/>
      <c r="R37" s="992"/>
      <c r="S37" s="952"/>
      <c r="T37" s="952"/>
      <c r="U37" s="952"/>
      <c r="V37" s="952"/>
      <c r="W37" s="952"/>
      <c r="X37" s="952"/>
      <c r="Y37" s="952"/>
      <c r="Z37" s="952"/>
      <c r="AA37" s="952"/>
      <c r="AB37" s="952"/>
      <c r="AC37" s="952"/>
      <c r="AD37" s="952"/>
      <c r="AE37" s="952"/>
      <c r="AF37" s="952"/>
      <c r="AG37" s="952"/>
      <c r="AH37" s="952"/>
      <c r="AI37" s="952"/>
      <c r="AJ37" s="952"/>
      <c r="AK37" s="952"/>
      <c r="AL37" s="952"/>
      <c r="AM37" s="952"/>
      <c r="AN37" s="952"/>
      <c r="AO37" s="952"/>
      <c r="AP37" s="952"/>
      <c r="AQ37" s="952"/>
    </row>
    <row r="38" spans="1:43" ht="15.75" x14ac:dyDescent="0.25">
      <c r="A38" s="1008"/>
      <c r="B38" s="1008"/>
      <c r="C38" s="992"/>
      <c r="D38" s="992"/>
      <c r="E38" s="992"/>
      <c r="F38" s="992"/>
      <c r="G38" s="992"/>
      <c r="H38" s="992"/>
      <c r="I38" s="992"/>
      <c r="J38" s="992"/>
      <c r="K38" s="992"/>
      <c r="L38" s="992"/>
      <c r="M38" s="992"/>
      <c r="N38" s="992"/>
      <c r="O38" s="992"/>
      <c r="P38" s="992"/>
      <c r="Q38" s="992"/>
      <c r="R38" s="992"/>
      <c r="S38" s="1008"/>
      <c r="T38" s="1008"/>
      <c r="U38" s="1008"/>
      <c r="V38" s="1008"/>
      <c r="W38" s="1008"/>
      <c r="X38" s="1008"/>
      <c r="Y38" s="1008"/>
      <c r="Z38" s="1008"/>
      <c r="AA38" s="952"/>
      <c r="AB38" s="952"/>
      <c r="AC38" s="952"/>
      <c r="AD38" s="952"/>
      <c r="AE38" s="952"/>
      <c r="AF38" s="952"/>
      <c r="AG38" s="952"/>
      <c r="AH38" s="952"/>
      <c r="AI38" s="952"/>
      <c r="AJ38" s="952"/>
      <c r="AK38" s="952"/>
      <c r="AL38" s="952"/>
      <c r="AM38" s="952"/>
      <c r="AN38" s="952"/>
      <c r="AO38" s="952"/>
      <c r="AP38" s="952"/>
      <c r="AQ38" s="952"/>
    </row>
    <row r="39" spans="1:43" ht="15.75" x14ac:dyDescent="0.25">
      <c r="A39" s="4632" t="s">
        <v>890</v>
      </c>
      <c r="B39" s="4632"/>
      <c r="C39" s="1007">
        <f>SUM('5.9. sz. mell.'!F41+'5.9. sz. mell.'!F37)</f>
        <v>42600032</v>
      </c>
      <c r="D39" s="1007"/>
      <c r="E39" s="1007">
        <f>SUM('5.9. sz. mell.'!H41+'5.9. sz. mell.'!H37)</f>
        <v>41144418</v>
      </c>
      <c r="F39" s="1007">
        <f>SUM('5.9. sz. mell.'!I41+'5.9. sz. mell.'!I37)</f>
        <v>-2510579</v>
      </c>
      <c r="G39" s="1007">
        <f>SUM('5.9. sz. mell.'!J41+'5.9. sz. mell.'!J37)</f>
        <v>38633839</v>
      </c>
      <c r="H39" s="1007">
        <f>SUM('5.9. sz. mell.'!K41+'5.9. sz. mell.'!K37)</f>
        <v>0</v>
      </c>
      <c r="I39" s="1007">
        <f>SUM('5.9. sz. mell.'!L41+'5.9. sz. mell.'!L37)</f>
        <v>38633839</v>
      </c>
      <c r="J39" s="1007">
        <f>SUM('5.9. sz. mell.'!M41+'5.9. sz. mell.'!M37)</f>
        <v>38633839</v>
      </c>
      <c r="K39" s="992"/>
      <c r="L39" s="992"/>
      <c r="M39" s="4549" t="s">
        <v>898</v>
      </c>
      <c r="N39" s="4549"/>
      <c r="O39" s="4549"/>
      <c r="P39" s="4549"/>
      <c r="Q39" s="4549"/>
      <c r="R39" s="4549"/>
      <c r="S39" s="1010">
        <f>SUM('5.9. sz. mell.'!F52)</f>
        <v>1905000</v>
      </c>
      <c r="T39" s="1010"/>
      <c r="U39" s="1010">
        <f>SUM('5.9. sz. mell.'!H52)</f>
        <v>1905000</v>
      </c>
      <c r="V39" s="1010">
        <f>SUM('5.9. sz. mell.'!I52)</f>
        <v>-919985</v>
      </c>
      <c r="W39" s="1010">
        <f>SUM('5.9. sz. mell.'!J52)</f>
        <v>985015</v>
      </c>
      <c r="X39" s="1010">
        <f>SUM('5.9. sz. mell.'!K52)</f>
        <v>0</v>
      </c>
      <c r="Y39" s="1010">
        <f>SUM('5.9. sz. mell.'!L52)</f>
        <v>985015</v>
      </c>
      <c r="Z39" s="1010">
        <f>SUM('5.9. sz. mell.'!M52)</f>
        <v>985015</v>
      </c>
      <c r="AA39" s="952"/>
      <c r="AB39" s="952"/>
      <c r="AC39" s="952"/>
      <c r="AD39" s="952"/>
      <c r="AE39" s="952"/>
      <c r="AF39" s="952"/>
      <c r="AG39" s="952"/>
      <c r="AH39" s="952"/>
      <c r="AI39" s="952"/>
      <c r="AJ39" s="952"/>
      <c r="AK39" s="952"/>
      <c r="AL39" s="952"/>
      <c r="AM39" s="952"/>
      <c r="AN39" s="952"/>
      <c r="AO39" s="952"/>
      <c r="AP39" s="952"/>
      <c r="AQ39" s="952"/>
    </row>
    <row r="40" spans="1:43" ht="15.75" x14ac:dyDescent="0.25">
      <c r="A40" s="1006" t="s">
        <v>893</v>
      </c>
      <c r="B40" s="1008"/>
      <c r="C40" s="1012">
        <f>SUM(C39-C10)</f>
        <v>0</v>
      </c>
      <c r="D40" s="1012"/>
      <c r="E40" s="1012">
        <f t="shared" ref="E40:N40" si="23">SUM(E39-E10)</f>
        <v>0</v>
      </c>
      <c r="F40" s="1012">
        <f t="shared" si="23"/>
        <v>-2510579</v>
      </c>
      <c r="G40" s="1012">
        <f t="shared" si="23"/>
        <v>-3515813</v>
      </c>
      <c r="H40" s="1012">
        <f t="shared" si="23"/>
        <v>0</v>
      </c>
      <c r="I40" s="1012">
        <f t="shared" si="23"/>
        <v>0</v>
      </c>
      <c r="J40" s="1012">
        <f t="shared" si="23"/>
        <v>0</v>
      </c>
      <c r="K40" s="1012">
        <f t="shared" si="23"/>
        <v>-19948670</v>
      </c>
      <c r="L40" s="1012">
        <f t="shared" si="23"/>
        <v>0</v>
      </c>
      <c r="M40" s="1012" t="e">
        <f t="shared" si="23"/>
        <v>#VALUE!</v>
      </c>
      <c r="N40" s="1012">
        <f t="shared" si="23"/>
        <v>0</v>
      </c>
      <c r="O40" s="1006"/>
      <c r="P40" s="1006"/>
      <c r="Q40" s="1006"/>
      <c r="R40" s="992"/>
      <c r="S40" s="1012">
        <f>SUM(S39-C19)</f>
        <v>0</v>
      </c>
      <c r="T40" s="1012"/>
      <c r="U40" s="1012">
        <f t="shared" ref="U40:Z40" si="24">SUM(U39-E19)</f>
        <v>0</v>
      </c>
      <c r="V40" s="1012">
        <f t="shared" si="24"/>
        <v>-919985</v>
      </c>
      <c r="W40" s="1012">
        <f t="shared" si="24"/>
        <v>-919985</v>
      </c>
      <c r="X40" s="1012">
        <f t="shared" si="24"/>
        <v>0</v>
      </c>
      <c r="Y40" s="1012">
        <f t="shared" si="24"/>
        <v>0</v>
      </c>
      <c r="Z40" s="1012">
        <f t="shared" si="24"/>
        <v>0</v>
      </c>
      <c r="AA40" s="952"/>
      <c r="AB40" s="952"/>
      <c r="AC40" s="952"/>
      <c r="AD40" s="952"/>
      <c r="AE40" s="952"/>
      <c r="AF40" s="952"/>
      <c r="AG40" s="952"/>
      <c r="AH40" s="952"/>
      <c r="AI40" s="952"/>
      <c r="AJ40" s="952"/>
      <c r="AK40" s="952"/>
      <c r="AL40" s="952"/>
      <c r="AM40" s="952"/>
      <c r="AN40" s="952"/>
      <c r="AO40" s="952"/>
      <c r="AP40" s="952"/>
      <c r="AQ40" s="952"/>
    </row>
    <row r="41" spans="1:43" ht="15.75" x14ac:dyDescent="0.25">
      <c r="A41" s="1006"/>
      <c r="B41" s="1008"/>
      <c r="C41" s="1012"/>
      <c r="D41" s="1012"/>
      <c r="E41" s="1012"/>
      <c r="F41" s="1012"/>
      <c r="G41" s="1012"/>
      <c r="H41" s="1012"/>
      <c r="I41" s="1012"/>
      <c r="J41" s="1012"/>
      <c r="K41" s="992"/>
      <c r="L41" s="992"/>
      <c r="M41" s="1006"/>
      <c r="N41" s="1006"/>
      <c r="O41" s="1006"/>
      <c r="P41" s="1006"/>
      <c r="Q41" s="1006"/>
      <c r="R41" s="992"/>
      <c r="S41" s="1012"/>
      <c r="T41" s="1012"/>
      <c r="U41" s="1012"/>
      <c r="V41" s="1012"/>
      <c r="W41" s="1012"/>
      <c r="X41" s="1012"/>
      <c r="Y41" s="1012"/>
      <c r="Z41" s="1012"/>
      <c r="AA41" s="952"/>
      <c r="AB41" s="952"/>
      <c r="AC41" s="952"/>
      <c r="AD41" s="952"/>
      <c r="AE41" s="952"/>
      <c r="AF41" s="952"/>
      <c r="AG41" s="952"/>
      <c r="AH41" s="952"/>
      <c r="AI41" s="952"/>
      <c r="AJ41" s="952"/>
      <c r="AK41" s="952"/>
      <c r="AL41" s="952"/>
      <c r="AM41" s="952"/>
      <c r="AN41" s="952"/>
      <c r="AO41" s="952"/>
      <c r="AP41" s="952"/>
      <c r="AQ41" s="952"/>
    </row>
    <row r="42" spans="1:43" ht="15.75" x14ac:dyDescent="0.25">
      <c r="A42" s="1008" t="s">
        <v>787</v>
      </c>
      <c r="B42" s="1008"/>
      <c r="C42" s="1010">
        <f>SUM('5.9. sz. mell.'!F28)</f>
        <v>0</v>
      </c>
      <c r="D42" s="1010"/>
      <c r="E42" s="1010"/>
      <c r="F42" s="1010"/>
      <c r="G42" s="1010"/>
      <c r="H42" s="1010"/>
      <c r="I42" s="1010">
        <f>SUM('5.9. sz. mell.'!L28)</f>
        <v>20000</v>
      </c>
      <c r="J42" s="1010">
        <f>SUM('5.9. sz. mell.'!M28)</f>
        <v>20000</v>
      </c>
      <c r="K42" s="992"/>
      <c r="L42" s="992"/>
      <c r="M42" s="1006"/>
      <c r="N42" s="1006"/>
      <c r="O42" s="1006"/>
      <c r="P42" s="1006"/>
      <c r="Q42" s="1006"/>
      <c r="R42" s="992"/>
      <c r="S42" s="1012"/>
      <c r="T42" s="1012"/>
      <c r="U42" s="1012"/>
      <c r="V42" s="1012"/>
      <c r="W42" s="1012"/>
      <c r="X42" s="1012"/>
      <c r="Y42" s="1012"/>
      <c r="Z42" s="1012"/>
      <c r="AA42" s="952"/>
      <c r="AB42" s="952"/>
      <c r="AC42" s="952"/>
      <c r="AD42" s="952"/>
      <c r="AE42" s="952"/>
      <c r="AF42" s="952"/>
      <c r="AG42" s="952"/>
      <c r="AH42" s="952"/>
      <c r="AI42" s="952"/>
      <c r="AJ42" s="952"/>
      <c r="AK42" s="952"/>
      <c r="AL42" s="952"/>
      <c r="AM42" s="952"/>
      <c r="AN42" s="952"/>
      <c r="AO42" s="952"/>
      <c r="AP42" s="952"/>
      <c r="AQ42" s="952"/>
    </row>
    <row r="43" spans="1:43" ht="15.75" x14ac:dyDescent="0.25">
      <c r="A43" s="1006" t="s">
        <v>893</v>
      </c>
      <c r="B43" s="1008"/>
      <c r="C43" s="1012">
        <f>SUM(C42-C12)</f>
        <v>0</v>
      </c>
      <c r="D43" s="1012">
        <f t="shared" ref="D43:J43" si="25">SUM(D42-D12)</f>
        <v>0</v>
      </c>
      <c r="E43" s="1012">
        <f t="shared" si="25"/>
        <v>0</v>
      </c>
      <c r="F43" s="1012">
        <f t="shared" si="25"/>
        <v>0</v>
      </c>
      <c r="G43" s="1012">
        <f t="shared" si="25"/>
        <v>0</v>
      </c>
      <c r="H43" s="1012">
        <f t="shared" si="25"/>
        <v>0</v>
      </c>
      <c r="I43" s="1012">
        <f t="shared" si="25"/>
        <v>0</v>
      </c>
      <c r="J43" s="1012">
        <f t="shared" si="25"/>
        <v>0</v>
      </c>
      <c r="K43" s="992"/>
      <c r="L43" s="992"/>
      <c r="M43" s="1006"/>
      <c r="N43" s="1006"/>
      <c r="O43" s="1006"/>
      <c r="P43" s="1006"/>
      <c r="Q43" s="1006"/>
      <c r="R43" s="992"/>
      <c r="S43" s="1012"/>
      <c r="T43" s="1012"/>
      <c r="U43" s="1012"/>
      <c r="V43" s="1012"/>
      <c r="W43" s="1012"/>
      <c r="X43" s="1012"/>
      <c r="Y43" s="1012"/>
      <c r="Z43" s="1012"/>
      <c r="AA43" s="952"/>
      <c r="AB43" s="952"/>
      <c r="AC43" s="952"/>
      <c r="AD43" s="952"/>
      <c r="AE43" s="952"/>
      <c r="AF43" s="952"/>
      <c r="AG43" s="952"/>
      <c r="AH43" s="952"/>
      <c r="AI43" s="952"/>
      <c r="AJ43" s="952"/>
      <c r="AK43" s="952"/>
      <c r="AL43" s="952"/>
      <c r="AM43" s="952"/>
      <c r="AN43" s="952"/>
      <c r="AO43" s="952"/>
      <c r="AP43" s="952"/>
      <c r="AQ43" s="952"/>
    </row>
    <row r="44" spans="1:43" ht="16.5" thickBot="1" x14ac:dyDescent="0.3">
      <c r="A44" s="1006"/>
      <c r="B44" s="1008"/>
      <c r="C44" s="1012"/>
      <c r="D44" s="1012"/>
      <c r="E44" s="1012"/>
      <c r="F44" s="1012"/>
      <c r="G44" s="1012"/>
      <c r="H44" s="1012"/>
      <c r="I44" s="1012"/>
      <c r="J44" s="1012"/>
      <c r="K44" s="992"/>
      <c r="L44" s="992"/>
      <c r="M44" s="1006"/>
      <c r="N44" s="1006"/>
      <c r="O44" s="1006"/>
      <c r="P44" s="1006"/>
      <c r="Q44" s="1006"/>
      <c r="R44" s="992"/>
      <c r="S44" s="1012"/>
      <c r="T44" s="1012"/>
      <c r="U44" s="1012"/>
      <c r="V44" s="1012"/>
      <c r="W44" s="1012"/>
      <c r="X44" s="1012"/>
      <c r="Y44" s="1012"/>
      <c r="Z44" s="1012"/>
      <c r="AA44" s="952"/>
      <c r="AB44" s="952"/>
      <c r="AC44" s="952"/>
      <c r="AD44" s="952"/>
      <c r="AE44" s="952"/>
      <c r="AF44" s="952"/>
      <c r="AG44" s="952"/>
      <c r="AH44" s="952"/>
      <c r="AI44" s="952"/>
      <c r="AJ44" s="952"/>
      <c r="AK44" s="952"/>
      <c r="AL44" s="952"/>
      <c r="AM44" s="952"/>
      <c r="AN44" s="952"/>
      <c r="AO44" s="952"/>
      <c r="AP44" s="952"/>
      <c r="AQ44" s="952"/>
    </row>
    <row r="45" spans="1:43" ht="16.5" thickTop="1" x14ac:dyDescent="0.25">
      <c r="A45" s="4556" t="s">
        <v>889</v>
      </c>
      <c r="B45" s="4557"/>
      <c r="C45" s="1015">
        <f>SUM('5.9. sz. mell.'!F42)</f>
        <v>62630552</v>
      </c>
      <c r="D45" s="1015"/>
      <c r="E45" s="1015">
        <f>SUM('5.9. sz. mell.'!H42)</f>
        <v>65198652</v>
      </c>
      <c r="F45" s="1015">
        <f>SUM('5.9. sz. mell.'!I42)</f>
        <v>-2477650</v>
      </c>
      <c r="G45" s="1015">
        <f>SUM('5.9. sz. mell.'!J42)</f>
        <v>62721002</v>
      </c>
      <c r="H45" s="1015">
        <f>SUM('5.9. sz. mell.'!K42)</f>
        <v>0</v>
      </c>
      <c r="I45" s="1015">
        <f>SUM('5.9. sz. mell.'!L42)</f>
        <v>62721002</v>
      </c>
      <c r="J45" s="1016">
        <f>SUM('5.9. sz. mell.'!M42)</f>
        <v>62721002</v>
      </c>
      <c r="K45" s="992"/>
      <c r="L45" s="992"/>
      <c r="M45" s="1014" t="s">
        <v>899</v>
      </c>
      <c r="N45" s="2214"/>
      <c r="O45" s="2214"/>
      <c r="P45" s="2214"/>
      <c r="Q45" s="1014"/>
      <c r="R45" s="1017"/>
      <c r="S45" s="1018">
        <f>SUM('5.9. sz. mell.'!F55)</f>
        <v>62630552</v>
      </c>
      <c r="T45" s="1018"/>
      <c r="U45" s="1018">
        <f>SUM('5.9. sz. mell.'!H55)</f>
        <v>65198652</v>
      </c>
      <c r="V45" s="1018">
        <f>SUM('5.9. sz. mell.'!I55)</f>
        <v>-2477650</v>
      </c>
      <c r="W45" s="1018">
        <f>SUM('5.9. sz. mell.'!J55)</f>
        <v>62721002</v>
      </c>
      <c r="X45" s="1018">
        <f>SUM('5.9. sz. mell.'!K55)</f>
        <v>0</v>
      </c>
      <c r="Y45" s="1018">
        <f>SUM('5.9. sz. mell.'!L55)</f>
        <v>62721002</v>
      </c>
      <c r="Z45" s="1019">
        <f>SUM('5.9. sz. mell.'!M55)</f>
        <v>62721002</v>
      </c>
      <c r="AA45" s="952"/>
      <c r="AB45" s="952"/>
      <c r="AC45" s="952"/>
      <c r="AD45" s="952"/>
      <c r="AE45" s="952"/>
      <c r="AF45" s="952"/>
      <c r="AG45" s="952"/>
      <c r="AH45" s="952"/>
      <c r="AI45" s="952"/>
      <c r="AJ45" s="952"/>
      <c r="AK45" s="952"/>
      <c r="AL45" s="952"/>
      <c r="AM45" s="952"/>
      <c r="AN45" s="952"/>
      <c r="AO45" s="952"/>
      <c r="AP45" s="952"/>
      <c r="AQ45" s="952"/>
    </row>
    <row r="46" spans="1:43" ht="16.5" thickBot="1" x14ac:dyDescent="0.3">
      <c r="A46" s="1020" t="s">
        <v>962</v>
      </c>
      <c r="B46" s="1021"/>
      <c r="C46" s="1077">
        <f>SUM(C45-C13)</f>
        <v>0</v>
      </c>
      <c r="D46" s="1077"/>
      <c r="E46" s="1077">
        <f t="shared" ref="E46:J46" si="26">SUM(E45-E13)</f>
        <v>0</v>
      </c>
      <c r="F46" s="1077">
        <f t="shared" si="26"/>
        <v>-2477650</v>
      </c>
      <c r="G46" s="1077">
        <f t="shared" si="26"/>
        <v>-4683404</v>
      </c>
      <c r="H46" s="1077">
        <f t="shared" si="26"/>
        <v>0</v>
      </c>
      <c r="I46" s="1077">
        <f t="shared" si="26"/>
        <v>0</v>
      </c>
      <c r="J46" s="1092">
        <f t="shared" si="26"/>
        <v>0</v>
      </c>
      <c r="K46" s="992"/>
      <c r="L46" s="992"/>
      <c r="M46" s="1020" t="s">
        <v>893</v>
      </c>
      <c r="N46" s="2222"/>
      <c r="O46" s="2222"/>
      <c r="P46" s="2222"/>
      <c r="Q46" s="1020"/>
      <c r="R46" s="1024"/>
      <c r="S46" s="1025">
        <f>SUM(S45-C20)</f>
        <v>0</v>
      </c>
      <c r="T46" s="1025"/>
      <c r="U46" s="1025">
        <f t="shared" ref="U46:Z46" si="27">SUM(U45-E20)</f>
        <v>0</v>
      </c>
      <c r="V46" s="1025">
        <f t="shared" si="27"/>
        <v>-2477650</v>
      </c>
      <c r="W46" s="1025">
        <f t="shared" si="27"/>
        <v>-4683404</v>
      </c>
      <c r="X46" s="1025">
        <f t="shared" si="27"/>
        <v>0</v>
      </c>
      <c r="Y46" s="1025">
        <f t="shared" si="27"/>
        <v>0</v>
      </c>
      <c r="Z46" s="1026">
        <f t="shared" si="27"/>
        <v>0</v>
      </c>
      <c r="AA46" s="952"/>
      <c r="AB46" s="952"/>
      <c r="AC46" s="952"/>
      <c r="AD46" s="952"/>
      <c r="AE46" s="952"/>
      <c r="AF46" s="952"/>
      <c r="AG46" s="952"/>
      <c r="AH46" s="952"/>
      <c r="AI46" s="952"/>
      <c r="AJ46" s="952"/>
      <c r="AK46" s="952"/>
      <c r="AL46" s="952"/>
      <c r="AM46" s="952"/>
      <c r="AN46" s="952"/>
      <c r="AO46" s="952"/>
      <c r="AP46" s="952"/>
      <c r="AQ46" s="952"/>
    </row>
    <row r="47" spans="1:43" ht="15.75" thickTop="1" x14ac:dyDescent="0.25">
      <c r="A47" s="992"/>
      <c r="B47" s="992"/>
      <c r="C47" s="992"/>
      <c r="D47" s="992"/>
      <c r="E47" s="992"/>
      <c r="F47" s="992"/>
      <c r="G47" s="992"/>
      <c r="H47" s="992"/>
      <c r="I47" s="992"/>
      <c r="J47" s="992"/>
      <c r="K47" s="992"/>
      <c r="L47" s="992"/>
      <c r="M47" s="992"/>
      <c r="N47" s="992"/>
      <c r="O47" s="992"/>
      <c r="P47" s="992"/>
      <c r="Q47" s="992"/>
      <c r="R47" s="992"/>
      <c r="S47" s="992"/>
      <c r="T47" s="992"/>
      <c r="U47" s="992"/>
      <c r="V47" s="992"/>
      <c r="W47" s="992"/>
      <c r="X47" s="992"/>
      <c r="Y47" s="992"/>
      <c r="Z47" s="992"/>
      <c r="AA47" s="952"/>
      <c r="AB47" s="952"/>
      <c r="AC47" s="952"/>
      <c r="AD47" s="952"/>
      <c r="AE47" s="952"/>
      <c r="AF47" s="952"/>
      <c r="AG47" s="952"/>
      <c r="AH47" s="952"/>
      <c r="AI47" s="952"/>
      <c r="AJ47" s="952"/>
      <c r="AK47" s="952"/>
      <c r="AL47" s="952"/>
      <c r="AM47" s="952"/>
      <c r="AN47" s="952"/>
      <c r="AO47" s="952"/>
      <c r="AP47" s="952"/>
      <c r="AQ47" s="952"/>
    </row>
    <row r="48" spans="1:43" x14ac:dyDescent="0.25">
      <c r="A48" s="992"/>
      <c r="B48" s="992"/>
      <c r="C48" s="992"/>
      <c r="D48" s="992"/>
      <c r="E48" s="992"/>
      <c r="F48" s="992"/>
      <c r="G48" s="992"/>
      <c r="H48" s="992"/>
      <c r="I48" s="992"/>
      <c r="J48" s="992"/>
      <c r="K48" s="992"/>
      <c r="L48" s="992"/>
      <c r="M48" s="992"/>
      <c r="N48" s="992"/>
      <c r="O48" s="992"/>
      <c r="P48" s="992"/>
      <c r="Q48" s="992"/>
      <c r="R48" s="992"/>
      <c r="S48" s="992"/>
      <c r="T48" s="992"/>
      <c r="U48" s="992"/>
      <c r="V48" s="992"/>
      <c r="W48" s="992"/>
      <c r="X48" s="992"/>
      <c r="Y48" s="992"/>
      <c r="Z48" s="992"/>
      <c r="AA48" s="952"/>
      <c r="AB48" s="952"/>
      <c r="AC48" s="952"/>
      <c r="AD48" s="952"/>
      <c r="AE48" s="952"/>
      <c r="AF48" s="952"/>
      <c r="AG48" s="952"/>
      <c r="AH48" s="952"/>
      <c r="AI48" s="952"/>
      <c r="AJ48" s="952"/>
      <c r="AK48" s="952"/>
      <c r="AL48" s="952"/>
      <c r="AM48" s="952"/>
      <c r="AN48" s="952"/>
      <c r="AO48" s="952"/>
      <c r="AP48" s="952"/>
      <c r="AQ48" s="952"/>
    </row>
  </sheetData>
  <mergeCells count="34">
    <mergeCell ref="A30:B30"/>
    <mergeCell ref="M30:R30"/>
    <mergeCell ref="A45:B45"/>
    <mergeCell ref="A33:B33"/>
    <mergeCell ref="M33:R33"/>
    <mergeCell ref="A36:B36"/>
    <mergeCell ref="M36:R36"/>
    <mergeCell ref="A39:B39"/>
    <mergeCell ref="M39:R39"/>
    <mergeCell ref="A20:B20"/>
    <mergeCell ref="A15:AP15"/>
    <mergeCell ref="A25:B25"/>
    <mergeCell ref="A27:B27"/>
    <mergeCell ref="M27:R27"/>
    <mergeCell ref="A11:B11"/>
    <mergeCell ref="A19:B19"/>
    <mergeCell ref="K5:R5"/>
    <mergeCell ref="A16:B16"/>
    <mergeCell ref="A7:B7"/>
    <mergeCell ref="A8:B8"/>
    <mergeCell ref="A9:B9"/>
    <mergeCell ref="A10:B10"/>
    <mergeCell ref="A12:B12"/>
    <mergeCell ref="A13:B13"/>
    <mergeCell ref="A17:B17"/>
    <mergeCell ref="A18:B18"/>
    <mergeCell ref="A1:AP1"/>
    <mergeCell ref="A2:AP2"/>
    <mergeCell ref="A5:B6"/>
    <mergeCell ref="C5:J5"/>
    <mergeCell ref="AA5:AH5"/>
    <mergeCell ref="S5:Z5"/>
    <mergeCell ref="AI5:AP5"/>
    <mergeCell ref="A4:AP4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66" firstPageNumber="88" orientation="landscape" useFirstPageNumber="1" r:id="rId1"/>
  <headerFooter>
    <oddHeader>&amp;R&amp;12 5.9.d. sz. melléklet
Foront</oddHeader>
    <oddFooter>&amp;C&amp;12- &amp;P -</oddFooter>
  </headerFooter>
  <rowBreaks count="1" manualBreakCount="1">
    <brk id="21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AG78"/>
  <sheetViews>
    <sheetView view="pageBreakPreview" zoomScale="90" zoomScaleNormal="100" zoomScaleSheetLayoutView="90" zoomScalePageLayoutView="60" workbookViewId="0">
      <selection activeCell="J73" sqref="J73:J7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83203125" style="115" customWidth="1"/>
    <col min="4" max="5" width="9.33203125" style="115" hidden="1" customWidth="1"/>
    <col min="6" max="6" width="15.83203125" style="115" customWidth="1"/>
    <col min="7" max="7" width="13.5" style="1390" hidden="1" customWidth="1"/>
    <col min="8" max="8" width="14.33203125" style="115" hidden="1" customWidth="1"/>
    <col min="9" max="9" width="13.33203125" style="1390" hidden="1" customWidth="1"/>
    <col min="10" max="10" width="14.1640625" style="115" customWidth="1"/>
    <col min="11" max="11" width="17.33203125" style="1390" customWidth="1"/>
    <col min="12" max="12" width="17.33203125" style="115" customWidth="1"/>
    <col min="13" max="13" width="14.83203125" style="115" customWidth="1"/>
    <col min="14" max="14" width="17.1640625" style="1877" customWidth="1"/>
    <col min="15" max="15" width="9.33203125" style="1877" hidden="1" customWidth="1"/>
    <col min="16" max="16" width="16.83203125" style="1886" customWidth="1"/>
    <col min="17" max="17" width="16.83203125" style="1886" hidden="1" customWidth="1"/>
    <col min="18" max="18" width="16.83203125" style="115" customWidth="1"/>
    <col min="19" max="19" width="16.83203125" style="115" hidden="1" customWidth="1"/>
    <col min="20" max="20" width="16.83203125" style="1161" customWidth="1"/>
    <col min="21" max="21" width="16.83203125" style="1161" hidden="1" customWidth="1"/>
    <col min="22" max="22" width="15.5" style="1898" customWidth="1"/>
    <col min="23" max="23" width="17.83203125" style="1877" customWidth="1"/>
    <col min="24" max="24" width="17.83203125" style="1877" hidden="1" customWidth="1"/>
    <col min="25" max="25" width="15.1640625" style="1886" customWidth="1"/>
    <col min="26" max="26" width="15.1640625" style="1886" hidden="1" customWidth="1"/>
    <col min="27" max="27" width="15.1640625" style="115" customWidth="1"/>
    <col min="28" max="28" width="15.1640625" style="115" hidden="1" customWidth="1"/>
    <col min="29" max="29" width="15.1640625" style="1161" customWidth="1"/>
    <col min="30" max="30" width="15.1640625" style="1161" hidden="1" customWidth="1"/>
    <col min="31" max="31" width="14.83203125" style="1904" customWidth="1"/>
    <col min="32" max="33" width="9.83203125" style="115" customWidth="1"/>
    <col min="34" max="16384" width="9.33203125" style="115"/>
  </cols>
  <sheetData>
    <row r="1" spans="1:31" s="98" customFormat="1" ht="15" customHeight="1" thickBot="1" x14ac:dyDescent="0.25">
      <c r="A1" s="240"/>
      <c r="B1" s="241"/>
      <c r="C1" s="4526" t="s">
        <v>751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  <c r="N1" s="1872"/>
      <c r="O1" s="1872"/>
      <c r="P1" s="1882"/>
      <c r="Q1" s="1882"/>
      <c r="T1" s="1868"/>
      <c r="U1" s="1868"/>
      <c r="V1" s="1893"/>
      <c r="W1" s="1872"/>
      <c r="X1" s="1872"/>
      <c r="Y1" s="1882"/>
      <c r="Z1" s="1882"/>
      <c r="AC1" s="1868"/>
      <c r="AD1" s="1868"/>
      <c r="AE1" s="1899"/>
    </row>
    <row r="2" spans="1:31" s="303" customFormat="1" ht="30" customHeight="1" thickBot="1" x14ac:dyDescent="0.25">
      <c r="A2" s="4516" t="s">
        <v>411</v>
      </c>
      <c r="B2" s="4516"/>
      <c r="C2" s="117" t="s">
        <v>491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49" t="s">
        <v>1038</v>
      </c>
      <c r="L2" s="4415" t="s">
        <v>234</v>
      </c>
      <c r="M2" s="4440" t="s">
        <v>1948</v>
      </c>
      <c r="N2" s="1873"/>
      <c r="O2" s="1873"/>
      <c r="P2" s="1883"/>
      <c r="Q2" s="1883"/>
      <c r="T2" s="1869"/>
      <c r="U2" s="1869"/>
      <c r="V2" s="1894"/>
      <c r="W2" s="1873"/>
      <c r="X2" s="1873"/>
      <c r="Y2" s="1883"/>
      <c r="Z2" s="1883"/>
      <c r="AC2" s="1869"/>
      <c r="AD2" s="1869"/>
      <c r="AE2" s="1900"/>
    </row>
    <row r="3" spans="1:31" s="303" customFormat="1" ht="30" customHeight="1" thickBot="1" x14ac:dyDescent="0.25">
      <c r="A3" s="4506" t="s">
        <v>283</v>
      </c>
      <c r="B3" s="4506"/>
      <c r="C3" s="204" t="s">
        <v>492</v>
      </c>
      <c r="D3" s="4444"/>
      <c r="E3" s="121"/>
      <c r="F3" s="4444"/>
      <c r="G3" s="4423"/>
      <c r="H3" s="4416" t="s">
        <v>1028</v>
      </c>
      <c r="I3" s="4423" t="s">
        <v>1031</v>
      </c>
      <c r="J3" s="4496" t="s">
        <v>1028</v>
      </c>
      <c r="K3" s="4450"/>
      <c r="L3" s="4416"/>
      <c r="M3" s="4441"/>
      <c r="N3" s="1873"/>
      <c r="O3" s="1873"/>
      <c r="P3" s="1883"/>
      <c r="Q3" s="1883"/>
      <c r="T3" s="1869"/>
      <c r="U3" s="1869"/>
      <c r="V3" s="1894"/>
      <c r="W3" s="1873"/>
      <c r="X3" s="1873"/>
      <c r="Y3" s="1883"/>
      <c r="Z3" s="1883"/>
      <c r="AC3" s="1869"/>
      <c r="AD3" s="1869"/>
      <c r="AE3" s="1900"/>
    </row>
    <row r="4" spans="1:31" s="303" customFormat="1" ht="15" customHeight="1" thickBot="1" x14ac:dyDescent="0.25">
      <c r="A4" s="1300"/>
      <c r="B4" s="1301"/>
      <c r="C4" s="2165"/>
      <c r="D4" s="4464"/>
      <c r="E4" s="4464"/>
      <c r="F4" s="4465"/>
      <c r="G4" s="1440"/>
      <c r="H4" s="1454"/>
      <c r="I4" s="1454"/>
      <c r="J4" s="1454"/>
      <c r="K4" s="1454"/>
      <c r="L4" s="1454"/>
      <c r="M4" s="1508" t="s">
        <v>935</v>
      </c>
      <c r="N4" s="1873"/>
      <c r="O4" s="1873"/>
      <c r="P4" s="1883"/>
      <c r="Q4" s="1883"/>
      <c r="T4" s="1869"/>
      <c r="U4" s="1869"/>
      <c r="V4" s="1894"/>
      <c r="W4" s="1873"/>
      <c r="X4" s="1873"/>
      <c r="Y4" s="1883"/>
      <c r="Z4" s="1883"/>
      <c r="AC4" s="1869"/>
      <c r="AD4" s="1869"/>
      <c r="AE4" s="1900"/>
    </row>
    <row r="5" spans="1:31" s="145" customFormat="1" ht="32.2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  <c r="N5" s="1874"/>
      <c r="O5" s="1874"/>
      <c r="P5" s="4493" t="s">
        <v>1056</v>
      </c>
      <c r="Q5" s="1884"/>
      <c r="R5" s="4442" t="s">
        <v>1057</v>
      </c>
      <c r="S5" s="305"/>
      <c r="T5" s="4439" t="s">
        <v>1058</v>
      </c>
      <c r="U5" s="1870"/>
      <c r="V5" s="1895"/>
      <c r="W5" s="1878"/>
      <c r="X5" s="2215"/>
      <c r="Y5" s="4493" t="s">
        <v>1056</v>
      </c>
      <c r="Z5" s="1884"/>
      <c r="AA5" s="4442" t="s">
        <v>1057</v>
      </c>
      <c r="AB5" s="305"/>
      <c r="AC5" s="4439" t="s">
        <v>1058</v>
      </c>
      <c r="AD5" s="1870"/>
      <c r="AE5" s="1901"/>
    </row>
    <row r="6" spans="1:31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3330"/>
      <c r="L6" s="128"/>
      <c r="M6" s="128"/>
      <c r="N6" s="1875" t="s">
        <v>771</v>
      </c>
      <c r="O6" s="1875"/>
      <c r="P6" s="4493"/>
      <c r="Q6" s="1884"/>
      <c r="R6" s="4442"/>
      <c r="T6" s="4439"/>
      <c r="U6" s="1870"/>
      <c r="V6" s="1896" t="s">
        <v>289</v>
      </c>
      <c r="W6" s="1879" t="s">
        <v>771</v>
      </c>
      <c r="X6" s="2216"/>
      <c r="Y6" s="4493"/>
      <c r="Z6" s="1884"/>
      <c r="AA6" s="4442"/>
      <c r="AC6" s="4439"/>
      <c r="AD6" s="1870"/>
      <c r="AE6" s="1902" t="s">
        <v>289</v>
      </c>
    </row>
    <row r="7" spans="1:31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3343"/>
      <c r="L7" s="162"/>
      <c r="M7" s="162"/>
      <c r="N7" s="1875" t="s">
        <v>802</v>
      </c>
      <c r="O7" s="1875"/>
      <c r="P7" s="1884" t="s">
        <v>802</v>
      </c>
      <c r="Q7" s="1884"/>
      <c r="R7" s="305" t="s">
        <v>802</v>
      </c>
      <c r="T7" s="1870" t="s">
        <v>802</v>
      </c>
      <c r="U7" s="1870"/>
      <c r="V7" s="1896" t="s">
        <v>802</v>
      </c>
      <c r="W7" s="1879" t="s">
        <v>766</v>
      </c>
      <c r="X7" s="2216"/>
      <c r="Y7" s="1884" t="s">
        <v>766</v>
      </c>
      <c r="Z7" s="1884"/>
      <c r="AA7" s="305" t="s">
        <v>766</v>
      </c>
      <c r="AC7" s="1870" t="s">
        <v>766</v>
      </c>
      <c r="AD7" s="1870"/>
      <c r="AE7" s="1902" t="s">
        <v>766</v>
      </c>
    </row>
    <row r="8" spans="1:31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19150</v>
      </c>
      <c r="E8" s="137">
        <f>SUM(E9:E18)</f>
        <v>19150</v>
      </c>
      <c r="F8" s="137">
        <f>SUM(F9:F19)</f>
        <v>22418000</v>
      </c>
      <c r="G8" s="1382">
        <f t="shared" ref="G8:K23" si="0">SUM(H8-F8)</f>
        <v>0</v>
      </c>
      <c r="H8" s="137">
        <f>SUM(H9:H19)</f>
        <v>22418000</v>
      </c>
      <c r="I8" s="1421">
        <f t="shared" si="0"/>
        <v>-951085</v>
      </c>
      <c r="J8" s="137">
        <f>SUM(J9:J19)</f>
        <v>21466915</v>
      </c>
      <c r="K8" s="3394">
        <f t="shared" si="0"/>
        <v>0</v>
      </c>
      <c r="L8" s="137">
        <f>SUM(L9:L19)</f>
        <v>21466915</v>
      </c>
      <c r="M8" s="137">
        <f>SUM(M9:M19)</f>
        <v>21107000</v>
      </c>
      <c r="N8" s="1876">
        <f t="shared" ref="N8:N40" si="1">SUM(F8-W8)</f>
        <v>0</v>
      </c>
      <c r="O8" s="1876"/>
      <c r="P8" s="1885">
        <f t="shared" ref="P8:P40" si="2">SUM(H8-Y8)</f>
        <v>0</v>
      </c>
      <c r="Q8" s="1885"/>
      <c r="R8" s="248">
        <f>SUM(J8-AA8)</f>
        <v>0</v>
      </c>
      <c r="S8" s="248">
        <f t="shared" ref="S8:T23" si="3">SUM(K8-AB8)</f>
        <v>0</v>
      </c>
      <c r="T8" s="1871">
        <f t="shared" si="3"/>
        <v>0</v>
      </c>
      <c r="U8" s="1871"/>
      <c r="V8" s="1897">
        <f t="shared" ref="V8:V40" si="4">SUM(M8-AE8)</f>
        <v>0</v>
      </c>
      <c r="W8" s="1880">
        <f>SUM('5.10.a.sz. mell'!F8+'5.10.b. sz. mell'!F8)</f>
        <v>22418000</v>
      </c>
      <c r="X8" s="2217"/>
      <c r="Y8" s="1885">
        <f>SUM('5.10.a.sz. mell'!H8+'5.10.b. sz. mell'!H8)</f>
        <v>22418000</v>
      </c>
      <c r="Z8" s="1885"/>
      <c r="AA8" s="248">
        <f>SUM('5.10.a.sz. mell'!J8+'5.10.b. sz. mell'!J8)</f>
        <v>21466915</v>
      </c>
      <c r="AB8" s="248">
        <f>SUM('5.10.a.sz. mell'!K8+'5.10.b. sz. mell'!K8)</f>
        <v>0</v>
      </c>
      <c r="AC8" s="1871">
        <f>SUM('5.10.a.sz. mell'!L8+'5.10.b. sz. mell'!L8)</f>
        <v>21466915</v>
      </c>
      <c r="AD8" s="1871"/>
      <c r="AE8" s="1903">
        <f>SUM('5.10.a.sz. mell'!M8+'5.10.b. sz. mell'!M8)</f>
        <v>21107000</v>
      </c>
    </row>
    <row r="9" spans="1:31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/>
      <c r="F9" s="150"/>
      <c r="G9" s="1415">
        <f t="shared" si="0"/>
        <v>0</v>
      </c>
      <c r="H9" s="150"/>
      <c r="I9" s="1386">
        <f t="shared" si="0"/>
        <v>0</v>
      </c>
      <c r="J9" s="150"/>
      <c r="K9" s="3345">
        <f t="shared" si="0"/>
        <v>0</v>
      </c>
      <c r="L9" s="150"/>
      <c r="M9" s="150"/>
      <c r="N9" s="1876">
        <f t="shared" si="1"/>
        <v>0</v>
      </c>
      <c r="O9" s="1876"/>
      <c r="P9" s="1885">
        <f t="shared" si="2"/>
        <v>0</v>
      </c>
      <c r="Q9" s="1885"/>
      <c r="R9" s="248">
        <f t="shared" ref="R9:R57" si="5">SUM(J9-AA9)</f>
        <v>0</v>
      </c>
      <c r="S9" s="248">
        <f t="shared" si="3"/>
        <v>0</v>
      </c>
      <c r="T9" s="1871">
        <f t="shared" si="3"/>
        <v>0</v>
      </c>
      <c r="U9" s="1871"/>
      <c r="V9" s="1897">
        <f t="shared" si="4"/>
        <v>0</v>
      </c>
      <c r="W9" s="1880">
        <f>SUM('5.10.a.sz. mell'!F9+'5.10.b. sz. mell'!F9)</f>
        <v>0</v>
      </c>
      <c r="X9" s="2217"/>
      <c r="Y9" s="1885">
        <f>SUM('5.10.a.sz. mell'!H9+'5.10.b. sz. mell'!H9)</f>
        <v>0</v>
      </c>
      <c r="Z9" s="1885"/>
      <c r="AA9" s="248">
        <f>SUM('5.10.a.sz. mell'!J9+'5.10.b. sz. mell'!J9)</f>
        <v>0</v>
      </c>
      <c r="AB9" s="248">
        <f>SUM('5.10.a.sz. mell'!K9+'5.10.b. sz. mell'!K9)</f>
        <v>0</v>
      </c>
      <c r="AC9" s="1871">
        <f>SUM('5.10.a.sz. mell'!L9+'5.10.b. sz. mell'!L9)</f>
        <v>0</v>
      </c>
      <c r="AD9" s="1871"/>
      <c r="AE9" s="1903">
        <f>SUM('5.10.a.sz. mell'!M9+'5.10.b. sz. mell'!M9)</f>
        <v>0</v>
      </c>
    </row>
    <row r="10" spans="1:31" s="141" customFormat="1" ht="15" customHeight="1" x14ac:dyDescent="0.2">
      <c r="A10" s="142"/>
      <c r="B10" s="143" t="s">
        <v>154</v>
      </c>
      <c r="C10" s="55" t="s">
        <v>50</v>
      </c>
      <c r="D10" s="144">
        <f>SUM('5.10.1. sz. mell.'!AB112)</f>
        <v>19150</v>
      </c>
      <c r="E10" s="144">
        <f>SUM('5.10.1. sz. mell.'!AC112)</f>
        <v>19150</v>
      </c>
      <c r="F10" s="144">
        <f>SUM('5.10.1. sz. mell.'!AD115)</f>
        <v>14780000</v>
      </c>
      <c r="G10" s="1415">
        <f t="shared" si="0"/>
        <v>1521900</v>
      </c>
      <c r="H10" s="144">
        <f>SUM('5.10.1. sz. mell.'!AF115)</f>
        <v>16301900</v>
      </c>
      <c r="I10" s="1376">
        <f t="shared" si="0"/>
        <v>-758433</v>
      </c>
      <c r="J10" s="144">
        <f>SUM('5.10.1. sz. mell.'!AH115)</f>
        <v>15543467</v>
      </c>
      <c r="K10" s="3334">
        <f t="shared" si="0"/>
        <v>0</v>
      </c>
      <c r="L10" s="144">
        <f>SUM('5.10.1. sz. mell.'!AJ115)</f>
        <v>15543467</v>
      </c>
      <c r="M10" s="144">
        <f>SUM('5.10.1. sz. mell.'!AK115)</f>
        <v>15280060</v>
      </c>
      <c r="N10" s="1876">
        <f t="shared" si="1"/>
        <v>0</v>
      </c>
      <c r="O10" s="1876"/>
      <c r="P10" s="1885">
        <f t="shared" si="2"/>
        <v>0</v>
      </c>
      <c r="Q10" s="1885"/>
      <c r="R10" s="248">
        <f t="shared" si="5"/>
        <v>0</v>
      </c>
      <c r="S10" s="248">
        <f t="shared" si="3"/>
        <v>0</v>
      </c>
      <c r="T10" s="1871">
        <f t="shared" si="3"/>
        <v>0</v>
      </c>
      <c r="U10" s="1871"/>
      <c r="V10" s="1897">
        <f t="shared" si="4"/>
        <v>0</v>
      </c>
      <c r="W10" s="1880">
        <f>SUM('5.10.a.sz. mell'!F10+'5.10.b. sz. mell'!F10)</f>
        <v>14780000</v>
      </c>
      <c r="X10" s="2217"/>
      <c r="Y10" s="1885">
        <f>SUM('5.10.a.sz. mell'!H10+'5.10.b. sz. mell'!H10)</f>
        <v>16301900</v>
      </c>
      <c r="Z10" s="1885"/>
      <c r="AA10" s="248">
        <f>SUM('5.10.a.sz. mell'!J10+'5.10.b. sz. mell'!J10)</f>
        <v>15543467</v>
      </c>
      <c r="AB10" s="248">
        <f>SUM('5.10.a.sz. mell'!K10+'5.10.b. sz. mell'!K10)</f>
        <v>0</v>
      </c>
      <c r="AC10" s="1871">
        <f>SUM('5.10.a.sz. mell'!L10+'5.10.b. sz. mell'!L10)</f>
        <v>15543467</v>
      </c>
      <c r="AD10" s="1871"/>
      <c r="AE10" s="1903">
        <f>SUM('5.10.a.sz. mell'!M10+'5.10.b. sz. mell'!M10)</f>
        <v>15280060</v>
      </c>
    </row>
    <row r="11" spans="1:31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f>SUM('5.10.1. sz. mell.'!AD116)</f>
        <v>1592000</v>
      </c>
      <c r="G11" s="1415">
        <f t="shared" si="0"/>
        <v>-1592000</v>
      </c>
      <c r="H11" s="144">
        <f>SUM('5.10.1. sz. mell.'!AF116)</f>
        <v>0</v>
      </c>
      <c r="I11" s="1376">
        <f t="shared" si="0"/>
        <v>0</v>
      </c>
      <c r="J11" s="144">
        <f>SUM('5.10.1. sz. mell.'!AH116)</f>
        <v>0</v>
      </c>
      <c r="K11" s="3334">
        <f t="shared" si="0"/>
        <v>0</v>
      </c>
      <c r="L11" s="144">
        <f>SUM('5.10.1. sz. mell.'!AJ116)</f>
        <v>0</v>
      </c>
      <c r="M11" s="144">
        <f>SUM('5.10.1. sz. mell.'!AK116)</f>
        <v>0</v>
      </c>
      <c r="N11" s="1876">
        <f t="shared" si="1"/>
        <v>0</v>
      </c>
      <c r="O11" s="1876"/>
      <c r="P11" s="1885">
        <f t="shared" si="2"/>
        <v>0</v>
      </c>
      <c r="Q11" s="1885"/>
      <c r="R11" s="248">
        <f t="shared" si="5"/>
        <v>0</v>
      </c>
      <c r="S11" s="248">
        <f t="shared" si="3"/>
        <v>0</v>
      </c>
      <c r="T11" s="1871">
        <f t="shared" si="3"/>
        <v>0</v>
      </c>
      <c r="U11" s="1871"/>
      <c r="V11" s="1897">
        <f t="shared" si="4"/>
        <v>0</v>
      </c>
      <c r="W11" s="1880">
        <f>SUM('5.10.a.sz. mell'!F11+'5.10.b. sz. mell'!F11)</f>
        <v>1592000</v>
      </c>
      <c r="X11" s="2217"/>
      <c r="Y11" s="1885">
        <f>SUM('5.10.a.sz. mell'!H11+'5.10.b. sz. mell'!H11)</f>
        <v>0</v>
      </c>
      <c r="Z11" s="1885"/>
      <c r="AA11" s="248">
        <f>SUM('5.10.a.sz. mell'!J11+'5.10.b. sz. mell'!J11)</f>
        <v>0</v>
      </c>
      <c r="AB11" s="248">
        <f>SUM('5.10.a.sz. mell'!K11+'5.10.b. sz. mell'!K11)</f>
        <v>0</v>
      </c>
      <c r="AC11" s="1871">
        <f>SUM('5.10.a.sz. mell'!L11+'5.10.b. sz. mell'!L11)</f>
        <v>0</v>
      </c>
      <c r="AD11" s="1871"/>
      <c r="AE11" s="1903">
        <f>SUM('5.10.a.sz. mell'!M11+'5.10.b. sz. mell'!M11)</f>
        <v>0</v>
      </c>
    </row>
    <row r="12" spans="1:31" s="141" customFormat="1" ht="15" customHeight="1" x14ac:dyDescent="0.2">
      <c r="A12" s="142"/>
      <c r="B12" s="143" t="s">
        <v>158</v>
      </c>
      <c r="C12" s="55" t="s">
        <v>56</v>
      </c>
      <c r="D12" s="144">
        <v>0</v>
      </c>
      <c r="E12" s="144">
        <v>0</v>
      </c>
      <c r="F12" s="144">
        <f>SUM('5.10.1. sz. mell.'!AD117)</f>
        <v>0</v>
      </c>
      <c r="G12" s="1415">
        <f t="shared" si="0"/>
        <v>0</v>
      </c>
      <c r="H12" s="144">
        <f>SUM('5.10.1. sz. mell.'!AF117)</f>
        <v>0</v>
      </c>
      <c r="I12" s="1376">
        <f t="shared" si="0"/>
        <v>0</v>
      </c>
      <c r="J12" s="144">
        <f>SUM('5.10.1. sz. mell.'!AH117)</f>
        <v>0</v>
      </c>
      <c r="K12" s="3334">
        <f t="shared" si="0"/>
        <v>0</v>
      </c>
      <c r="L12" s="144">
        <f>SUM('5.10.1. sz. mell.'!AJ117)</f>
        <v>0</v>
      </c>
      <c r="M12" s="144">
        <f>SUM('5.10.1. sz. mell.'!AK117)</f>
        <v>0</v>
      </c>
      <c r="N12" s="1876">
        <f t="shared" si="1"/>
        <v>0</v>
      </c>
      <c r="O12" s="1876"/>
      <c r="P12" s="1885">
        <f t="shared" si="2"/>
        <v>0</v>
      </c>
      <c r="Q12" s="1885"/>
      <c r="R12" s="248">
        <f t="shared" si="5"/>
        <v>0</v>
      </c>
      <c r="S12" s="248">
        <f t="shared" si="3"/>
        <v>0</v>
      </c>
      <c r="T12" s="1871">
        <f t="shared" si="3"/>
        <v>0</v>
      </c>
      <c r="U12" s="1871"/>
      <c r="V12" s="1897">
        <f t="shared" si="4"/>
        <v>0</v>
      </c>
      <c r="W12" s="1880">
        <f>SUM('5.10.a.sz. mell'!F12+'5.10.b. sz. mell'!F12)</f>
        <v>0</v>
      </c>
      <c r="X12" s="2217"/>
      <c r="Y12" s="1885">
        <f>SUM('5.10.a.sz. mell'!H12+'5.10.b. sz. mell'!H12)</f>
        <v>0</v>
      </c>
      <c r="Z12" s="1885"/>
      <c r="AA12" s="248">
        <f>SUM('5.10.a.sz. mell'!J12+'5.10.b. sz. mell'!J12)</f>
        <v>0</v>
      </c>
      <c r="AB12" s="248">
        <f>SUM('5.10.a.sz. mell'!K12+'5.10.b. sz. mell'!K12)</f>
        <v>0</v>
      </c>
      <c r="AC12" s="1871">
        <f>SUM('5.10.a.sz. mell'!L12+'5.10.b. sz. mell'!L12)</f>
        <v>0</v>
      </c>
      <c r="AD12" s="1871"/>
      <c r="AE12" s="1903">
        <f>SUM('5.10.a.sz. mell'!M12+'5.10.b. sz. mell'!M12)</f>
        <v>0</v>
      </c>
    </row>
    <row r="13" spans="1:31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f>SUM('5.10.1. sz. mell.'!AD118)</f>
        <v>4730000</v>
      </c>
      <c r="G13" s="1415">
        <f t="shared" si="0"/>
        <v>0</v>
      </c>
      <c r="H13" s="144">
        <f>SUM('5.10.1. sz. mell.'!AF118)</f>
        <v>4730000</v>
      </c>
      <c r="I13" s="1376">
        <f t="shared" si="0"/>
        <v>826474</v>
      </c>
      <c r="J13" s="144">
        <f>SUM('5.10.1. sz. mell.'!AH118)</f>
        <v>5556474</v>
      </c>
      <c r="K13" s="3334">
        <f t="shared" si="0"/>
        <v>0</v>
      </c>
      <c r="L13" s="144">
        <f>SUM('5.10.1. sz. mell.'!AJ118)</f>
        <v>5556474</v>
      </c>
      <c r="M13" s="144">
        <f>SUM('5.10.1. sz. mell.'!AK118)</f>
        <v>5459966</v>
      </c>
      <c r="N13" s="1876">
        <f t="shared" si="1"/>
        <v>0</v>
      </c>
      <c r="O13" s="1876"/>
      <c r="P13" s="1885">
        <f t="shared" si="2"/>
        <v>0</v>
      </c>
      <c r="Q13" s="1885"/>
      <c r="R13" s="248">
        <f t="shared" si="5"/>
        <v>0</v>
      </c>
      <c r="S13" s="248">
        <f t="shared" si="3"/>
        <v>0</v>
      </c>
      <c r="T13" s="1871">
        <f t="shared" si="3"/>
        <v>0</v>
      </c>
      <c r="U13" s="1871"/>
      <c r="V13" s="1897">
        <f t="shared" si="4"/>
        <v>0</v>
      </c>
      <c r="W13" s="1880">
        <f>SUM('5.10.a.sz. mell'!F13+'5.10.b. sz. mell'!F13)</f>
        <v>4730000</v>
      </c>
      <c r="X13" s="2217"/>
      <c r="Y13" s="1885">
        <f>SUM('5.10.a.sz. mell'!H13+'5.10.b. sz. mell'!H13)</f>
        <v>4730000</v>
      </c>
      <c r="Z13" s="1885"/>
      <c r="AA13" s="248">
        <f>SUM('5.10.a.sz. mell'!J13+'5.10.b. sz. mell'!J13)</f>
        <v>5556474</v>
      </c>
      <c r="AB13" s="248">
        <f>SUM('5.10.a.sz. mell'!K13+'5.10.b. sz. mell'!K13)</f>
        <v>0</v>
      </c>
      <c r="AC13" s="1871">
        <f>SUM('5.10.a.sz. mell'!L13+'5.10.b. sz. mell'!L13)</f>
        <v>5556474</v>
      </c>
      <c r="AD13" s="1871"/>
      <c r="AE13" s="1903">
        <f>SUM('5.10.a.sz. mell'!M13+'5.10.b. sz. mell'!M13)</f>
        <v>5459966</v>
      </c>
    </row>
    <row r="14" spans="1:31" s="141" customFormat="1" ht="15" customHeight="1" x14ac:dyDescent="0.2">
      <c r="A14" s="146"/>
      <c r="B14" s="143" t="s">
        <v>162</v>
      </c>
      <c r="C14" s="55" t="s">
        <v>340</v>
      </c>
      <c r="D14" s="147">
        <v>0</v>
      </c>
      <c r="E14" s="147">
        <v>0</v>
      </c>
      <c r="F14" s="144">
        <f>SUM('5.10.1. sz. mell.'!AD119)</f>
        <v>0</v>
      </c>
      <c r="G14" s="1415">
        <f t="shared" si="0"/>
        <v>0</v>
      </c>
      <c r="H14" s="147">
        <v>0</v>
      </c>
      <c r="I14" s="1376">
        <f t="shared" si="0"/>
        <v>0</v>
      </c>
      <c r="J14" s="147">
        <v>0</v>
      </c>
      <c r="K14" s="3334">
        <f t="shared" si="0"/>
        <v>0</v>
      </c>
      <c r="L14" s="147">
        <v>0</v>
      </c>
      <c r="M14" s="147">
        <v>0</v>
      </c>
      <c r="N14" s="1876">
        <f t="shared" si="1"/>
        <v>0</v>
      </c>
      <c r="O14" s="1876"/>
      <c r="P14" s="1885">
        <f t="shared" si="2"/>
        <v>0</v>
      </c>
      <c r="Q14" s="1885"/>
      <c r="R14" s="248">
        <f t="shared" si="5"/>
        <v>0</v>
      </c>
      <c r="S14" s="248">
        <f t="shared" si="3"/>
        <v>0</v>
      </c>
      <c r="T14" s="1871">
        <f t="shared" si="3"/>
        <v>0</v>
      </c>
      <c r="U14" s="1871"/>
      <c r="V14" s="1897">
        <f t="shared" si="4"/>
        <v>0</v>
      </c>
      <c r="W14" s="1880">
        <f>SUM('5.10.a.sz. mell'!F14+'5.10.b. sz. mell'!F14)</f>
        <v>0</v>
      </c>
      <c r="X14" s="2217"/>
      <c r="Y14" s="1885">
        <f>SUM('5.10.a.sz. mell'!H14+'5.10.b. sz. mell'!H14)</f>
        <v>0</v>
      </c>
      <c r="Z14" s="1885"/>
      <c r="AA14" s="248">
        <f>SUM('5.10.a.sz. mell'!J14+'5.10.b. sz. mell'!J14)</f>
        <v>0</v>
      </c>
      <c r="AB14" s="248">
        <f>SUM('5.10.a.sz. mell'!K14+'5.10.b. sz. mell'!K14)</f>
        <v>0</v>
      </c>
      <c r="AC14" s="1871">
        <f>SUM('5.10.a.sz. mell'!L14+'5.10.b. sz. mell'!L14)</f>
        <v>0</v>
      </c>
      <c r="AD14" s="1871"/>
      <c r="AE14" s="1903">
        <f>SUM('5.10.a.sz. mell'!M14+'5.10.b. sz. mell'!M14)</f>
        <v>0</v>
      </c>
    </row>
    <row r="15" spans="1:31" s="145" customFormat="1" ht="15" customHeight="1" x14ac:dyDescent="0.2">
      <c r="A15" s="142"/>
      <c r="B15" s="143" t="s">
        <v>164</v>
      </c>
      <c r="C15" s="55" t="s">
        <v>60</v>
      </c>
      <c r="D15" s="144">
        <v>0</v>
      </c>
      <c r="E15" s="144">
        <v>0</v>
      </c>
      <c r="F15" s="144">
        <f>SUM('5.10.1. sz. mell.'!AD120)</f>
        <v>0</v>
      </c>
      <c r="G15" s="1415">
        <f t="shared" si="0"/>
        <v>0</v>
      </c>
      <c r="H15" s="144">
        <v>0</v>
      </c>
      <c r="I15" s="1376">
        <f t="shared" si="0"/>
        <v>0</v>
      </c>
      <c r="J15" s="144">
        <v>0</v>
      </c>
      <c r="K15" s="3334">
        <f t="shared" si="0"/>
        <v>0</v>
      </c>
      <c r="L15" s="144">
        <v>0</v>
      </c>
      <c r="M15" s="144">
        <v>0</v>
      </c>
      <c r="N15" s="1876">
        <f t="shared" si="1"/>
        <v>0</v>
      </c>
      <c r="O15" s="1876"/>
      <c r="P15" s="1885">
        <f t="shared" si="2"/>
        <v>0</v>
      </c>
      <c r="Q15" s="1885"/>
      <c r="R15" s="248">
        <f t="shared" si="5"/>
        <v>0</v>
      </c>
      <c r="S15" s="248">
        <f t="shared" si="3"/>
        <v>0</v>
      </c>
      <c r="T15" s="1871">
        <f t="shared" si="3"/>
        <v>0</v>
      </c>
      <c r="U15" s="1871"/>
      <c r="V15" s="1897">
        <f t="shared" si="4"/>
        <v>0</v>
      </c>
      <c r="W15" s="1880">
        <f>SUM('5.10.a.sz. mell'!F15+'5.10.b. sz. mell'!F15)</f>
        <v>0</v>
      </c>
      <c r="X15" s="2217"/>
      <c r="Y15" s="1885">
        <f>SUM('5.10.a.sz. mell'!H15+'5.10.b. sz. mell'!H15)</f>
        <v>0</v>
      </c>
      <c r="Z15" s="1885"/>
      <c r="AA15" s="248">
        <f>SUM('5.10.a.sz. mell'!J15+'5.10.b. sz. mell'!J15)</f>
        <v>0</v>
      </c>
      <c r="AB15" s="248">
        <f>SUM('5.10.a.sz. mell'!K15+'5.10.b. sz. mell'!K15)</f>
        <v>0</v>
      </c>
      <c r="AC15" s="1871">
        <f>SUM('5.10.a.sz. mell'!L15+'5.10.b. sz. mell'!L15)</f>
        <v>0</v>
      </c>
      <c r="AD15" s="1871"/>
      <c r="AE15" s="1903">
        <f>SUM('5.10.a.sz. mell'!M15+'5.10.b. sz. mell'!M15)</f>
        <v>0</v>
      </c>
    </row>
    <row r="16" spans="1:31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44">
        <f>SUM('5.10.1. sz. mell.'!AD122)</f>
        <v>0</v>
      </c>
      <c r="G16" s="1415">
        <f t="shared" si="0"/>
        <v>100</v>
      </c>
      <c r="H16" s="144">
        <f>SUM('5.10.1. sz. mell.'!AF122)</f>
        <v>100</v>
      </c>
      <c r="I16" s="1376">
        <f t="shared" si="0"/>
        <v>-79</v>
      </c>
      <c r="J16" s="144">
        <f>SUM('5.10.1. sz. mell.'!AH122)</f>
        <v>21</v>
      </c>
      <c r="K16" s="3334">
        <f t="shared" si="0"/>
        <v>0</v>
      </c>
      <c r="L16" s="144">
        <f>SUM('5.10.1. sz. mell.'!AJ122)</f>
        <v>21</v>
      </c>
      <c r="M16" s="144">
        <f>SUM('5.10.1. sz. mell.'!AK122)</f>
        <v>21</v>
      </c>
      <c r="N16" s="1876">
        <f t="shared" si="1"/>
        <v>0</v>
      </c>
      <c r="O16" s="1876"/>
      <c r="P16" s="1885">
        <f t="shared" si="2"/>
        <v>0</v>
      </c>
      <c r="Q16" s="1885"/>
      <c r="R16" s="248">
        <f t="shared" si="5"/>
        <v>0</v>
      </c>
      <c r="S16" s="248">
        <f t="shared" si="3"/>
        <v>0</v>
      </c>
      <c r="T16" s="1871">
        <f t="shared" si="3"/>
        <v>0</v>
      </c>
      <c r="U16" s="1871"/>
      <c r="V16" s="1897">
        <f t="shared" si="4"/>
        <v>0</v>
      </c>
      <c r="W16" s="1880"/>
      <c r="X16" s="2217"/>
      <c r="Y16" s="1885">
        <f>SUM('5.10.a.sz. mell'!H16+'5.10.b. sz. mell'!H16)</f>
        <v>100</v>
      </c>
      <c r="Z16" s="1885"/>
      <c r="AA16" s="248">
        <f>SUM('5.10.a.sz. mell'!J16+'5.10.b. sz. mell'!J16)</f>
        <v>21</v>
      </c>
      <c r="AB16" s="248">
        <f>SUM('5.10.a.sz. mell'!K16+'5.10.b. sz. mell'!K16)</f>
        <v>0</v>
      </c>
      <c r="AC16" s="1871">
        <f>SUM('5.10.a.sz. mell'!L16+'5.10.b. sz. mell'!L16)</f>
        <v>21</v>
      </c>
      <c r="AD16" s="1871"/>
      <c r="AE16" s="1903">
        <f>SUM('5.10.a.sz. mell'!M16+'5.10.b. sz. mell'!M16)</f>
        <v>21</v>
      </c>
    </row>
    <row r="17" spans="1:31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44">
        <f>SUM('5.10.1. sz. mell.'!AD123)</f>
        <v>0</v>
      </c>
      <c r="G17" s="1415">
        <f t="shared" si="0"/>
        <v>0</v>
      </c>
      <c r="H17" s="153"/>
      <c r="I17" s="1376">
        <f t="shared" si="0"/>
        <v>0</v>
      </c>
      <c r="J17" s="153"/>
      <c r="K17" s="3334">
        <f t="shared" si="0"/>
        <v>0</v>
      </c>
      <c r="L17" s="153"/>
      <c r="M17" s="153"/>
      <c r="N17" s="1876">
        <f t="shared" si="1"/>
        <v>0</v>
      </c>
      <c r="O17" s="1876"/>
      <c r="P17" s="1885">
        <f t="shared" si="2"/>
        <v>0</v>
      </c>
      <c r="Q17" s="1885"/>
      <c r="R17" s="248">
        <f t="shared" si="5"/>
        <v>0</v>
      </c>
      <c r="S17" s="248">
        <f t="shared" si="3"/>
        <v>0</v>
      </c>
      <c r="T17" s="1871">
        <f t="shared" si="3"/>
        <v>0</v>
      </c>
      <c r="U17" s="1871"/>
      <c r="V17" s="1897">
        <f t="shared" si="4"/>
        <v>0</v>
      </c>
      <c r="W17" s="1880"/>
      <c r="X17" s="2217"/>
      <c r="Y17" s="1885">
        <f>SUM('5.10.a.sz. mell'!H17+'5.10.b. sz. mell'!H17)</f>
        <v>0</v>
      </c>
      <c r="Z17" s="1885"/>
      <c r="AA17" s="248">
        <f>SUM('5.10.a.sz. mell'!J17+'5.10.b. sz. mell'!J17)</f>
        <v>0</v>
      </c>
      <c r="AB17" s="248">
        <f>SUM('5.10.a.sz. mell'!K17+'5.10.b. sz. mell'!K17)</f>
        <v>0</v>
      </c>
      <c r="AC17" s="1871">
        <f>SUM('5.10.a.sz. mell'!L17+'5.10.b. sz. mell'!L17)</f>
        <v>0</v>
      </c>
      <c r="AD17" s="1871"/>
      <c r="AE17" s="1903">
        <f>SUM('5.10.a.sz. mell'!M17+'5.10.b. sz. mell'!M17)</f>
        <v>0</v>
      </c>
    </row>
    <row r="18" spans="1:31" s="145" customFormat="1" ht="15" customHeight="1" x14ac:dyDescent="0.2">
      <c r="A18" s="142"/>
      <c r="B18" s="143" t="s">
        <v>170</v>
      </c>
      <c r="C18" s="55" t="s">
        <v>418</v>
      </c>
      <c r="D18" s="153">
        <v>0</v>
      </c>
      <c r="E18" s="153">
        <v>0</v>
      </c>
      <c r="F18" s="144">
        <f>SUM('5.10.1. sz. mell.'!AD124)</f>
        <v>1316000</v>
      </c>
      <c r="G18" s="1415">
        <f t="shared" si="0"/>
        <v>70000</v>
      </c>
      <c r="H18" s="144">
        <f>SUM('5.10.1. sz. mell.'!AF124)</f>
        <v>1386000</v>
      </c>
      <c r="I18" s="1378">
        <f t="shared" si="0"/>
        <v>-1019047</v>
      </c>
      <c r="J18" s="144">
        <f>SUM('5.10.1. sz. mell.'!AH124)</f>
        <v>366953</v>
      </c>
      <c r="K18" s="3336">
        <f t="shared" si="0"/>
        <v>0</v>
      </c>
      <c r="L18" s="144">
        <f>SUM('5.10.1. sz. mell.'!AJ124)</f>
        <v>366953</v>
      </c>
      <c r="M18" s="144">
        <f>SUM('5.10.1. sz. mell.'!AK124)</f>
        <v>366953</v>
      </c>
      <c r="N18" s="1876">
        <f t="shared" si="1"/>
        <v>0</v>
      </c>
      <c r="O18" s="1876"/>
      <c r="P18" s="1885">
        <f t="shared" si="2"/>
        <v>0</v>
      </c>
      <c r="Q18" s="1885"/>
      <c r="R18" s="248">
        <f t="shared" si="5"/>
        <v>0</v>
      </c>
      <c r="S18" s="248">
        <f t="shared" si="3"/>
        <v>0</v>
      </c>
      <c r="T18" s="1871">
        <f t="shared" si="3"/>
        <v>0</v>
      </c>
      <c r="U18" s="1871"/>
      <c r="V18" s="1897">
        <f t="shared" si="4"/>
        <v>0</v>
      </c>
      <c r="W18" s="1880">
        <f>SUM('5.10.a.sz. mell'!F18+'5.10.b. sz. mell'!F18)</f>
        <v>1316000</v>
      </c>
      <c r="X18" s="2217"/>
      <c r="Y18" s="1885">
        <f>SUM('5.10.a.sz. mell'!H18+'5.10.b. sz. mell'!H18)</f>
        <v>1386000</v>
      </c>
      <c r="Z18" s="1885"/>
      <c r="AA18" s="248">
        <f>SUM('5.10.a.sz. mell'!J18+'5.10.b. sz. mell'!J18)</f>
        <v>366953</v>
      </c>
      <c r="AB18" s="248">
        <f>SUM('5.10.a.sz. mell'!K17+'5.10.b. sz. mell'!K18)</f>
        <v>0</v>
      </c>
      <c r="AC18" s="1871">
        <f>SUM('5.10.a.sz. mell'!L18+'5.10.b. sz. mell'!L18)</f>
        <v>366953</v>
      </c>
      <c r="AD18" s="1871"/>
      <c r="AE18" s="1903">
        <f>SUM('5.10.a.sz. mell'!M18+'5.10.b. sz. mell'!M18)</f>
        <v>366953</v>
      </c>
    </row>
    <row r="19" spans="1:31" s="145" customFormat="1" ht="15" customHeight="1" thickBot="1" x14ac:dyDescent="0.25">
      <c r="A19" s="146"/>
      <c r="B19" s="157" t="s">
        <v>172</v>
      </c>
      <c r="C19" s="250" t="s">
        <v>1020</v>
      </c>
      <c r="D19" s="147"/>
      <c r="E19" s="147"/>
      <c r="F19" s="144">
        <f>SUM('5.10.1. sz. mell.'!AD125)</f>
        <v>0</v>
      </c>
      <c r="G19" s="1415">
        <f t="shared" si="0"/>
        <v>0</v>
      </c>
      <c r="H19" s="144">
        <f>SUM('5.10.1. sz. mell.'!AF125)</f>
        <v>0</v>
      </c>
      <c r="I19" s="1422">
        <f t="shared" si="0"/>
        <v>0</v>
      </c>
      <c r="J19" s="144">
        <f>SUM('5.10.1. sz. mell.'!AH125)</f>
        <v>0</v>
      </c>
      <c r="K19" s="3356">
        <f t="shared" si="0"/>
        <v>0</v>
      </c>
      <c r="L19" s="144">
        <f>SUM('5.10.1. sz. mell.'!AJ125)</f>
        <v>0</v>
      </c>
      <c r="M19" s="144">
        <f>SUM('5.10.1. sz. mell.'!AK125)</f>
        <v>0</v>
      </c>
      <c r="N19" s="1876"/>
      <c r="O19" s="1876"/>
      <c r="P19" s="1885"/>
      <c r="Q19" s="1885"/>
      <c r="R19" s="248">
        <f t="shared" si="5"/>
        <v>0</v>
      </c>
      <c r="S19" s="248">
        <f t="shared" si="3"/>
        <v>0</v>
      </c>
      <c r="T19" s="1871">
        <f t="shared" si="3"/>
        <v>0</v>
      </c>
      <c r="U19" s="1871"/>
      <c r="V19" s="1897"/>
      <c r="W19" s="1880"/>
      <c r="X19" s="2217"/>
      <c r="Y19" s="1885"/>
      <c r="Z19" s="1885"/>
      <c r="AA19" s="248"/>
      <c r="AB19" s="248">
        <f>SUM('5.10.a.sz. mell'!K18+'5.10.b. sz. mell'!K19)</f>
        <v>0</v>
      </c>
      <c r="AC19" s="1871"/>
      <c r="AD19" s="1871"/>
      <c r="AE19" s="1903"/>
    </row>
    <row r="20" spans="1:31" s="141" customFormat="1" ht="30.75" customHeight="1" thickBot="1" x14ac:dyDescent="0.25">
      <c r="A20" s="134" t="s">
        <v>17</v>
      </c>
      <c r="B20" s="148"/>
      <c r="C20" s="247" t="s">
        <v>419</v>
      </c>
      <c r="D20" s="137">
        <f>SUM(D22:D26)</f>
        <v>442256</v>
      </c>
      <c r="E20" s="137">
        <f>SUM(E22:E26)</f>
        <v>442256</v>
      </c>
      <c r="F20" s="137">
        <f>SUM(F22:F26)</f>
        <v>526538000</v>
      </c>
      <c r="G20" s="1382">
        <f t="shared" si="0"/>
        <v>0</v>
      </c>
      <c r="H20" s="137">
        <f>SUM(H22)</f>
        <v>526538000</v>
      </c>
      <c r="I20" s="1421">
        <f t="shared" si="0"/>
        <v>6075000</v>
      </c>
      <c r="J20" s="137">
        <f>SUM(J22)</f>
        <v>532613000</v>
      </c>
      <c r="K20" s="3394">
        <f t="shared" si="0"/>
        <v>0</v>
      </c>
      <c r="L20" s="137">
        <f>SUM(L22)</f>
        <v>532613000</v>
      </c>
      <c r="M20" s="137">
        <f>SUM(M22)</f>
        <v>532613000</v>
      </c>
      <c r="N20" s="1876">
        <f t="shared" si="1"/>
        <v>0</v>
      </c>
      <c r="O20" s="1876"/>
      <c r="P20" s="1885">
        <f t="shared" si="2"/>
        <v>0</v>
      </c>
      <c r="Q20" s="1885"/>
      <c r="R20" s="248">
        <f t="shared" si="5"/>
        <v>0</v>
      </c>
      <c r="S20" s="248">
        <f t="shared" si="3"/>
        <v>0</v>
      </c>
      <c r="T20" s="1871">
        <f t="shared" si="3"/>
        <v>0</v>
      </c>
      <c r="U20" s="1871"/>
      <c r="V20" s="1897">
        <f t="shared" si="4"/>
        <v>0</v>
      </c>
      <c r="W20" s="1880">
        <f>SUM('5.10.a.sz. mell'!F19+'5.10.b. sz. mell'!F20)</f>
        <v>526538000</v>
      </c>
      <c r="X20" s="2217"/>
      <c r="Y20" s="1885">
        <f>SUM('5.10.a.sz. mell'!H19+'5.10.b. sz. mell'!H20)</f>
        <v>526538000</v>
      </c>
      <c r="Z20" s="1885"/>
      <c r="AA20" s="248">
        <f>SUM('5.10.a.sz. mell'!J19+'5.10.b. sz. mell'!J20)</f>
        <v>532613000</v>
      </c>
      <c r="AB20" s="248">
        <f>SUM('5.10.a.sz. mell'!K19+'5.10.b. sz. mell'!K20)</f>
        <v>0</v>
      </c>
      <c r="AC20" s="1871">
        <f>SUM('5.10.a.sz. mell'!L19+'5.10.b. sz. mell'!L20)</f>
        <v>532613000</v>
      </c>
      <c r="AD20" s="1871"/>
      <c r="AE20" s="1903">
        <f>SUM('5.10.a.sz. mell'!M19+'5.10.b. sz. mell'!M20)</f>
        <v>532613000</v>
      </c>
    </row>
    <row r="21" spans="1:31" s="141" customFormat="1" ht="30.75" customHeight="1" x14ac:dyDescent="0.2">
      <c r="A21" s="146"/>
      <c r="B21" s="143" t="s">
        <v>5</v>
      </c>
      <c r="C21" s="251" t="s">
        <v>420</v>
      </c>
      <c r="D21" s="156"/>
      <c r="E21" s="156"/>
      <c r="F21" s="156"/>
      <c r="G21" s="1415">
        <f t="shared" si="0"/>
        <v>0</v>
      </c>
      <c r="H21" s="156"/>
      <c r="I21" s="1386">
        <f t="shared" si="0"/>
        <v>0</v>
      </c>
      <c r="J21" s="156"/>
      <c r="K21" s="3345">
        <f t="shared" si="0"/>
        <v>0</v>
      </c>
      <c r="L21" s="156"/>
      <c r="M21" s="156"/>
      <c r="N21" s="1876">
        <f t="shared" si="1"/>
        <v>0</v>
      </c>
      <c r="O21" s="1876"/>
      <c r="P21" s="1885">
        <f t="shared" si="2"/>
        <v>0</v>
      </c>
      <c r="Q21" s="1885"/>
      <c r="R21" s="248">
        <f t="shared" si="5"/>
        <v>0</v>
      </c>
      <c r="S21" s="248">
        <f t="shared" si="3"/>
        <v>0</v>
      </c>
      <c r="T21" s="1871">
        <f t="shared" si="3"/>
        <v>0</v>
      </c>
      <c r="U21" s="1871"/>
      <c r="V21" s="1897">
        <f t="shared" si="4"/>
        <v>0</v>
      </c>
      <c r="W21" s="1880"/>
      <c r="X21" s="2217"/>
      <c r="Y21" s="1885">
        <f>SUM('5.10.a.sz. mell'!H20+'5.10.b. sz. mell'!H21)</f>
        <v>0</v>
      </c>
      <c r="Z21" s="1885"/>
      <c r="AA21" s="248">
        <f>SUM('5.10.a.sz. mell'!J20+'5.10.b. sz. mell'!J21)</f>
        <v>0</v>
      </c>
      <c r="AB21" s="248">
        <f>SUM('5.10.a.sz. mell'!K20+'5.10.b. sz. mell'!K21)</f>
        <v>0</v>
      </c>
      <c r="AC21" s="1871">
        <f>SUM('5.10.a.sz. mell'!L20+'5.10.b. sz. mell'!L21)</f>
        <v>0</v>
      </c>
      <c r="AD21" s="1871"/>
      <c r="AE21" s="1903">
        <f>SUM('5.10.a.sz. mell'!M20+'5.10.b. sz. mell'!M21)</f>
        <v>0</v>
      </c>
    </row>
    <row r="22" spans="1:31" s="145" customFormat="1" ht="15" customHeight="1" x14ac:dyDescent="0.2">
      <c r="A22" s="142"/>
      <c r="B22" s="143" t="s">
        <v>421</v>
      </c>
      <c r="C22" s="55" t="s">
        <v>422</v>
      </c>
      <c r="D22" s="144">
        <f>SUM('5.10.1. sz. mell.'!AB129)</f>
        <v>442256</v>
      </c>
      <c r="E22" s="144">
        <f>SUM('5.10.1. sz. mell.'!AC129)</f>
        <v>442256</v>
      </c>
      <c r="F22" s="144">
        <f>SUM('5.10.1. sz. mell.'!AD129)</f>
        <v>526538000</v>
      </c>
      <c r="G22" s="1415">
        <f t="shared" si="0"/>
        <v>0</v>
      </c>
      <c r="H22" s="144">
        <f>SUM('5.10.1. sz. mell.'!AF129)</f>
        <v>526538000</v>
      </c>
      <c r="I22" s="1376"/>
      <c r="J22" s="144">
        <f>SUM('5.10.1. sz. mell.'!AH129)</f>
        <v>532613000</v>
      </c>
      <c r="K22" s="3345">
        <f t="shared" si="0"/>
        <v>0</v>
      </c>
      <c r="L22" s="144">
        <f>SUM('5.10.1. sz. mell.'!AJ129)</f>
        <v>532613000</v>
      </c>
      <c r="M22" s="144">
        <f>SUM('5.10.1. sz. mell.'!AK129)</f>
        <v>532613000</v>
      </c>
      <c r="N22" s="1876">
        <f t="shared" si="1"/>
        <v>0</v>
      </c>
      <c r="O22" s="1876"/>
      <c r="P22" s="1885">
        <f t="shared" si="2"/>
        <v>0</v>
      </c>
      <c r="Q22" s="1885"/>
      <c r="R22" s="248">
        <f t="shared" si="5"/>
        <v>0</v>
      </c>
      <c r="S22" s="248">
        <f t="shared" si="3"/>
        <v>0</v>
      </c>
      <c r="T22" s="1871">
        <f t="shared" si="3"/>
        <v>0</v>
      </c>
      <c r="U22" s="1871"/>
      <c r="V22" s="1897">
        <f t="shared" si="4"/>
        <v>0</v>
      </c>
      <c r="W22" s="1880">
        <f>SUM('5.10.a.sz. mell'!F21+'5.10.b. sz. mell'!F22)</f>
        <v>526538000</v>
      </c>
      <c r="X22" s="2217"/>
      <c r="Y22" s="1885">
        <f>SUM('5.10.a.sz. mell'!H21+'5.10.b. sz. mell'!H22)</f>
        <v>526538000</v>
      </c>
      <c r="Z22" s="1885"/>
      <c r="AA22" s="248">
        <f>SUM('5.10.a.sz. mell'!J21+'5.10.b. sz. mell'!J22)</f>
        <v>532613000</v>
      </c>
      <c r="AB22" s="248">
        <f>SUM('5.10.a.sz. mell'!K21+'5.10.b. sz. mell'!K22)</f>
        <v>0</v>
      </c>
      <c r="AC22" s="1871">
        <f>SUM('5.10.a.sz. mell'!L21+'5.10.b. sz. mell'!L22)</f>
        <v>532613000</v>
      </c>
      <c r="AD22" s="1871"/>
      <c r="AE22" s="1903">
        <f>SUM('5.10.a.sz. mell'!M21+'5.10.b. sz. mell'!M22)</f>
        <v>532613000</v>
      </c>
    </row>
    <row r="23" spans="1:31" s="145" customFormat="1" ht="19.5" customHeight="1" x14ac:dyDescent="0.2">
      <c r="A23" s="142"/>
      <c r="B23" s="143" t="s">
        <v>360</v>
      </c>
      <c r="C23" s="55" t="s">
        <v>1429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3345">
        <f t="shared" si="0"/>
        <v>0</v>
      </c>
      <c r="L23" s="144">
        <v>0</v>
      </c>
      <c r="M23" s="144">
        <v>0</v>
      </c>
      <c r="N23" s="1876">
        <f t="shared" si="1"/>
        <v>0</v>
      </c>
      <c r="O23" s="1876"/>
      <c r="P23" s="1885">
        <f t="shared" si="2"/>
        <v>0</v>
      </c>
      <c r="Q23" s="1885"/>
      <c r="R23" s="248">
        <f t="shared" si="5"/>
        <v>0</v>
      </c>
      <c r="S23" s="248">
        <f t="shared" si="3"/>
        <v>0</v>
      </c>
      <c r="T23" s="1871">
        <f t="shared" si="3"/>
        <v>0</v>
      </c>
      <c r="U23" s="1871"/>
      <c r="V23" s="1897">
        <f t="shared" si="4"/>
        <v>0</v>
      </c>
      <c r="W23" s="1880">
        <f>SUM('5.10.a.sz. mell'!F22+'5.10.b. sz. mell'!F23)</f>
        <v>0</v>
      </c>
      <c r="X23" s="2217"/>
      <c r="Y23" s="1885">
        <f>SUM('5.10.a.sz. mell'!H22+'5.10.b. sz. mell'!H23)</f>
        <v>0</v>
      </c>
      <c r="Z23" s="1885"/>
      <c r="AA23" s="248">
        <f>SUM('5.10.a.sz. mell'!J22+'5.10.b. sz. mell'!J23)</f>
        <v>0</v>
      </c>
      <c r="AB23" s="248">
        <f>SUM('5.10.a.sz. mell'!K22+'5.10.b. sz. mell'!K23)</f>
        <v>0</v>
      </c>
      <c r="AC23" s="1871">
        <f>SUM('5.10.a.sz. mell'!L22+'5.10.b. sz. mell'!L23)</f>
        <v>0</v>
      </c>
      <c r="AD23" s="1871"/>
      <c r="AE23" s="1903">
        <f>SUM('5.10.a.sz. mell'!M22+'5.10.b. sz. mell'!M23)</f>
        <v>0</v>
      </c>
    </row>
    <row r="24" spans="1:31" s="145" customFormat="1" ht="15" customHeight="1" x14ac:dyDescent="0.2">
      <c r="A24" s="142"/>
      <c r="B24" s="143" t="s">
        <v>357</v>
      </c>
      <c r="C24" s="55" t="s">
        <v>424</v>
      </c>
      <c r="D24" s="144">
        <v>0</v>
      </c>
      <c r="E24" s="144">
        <v>0</v>
      </c>
      <c r="F24" s="144">
        <v>0</v>
      </c>
      <c r="G24" s="1415"/>
      <c r="H24" s="144">
        <v>0</v>
      </c>
      <c r="I24" s="1376"/>
      <c r="J24" s="144">
        <v>0</v>
      </c>
      <c r="K24" s="3345">
        <f t="shared" ref="K24:K27" si="6">SUM(L24-J24)</f>
        <v>0</v>
      </c>
      <c r="L24" s="144">
        <v>0</v>
      </c>
      <c r="M24" s="144">
        <v>0</v>
      </c>
      <c r="N24" s="1876">
        <f t="shared" si="1"/>
        <v>0</v>
      </c>
      <c r="O24" s="1876"/>
      <c r="P24" s="1885">
        <f t="shared" si="2"/>
        <v>0</v>
      </c>
      <c r="Q24" s="1885"/>
      <c r="R24" s="248">
        <f t="shared" si="5"/>
        <v>0</v>
      </c>
      <c r="S24" s="248">
        <f t="shared" ref="S24:S57" si="7">SUM(K24-AB24)</f>
        <v>0</v>
      </c>
      <c r="T24" s="1871">
        <f t="shared" ref="T24:T57" si="8">SUM(L24-AC24)</f>
        <v>0</v>
      </c>
      <c r="U24" s="1871"/>
      <c r="V24" s="1897">
        <f t="shared" si="4"/>
        <v>0</v>
      </c>
      <c r="W24" s="1880">
        <f>SUM('5.10.a.sz. mell'!F23+'5.10.b. sz. mell'!F24)</f>
        <v>0</v>
      </c>
      <c r="X24" s="2217"/>
      <c r="Y24" s="1885">
        <f>SUM('5.10.a.sz. mell'!H23+'5.10.b. sz. mell'!H24)</f>
        <v>0</v>
      </c>
      <c r="Z24" s="1885"/>
      <c r="AA24" s="248">
        <f>SUM('5.10.a.sz. mell'!J23+'5.10.b. sz. mell'!J24)</f>
        <v>0</v>
      </c>
      <c r="AB24" s="248">
        <f>SUM('5.10.a.sz. mell'!K23+'5.10.b. sz. mell'!K24)</f>
        <v>0</v>
      </c>
      <c r="AC24" s="1871">
        <f>SUM('5.10.a.sz. mell'!L23+'5.10.b. sz. mell'!L24)</f>
        <v>0</v>
      </c>
      <c r="AD24" s="1871"/>
      <c r="AE24" s="1903">
        <f>SUM('5.10.a.sz. mell'!M23+'5.10.b. sz. mell'!M24)</f>
        <v>0</v>
      </c>
    </row>
    <row r="25" spans="1:31" s="145" customFormat="1" ht="15" customHeight="1" x14ac:dyDescent="0.2">
      <c r="A25" s="142"/>
      <c r="B25" s="143" t="s">
        <v>7</v>
      </c>
      <c r="C25" s="55" t="s">
        <v>6</v>
      </c>
      <c r="D25" s="144"/>
      <c r="E25" s="144"/>
      <c r="F25" s="144"/>
      <c r="G25" s="1415"/>
      <c r="H25" s="144"/>
      <c r="I25" s="1378"/>
      <c r="J25" s="144"/>
      <c r="K25" s="3345">
        <f t="shared" si="6"/>
        <v>0</v>
      </c>
      <c r="L25" s="144"/>
      <c r="M25" s="144"/>
      <c r="N25" s="1876">
        <f t="shared" si="1"/>
        <v>0</v>
      </c>
      <c r="O25" s="1876"/>
      <c r="P25" s="1885">
        <f t="shared" si="2"/>
        <v>0</v>
      </c>
      <c r="Q25" s="1885"/>
      <c r="R25" s="248">
        <f t="shared" si="5"/>
        <v>0</v>
      </c>
      <c r="S25" s="248">
        <f t="shared" si="7"/>
        <v>0</v>
      </c>
      <c r="T25" s="1871">
        <f t="shared" si="8"/>
        <v>0</v>
      </c>
      <c r="U25" s="1871"/>
      <c r="V25" s="1897">
        <f t="shared" si="4"/>
        <v>0</v>
      </c>
      <c r="W25" s="1880"/>
      <c r="X25" s="2217"/>
      <c r="Y25" s="1885">
        <f>SUM('5.10.a.sz. mell'!H24+'5.10.b. sz. mell'!H25)</f>
        <v>0</v>
      </c>
      <c r="Z25" s="1885"/>
      <c r="AA25" s="248">
        <f>SUM('5.10.a.sz. mell'!J24+'5.10.b. sz. mell'!J25)</f>
        <v>0</v>
      </c>
      <c r="AB25" s="248">
        <f>SUM('5.10.a.sz. mell'!K24+'5.10.b. sz. mell'!K25)</f>
        <v>0</v>
      </c>
      <c r="AC25" s="1871">
        <f>SUM('5.10.a.sz. mell'!L24+'5.10.b. sz. mell'!L25)</f>
        <v>0</v>
      </c>
      <c r="AD25" s="1871"/>
      <c r="AE25" s="1903">
        <f>SUM('5.10.a.sz. mell'!M24+'5.10.b. sz. mell'!M25)</f>
        <v>0</v>
      </c>
    </row>
    <row r="26" spans="1:31" s="145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144">
        <v>0</v>
      </c>
      <c r="F26" s="144">
        <f>SUM('5.10.1. sz. mell.'!L26)</f>
        <v>0</v>
      </c>
      <c r="G26" s="1415"/>
      <c r="H26" s="144"/>
      <c r="I26" s="1409"/>
      <c r="J26" s="144"/>
      <c r="K26" s="3345">
        <f t="shared" si="6"/>
        <v>0</v>
      </c>
      <c r="L26" s="144"/>
      <c r="M26" s="2168"/>
      <c r="N26" s="1876">
        <f t="shared" si="1"/>
        <v>0</v>
      </c>
      <c r="O26" s="1876"/>
      <c r="P26" s="1885">
        <f t="shared" si="2"/>
        <v>0</v>
      </c>
      <c r="Q26" s="1885"/>
      <c r="R26" s="248">
        <f t="shared" si="5"/>
        <v>0</v>
      </c>
      <c r="S26" s="248">
        <f t="shared" si="7"/>
        <v>0</v>
      </c>
      <c r="T26" s="1871">
        <f t="shared" si="8"/>
        <v>0</v>
      </c>
      <c r="U26" s="1871"/>
      <c r="V26" s="1897">
        <f t="shared" si="4"/>
        <v>0</v>
      </c>
      <c r="W26" s="1880">
        <f>SUM('5.10.a.sz. mell'!F25+'5.10.b. sz. mell'!F26)</f>
        <v>0</v>
      </c>
      <c r="X26" s="2217"/>
      <c r="Y26" s="1885">
        <f>SUM('5.10.a.sz. mell'!H25+'5.10.b. sz. mell'!H26)</f>
        <v>0</v>
      </c>
      <c r="Z26" s="1885"/>
      <c r="AA26" s="248">
        <f>SUM('5.10.a.sz. mell'!J25+'5.10.b. sz. mell'!J26)</f>
        <v>0</v>
      </c>
      <c r="AB26" s="248">
        <f>SUM('5.10.a.sz. mell'!K25+'5.10.b. sz. mell'!K26)</f>
        <v>0</v>
      </c>
      <c r="AC26" s="1871">
        <f>SUM('5.10.a.sz. mell'!L25+'5.10.b. sz. mell'!L26)</f>
        <v>0</v>
      </c>
      <c r="AD26" s="1871"/>
      <c r="AE26" s="1903">
        <f>SUM('5.10.a.sz. mell'!M25+'5.10.b. sz. mell'!M26)</f>
        <v>0</v>
      </c>
    </row>
    <row r="27" spans="1:31" s="145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155">
        <v>0</v>
      </c>
      <c r="F27" s="155">
        <f>SUM(F28)</f>
        <v>0</v>
      </c>
      <c r="G27" s="1382">
        <f>SUM(H27-F27)</f>
        <v>100000</v>
      </c>
      <c r="H27" s="155">
        <f>SUM(H28)</f>
        <v>100000</v>
      </c>
      <c r="I27" s="1380"/>
      <c r="J27" s="155">
        <f>SUM(J28)</f>
        <v>100000</v>
      </c>
      <c r="K27" s="3394">
        <f t="shared" si="6"/>
        <v>0</v>
      </c>
      <c r="L27" s="155">
        <f>SUM(L28)</f>
        <v>100000</v>
      </c>
      <c r="M27" s="155">
        <f>SUM(M28)</f>
        <v>100000</v>
      </c>
      <c r="N27" s="1876">
        <f t="shared" si="1"/>
        <v>0</v>
      </c>
      <c r="O27" s="1876"/>
      <c r="P27" s="1885">
        <f t="shared" si="2"/>
        <v>0</v>
      </c>
      <c r="Q27" s="1885"/>
      <c r="R27" s="248">
        <f t="shared" si="5"/>
        <v>0</v>
      </c>
      <c r="S27" s="248">
        <f t="shared" si="7"/>
        <v>0</v>
      </c>
      <c r="T27" s="1871">
        <f t="shared" si="8"/>
        <v>0</v>
      </c>
      <c r="U27" s="1871"/>
      <c r="V27" s="1897">
        <f t="shared" si="4"/>
        <v>0</v>
      </c>
      <c r="W27" s="1880">
        <f>SUM('5.10.a.sz. mell'!F26+'5.10.b. sz. mell'!F27)</f>
        <v>0</v>
      </c>
      <c r="X27" s="2217"/>
      <c r="Y27" s="1885">
        <f>SUM('5.10.a.sz. mell'!H26+'5.10.b. sz. mell'!H27)</f>
        <v>100000</v>
      </c>
      <c r="Z27" s="1885"/>
      <c r="AA27" s="248">
        <f>SUM('5.10.a.sz. mell'!J26+'5.10.b. sz. mell'!J27)</f>
        <v>100000</v>
      </c>
      <c r="AB27" s="248">
        <f>SUM('5.10.a.sz. mell'!K26+'5.10.b. sz. mell'!K27)</f>
        <v>0</v>
      </c>
      <c r="AC27" s="1871">
        <f>SUM('5.10.a.sz. mell'!L26+'5.10.b. sz. mell'!L27)</f>
        <v>100000</v>
      </c>
      <c r="AD27" s="1871"/>
      <c r="AE27" s="1903">
        <f>SUM('5.10.a.sz. mell'!M26+'5.10.b. sz. mell'!M27)</f>
        <v>100000</v>
      </c>
    </row>
    <row r="28" spans="1:31" s="145" customFormat="1" ht="30.75" customHeight="1" thickBot="1" x14ac:dyDescent="0.25">
      <c r="A28" s="134"/>
      <c r="B28" s="143" t="s">
        <v>19</v>
      </c>
      <c r="C28" s="55" t="s">
        <v>427</v>
      </c>
      <c r="D28" s="155"/>
      <c r="E28" s="155"/>
      <c r="F28" s="1485">
        <f>SUM('5.10.1. sz. mell.'!AD137)</f>
        <v>0</v>
      </c>
      <c r="G28" s="1415">
        <f>SUM(H28-F28)</f>
        <v>100000</v>
      </c>
      <c r="H28" s="1485">
        <f>SUM('5.10.1. sz. mell.'!AF137)</f>
        <v>100000</v>
      </c>
      <c r="I28" s="1905"/>
      <c r="J28" s="1485">
        <f>SUM('5.10.1. sz. mell.'!AH137)</f>
        <v>100000</v>
      </c>
      <c r="K28" s="3357">
        <f>SUM(L28-J28)</f>
        <v>0</v>
      </c>
      <c r="L28" s="1485">
        <f>SUM('5.10.1. sz. mell.'!AJ137)</f>
        <v>100000</v>
      </c>
      <c r="M28" s="1485">
        <f>SUM('5.10.1. sz. mell.'!AK137)</f>
        <v>100000</v>
      </c>
      <c r="N28" s="1876">
        <f t="shared" si="1"/>
        <v>0</v>
      </c>
      <c r="O28" s="1876"/>
      <c r="P28" s="1885">
        <f t="shared" si="2"/>
        <v>0</v>
      </c>
      <c r="Q28" s="1885"/>
      <c r="R28" s="248">
        <f t="shared" si="5"/>
        <v>0</v>
      </c>
      <c r="S28" s="248">
        <f t="shared" si="7"/>
        <v>0</v>
      </c>
      <c r="T28" s="1871">
        <f t="shared" si="8"/>
        <v>0</v>
      </c>
      <c r="U28" s="1871"/>
      <c r="V28" s="1897">
        <f t="shared" si="4"/>
        <v>0</v>
      </c>
      <c r="W28" s="1880"/>
      <c r="X28" s="2217"/>
      <c r="Y28" s="1885">
        <f>SUM('5.10.a.sz. mell'!H27+'5.10.b. sz. mell'!H28)</f>
        <v>100000</v>
      </c>
      <c r="Z28" s="1885"/>
      <c r="AA28" s="248">
        <f>SUM('5.10.a.sz. mell'!J27+'5.10.b. sz. mell'!J28)</f>
        <v>100000</v>
      </c>
      <c r="AB28" s="248">
        <f>SUM('5.10.a.sz. mell'!K27+'5.10.b. sz. mell'!K28)</f>
        <v>0</v>
      </c>
      <c r="AC28" s="1871">
        <f>SUM('5.10.a.sz. mell'!L27+'5.10.b. sz. mell'!L28)</f>
        <v>100000</v>
      </c>
      <c r="AD28" s="1871"/>
      <c r="AE28" s="1903">
        <f>SUM('5.10.a.sz. mell'!M27+'5.10.b. sz. mell'!M28)</f>
        <v>100000</v>
      </c>
    </row>
    <row r="29" spans="1:31" s="145" customFormat="1" ht="15" customHeight="1" thickBot="1" x14ac:dyDescent="0.25">
      <c r="A29" s="134" t="s">
        <v>45</v>
      </c>
      <c r="B29" s="148"/>
      <c r="C29" s="170" t="s">
        <v>428</v>
      </c>
      <c r="D29" s="155"/>
      <c r="E29" s="155"/>
      <c r="F29" s="155"/>
      <c r="G29" s="1381"/>
      <c r="H29" s="155"/>
      <c r="I29" s="1380"/>
      <c r="J29" s="155"/>
      <c r="K29" s="3338"/>
      <c r="L29" s="155"/>
      <c r="M29" s="155"/>
      <c r="N29" s="1876">
        <f t="shared" si="1"/>
        <v>0</v>
      </c>
      <c r="O29" s="1876"/>
      <c r="P29" s="1885">
        <f t="shared" si="2"/>
        <v>0</v>
      </c>
      <c r="Q29" s="1885"/>
      <c r="R29" s="248">
        <f t="shared" si="5"/>
        <v>0</v>
      </c>
      <c r="S29" s="248">
        <f t="shared" si="7"/>
        <v>0</v>
      </c>
      <c r="T29" s="1871">
        <f t="shared" si="8"/>
        <v>0</v>
      </c>
      <c r="U29" s="1871"/>
      <c r="V29" s="1897">
        <f t="shared" si="4"/>
        <v>0</v>
      </c>
      <c r="W29" s="1880"/>
      <c r="X29" s="2217"/>
      <c r="Y29" s="1885">
        <f>SUM('5.10.a.sz. mell'!H28+'5.10.b. sz. mell'!H29)</f>
        <v>0</v>
      </c>
      <c r="Z29" s="1885"/>
      <c r="AA29" s="248">
        <f>SUM('5.10.a.sz. mell'!J28+'5.10.b. sz. mell'!J29)</f>
        <v>0</v>
      </c>
      <c r="AB29" s="248">
        <f>SUM('5.10.a.sz. mell'!K28+'5.10.b. sz. mell'!K29)</f>
        <v>0</v>
      </c>
      <c r="AC29" s="1871">
        <f>SUM('5.10.a.sz. mell'!L28+'5.10.b. sz. mell'!L29)</f>
        <v>0</v>
      </c>
      <c r="AD29" s="1871"/>
      <c r="AE29" s="1903">
        <f>SUM('5.10.a.sz. mell'!M28+'5.10.b. sz. mell'!M29)</f>
        <v>0</v>
      </c>
    </row>
    <row r="30" spans="1:31" s="145" customFormat="1" ht="15" customHeight="1" thickBot="1" x14ac:dyDescent="0.25">
      <c r="A30" s="149"/>
      <c r="B30" s="253" t="s">
        <v>33</v>
      </c>
      <c r="C30" s="55" t="s">
        <v>359</v>
      </c>
      <c r="D30" s="155"/>
      <c r="E30" s="668"/>
      <c r="F30" s="273"/>
      <c r="G30" s="2661"/>
      <c r="H30" s="693"/>
      <c r="I30" s="2088"/>
      <c r="J30" s="693"/>
      <c r="K30" s="3358"/>
      <c r="L30" s="693"/>
      <c r="M30" s="273"/>
      <c r="N30" s="1876">
        <f t="shared" si="1"/>
        <v>0</v>
      </c>
      <c r="O30" s="1876"/>
      <c r="P30" s="1885">
        <f t="shared" si="2"/>
        <v>0</v>
      </c>
      <c r="Q30" s="1885"/>
      <c r="R30" s="248">
        <f t="shared" si="5"/>
        <v>0</v>
      </c>
      <c r="S30" s="248">
        <f t="shared" si="7"/>
        <v>0</v>
      </c>
      <c r="T30" s="1871">
        <f t="shared" si="8"/>
        <v>0</v>
      </c>
      <c r="U30" s="1871"/>
      <c r="V30" s="1897">
        <f t="shared" si="4"/>
        <v>0</v>
      </c>
      <c r="W30" s="1880"/>
      <c r="X30" s="2217"/>
      <c r="Y30" s="1885">
        <f>SUM('5.10.a.sz. mell'!H29+'5.10.b. sz. mell'!H30)</f>
        <v>0</v>
      </c>
      <c r="Z30" s="1885"/>
      <c r="AA30" s="248">
        <f>SUM('5.10.a.sz. mell'!J29+'5.10.b. sz. mell'!J30)</f>
        <v>0</v>
      </c>
      <c r="AB30" s="248">
        <f>SUM('5.10.a.sz. mell'!K29+'5.10.b. sz. mell'!K30)</f>
        <v>0</v>
      </c>
      <c r="AC30" s="1871">
        <f>SUM('5.10.a.sz. mell'!L29+'5.10.b. sz. mell'!L30)</f>
        <v>0</v>
      </c>
      <c r="AD30" s="1871"/>
      <c r="AE30" s="1903">
        <f>SUM('5.10.a.sz. mell'!M29+'5.10.b. sz. mell'!M30)</f>
        <v>0</v>
      </c>
    </row>
    <row r="31" spans="1:31" s="145" customFormat="1" ht="15" customHeight="1" thickBot="1" x14ac:dyDescent="0.25">
      <c r="A31" s="146"/>
      <c r="B31" s="253" t="s">
        <v>39</v>
      </c>
      <c r="C31" s="55" t="s">
        <v>72</v>
      </c>
      <c r="D31" s="155"/>
      <c r="E31" s="668"/>
      <c r="F31" s="206"/>
      <c r="G31" s="2662"/>
      <c r="H31" s="694"/>
      <c r="I31" s="2089"/>
      <c r="J31" s="694"/>
      <c r="K31" s="3359"/>
      <c r="L31" s="694"/>
      <c r="M31" s="206"/>
      <c r="N31" s="1876">
        <f t="shared" si="1"/>
        <v>0</v>
      </c>
      <c r="O31" s="1876"/>
      <c r="P31" s="1885">
        <f t="shared" si="2"/>
        <v>0</v>
      </c>
      <c r="Q31" s="1885"/>
      <c r="R31" s="248">
        <f t="shared" si="5"/>
        <v>0</v>
      </c>
      <c r="S31" s="248">
        <f t="shared" si="7"/>
        <v>0</v>
      </c>
      <c r="T31" s="1871">
        <f t="shared" si="8"/>
        <v>0</v>
      </c>
      <c r="U31" s="1871"/>
      <c r="V31" s="1897">
        <f t="shared" si="4"/>
        <v>0</v>
      </c>
      <c r="W31" s="1880"/>
      <c r="X31" s="2217"/>
      <c r="Y31" s="1885">
        <f>SUM('5.10.a.sz. mell'!H30+'5.10.b. sz. mell'!H31)</f>
        <v>0</v>
      </c>
      <c r="Z31" s="1885"/>
      <c r="AA31" s="248">
        <f>SUM('5.10.a.sz. mell'!J30+'5.10.b. sz. mell'!J31)</f>
        <v>0</v>
      </c>
      <c r="AB31" s="248">
        <f>SUM('5.10.a.sz. mell'!K30+'5.10.b. sz. mell'!K31)</f>
        <v>0</v>
      </c>
      <c r="AC31" s="1871">
        <f>SUM('5.10.a.sz. mell'!L30+'5.10.b. sz. mell'!L31)</f>
        <v>0</v>
      </c>
      <c r="AD31" s="1871"/>
      <c r="AE31" s="1903">
        <f>SUM('5.10.a.sz. mell'!M30+'5.10.b. sz. mell'!M31)</f>
        <v>0</v>
      </c>
    </row>
    <row r="32" spans="1:31" s="145" customFormat="1" ht="15" customHeight="1" thickBot="1" x14ac:dyDescent="0.25">
      <c r="A32" s="178"/>
      <c r="B32" s="253" t="s">
        <v>41</v>
      </c>
      <c r="C32" s="55" t="s">
        <v>74</v>
      </c>
      <c r="D32" s="155"/>
      <c r="E32" s="668"/>
      <c r="F32" s="297"/>
      <c r="G32" s="2663"/>
      <c r="H32" s="697"/>
      <c r="I32" s="2090">
        <f>SUM(J32-H32)</f>
        <v>0</v>
      </c>
      <c r="J32" s="697"/>
      <c r="K32" s="3360">
        <f>SUM(L32-J32)</f>
        <v>0</v>
      </c>
      <c r="L32" s="697"/>
      <c r="M32" s="297"/>
      <c r="N32" s="1876">
        <f t="shared" si="1"/>
        <v>0</v>
      </c>
      <c r="O32" s="1876"/>
      <c r="P32" s="1885">
        <f t="shared" si="2"/>
        <v>0</v>
      </c>
      <c r="Q32" s="1885"/>
      <c r="R32" s="248">
        <f t="shared" si="5"/>
        <v>0</v>
      </c>
      <c r="S32" s="248">
        <f t="shared" si="7"/>
        <v>0</v>
      </c>
      <c r="T32" s="1871">
        <f t="shared" si="8"/>
        <v>0</v>
      </c>
      <c r="U32" s="1871"/>
      <c r="V32" s="1897">
        <f t="shared" si="4"/>
        <v>0</v>
      </c>
      <c r="W32" s="1880"/>
      <c r="X32" s="2217"/>
      <c r="Y32" s="1885">
        <f>SUM('5.10.a.sz. mell'!H31+'5.10.b. sz. mell'!H32)</f>
        <v>0</v>
      </c>
      <c r="Z32" s="1885"/>
      <c r="AA32" s="248">
        <f>SUM('5.10.a.sz. mell'!J31+'5.10.b. sz. mell'!J32)</f>
        <v>0</v>
      </c>
      <c r="AB32" s="248">
        <f>SUM('5.10.a.sz. mell'!K31+'5.10.b. sz. mell'!K32)</f>
        <v>0</v>
      </c>
      <c r="AC32" s="1871">
        <f>SUM('5.10.a.sz. mell'!L31+'5.10.b. sz. mell'!L32)</f>
        <v>0</v>
      </c>
      <c r="AD32" s="1871"/>
      <c r="AE32" s="1903">
        <f>SUM('5.10.a.sz. mell'!M31+'5.10.b. sz. mell'!M32)</f>
        <v>0</v>
      </c>
    </row>
    <row r="33" spans="1:33" s="141" customFormat="1" ht="29.25" customHeight="1" thickBot="1" x14ac:dyDescent="0.25">
      <c r="A33" s="134" t="s">
        <v>67</v>
      </c>
      <c r="B33" s="254"/>
      <c r="C33" s="170" t="s">
        <v>429</v>
      </c>
      <c r="D33" s="155">
        <v>0</v>
      </c>
      <c r="E33" s="155">
        <v>0</v>
      </c>
      <c r="F33" s="155">
        <f>SUM(F34)</f>
        <v>0</v>
      </c>
      <c r="G33" s="1381">
        <f>SUM(H33-F33)</f>
        <v>0</v>
      </c>
      <c r="H33" s="155">
        <f>SUM(H34)</f>
        <v>0</v>
      </c>
      <c r="I33" s="1414">
        <f>SUM(J33-H33)</f>
        <v>0</v>
      </c>
      <c r="J33" s="155">
        <f>SUM(J34)</f>
        <v>0</v>
      </c>
      <c r="K33" s="3361">
        <f>SUM(L33-J33)</f>
        <v>0</v>
      </c>
      <c r="L33" s="155">
        <f>SUM(L34)</f>
        <v>0</v>
      </c>
      <c r="M33" s="155">
        <f>SUM(M34)</f>
        <v>0</v>
      </c>
      <c r="N33" s="1876">
        <f t="shared" si="1"/>
        <v>0</v>
      </c>
      <c r="O33" s="1876"/>
      <c r="P33" s="1885">
        <f t="shared" si="2"/>
        <v>0</v>
      </c>
      <c r="Q33" s="1885"/>
      <c r="R33" s="248">
        <f t="shared" si="5"/>
        <v>0</v>
      </c>
      <c r="S33" s="248">
        <f t="shared" si="7"/>
        <v>0</v>
      </c>
      <c r="T33" s="1871">
        <f t="shared" si="8"/>
        <v>0</v>
      </c>
      <c r="U33" s="1871"/>
      <c r="V33" s="1897">
        <f t="shared" si="4"/>
        <v>0</v>
      </c>
      <c r="W33" s="1880">
        <f>SUM('5.10.a.sz. mell'!F32+'5.10.b. sz. mell'!F33)</f>
        <v>0</v>
      </c>
      <c r="X33" s="2217"/>
      <c r="Y33" s="1885">
        <f>SUM('5.10.a.sz. mell'!H32+'5.10.b. sz. mell'!H33)</f>
        <v>0</v>
      </c>
      <c r="Z33" s="1885"/>
      <c r="AA33" s="248">
        <f>SUM('5.10.a.sz. mell'!J32+'5.10.b. sz. mell'!J33)</f>
        <v>0</v>
      </c>
      <c r="AB33" s="248">
        <f>SUM('5.10.a.sz. mell'!K32+'5.10.b. sz. mell'!K33)</f>
        <v>0</v>
      </c>
      <c r="AC33" s="1871">
        <f>SUM('5.10.a.sz. mell'!L32+'5.10.b. sz. mell'!L33)</f>
        <v>0</v>
      </c>
      <c r="AD33" s="1871"/>
      <c r="AE33" s="1903">
        <f>SUM('5.10.a.sz. mell'!M32+'5.10.b. sz. mell'!M33)</f>
        <v>0</v>
      </c>
    </row>
    <row r="34" spans="1:33" s="141" customFormat="1" ht="30" customHeight="1" thickBot="1" x14ac:dyDescent="0.25">
      <c r="A34" s="146"/>
      <c r="B34" s="255" t="s">
        <v>47</v>
      </c>
      <c r="C34" s="251" t="s">
        <v>430</v>
      </c>
      <c r="D34" s="295"/>
      <c r="E34" s="295"/>
      <c r="F34" s="595">
        <f>SUM('5.10.1. sz. mell.'!L18)</f>
        <v>0</v>
      </c>
      <c r="G34" s="2664">
        <f>SUM(H34-F34)</f>
        <v>0</v>
      </c>
      <c r="H34" s="595">
        <f>SUM('5.10.1. sz. mell.'!N18)</f>
        <v>0</v>
      </c>
      <c r="I34" s="1381"/>
      <c r="J34" s="595">
        <f>SUM('5.10.1. sz. mell.'!P18)</f>
        <v>0</v>
      </c>
      <c r="K34" s="3339"/>
      <c r="L34" s="595">
        <f>SUM('5.10.1. sz. mell.'!R18)</f>
        <v>0</v>
      </c>
      <c r="M34" s="595">
        <f>SUM('5.10.1. sz. mell.'!S18)</f>
        <v>0</v>
      </c>
      <c r="N34" s="1876">
        <f t="shared" si="1"/>
        <v>0</v>
      </c>
      <c r="O34" s="1876"/>
      <c r="P34" s="1885">
        <f t="shared" si="2"/>
        <v>0</v>
      </c>
      <c r="Q34" s="1885"/>
      <c r="R34" s="248">
        <f t="shared" si="5"/>
        <v>0</v>
      </c>
      <c r="S34" s="248">
        <f t="shared" si="7"/>
        <v>0</v>
      </c>
      <c r="T34" s="1871">
        <f t="shared" si="8"/>
        <v>0</v>
      </c>
      <c r="U34" s="1871"/>
      <c r="V34" s="1897">
        <f t="shared" si="4"/>
        <v>0</v>
      </c>
      <c r="W34" s="1880"/>
      <c r="X34" s="2217"/>
      <c r="Y34" s="1885">
        <f>SUM('5.10.a.sz. mell'!H33+'5.10.b. sz. mell'!H34)</f>
        <v>0</v>
      </c>
      <c r="Z34" s="1885"/>
      <c r="AA34" s="248">
        <f>SUM('5.10.a.sz. mell'!J33+'5.10.b. sz. mell'!J34)</f>
        <v>0</v>
      </c>
      <c r="AB34" s="248">
        <f>SUM('5.10.a.sz. mell'!K33+'5.10.b. sz. mell'!K34)</f>
        <v>0</v>
      </c>
      <c r="AC34" s="1871">
        <f>SUM('5.10.a.sz. mell'!L33+'5.10.b. sz. mell'!L34)</f>
        <v>0</v>
      </c>
      <c r="AD34" s="1871"/>
      <c r="AE34" s="1903">
        <f>SUM('5.10.a.sz. mell'!M33+'5.10.b. sz. mell'!M34)</f>
        <v>0</v>
      </c>
    </row>
    <row r="35" spans="1:33" s="141" customFormat="1" ht="15" customHeight="1" thickBot="1" x14ac:dyDescent="0.3">
      <c r="A35" s="258" t="s">
        <v>79</v>
      </c>
      <c r="B35" s="256"/>
      <c r="C35" s="247" t="s">
        <v>431</v>
      </c>
      <c r="D35" s="295"/>
      <c r="E35" s="295"/>
      <c r="F35" s="295">
        <f>SUM(F36)</f>
        <v>0</v>
      </c>
      <c r="G35" s="1381"/>
      <c r="H35" s="295">
        <f>SUM(H36)</f>
        <v>0</v>
      </c>
      <c r="I35" s="1381"/>
      <c r="J35" s="295">
        <f>SUM(J36)</f>
        <v>0</v>
      </c>
      <c r="K35" s="3339"/>
      <c r="L35" s="295">
        <f>SUM(L36)</f>
        <v>0</v>
      </c>
      <c r="M35" s="295">
        <f>SUM(M36)</f>
        <v>0</v>
      </c>
      <c r="N35" s="1876">
        <f t="shared" si="1"/>
        <v>0</v>
      </c>
      <c r="O35" s="1876"/>
      <c r="P35" s="1885">
        <f t="shared" si="2"/>
        <v>0</v>
      </c>
      <c r="Q35" s="1885"/>
      <c r="R35" s="248">
        <f t="shared" si="5"/>
        <v>0</v>
      </c>
      <c r="S35" s="248">
        <f t="shared" si="7"/>
        <v>0</v>
      </c>
      <c r="T35" s="1871">
        <f t="shared" si="8"/>
        <v>0</v>
      </c>
      <c r="U35" s="1871"/>
      <c r="V35" s="1897">
        <f t="shared" si="4"/>
        <v>0</v>
      </c>
      <c r="W35" s="1881"/>
      <c r="X35" s="2218"/>
      <c r="Y35" s="1885">
        <f>SUM('5.10.a.sz. mell'!H34+'5.10.b. sz. mell'!H35)</f>
        <v>0</v>
      </c>
      <c r="Z35" s="1885"/>
      <c r="AA35" s="248">
        <f>SUM('5.10.a.sz. mell'!J34+'5.10.b. sz. mell'!J35)</f>
        <v>0</v>
      </c>
      <c r="AB35" s="248">
        <f>SUM('5.10.a.sz. mell'!K34+'5.10.b. sz. mell'!K35)</f>
        <v>0</v>
      </c>
      <c r="AC35" s="1871">
        <f>SUM('5.10.a.sz. mell'!L34+'5.10.b. sz. mell'!L35)</f>
        <v>0</v>
      </c>
      <c r="AD35" s="1871"/>
      <c r="AE35" s="1903">
        <f>SUM('5.10.a.sz. mell'!M34+'5.10.b. sz. mell'!M35)</f>
        <v>0</v>
      </c>
    </row>
    <row r="36" spans="1:33" s="141" customFormat="1" ht="33" customHeight="1" thickBot="1" x14ac:dyDescent="0.25">
      <c r="A36" s="258"/>
      <c r="B36" s="257" t="s">
        <v>69</v>
      </c>
      <c r="C36" s="55" t="s">
        <v>432</v>
      </c>
      <c r="D36" s="295"/>
      <c r="E36" s="295"/>
      <c r="F36" s="295">
        <f>SUM('5.10.1. sz. mell.'!AD137)</f>
        <v>0</v>
      </c>
      <c r="G36" s="1381"/>
      <c r="H36" s="295"/>
      <c r="I36" s="1380">
        <f>SUM(J36-H36)</f>
        <v>0</v>
      </c>
      <c r="J36" s="295"/>
      <c r="K36" s="3338">
        <f t="shared" ref="K36:K41" si="9">SUM(L36-J36)</f>
        <v>0</v>
      </c>
      <c r="L36" s="295"/>
      <c r="M36" s="295"/>
      <c r="N36" s="1876">
        <f t="shared" si="1"/>
        <v>0</v>
      </c>
      <c r="O36" s="1876"/>
      <c r="P36" s="1885">
        <f>SUM(M36-Y36)</f>
        <v>0</v>
      </c>
      <c r="Q36" s="1885"/>
      <c r="R36" s="248">
        <f t="shared" si="5"/>
        <v>0</v>
      </c>
      <c r="S36" s="248">
        <f t="shared" si="7"/>
        <v>0</v>
      </c>
      <c r="T36" s="1871">
        <f t="shared" si="8"/>
        <v>0</v>
      </c>
      <c r="U36" s="1871"/>
      <c r="V36" s="1897">
        <f>SUM(N36-AE36)</f>
        <v>0</v>
      </c>
      <c r="W36" s="1881"/>
      <c r="X36" s="2218"/>
      <c r="Y36" s="1885">
        <f>SUM('5.10.a.sz. mell'!H35+'5.10.b. sz. mell'!H36)</f>
        <v>0</v>
      </c>
      <c r="Z36" s="1885"/>
      <c r="AA36" s="248">
        <f>SUM('5.10.a.sz. mell'!J35+'5.10.b. sz. mell'!J36)</f>
        <v>0</v>
      </c>
      <c r="AB36" s="248">
        <f>SUM('5.10.a.sz. mell'!K35+'5.10.b. sz. mell'!K36)</f>
        <v>0</v>
      </c>
      <c r="AC36" s="1871">
        <f>SUM('5.10.a.sz. mell'!L35+'5.10.b. sz. mell'!L36)</f>
        <v>0</v>
      </c>
      <c r="AD36" s="1871"/>
      <c r="AE36" s="1903">
        <f>SUM('5.10.a.sz. mell'!M35+'5.10.b. sz. mell'!M36)</f>
        <v>0</v>
      </c>
    </row>
    <row r="37" spans="1:33" s="141" customFormat="1" ht="15" customHeight="1" thickBot="1" x14ac:dyDescent="0.3">
      <c r="A37" s="258" t="s">
        <v>89</v>
      </c>
      <c r="B37" s="256"/>
      <c r="C37" s="170" t="s">
        <v>433</v>
      </c>
      <c r="D37" s="285">
        <f>+D38+D39</f>
        <v>0</v>
      </c>
      <c r="E37" s="285">
        <f>+E38+E39</f>
        <v>16</v>
      </c>
      <c r="F37" s="285">
        <f>+F38+F39+F40</f>
        <v>95000000</v>
      </c>
      <c r="G37" s="1381">
        <f>SUM(H37-F37)</f>
        <v>44428790</v>
      </c>
      <c r="H37" s="285">
        <f>+H38+H39+H40</f>
        <v>139428790</v>
      </c>
      <c r="I37" s="1380">
        <f>SUM(J37-H37)</f>
        <v>95836464</v>
      </c>
      <c r="J37" s="285">
        <f>+J38+J39+J40</f>
        <v>235265254</v>
      </c>
      <c r="K37" s="3338">
        <f t="shared" si="9"/>
        <v>0</v>
      </c>
      <c r="L37" s="285">
        <f>+L38+L39+L40</f>
        <v>235265254</v>
      </c>
      <c r="M37" s="285">
        <f>+M38+M39+M40</f>
        <v>235265254</v>
      </c>
      <c r="N37" s="1876">
        <f t="shared" si="1"/>
        <v>0</v>
      </c>
      <c r="O37" s="1876"/>
      <c r="P37" s="1885">
        <f t="shared" si="2"/>
        <v>0</v>
      </c>
      <c r="Q37" s="1885"/>
      <c r="R37" s="248">
        <f t="shared" si="5"/>
        <v>0</v>
      </c>
      <c r="S37" s="248">
        <f t="shared" si="7"/>
        <v>0</v>
      </c>
      <c r="T37" s="1871">
        <f t="shared" si="8"/>
        <v>0</v>
      </c>
      <c r="U37" s="1871"/>
      <c r="V37" s="1897">
        <f t="shared" si="4"/>
        <v>0</v>
      </c>
      <c r="W37" s="1880">
        <f>SUM('5.10.a.sz. mell'!F36+'5.10.b. sz. mell'!F37)</f>
        <v>95000000</v>
      </c>
      <c r="X37" s="2217"/>
      <c r="Y37" s="1885">
        <f>SUM('5.10.a.sz. mell'!H36+'5.10.b. sz. mell'!H37)</f>
        <v>139428790</v>
      </c>
      <c r="Z37" s="1885"/>
      <c r="AA37" s="248">
        <f>SUM('5.10.a.sz. mell'!J36+'5.10.b. sz. mell'!J37)</f>
        <v>235265254</v>
      </c>
      <c r="AB37" s="248">
        <f>SUM('5.10.a.sz. mell'!K36+'5.10.b. sz. mell'!K37)</f>
        <v>0</v>
      </c>
      <c r="AC37" s="1871">
        <f>SUM('5.10.a.sz. mell'!L36+'5.10.b. sz. mell'!L37)</f>
        <v>235265254</v>
      </c>
      <c r="AD37" s="1871"/>
      <c r="AE37" s="1903">
        <f>SUM('5.10.a.sz. mell'!M36+'5.10.b. sz. mell'!M37)</f>
        <v>235265254</v>
      </c>
    </row>
    <row r="38" spans="1:33" s="141" customFormat="1" ht="15" customHeight="1" thickBot="1" x14ac:dyDescent="0.25">
      <c r="A38" s="149"/>
      <c r="B38" s="253" t="s">
        <v>81</v>
      </c>
      <c r="C38" s="55" t="s">
        <v>434</v>
      </c>
      <c r="D38" s="306">
        <v>0</v>
      </c>
      <c r="E38" s="306">
        <v>16</v>
      </c>
      <c r="F38" s="306"/>
      <c r="G38" s="1415">
        <f>SUM(H38-F38)</f>
        <v>5019041</v>
      </c>
      <c r="H38" s="310">
        <f>SUM('5.10.1. sz. mell.'!AF136)</f>
        <v>5019041</v>
      </c>
      <c r="I38" s="1432"/>
      <c r="J38" s="310">
        <f>SUM('5.10.1. sz. mell.'!AH136)</f>
        <v>5019041</v>
      </c>
      <c r="K38" s="3363">
        <f t="shared" si="9"/>
        <v>0</v>
      </c>
      <c r="L38" s="310">
        <f>SUM('5.10.1. sz. mell.'!AJ136)</f>
        <v>5019041</v>
      </c>
      <c r="M38" s="150">
        <f>SUM('5.10.1. sz. mell.'!AK136)</f>
        <v>5019041</v>
      </c>
      <c r="N38" s="1876">
        <f t="shared" si="1"/>
        <v>0</v>
      </c>
      <c r="O38" s="1876"/>
      <c r="P38" s="1885">
        <f t="shared" si="2"/>
        <v>0</v>
      </c>
      <c r="Q38" s="1885"/>
      <c r="R38" s="248">
        <f t="shared" si="5"/>
        <v>0</v>
      </c>
      <c r="S38" s="248">
        <f t="shared" si="7"/>
        <v>0</v>
      </c>
      <c r="T38" s="1871">
        <f t="shared" si="8"/>
        <v>0</v>
      </c>
      <c r="U38" s="1871"/>
      <c r="V38" s="1897">
        <f t="shared" si="4"/>
        <v>0</v>
      </c>
      <c r="W38" s="1880">
        <f>SUM('5.10.a.sz. mell'!F37+'5.10.b. sz. mell'!F38)</f>
        <v>0</v>
      </c>
      <c r="X38" s="2217"/>
      <c r="Y38" s="1885">
        <f>SUM('5.10.a.sz. mell'!H37+'5.10.b. sz. mell'!H38)</f>
        <v>5019041</v>
      </c>
      <c r="Z38" s="1885"/>
      <c r="AA38" s="248">
        <f>SUM('5.10.a.sz. mell'!J37+'5.10.b. sz. mell'!J38)</f>
        <v>5019041</v>
      </c>
      <c r="AB38" s="248">
        <f>SUM('5.10.a.sz. mell'!K37+'5.10.b. sz. mell'!K38)</f>
        <v>0</v>
      </c>
      <c r="AC38" s="1871">
        <f>SUM('5.10.a.sz. mell'!L37+'5.10.b. sz. mell'!L38)</f>
        <v>5019041</v>
      </c>
      <c r="AD38" s="1871"/>
      <c r="AE38" s="1903">
        <f>SUM('5.10.a.sz. mell'!M37+'5.10.b. sz. mell'!M38)</f>
        <v>5019041</v>
      </c>
    </row>
    <row r="39" spans="1:33" s="141" customFormat="1" ht="15" customHeight="1" thickBot="1" x14ac:dyDescent="0.25">
      <c r="A39" s="146"/>
      <c r="B39" s="253" t="s">
        <v>83</v>
      </c>
      <c r="C39" s="55" t="s">
        <v>435</v>
      </c>
      <c r="D39" s="294">
        <v>0</v>
      </c>
      <c r="E39" s="692">
        <v>0</v>
      </c>
      <c r="F39" s="144"/>
      <c r="G39" s="1415"/>
      <c r="H39" s="483">
        <f>SUM('5.10.1. sz. mell.'!AF130)</f>
        <v>0</v>
      </c>
      <c r="I39" s="1425">
        <f>SUM(J39-H39)</f>
        <v>0</v>
      </c>
      <c r="J39" s="483">
        <f>SUM('5.10.1. sz. mell.'!AH130)</f>
        <v>0</v>
      </c>
      <c r="K39" s="3363">
        <f t="shared" si="9"/>
        <v>0</v>
      </c>
      <c r="L39" s="483">
        <f>SUM('5.10.1. sz. mell.'!AJ130)</f>
        <v>0</v>
      </c>
      <c r="M39" s="150"/>
      <c r="N39" s="1876">
        <f t="shared" si="1"/>
        <v>0</v>
      </c>
      <c r="O39" s="1876"/>
      <c r="P39" s="1885">
        <f t="shared" si="2"/>
        <v>0</v>
      </c>
      <c r="Q39" s="1885"/>
      <c r="R39" s="248">
        <f t="shared" si="5"/>
        <v>0</v>
      </c>
      <c r="S39" s="248">
        <f t="shared" si="7"/>
        <v>0</v>
      </c>
      <c r="T39" s="1871">
        <f t="shared" si="8"/>
        <v>0</v>
      </c>
      <c r="U39" s="1871"/>
      <c r="V39" s="1897">
        <f t="shared" si="4"/>
        <v>0</v>
      </c>
      <c r="W39" s="1880">
        <f>SUM('5.10.a.sz. mell'!F38+'5.10.b. sz. mell'!F39)</f>
        <v>0</v>
      </c>
      <c r="X39" s="2217"/>
      <c r="Y39" s="1885">
        <f>SUM('5.10.a.sz. mell'!H38+'5.10.b. sz. mell'!H39)</f>
        <v>0</v>
      </c>
      <c r="Z39" s="1885"/>
      <c r="AA39" s="248">
        <f>SUM('5.10.a.sz. mell'!J38+'5.10.b. sz. mell'!J39)</f>
        <v>0</v>
      </c>
      <c r="AB39" s="248">
        <f>SUM('5.10.a.sz. mell'!K38+'5.10.b. sz. mell'!K39)</f>
        <v>0</v>
      </c>
      <c r="AC39" s="1871">
        <f>SUM('5.10.a.sz. mell'!L38+'5.10.b. sz. mell'!L39)</f>
        <v>0</v>
      </c>
      <c r="AD39" s="1871"/>
      <c r="AE39" s="1903">
        <f>SUM('5.10.a.sz. mell'!M38+'5.10.b. sz. mell'!M39)</f>
        <v>0</v>
      </c>
    </row>
    <row r="40" spans="1:33" s="145" customFormat="1" ht="16.5" thickBot="1" x14ac:dyDescent="0.25">
      <c r="A40" s="178"/>
      <c r="B40" s="253" t="s">
        <v>85</v>
      </c>
      <c r="C40" s="55" t="s">
        <v>1433</v>
      </c>
      <c r="D40" s="155">
        <v>26133</v>
      </c>
      <c r="E40" s="155">
        <v>26791</v>
      </c>
      <c r="F40" s="320">
        <f>SUM('5.10.1. sz. mell.'!AD131)</f>
        <v>95000000</v>
      </c>
      <c r="G40" s="2664">
        <f>SUM(H40-F40)</f>
        <v>39409749</v>
      </c>
      <c r="H40" s="829">
        <f>SUM('5.10.1. sz. mell.'!AF131)</f>
        <v>134409749</v>
      </c>
      <c r="I40" s="1424">
        <f>SUM(J40-H40)</f>
        <v>95836464</v>
      </c>
      <c r="J40" s="829">
        <f>SUM('5.10.1. sz. mell.'!AH131)</f>
        <v>230246213</v>
      </c>
      <c r="K40" s="3354">
        <f t="shared" si="9"/>
        <v>0</v>
      </c>
      <c r="L40" s="829">
        <f>SUM('5.10.1. sz. mell.'!AJ131)</f>
        <v>230246213</v>
      </c>
      <c r="M40" s="150">
        <f>SUM('5.10.1. sz. mell.'!AK131)</f>
        <v>230246213</v>
      </c>
      <c r="N40" s="1876">
        <f t="shared" si="1"/>
        <v>0</v>
      </c>
      <c r="O40" s="1876"/>
      <c r="P40" s="1885">
        <f t="shared" si="2"/>
        <v>0</v>
      </c>
      <c r="Q40" s="1885"/>
      <c r="R40" s="248">
        <f t="shared" si="5"/>
        <v>0</v>
      </c>
      <c r="S40" s="248">
        <f t="shared" si="7"/>
        <v>0</v>
      </c>
      <c r="T40" s="1871">
        <f t="shared" si="8"/>
        <v>0</v>
      </c>
      <c r="U40" s="1871"/>
      <c r="V40" s="1897">
        <f t="shared" si="4"/>
        <v>0</v>
      </c>
      <c r="W40" s="1880">
        <f>SUM('5.10.a.sz. mell'!F39+'5.10.b. sz. mell'!F40)</f>
        <v>95000000</v>
      </c>
      <c r="X40" s="2217"/>
      <c r="Y40" s="1885">
        <f>SUM('5.10.a.sz. mell'!H39+'5.10.b. sz. mell'!H40)</f>
        <v>134409749</v>
      </c>
      <c r="Z40" s="1885"/>
      <c r="AA40" s="248">
        <f>SUM('5.10.a.sz. mell'!J39+'5.10.b. sz. mell'!J40)</f>
        <v>230246213</v>
      </c>
      <c r="AB40" s="248">
        <f>SUM('5.10.a.sz. mell'!K39+'5.10.b. sz. mell'!K40)</f>
        <v>0</v>
      </c>
      <c r="AC40" s="1871">
        <f>SUM('5.10.a.sz. mell'!L39+'5.10.b. sz. mell'!L40)</f>
        <v>230246213</v>
      </c>
      <c r="AD40" s="1871"/>
      <c r="AE40" s="1903">
        <f>SUM('5.10.a.sz. mell'!M39+'5.10.b. sz. mell'!M40)</f>
        <v>230246213</v>
      </c>
    </row>
    <row r="41" spans="1:33" s="145" customFormat="1" ht="16.5" thickBot="1" x14ac:dyDescent="0.25">
      <c r="A41" s="192" t="s">
        <v>99</v>
      </c>
      <c r="B41" s="160"/>
      <c r="C41" s="274" t="s">
        <v>441</v>
      </c>
      <c r="D41" s="162">
        <f>SUM(D8,D20,D27,D33,D37,D40)</f>
        <v>487539</v>
      </c>
      <c r="E41" s="162" t="e">
        <v>#NAME?</v>
      </c>
      <c r="F41" s="162">
        <f>SUM(F8,F20,F27,F33,F37)</f>
        <v>643956000</v>
      </c>
      <c r="G41" s="1437">
        <f>SUM(H41-F41)</f>
        <v>44528790</v>
      </c>
      <c r="H41" s="162">
        <f>SUM(H8,H20,H27,H33,H37)+H35</f>
        <v>688484790</v>
      </c>
      <c r="I41" s="1373">
        <f>SUM(J41-H41)</f>
        <v>100960379</v>
      </c>
      <c r="J41" s="162">
        <f>SUM(J8,J20,J27,J33,J37)+J35</f>
        <v>789445169</v>
      </c>
      <c r="K41" s="3343">
        <f t="shared" si="9"/>
        <v>0</v>
      </c>
      <c r="L41" s="162">
        <f>SUM(L8,L20,L27,L33,L37)+L35</f>
        <v>789445169</v>
      </c>
      <c r="M41" s="162">
        <f>SUM(M8,M20,M27,M33,M37)+M35</f>
        <v>789085254</v>
      </c>
      <c r="N41" s="1876">
        <f>SUM(F41-W41)</f>
        <v>0</v>
      </c>
      <c r="O41" s="1876"/>
      <c r="P41" s="1885">
        <f t="shared" ref="P41:P57" si="10">SUM(H41-Y41)</f>
        <v>0</v>
      </c>
      <c r="Q41" s="1885"/>
      <c r="R41" s="248">
        <f t="shared" si="5"/>
        <v>0</v>
      </c>
      <c r="S41" s="248">
        <f t="shared" si="7"/>
        <v>0</v>
      </c>
      <c r="T41" s="1871">
        <f t="shared" si="8"/>
        <v>0</v>
      </c>
      <c r="U41" s="1871"/>
      <c r="V41" s="1897">
        <f t="shared" ref="V41:V57" si="11">SUM(M41-AE41)</f>
        <v>0</v>
      </c>
      <c r="W41" s="1880">
        <f>SUM('5.10.a.sz. mell'!F40+'5.10.b. sz. mell'!F41)</f>
        <v>643956000</v>
      </c>
      <c r="X41" s="2217"/>
      <c r="Y41" s="1885">
        <f>SUM('5.10.a.sz. mell'!H40+'5.10.b. sz. mell'!H41)</f>
        <v>688484790</v>
      </c>
      <c r="Z41" s="1885"/>
      <c r="AA41" s="248">
        <f>SUM('5.10.a.sz. mell'!J40+'5.10.b. sz. mell'!J41)</f>
        <v>789445169</v>
      </c>
      <c r="AB41" s="248">
        <f>SUM('5.10.a.sz. mell'!K40+'5.10.b. sz. mell'!K41)</f>
        <v>0</v>
      </c>
      <c r="AC41" s="1871">
        <f>SUM('5.10.a.sz. mell'!L40+'5.10.b. sz. mell'!L41)</f>
        <v>789445169</v>
      </c>
      <c r="AD41" s="1871"/>
      <c r="AE41" s="1903">
        <f>SUM('5.10.a.sz. mell'!M40+'5.10.b. sz. mell'!M41)</f>
        <v>789085254</v>
      </c>
      <c r="AF41" s="205"/>
      <c r="AG41" s="205"/>
    </row>
    <row r="42" spans="1:33" s="145" customFormat="1" ht="15" customHeight="1" thickBot="1" x14ac:dyDescent="0.25">
      <c r="A42" s="2098"/>
      <c r="B42" s="266"/>
      <c r="C42" s="275"/>
      <c r="D42" s="286"/>
      <c r="E42" s="286"/>
      <c r="F42" s="1458"/>
      <c r="G42" s="1443"/>
      <c r="H42" s="1443"/>
      <c r="I42" s="1451"/>
      <c r="J42" s="1443"/>
      <c r="K42" s="1451"/>
      <c r="L42" s="1443"/>
      <c r="M42" s="1458"/>
      <c r="N42" s="1876">
        <f t="shared" ref="N42:N57" si="12">SUM(F42-W42)</f>
        <v>0</v>
      </c>
      <c r="O42" s="1876"/>
      <c r="P42" s="1885">
        <f t="shared" si="10"/>
        <v>0</v>
      </c>
      <c r="Q42" s="1885"/>
      <c r="R42" s="248">
        <f t="shared" si="5"/>
        <v>0</v>
      </c>
      <c r="S42" s="248">
        <f t="shared" si="7"/>
        <v>0</v>
      </c>
      <c r="T42" s="1871">
        <f t="shared" si="8"/>
        <v>0</v>
      </c>
      <c r="U42" s="1871"/>
      <c r="V42" s="1897">
        <f t="shared" si="11"/>
        <v>0</v>
      </c>
      <c r="W42" s="1880">
        <f>SUM('5.10.a.sz. mell'!F41+'5.10.b. sz. mell'!F42)</f>
        <v>0</v>
      </c>
      <c r="X42" s="2217"/>
      <c r="Y42" s="1885">
        <f>SUM('5.10.a.sz. mell'!H41+'5.10.b. sz. mell'!H42)</f>
        <v>0</v>
      </c>
      <c r="Z42" s="1885"/>
      <c r="AA42" s="248">
        <f>SUM('5.10.a.sz. mell'!J41+'5.10.b. sz. mell'!J42)</f>
        <v>0</v>
      </c>
      <c r="AB42" s="248">
        <f>SUM('5.10.a.sz. mell'!K41+'5.10.b. sz. mell'!K42)</f>
        <v>0</v>
      </c>
      <c r="AC42" s="1871">
        <f>SUM('5.10.a.sz. mell'!L41+'5.10.b. sz. mell'!L42)</f>
        <v>0</v>
      </c>
      <c r="AD42" s="1871"/>
      <c r="AE42" s="1903">
        <f>SUM('5.10.a.sz. mell'!M41+'5.10.b. sz. mell'!M42)</f>
        <v>0</v>
      </c>
    </row>
    <row r="43" spans="1:33" s="305" customFormat="1" ht="15" customHeight="1" thickBot="1" x14ac:dyDescent="0.25">
      <c r="A43" s="192"/>
      <c r="B43" s="160"/>
      <c r="C43" s="282" t="s">
        <v>231</v>
      </c>
      <c r="D43" s="162"/>
      <c r="E43" s="162"/>
      <c r="F43" s="162"/>
      <c r="G43" s="1437"/>
      <c r="H43" s="162"/>
      <c r="I43" s="1374">
        <f t="shared" ref="G43:K54" si="13">SUM(J43-H43)</f>
        <v>0</v>
      </c>
      <c r="J43" s="162"/>
      <c r="K43" s="3332">
        <f t="shared" si="13"/>
        <v>0</v>
      </c>
      <c r="L43" s="162"/>
      <c r="M43" s="162"/>
      <c r="N43" s="1876">
        <f t="shared" si="12"/>
        <v>0</v>
      </c>
      <c r="O43" s="1876"/>
      <c r="P43" s="1885">
        <f t="shared" si="10"/>
        <v>0</v>
      </c>
      <c r="Q43" s="1885"/>
      <c r="R43" s="248">
        <f t="shared" si="5"/>
        <v>0</v>
      </c>
      <c r="S43" s="248">
        <f t="shared" si="7"/>
        <v>0</v>
      </c>
      <c r="T43" s="1871">
        <f t="shared" si="8"/>
        <v>0</v>
      </c>
      <c r="U43" s="1871"/>
      <c r="V43" s="1897">
        <f t="shared" si="11"/>
        <v>0</v>
      </c>
      <c r="W43" s="1880">
        <f>SUM('5.10.a.sz. mell'!F42+'5.10.b. sz. mell'!F43)</f>
        <v>0</v>
      </c>
      <c r="X43" s="2217"/>
      <c r="Y43" s="1885">
        <f>SUM('5.10.a.sz. mell'!H42+'5.10.b. sz. mell'!H43)</f>
        <v>0</v>
      </c>
      <c r="Z43" s="1885"/>
      <c r="AA43" s="248">
        <f>SUM('5.10.a.sz. mell'!J42+'5.10.b. sz. mell'!J43)</f>
        <v>0</v>
      </c>
      <c r="AB43" s="248">
        <f>SUM('5.10.a.sz. mell'!K42+'5.10.b. sz. mell'!K43)</f>
        <v>0</v>
      </c>
      <c r="AC43" s="1871">
        <f>SUM('5.10.a.sz. mell'!L42+'5.10.b. sz. mell'!L43)</f>
        <v>0</v>
      </c>
      <c r="AD43" s="1871"/>
      <c r="AE43" s="1903">
        <f>SUM('5.10.a.sz. mell'!M42+'5.10.b. sz. mell'!M43)</f>
        <v>0</v>
      </c>
    </row>
    <row r="44" spans="1:33" s="141" customFormat="1" ht="15" customHeight="1" thickBot="1" x14ac:dyDescent="0.25">
      <c r="A44" s="134" t="s">
        <v>3</v>
      </c>
      <c r="B44" s="170"/>
      <c r="C44" s="171" t="s">
        <v>442</v>
      </c>
      <c r="D44" s="137">
        <f>SUM(D45:D49)</f>
        <v>543455</v>
      </c>
      <c r="E44" s="137">
        <f>SUM(E45:E49)</f>
        <v>598073</v>
      </c>
      <c r="F44" s="137">
        <f>SUM(F45:F49)</f>
        <v>640956000</v>
      </c>
      <c r="G44" s="1382">
        <f t="shared" si="13"/>
        <v>17850794</v>
      </c>
      <c r="H44" s="137">
        <f>SUM(H45:H49)</f>
        <v>658806794</v>
      </c>
      <c r="I44" s="1427">
        <f t="shared" si="13"/>
        <v>73876976</v>
      </c>
      <c r="J44" s="137">
        <f>SUM(J45:J49)</f>
        <v>732683770</v>
      </c>
      <c r="K44" s="3365">
        <f t="shared" si="13"/>
        <v>0</v>
      </c>
      <c r="L44" s="137">
        <f>SUM(L45:L49)</f>
        <v>732683770</v>
      </c>
      <c r="M44" s="137">
        <f>SUM(M45:M49)</f>
        <v>721820539</v>
      </c>
      <c r="N44" s="1876">
        <f t="shared" si="12"/>
        <v>0</v>
      </c>
      <c r="O44" s="1876"/>
      <c r="P44" s="1885">
        <f t="shared" si="10"/>
        <v>0</v>
      </c>
      <c r="Q44" s="1885"/>
      <c r="R44" s="248">
        <f t="shared" si="5"/>
        <v>0</v>
      </c>
      <c r="S44" s="248">
        <f t="shared" si="7"/>
        <v>0</v>
      </c>
      <c r="T44" s="1871">
        <f t="shared" si="8"/>
        <v>0</v>
      </c>
      <c r="U44" s="1871"/>
      <c r="V44" s="1897">
        <f t="shared" si="11"/>
        <v>0</v>
      </c>
      <c r="W44" s="1880">
        <f>SUM('5.10.a.sz. mell'!F43+'5.10.b. sz. mell'!F44)</f>
        <v>640956000</v>
      </c>
      <c r="X44" s="2217"/>
      <c r="Y44" s="1885">
        <f>SUM('5.10.a.sz. mell'!H43+'5.10.b. sz. mell'!H44)</f>
        <v>658806794</v>
      </c>
      <c r="Z44" s="1885"/>
      <c r="AA44" s="248">
        <f>SUM('5.10.a.sz. mell'!J43+'5.10.b. sz. mell'!J44)</f>
        <v>732683770</v>
      </c>
      <c r="AB44" s="248">
        <f>SUM('5.10.a.sz. mell'!K43+'5.10.b. sz. mell'!K44)</f>
        <v>0</v>
      </c>
      <c r="AC44" s="1871">
        <f>SUM('5.10.a.sz. mell'!L43+'5.10.b. sz. mell'!L44)</f>
        <v>732683770</v>
      </c>
      <c r="AD44" s="1871"/>
      <c r="AE44" s="1903">
        <f>SUM('5.10.a.sz. mell'!M43+'5.10.b. sz. mell'!M44)</f>
        <v>721820539</v>
      </c>
    </row>
    <row r="45" spans="1:33" s="145" customFormat="1" ht="15" customHeight="1" x14ac:dyDescent="0.2">
      <c r="A45" s="173"/>
      <c r="B45" s="174" t="s">
        <v>152</v>
      </c>
      <c r="C45" s="251" t="s">
        <v>153</v>
      </c>
      <c r="D45" s="175">
        <f>SUM('5.10.1. sz. mell.'!AB147)</f>
        <v>168529</v>
      </c>
      <c r="E45" s="175">
        <f>SUM('5.10.1. sz. mell.'!AC147)</f>
        <v>192424</v>
      </c>
      <c r="F45" s="175">
        <f>SUM('5.10.1. sz. mell.'!AD147)</f>
        <v>245142000</v>
      </c>
      <c r="G45" s="2664">
        <f t="shared" si="13"/>
        <v>8256710</v>
      </c>
      <c r="H45" s="175">
        <f>SUM('5.10.1. sz. mell.'!AF147)</f>
        <v>253398710</v>
      </c>
      <c r="I45" s="1426">
        <f t="shared" si="13"/>
        <v>4959290</v>
      </c>
      <c r="J45" s="175">
        <f>SUM('5.10.1. sz. mell.'!AH147)</f>
        <v>258358000</v>
      </c>
      <c r="K45" s="3366">
        <f t="shared" si="13"/>
        <v>0</v>
      </c>
      <c r="L45" s="175">
        <f>SUM('5.10.1. sz. mell.'!AJ147)</f>
        <v>258358000</v>
      </c>
      <c r="M45" s="175">
        <f>SUM('5.10.1. sz. mell.'!AK147)</f>
        <v>258358000</v>
      </c>
      <c r="N45" s="1876">
        <f t="shared" si="12"/>
        <v>0</v>
      </c>
      <c r="O45" s="1876"/>
      <c r="P45" s="1885">
        <f t="shared" si="10"/>
        <v>0</v>
      </c>
      <c r="Q45" s="1885"/>
      <c r="R45" s="248">
        <f t="shared" si="5"/>
        <v>0</v>
      </c>
      <c r="S45" s="248">
        <f t="shared" si="7"/>
        <v>0</v>
      </c>
      <c r="T45" s="1871">
        <f t="shared" si="8"/>
        <v>0</v>
      </c>
      <c r="U45" s="1871"/>
      <c r="V45" s="1897">
        <f t="shared" si="11"/>
        <v>0</v>
      </c>
      <c r="W45" s="1880">
        <f>SUM('5.10.a.sz. mell'!F44+'5.10.b. sz. mell'!F45)</f>
        <v>245142000</v>
      </c>
      <c r="X45" s="2217"/>
      <c r="Y45" s="1885">
        <f>SUM('5.10.a.sz. mell'!H44+'5.10.b. sz. mell'!H45)</f>
        <v>253398710</v>
      </c>
      <c r="Z45" s="1885"/>
      <c r="AA45" s="248">
        <f>SUM('5.10.a.sz. mell'!J44+'5.10.b. sz. mell'!J45)</f>
        <v>258358000</v>
      </c>
      <c r="AB45" s="248">
        <f>SUM('5.10.a.sz. mell'!K44+'5.10.b. sz. mell'!K45)</f>
        <v>0</v>
      </c>
      <c r="AC45" s="1871">
        <f>SUM('5.10.a.sz. mell'!L44+'5.10.b. sz. mell'!L45)</f>
        <v>258358000</v>
      </c>
      <c r="AD45" s="1871"/>
      <c r="AE45" s="1903">
        <f>SUM('5.10.a.sz. mell'!M44+'5.10.b. sz. mell'!M45)</f>
        <v>258358000</v>
      </c>
    </row>
    <row r="46" spans="1:33" s="145" customFormat="1" ht="15" customHeight="1" x14ac:dyDescent="0.2">
      <c r="A46" s="142"/>
      <c r="B46" s="176" t="s">
        <v>154</v>
      </c>
      <c r="C46" s="55" t="s">
        <v>155</v>
      </c>
      <c r="D46" s="144">
        <f>SUM('5.10.1. sz. mell.'!AB150)</f>
        <v>49730</v>
      </c>
      <c r="E46" s="144">
        <f>SUM('5.10.1. sz. mell.'!AC150)</f>
        <v>49730</v>
      </c>
      <c r="F46" s="144">
        <f>SUM('5.10.1. sz. mell.'!AD150)</f>
        <v>50240000</v>
      </c>
      <c r="G46" s="2664">
        <f t="shared" si="13"/>
        <v>89916</v>
      </c>
      <c r="H46" s="144">
        <f>SUM('5.10.1. sz. mell.'!AF150)</f>
        <v>50329916</v>
      </c>
      <c r="I46" s="1414">
        <f t="shared" si="13"/>
        <v>5040922</v>
      </c>
      <c r="J46" s="144">
        <f>SUM('5.10.1. sz. mell.'!AH150)</f>
        <v>55370838</v>
      </c>
      <c r="K46" s="3361">
        <f t="shared" si="13"/>
        <v>0</v>
      </c>
      <c r="L46" s="144">
        <f>SUM('5.10.1. sz. mell.'!AJ150)</f>
        <v>55370838</v>
      </c>
      <c r="M46" s="144">
        <f>SUM('5.10.1. sz. mell.'!AK150)</f>
        <v>55370838</v>
      </c>
      <c r="N46" s="1876">
        <f t="shared" si="12"/>
        <v>0</v>
      </c>
      <c r="O46" s="1876"/>
      <c r="P46" s="1885">
        <f t="shared" si="10"/>
        <v>0</v>
      </c>
      <c r="Q46" s="1885"/>
      <c r="R46" s="248">
        <f t="shared" si="5"/>
        <v>0</v>
      </c>
      <c r="S46" s="248">
        <f t="shared" si="7"/>
        <v>0</v>
      </c>
      <c r="T46" s="1871">
        <f t="shared" si="8"/>
        <v>0</v>
      </c>
      <c r="U46" s="1871"/>
      <c r="V46" s="1897">
        <f t="shared" si="11"/>
        <v>0</v>
      </c>
      <c r="W46" s="1880">
        <f>SUM('5.10.a.sz. mell'!F45+'5.10.b. sz. mell'!F46)</f>
        <v>50240000</v>
      </c>
      <c r="X46" s="2217"/>
      <c r="Y46" s="1885">
        <f>SUM('5.10.a.sz. mell'!H45+'5.10.b. sz. mell'!H46)</f>
        <v>50329916</v>
      </c>
      <c r="Z46" s="1885"/>
      <c r="AA46" s="248">
        <f>SUM('5.10.a.sz. mell'!J45+'5.10.b. sz. mell'!J46)</f>
        <v>55370838</v>
      </c>
      <c r="AB46" s="248">
        <f>SUM('5.10.a.sz. mell'!K45+'5.10.b. sz. mell'!K46)</f>
        <v>0</v>
      </c>
      <c r="AC46" s="1871">
        <f>SUM('5.10.a.sz. mell'!L45+'5.10.b. sz. mell'!L46)</f>
        <v>55370838</v>
      </c>
      <c r="AD46" s="1871"/>
      <c r="AE46" s="1903">
        <f>SUM('5.10.a.sz. mell'!M45+'5.10.b. sz. mell'!M46)</f>
        <v>55370838</v>
      </c>
    </row>
    <row r="47" spans="1:33" s="145" customFormat="1" ht="15" customHeight="1" x14ac:dyDescent="0.2">
      <c r="A47" s="142"/>
      <c r="B47" s="176" t="s">
        <v>156</v>
      </c>
      <c r="C47" s="55" t="s">
        <v>157</v>
      </c>
      <c r="D47" s="144">
        <f>SUM('5.10.1. sz. mell.'!AB152)</f>
        <v>325196</v>
      </c>
      <c r="E47" s="144">
        <f>SUM('5.10.1. sz. mell.'!AC152)</f>
        <v>355919</v>
      </c>
      <c r="F47" s="144">
        <f>SUM('5.10.1. sz. mell.'!AD152)</f>
        <v>345574000</v>
      </c>
      <c r="G47" s="2664">
        <f t="shared" si="13"/>
        <v>9504168</v>
      </c>
      <c r="H47" s="144">
        <f>SUM('5.10.1. sz. mell.'!AF152)</f>
        <v>355078168</v>
      </c>
      <c r="I47" s="1414">
        <f t="shared" si="13"/>
        <v>63876764</v>
      </c>
      <c r="J47" s="144">
        <f>SUM('5.10.1. sz. mell.'!AH152)</f>
        <v>418954932</v>
      </c>
      <c r="K47" s="3361">
        <f t="shared" si="13"/>
        <v>0</v>
      </c>
      <c r="L47" s="144">
        <f>SUM('5.10.1. sz. mell.'!AJ152)</f>
        <v>418954932</v>
      </c>
      <c r="M47" s="144">
        <f>SUM('5.10.1. sz. mell.'!AK152)</f>
        <v>408091701</v>
      </c>
      <c r="N47" s="1876">
        <f t="shared" si="12"/>
        <v>0</v>
      </c>
      <c r="O47" s="1876"/>
      <c r="P47" s="1885">
        <f t="shared" si="10"/>
        <v>0</v>
      </c>
      <c r="Q47" s="1885"/>
      <c r="R47" s="248">
        <f t="shared" si="5"/>
        <v>0</v>
      </c>
      <c r="S47" s="248">
        <f t="shared" si="7"/>
        <v>0</v>
      </c>
      <c r="T47" s="1871">
        <f t="shared" si="8"/>
        <v>0</v>
      </c>
      <c r="U47" s="1871"/>
      <c r="V47" s="1897">
        <f t="shared" si="11"/>
        <v>0</v>
      </c>
      <c r="W47" s="1880">
        <f>SUM('5.10.a.sz. mell'!F46+'5.10.b. sz. mell'!F47)</f>
        <v>345574000</v>
      </c>
      <c r="X47" s="2217"/>
      <c r="Y47" s="1885">
        <f>SUM('5.10.a.sz. mell'!H46+'5.10.b. sz. mell'!H47)</f>
        <v>355078168</v>
      </c>
      <c r="Z47" s="1885"/>
      <c r="AA47" s="248">
        <f>SUM('5.10.a.sz. mell'!J46+'5.10.b. sz. mell'!J47)</f>
        <v>418954932</v>
      </c>
      <c r="AB47" s="248">
        <f>SUM('5.10.a.sz. mell'!K46+'5.10.b. sz. mell'!K47)</f>
        <v>0</v>
      </c>
      <c r="AC47" s="1871">
        <f>SUM('5.10.a.sz. mell'!L46+'5.10.b. sz. mell'!L47)</f>
        <v>418954932</v>
      </c>
      <c r="AD47" s="1871"/>
      <c r="AE47" s="1903">
        <f>SUM('5.10.a.sz. mell'!M46+'5.10.b. sz. mell'!M47)</f>
        <v>408091701</v>
      </c>
    </row>
    <row r="48" spans="1:33" s="145" customFormat="1" ht="15" customHeight="1" x14ac:dyDescent="0.2">
      <c r="A48" s="142"/>
      <c r="B48" s="176" t="s">
        <v>158</v>
      </c>
      <c r="C48" s="55" t="s">
        <v>159</v>
      </c>
      <c r="D48" s="144">
        <v>0</v>
      </c>
      <c r="E48" s="144">
        <v>0</v>
      </c>
      <c r="F48" s="144"/>
      <c r="G48" s="2664">
        <f t="shared" si="13"/>
        <v>0</v>
      </c>
      <c r="H48" s="144"/>
      <c r="I48" s="1425">
        <f t="shared" si="13"/>
        <v>0</v>
      </c>
      <c r="J48" s="144"/>
      <c r="K48" s="3363">
        <f t="shared" si="13"/>
        <v>0</v>
      </c>
      <c r="L48" s="144"/>
      <c r="M48" s="144"/>
      <c r="N48" s="1876">
        <f t="shared" si="12"/>
        <v>0</v>
      </c>
      <c r="O48" s="1876"/>
      <c r="P48" s="1885">
        <f t="shared" si="10"/>
        <v>0</v>
      </c>
      <c r="Q48" s="1885"/>
      <c r="R48" s="248">
        <f t="shared" si="5"/>
        <v>0</v>
      </c>
      <c r="S48" s="248">
        <f t="shared" si="7"/>
        <v>0</v>
      </c>
      <c r="T48" s="1871">
        <f t="shared" si="8"/>
        <v>0</v>
      </c>
      <c r="U48" s="1871"/>
      <c r="V48" s="1897">
        <f t="shared" si="11"/>
        <v>0</v>
      </c>
      <c r="W48" s="1880">
        <f>SUM('5.10.a.sz. mell'!F47+'5.10.b. sz. mell'!F48)</f>
        <v>0</v>
      </c>
      <c r="X48" s="2217"/>
      <c r="Y48" s="1885">
        <f>SUM('5.10.a.sz. mell'!H47+'5.10.b. sz. mell'!H48)</f>
        <v>0</v>
      </c>
      <c r="Z48" s="1885"/>
      <c r="AA48" s="248">
        <f>SUM('5.10.a.sz. mell'!J47+'5.10.b. sz. mell'!J48)</f>
        <v>0</v>
      </c>
      <c r="AB48" s="248">
        <f>SUM('5.10.a.sz. mell'!K47+'5.10.b. sz. mell'!K48)</f>
        <v>0</v>
      </c>
      <c r="AC48" s="1871">
        <f>SUM('5.10.a.sz. mell'!L47+'5.10.b. sz. mell'!L48)</f>
        <v>0</v>
      </c>
      <c r="AD48" s="1871"/>
      <c r="AE48" s="1903">
        <f>SUM('5.10.a.sz. mell'!M47+'5.10.b. sz. mell'!M48)</f>
        <v>0</v>
      </c>
    </row>
    <row r="49" spans="1:33" s="145" customFormat="1" ht="15" customHeight="1" thickBot="1" x14ac:dyDescent="0.25">
      <c r="A49" s="142"/>
      <c r="B49" s="176" t="s">
        <v>160</v>
      </c>
      <c r="C49" s="55" t="s">
        <v>161</v>
      </c>
      <c r="D49" s="144">
        <v>0</v>
      </c>
      <c r="E49" s="144">
        <v>0</v>
      </c>
      <c r="F49" s="144"/>
      <c r="G49" s="2664">
        <f t="shared" si="13"/>
        <v>0</v>
      </c>
      <c r="H49" s="144"/>
      <c r="I49" s="1431">
        <f t="shared" si="13"/>
        <v>0</v>
      </c>
      <c r="J49" s="144"/>
      <c r="K49" s="3352">
        <f t="shared" si="13"/>
        <v>0</v>
      </c>
      <c r="L49" s="144"/>
      <c r="M49" s="144"/>
      <c r="N49" s="1876">
        <f t="shared" si="12"/>
        <v>0</v>
      </c>
      <c r="O49" s="1876"/>
      <c r="P49" s="1885">
        <f t="shared" si="10"/>
        <v>0</v>
      </c>
      <c r="Q49" s="1885"/>
      <c r="R49" s="248">
        <f t="shared" si="5"/>
        <v>0</v>
      </c>
      <c r="S49" s="248">
        <f t="shared" si="7"/>
        <v>0</v>
      </c>
      <c r="T49" s="1871">
        <f t="shared" si="8"/>
        <v>0</v>
      </c>
      <c r="U49" s="1871"/>
      <c r="V49" s="1897">
        <f t="shared" si="11"/>
        <v>0</v>
      </c>
      <c r="W49" s="1880">
        <f>SUM('5.10.a.sz. mell'!F48+'5.10.b. sz. mell'!F49)</f>
        <v>0</v>
      </c>
      <c r="X49" s="2217"/>
      <c r="Y49" s="1885">
        <f>SUM('5.10.a.sz. mell'!H48+'5.10.b. sz. mell'!H49)</f>
        <v>0</v>
      </c>
      <c r="Z49" s="1885"/>
      <c r="AA49" s="248">
        <f>SUM('5.10.a.sz. mell'!J48+'5.10.b. sz. mell'!J49)</f>
        <v>0</v>
      </c>
      <c r="AB49" s="248">
        <f>SUM('5.10.a.sz. mell'!K48+'5.10.b. sz. mell'!K49)</f>
        <v>0</v>
      </c>
      <c r="AC49" s="1871">
        <f>SUM('5.10.a.sz. mell'!L48+'5.10.b. sz. mell'!L49)</f>
        <v>0</v>
      </c>
      <c r="AD49" s="1871"/>
      <c r="AE49" s="1903">
        <f>SUM('5.10.a.sz. mell'!M48+'5.10.b. sz. mell'!M49)</f>
        <v>0</v>
      </c>
    </row>
    <row r="50" spans="1:33" s="145" customFormat="1" ht="15" customHeight="1" thickBot="1" x14ac:dyDescent="0.25">
      <c r="A50" s="134" t="s">
        <v>17</v>
      </c>
      <c r="B50" s="170"/>
      <c r="C50" s="170" t="s">
        <v>443</v>
      </c>
      <c r="D50" s="137">
        <f>SUM(D51:D53)</f>
        <v>0</v>
      </c>
      <c r="E50" s="137">
        <f>SUM(E51:E53)</f>
        <v>3694</v>
      </c>
      <c r="F50" s="137">
        <f>SUM(F51:F53)</f>
        <v>3000000</v>
      </c>
      <c r="G50" s="1382">
        <f t="shared" si="13"/>
        <v>26677996</v>
      </c>
      <c r="H50" s="137">
        <f>SUM(H51:H53)</f>
        <v>29677996</v>
      </c>
      <c r="I50" s="1427">
        <f t="shared" si="13"/>
        <v>27083403</v>
      </c>
      <c r="J50" s="137">
        <f>SUM(J51:J53)</f>
        <v>56761399</v>
      </c>
      <c r="K50" s="3365">
        <f t="shared" si="13"/>
        <v>0</v>
      </c>
      <c r="L50" s="137">
        <f>SUM(L51:L53)</f>
        <v>56761399</v>
      </c>
      <c r="M50" s="137">
        <f>SUM(M51:M53)</f>
        <v>22647676</v>
      </c>
      <c r="N50" s="1876">
        <f t="shared" si="12"/>
        <v>0</v>
      </c>
      <c r="O50" s="1876"/>
      <c r="P50" s="1885">
        <f t="shared" si="10"/>
        <v>0</v>
      </c>
      <c r="Q50" s="1885"/>
      <c r="R50" s="248">
        <f t="shared" si="5"/>
        <v>0</v>
      </c>
      <c r="S50" s="248">
        <f t="shared" si="7"/>
        <v>0</v>
      </c>
      <c r="T50" s="1871">
        <f t="shared" si="8"/>
        <v>0</v>
      </c>
      <c r="U50" s="1871"/>
      <c r="V50" s="1897">
        <f t="shared" si="11"/>
        <v>0</v>
      </c>
      <c r="W50" s="1880">
        <f>SUM('5.10.a.sz. mell'!F49+'5.10.b. sz. mell'!F50)</f>
        <v>3000000</v>
      </c>
      <c r="X50" s="2217"/>
      <c r="Y50" s="1885">
        <f>SUM('5.10.a.sz. mell'!H49+'5.10.b. sz. mell'!H50)</f>
        <v>29677996</v>
      </c>
      <c r="Z50" s="1885"/>
      <c r="AA50" s="248">
        <f>SUM('5.10.a.sz. mell'!J49+'5.10.b. sz. mell'!J50)</f>
        <v>56761399</v>
      </c>
      <c r="AB50" s="248">
        <f>SUM('5.10.a.sz. mell'!K49+'5.10.b. sz. mell'!K50)</f>
        <v>0</v>
      </c>
      <c r="AC50" s="1871">
        <f>SUM('5.10.a.sz. mell'!L49+'5.10.b. sz. mell'!L50)</f>
        <v>56761399</v>
      </c>
      <c r="AD50" s="1871"/>
      <c r="AE50" s="1903">
        <f>SUM('5.10.a.sz. mell'!M49+'5.10.b. sz. mell'!M50)</f>
        <v>22647676</v>
      </c>
    </row>
    <row r="51" spans="1:33" s="141" customFormat="1" ht="15" customHeight="1" x14ac:dyDescent="0.2">
      <c r="A51" s="173"/>
      <c r="B51" s="267" t="s">
        <v>5</v>
      </c>
      <c r="C51" s="251" t="s">
        <v>183</v>
      </c>
      <c r="D51" s="175">
        <v>0</v>
      </c>
      <c r="E51" s="175">
        <f>'5.10.1. sz. mell.'!AC154</f>
        <v>3694</v>
      </c>
      <c r="F51" s="175">
        <f>'5.10.1. sz. mell.'!AD154</f>
        <v>3000000</v>
      </c>
      <c r="G51" s="2664">
        <f t="shared" si="13"/>
        <v>15880496</v>
      </c>
      <c r="H51" s="175">
        <f>'5.10.1. sz. mell.'!AF154</f>
        <v>18880496</v>
      </c>
      <c r="I51" s="1426">
        <f t="shared" si="13"/>
        <v>31772203</v>
      </c>
      <c r="J51" s="175">
        <f>'5.10.1. sz. mell.'!AH154</f>
        <v>50652699</v>
      </c>
      <c r="K51" s="3366">
        <f t="shared" si="13"/>
        <v>0</v>
      </c>
      <c r="L51" s="175">
        <f>'5.10.1. sz. mell.'!AJ154</f>
        <v>50652699</v>
      </c>
      <c r="M51" s="175">
        <f>'5.10.1. sz. mell.'!AK154</f>
        <v>16538976</v>
      </c>
      <c r="N51" s="1876">
        <f t="shared" si="12"/>
        <v>0</v>
      </c>
      <c r="O51" s="1876"/>
      <c r="P51" s="1885">
        <f t="shared" si="10"/>
        <v>0</v>
      </c>
      <c r="Q51" s="1885"/>
      <c r="R51" s="248">
        <f t="shared" si="5"/>
        <v>0</v>
      </c>
      <c r="S51" s="248">
        <f t="shared" si="7"/>
        <v>0</v>
      </c>
      <c r="T51" s="1871">
        <f t="shared" si="8"/>
        <v>0</v>
      </c>
      <c r="U51" s="1871"/>
      <c r="V51" s="1897">
        <f t="shared" si="11"/>
        <v>0</v>
      </c>
      <c r="W51" s="1880">
        <f>SUM('5.10.a.sz. mell'!F50+'5.10.b. sz. mell'!F51)</f>
        <v>3000000</v>
      </c>
      <c r="X51" s="2217"/>
      <c r="Y51" s="1885">
        <f>SUM('5.10.a.sz. mell'!H50+'5.10.b. sz. mell'!H51)</f>
        <v>18880496</v>
      </c>
      <c r="Z51" s="1885"/>
      <c r="AA51" s="248">
        <f>SUM('5.10.a.sz. mell'!J50+'5.10.b. sz. mell'!J51)</f>
        <v>50652699</v>
      </c>
      <c r="AB51" s="248">
        <f>SUM('5.10.a.sz. mell'!K50+'5.10.b. sz. mell'!K51)</f>
        <v>0</v>
      </c>
      <c r="AC51" s="1871">
        <f>SUM('5.10.a.sz. mell'!L50+'5.10.b. sz. mell'!L51)</f>
        <v>50652699</v>
      </c>
      <c r="AD51" s="1871"/>
      <c r="AE51" s="1903">
        <f>SUM('5.10.a.sz. mell'!M50+'5.10.b. sz. mell'!M51)</f>
        <v>16538976</v>
      </c>
    </row>
    <row r="52" spans="1:33" s="145" customFormat="1" ht="15" customHeight="1" x14ac:dyDescent="0.2">
      <c r="A52" s="142"/>
      <c r="B52" s="253" t="s">
        <v>7</v>
      </c>
      <c r="C52" s="55" t="s">
        <v>185</v>
      </c>
      <c r="D52" s="144">
        <v>0</v>
      </c>
      <c r="E52" s="144">
        <f>'5.10.1. sz. mell.'!AC153</f>
        <v>0</v>
      </c>
      <c r="F52" s="144">
        <f>'5.10.1. sz. mell.'!AD153</f>
        <v>0</v>
      </c>
      <c r="G52" s="2664">
        <f t="shared" si="13"/>
        <v>10797500</v>
      </c>
      <c r="H52" s="144">
        <f>'5.10.1. sz. mell.'!AF153</f>
        <v>10797500</v>
      </c>
      <c r="I52" s="1428">
        <f t="shared" si="13"/>
        <v>-4688800</v>
      </c>
      <c r="J52" s="144">
        <f>'5.10.1. sz. mell.'!AH153</f>
        <v>6108700</v>
      </c>
      <c r="K52" s="3367">
        <f t="shared" si="13"/>
        <v>0</v>
      </c>
      <c r="L52" s="144">
        <f>'5.10.1. sz. mell.'!AJ153</f>
        <v>6108700</v>
      </c>
      <c r="M52" s="144">
        <f>'5.10.1. sz. mell.'!AK153</f>
        <v>6108700</v>
      </c>
      <c r="N52" s="1876">
        <f t="shared" si="12"/>
        <v>0</v>
      </c>
      <c r="O52" s="1876"/>
      <c r="P52" s="1885">
        <f t="shared" si="10"/>
        <v>0</v>
      </c>
      <c r="Q52" s="1885"/>
      <c r="R52" s="248">
        <f t="shared" si="5"/>
        <v>0</v>
      </c>
      <c r="S52" s="248">
        <f t="shared" si="7"/>
        <v>0</v>
      </c>
      <c r="T52" s="1871">
        <f t="shared" si="8"/>
        <v>0</v>
      </c>
      <c r="U52" s="1871"/>
      <c r="V52" s="1897">
        <f t="shared" si="11"/>
        <v>0</v>
      </c>
      <c r="W52" s="1880">
        <f>SUM('5.10.a.sz. mell'!F51+'5.10.b. sz. mell'!F52)</f>
        <v>0</v>
      </c>
      <c r="X52" s="2217"/>
      <c r="Y52" s="1885">
        <f>SUM('5.10.a.sz. mell'!H51+'5.10.b. sz. mell'!H52)</f>
        <v>10797500</v>
      </c>
      <c r="Z52" s="1885"/>
      <c r="AA52" s="248">
        <f>SUM('5.10.a.sz. mell'!J51+'5.10.b. sz. mell'!J52)</f>
        <v>6108700</v>
      </c>
      <c r="AB52" s="248">
        <f>SUM('5.10.a.sz. mell'!K51+'5.10.b. sz. mell'!K52)</f>
        <v>0</v>
      </c>
      <c r="AC52" s="1871">
        <f>SUM('5.10.a.sz. mell'!L51+'5.10.b. sz. mell'!L52)</f>
        <v>6108700</v>
      </c>
      <c r="AD52" s="1871"/>
      <c r="AE52" s="1903">
        <f>SUM('5.10.a.sz. mell'!M51+'5.10.b. sz. mell'!M52)</f>
        <v>6108700</v>
      </c>
    </row>
    <row r="53" spans="1:33" s="145" customFormat="1" ht="16.5" thickBot="1" x14ac:dyDescent="0.25">
      <c r="A53" s="142"/>
      <c r="B53" s="253" t="s">
        <v>9</v>
      </c>
      <c r="C53" s="55" t="s">
        <v>444</v>
      </c>
      <c r="D53" s="144">
        <v>0</v>
      </c>
      <c r="E53" s="144">
        <v>0</v>
      </c>
      <c r="F53" s="144"/>
      <c r="G53" s="2664">
        <f t="shared" si="13"/>
        <v>0</v>
      </c>
      <c r="H53" s="144"/>
      <c r="I53" s="1429">
        <f t="shared" si="13"/>
        <v>0</v>
      </c>
      <c r="J53" s="144"/>
      <c r="K53" s="3368">
        <f t="shared" si="13"/>
        <v>0</v>
      </c>
      <c r="L53" s="144"/>
      <c r="M53" s="144"/>
      <c r="N53" s="1876">
        <f t="shared" si="12"/>
        <v>0</v>
      </c>
      <c r="O53" s="1876"/>
      <c r="P53" s="1885">
        <f t="shared" si="10"/>
        <v>0</v>
      </c>
      <c r="Q53" s="1885"/>
      <c r="R53" s="248">
        <f t="shared" si="5"/>
        <v>0</v>
      </c>
      <c r="S53" s="248">
        <f t="shared" si="7"/>
        <v>0</v>
      </c>
      <c r="T53" s="1871">
        <f t="shared" si="8"/>
        <v>0</v>
      </c>
      <c r="U53" s="1871"/>
      <c r="V53" s="1897">
        <f t="shared" si="11"/>
        <v>0</v>
      </c>
      <c r="W53" s="1880">
        <f>SUM('5.10.a.sz. mell'!F52+'5.10.b. sz. mell'!F53)</f>
        <v>0</v>
      </c>
      <c r="X53" s="2217"/>
      <c r="Y53" s="1885">
        <f>SUM('5.10.a.sz. mell'!H52+'5.10.b. sz. mell'!H53)</f>
        <v>0</v>
      </c>
      <c r="Z53" s="1885"/>
      <c r="AA53" s="248">
        <f>SUM('5.10.a.sz. mell'!J52+'5.10.b. sz. mell'!J53)</f>
        <v>0</v>
      </c>
      <c r="AB53" s="248">
        <f>SUM('5.10.a.sz. mell'!K52+'5.10.b. sz. mell'!K53)</f>
        <v>0</v>
      </c>
      <c r="AC53" s="1871">
        <f>SUM('5.10.a.sz. mell'!L52+'5.10.b. sz. mell'!L53)</f>
        <v>0</v>
      </c>
      <c r="AD53" s="1871"/>
      <c r="AE53" s="1903">
        <f>SUM('5.10.a.sz. mell'!M52+'5.10.b. sz. mell'!M53)</f>
        <v>0</v>
      </c>
    </row>
    <row r="54" spans="1:33" s="145" customFormat="1" ht="16.5" thickBot="1" x14ac:dyDescent="0.25">
      <c r="A54" s="192" t="s">
        <v>31</v>
      </c>
      <c r="B54" s="160"/>
      <c r="C54" s="274" t="s">
        <v>465</v>
      </c>
      <c r="D54" s="162" t="e">
        <f>+D44+D50+#REF!</f>
        <v>#REF!</v>
      </c>
      <c r="E54" s="162" t="e">
        <f>+E44+E50+#REF!</f>
        <v>#REF!</v>
      </c>
      <c r="F54" s="162">
        <f>+F44+F50</f>
        <v>643956000</v>
      </c>
      <c r="G54" s="1437">
        <f t="shared" si="13"/>
        <v>44528790</v>
      </c>
      <c r="H54" s="162">
        <f>+H44+H50</f>
        <v>688484790</v>
      </c>
      <c r="I54" s="1373">
        <f t="shared" si="13"/>
        <v>100960379</v>
      </c>
      <c r="J54" s="162">
        <f>+J44+J50</f>
        <v>789445169</v>
      </c>
      <c r="K54" s="3343">
        <f t="shared" si="13"/>
        <v>0</v>
      </c>
      <c r="L54" s="162">
        <f>+L44+L50</f>
        <v>789445169</v>
      </c>
      <c r="M54" s="162">
        <f>+M44+M50</f>
        <v>744468215</v>
      </c>
      <c r="N54" s="1876">
        <f t="shared" si="12"/>
        <v>0</v>
      </c>
      <c r="O54" s="1876"/>
      <c r="P54" s="1885">
        <f t="shared" si="10"/>
        <v>0</v>
      </c>
      <c r="Q54" s="1885"/>
      <c r="R54" s="248">
        <f t="shared" si="5"/>
        <v>0</v>
      </c>
      <c r="S54" s="248">
        <f t="shared" si="7"/>
        <v>0</v>
      </c>
      <c r="T54" s="1871">
        <f t="shared" si="8"/>
        <v>0</v>
      </c>
      <c r="U54" s="1871"/>
      <c r="V54" s="1897">
        <f t="shared" si="11"/>
        <v>0</v>
      </c>
      <c r="W54" s="1880">
        <f>SUM('5.10.a.sz. mell'!F53+'5.10.b. sz. mell'!F54)</f>
        <v>643956000</v>
      </c>
      <c r="X54" s="2217"/>
      <c r="Y54" s="1885">
        <f>SUM('5.10.a.sz. mell'!H53+'5.10.b. sz. mell'!H54)</f>
        <v>688484790</v>
      </c>
      <c r="Z54" s="1885"/>
      <c r="AA54" s="248">
        <f>SUM('5.10.a.sz. mell'!J53+'5.10.b. sz. mell'!J54)</f>
        <v>789445169</v>
      </c>
      <c r="AB54" s="248">
        <f>SUM('5.10.a.sz. mell'!K53+'5.10.b. sz. mell'!K54)</f>
        <v>0</v>
      </c>
      <c r="AC54" s="1871">
        <f>SUM('5.10.a.sz. mell'!L53+'5.10.b. sz. mell'!L54)</f>
        <v>789445169</v>
      </c>
      <c r="AD54" s="1871"/>
      <c r="AE54" s="1903">
        <f>SUM('5.10.a.sz. mell'!M53+'5.10.b. sz. mell'!M54)</f>
        <v>744468215</v>
      </c>
      <c r="AF54" s="205"/>
      <c r="AG54" s="205"/>
    </row>
    <row r="55" spans="1:33" s="145" customFormat="1" ht="15" customHeight="1" thickBot="1" x14ac:dyDescent="0.25">
      <c r="A55" s="1303"/>
      <c r="B55" s="886"/>
      <c r="C55" s="886"/>
      <c r="D55" s="886"/>
      <c r="E55" s="886"/>
      <c r="F55" s="1304"/>
      <c r="G55" s="1550"/>
      <c r="H55" s="886"/>
      <c r="I55" s="1550"/>
      <c r="J55" s="886"/>
      <c r="K55" s="1550"/>
      <c r="L55" s="886"/>
      <c r="M55" s="1304"/>
      <c r="N55" s="1876">
        <f t="shared" si="12"/>
        <v>0</v>
      </c>
      <c r="O55" s="1876"/>
      <c r="P55" s="1885">
        <f t="shared" si="10"/>
        <v>0</v>
      </c>
      <c r="Q55" s="1885"/>
      <c r="R55" s="248">
        <f t="shared" si="5"/>
        <v>0</v>
      </c>
      <c r="S55" s="248">
        <f t="shared" si="7"/>
        <v>0</v>
      </c>
      <c r="T55" s="1871">
        <f t="shared" si="8"/>
        <v>0</v>
      </c>
      <c r="U55" s="1871"/>
      <c r="V55" s="1897">
        <f t="shared" si="11"/>
        <v>0</v>
      </c>
      <c r="W55" s="1880">
        <f>SUM('5.10.a.sz. mell'!F54+'5.10.b. sz. mell'!F55)</f>
        <v>0</v>
      </c>
      <c r="X55" s="2217"/>
      <c r="Y55" s="1885">
        <f>SUM('5.10.a.sz. mell'!H54+'5.10.b. sz. mell'!H55)</f>
        <v>0</v>
      </c>
      <c r="Z55" s="1885"/>
      <c r="AA55" s="248">
        <f>SUM('5.10.a.sz. mell'!J54+'5.10.b. sz. mell'!J55)</f>
        <v>0</v>
      </c>
      <c r="AB55" s="248">
        <f>SUM('5.10.a.sz. mell'!K54+'5.10.b. sz. mell'!K55)</f>
        <v>0</v>
      </c>
      <c r="AC55" s="1871">
        <f>SUM('5.10.a.sz. mell'!L54+'5.10.b. sz. mell'!L55)</f>
        <v>0</v>
      </c>
      <c r="AD55" s="1871"/>
      <c r="AE55" s="1903">
        <f>SUM('5.10.a.sz. mell'!M54+'5.10.b. sz. mell'!M55)</f>
        <v>0</v>
      </c>
    </row>
    <row r="56" spans="1:33" s="145" customFormat="1" ht="15" customHeight="1" thickBot="1" x14ac:dyDescent="0.25">
      <c r="A56" s="276" t="s">
        <v>324</v>
      </c>
      <c r="B56" s="277"/>
      <c r="C56" s="278"/>
      <c r="D56" s="200">
        <f>SUM('5.10.1. sz. mell.'!I218)</f>
        <v>73</v>
      </c>
      <c r="E56" s="200">
        <f>SUM('5.10.1. sz. mell.'!J218)</f>
        <v>73</v>
      </c>
      <c r="F56" s="681">
        <f>SUM('5.10.1. sz. mell.'!L218)</f>
        <v>103</v>
      </c>
      <c r="G56" s="1559">
        <f>SUM(H56-F56)</f>
        <v>0</v>
      </c>
      <c r="H56" s="200">
        <f>SUM('5.10.1. sz. mell.'!N218)</f>
        <v>103</v>
      </c>
      <c r="I56" s="1373" t="s">
        <v>875</v>
      </c>
      <c r="J56" s="200">
        <f>SUM('5.10.1. sz. mell.'!P218)</f>
        <v>103</v>
      </c>
      <c r="K56" s="3346">
        <f>SUM(L56-J56)</f>
        <v>0</v>
      </c>
      <c r="L56" s="200">
        <f>SUM('5.10.1. sz. mell.'!R218)</f>
        <v>103</v>
      </c>
      <c r="M56" s="200">
        <f>SUM('5.10.1. sz. mell.'!S218)</f>
        <v>103</v>
      </c>
      <c r="N56" s="1876">
        <f t="shared" si="12"/>
        <v>0</v>
      </c>
      <c r="O56" s="1876"/>
      <c r="P56" s="1885">
        <f t="shared" si="10"/>
        <v>0</v>
      </c>
      <c r="Q56" s="1885"/>
      <c r="R56" s="248">
        <f t="shared" si="5"/>
        <v>0</v>
      </c>
      <c r="S56" s="248">
        <f t="shared" si="7"/>
        <v>0</v>
      </c>
      <c r="T56" s="1871">
        <f t="shared" si="8"/>
        <v>0</v>
      </c>
      <c r="U56" s="1871"/>
      <c r="V56" s="1897">
        <f t="shared" si="11"/>
        <v>0</v>
      </c>
      <c r="W56" s="1880">
        <f>SUM('5.10.a.sz. mell'!F55+'5.10.b. sz. mell'!F56)</f>
        <v>103</v>
      </c>
      <c r="X56" s="2217"/>
      <c r="Y56" s="1885">
        <f>SUM('5.10.a.sz. mell'!H55+'5.10.b. sz. mell'!H56)</f>
        <v>103</v>
      </c>
      <c r="Z56" s="1885"/>
      <c r="AA56" s="248">
        <f>SUM('5.10.a.sz. mell'!J55+'5.10.b. sz. mell'!J56)</f>
        <v>103</v>
      </c>
      <c r="AB56" s="248">
        <f>SUM('5.10.a.sz. mell'!K55+'5.10.b. sz. mell'!K56)</f>
        <v>0</v>
      </c>
      <c r="AC56" s="1871">
        <f>SUM('5.10.a.sz. mell'!L55+'5.10.b. sz. mell'!L56)</f>
        <v>103</v>
      </c>
      <c r="AD56" s="1871"/>
      <c r="AE56" s="1903">
        <f>SUM('5.10.a.sz. mell'!M55+'5.10.b. sz. mell'!M56)</f>
        <v>103</v>
      </c>
    </row>
    <row r="57" spans="1:33" s="145" customFormat="1" ht="15" customHeight="1" thickBot="1" x14ac:dyDescent="0.25">
      <c r="A57" s="276" t="s">
        <v>325</v>
      </c>
      <c r="B57" s="277"/>
      <c r="C57" s="278"/>
      <c r="D57" s="279"/>
      <c r="E57" s="279"/>
      <c r="F57" s="279"/>
      <c r="G57" s="1560"/>
      <c r="H57" s="279"/>
      <c r="I57" s="1389"/>
      <c r="J57" s="279"/>
      <c r="K57" s="3347"/>
      <c r="L57" s="279"/>
      <c r="M57" s="279"/>
      <c r="N57" s="1876">
        <f t="shared" si="12"/>
        <v>0</v>
      </c>
      <c r="O57" s="1876"/>
      <c r="P57" s="1885">
        <f t="shared" si="10"/>
        <v>0</v>
      </c>
      <c r="Q57" s="1885"/>
      <c r="R57" s="248">
        <f t="shared" si="5"/>
        <v>0</v>
      </c>
      <c r="S57" s="248">
        <f t="shared" si="7"/>
        <v>0</v>
      </c>
      <c r="T57" s="1871">
        <f t="shared" si="8"/>
        <v>0</v>
      </c>
      <c r="U57" s="1871"/>
      <c r="V57" s="1897">
        <f t="shared" si="11"/>
        <v>0</v>
      </c>
      <c r="W57" s="1880">
        <f>SUM('5.10.a.sz. mell'!F56+'5.10.b. sz. mell'!F57)</f>
        <v>0</v>
      </c>
      <c r="X57" s="2217"/>
      <c r="Y57" s="1885">
        <f>SUM('5.10.a.sz. mell'!H56+'5.10.b. sz. mell'!H57)</f>
        <v>0</v>
      </c>
      <c r="Z57" s="1885"/>
      <c r="AA57" s="248"/>
      <c r="AB57" s="248"/>
      <c r="AC57" s="1871"/>
      <c r="AD57" s="1871"/>
      <c r="AE57" s="1903">
        <f>SUM('5.10.a.sz. mell'!M56+'5.10.b. sz. mell'!M57)</f>
        <v>0</v>
      </c>
    </row>
    <row r="58" spans="1:33" ht="15" x14ac:dyDescent="0.2">
      <c r="Y58" s="1885">
        <f>SUM('5.10.a.sz. mell'!H58+'5.10.b. sz. mell'!H59)</f>
        <v>0</v>
      </c>
      <c r="Z58" s="1885"/>
      <c r="AA58" s="248"/>
      <c r="AB58" s="248"/>
      <c r="AC58" s="1871"/>
      <c r="AD58" s="1871"/>
      <c r="AE58" s="1903">
        <f>SUM('5.10.a.sz. mell'!M58+'5.10.b. sz. mell'!M59)</f>
        <v>44617039</v>
      </c>
    </row>
    <row r="59" spans="1:33" x14ac:dyDescent="0.2">
      <c r="H59" s="92">
        <f t="shared" ref="H59:M59" si="14">SUM(H54-H41)</f>
        <v>0</v>
      </c>
      <c r="I59" s="92">
        <f t="shared" si="14"/>
        <v>0</v>
      </c>
      <c r="J59" s="92">
        <f t="shared" si="14"/>
        <v>0</v>
      </c>
      <c r="K59" s="92">
        <f t="shared" si="14"/>
        <v>0</v>
      </c>
      <c r="L59" s="92">
        <f t="shared" si="14"/>
        <v>0</v>
      </c>
      <c r="M59" s="92">
        <f t="shared" si="14"/>
        <v>-44617039</v>
      </c>
    </row>
    <row r="62" spans="1:33" ht="15.75" x14ac:dyDescent="0.2">
      <c r="C62" s="116" t="s">
        <v>945</v>
      </c>
      <c r="D62" s="116"/>
      <c r="E62" s="116"/>
      <c r="F62" s="116"/>
      <c r="G62" s="1416"/>
      <c r="H62" s="116"/>
      <c r="I62" s="1416"/>
      <c r="J62" s="116"/>
      <c r="K62" s="1416"/>
      <c r="L62" s="116"/>
      <c r="M62" s="116"/>
    </row>
    <row r="63" spans="1:33" ht="15.75" x14ac:dyDescent="0.2">
      <c r="C63" s="116" t="s">
        <v>942</v>
      </c>
      <c r="D63" s="116"/>
      <c r="E63" s="116"/>
      <c r="F63" s="1396">
        <v>643956000</v>
      </c>
      <c r="G63" s="1416"/>
      <c r="H63" s="783">
        <v>688484790</v>
      </c>
      <c r="I63" s="1417"/>
      <c r="J63" s="783">
        <v>789445169</v>
      </c>
      <c r="K63" s="1417"/>
      <c r="L63" s="783">
        <v>789445169</v>
      </c>
      <c r="M63" s="203">
        <v>744468215</v>
      </c>
    </row>
    <row r="64" spans="1:33" ht="15.75" x14ac:dyDescent="0.2">
      <c r="C64" s="116" t="s">
        <v>943</v>
      </c>
      <c r="D64" s="116"/>
      <c r="E64" s="116"/>
      <c r="F64" s="116"/>
      <c r="G64" s="1416"/>
      <c r="H64" s="783"/>
      <c r="I64" s="1417"/>
      <c r="J64" s="783"/>
      <c r="K64" s="1417"/>
      <c r="L64" s="783"/>
      <c r="M64" s="203"/>
    </row>
    <row r="65" spans="3:13" ht="18.75" x14ac:dyDescent="0.2">
      <c r="C65" s="1710" t="s">
        <v>944</v>
      </c>
      <c r="D65" s="780"/>
      <c r="E65" s="780"/>
      <c r="F65" s="1711">
        <f>SUM(F63:F64)</f>
        <v>643956000</v>
      </c>
      <c r="G65" s="1712"/>
      <c r="H65" s="1713">
        <f>SUM(H63:H64)</f>
        <v>688484790</v>
      </c>
      <c r="I65" s="1712"/>
      <c r="J65" s="1713">
        <f>SUM(J63:J64)</f>
        <v>789445169</v>
      </c>
      <c r="K65" s="1712"/>
      <c r="L65" s="1713">
        <f>SUM(L63:L64)</f>
        <v>789445169</v>
      </c>
      <c r="M65" s="482">
        <f>SUM(M63:M64)</f>
        <v>744468215</v>
      </c>
    </row>
    <row r="66" spans="3:13" ht="15.75" x14ac:dyDescent="0.2">
      <c r="C66" s="116"/>
      <c r="D66" s="116"/>
      <c r="E66" s="116"/>
      <c r="F66" s="116"/>
      <c r="G66" s="1416"/>
      <c r="H66" s="783"/>
      <c r="I66" s="1417"/>
      <c r="J66" s="783"/>
      <c r="K66" s="1417"/>
      <c r="L66" s="783"/>
      <c r="M66" s="203"/>
    </row>
    <row r="67" spans="3:13" ht="15.75" x14ac:dyDescent="0.2">
      <c r="C67" s="1156" t="s">
        <v>893</v>
      </c>
      <c r="D67" s="1156"/>
      <c r="E67" s="1156"/>
      <c r="F67" s="1397">
        <f>SUM(F65-F54)</f>
        <v>0</v>
      </c>
      <c r="G67" s="1418"/>
      <c r="H67" s="1157">
        <f>SUM(H65-H54)</f>
        <v>0</v>
      </c>
      <c r="I67" s="1418"/>
      <c r="J67" s="1157">
        <f>SUM(J65-J54)</f>
        <v>0</v>
      </c>
      <c r="K67" s="1418"/>
      <c r="L67" s="1157">
        <f>SUM(L65-L54)</f>
        <v>0</v>
      </c>
      <c r="M67" s="1158">
        <f>SUM(M65-M54)</f>
        <v>0</v>
      </c>
    </row>
    <row r="68" spans="3:13" x14ac:dyDescent="0.2">
      <c r="F68" s="1398"/>
      <c r="G68" s="1419"/>
      <c r="H68" s="784"/>
      <c r="I68" s="1419"/>
      <c r="J68" s="784"/>
      <c r="K68" s="1419"/>
      <c r="L68" s="784"/>
    </row>
    <row r="69" spans="3:13" x14ac:dyDescent="0.2">
      <c r="F69" s="1398"/>
      <c r="G69" s="1419"/>
      <c r="H69" s="784"/>
      <c r="I69" s="1419"/>
      <c r="J69" s="784"/>
      <c r="K69" s="1419"/>
      <c r="L69" s="784"/>
    </row>
    <row r="70" spans="3:13" x14ac:dyDescent="0.2">
      <c r="F70" s="1398"/>
      <c r="G70" s="1419"/>
      <c r="H70" s="784"/>
      <c r="I70" s="1419"/>
      <c r="J70" s="784"/>
      <c r="K70" s="1419"/>
      <c r="L70" s="784"/>
    </row>
    <row r="71" spans="3:13" ht="15.75" x14ac:dyDescent="0.2">
      <c r="C71" s="116" t="s">
        <v>946</v>
      </c>
      <c r="F71" s="1398"/>
      <c r="G71" s="1419"/>
      <c r="H71" s="784"/>
      <c r="I71" s="1419"/>
      <c r="J71" s="1854"/>
      <c r="K71" s="1419"/>
      <c r="L71" s="783"/>
    </row>
    <row r="72" spans="3:13" ht="15.75" x14ac:dyDescent="0.2">
      <c r="C72" s="116"/>
      <c r="F72" s="1398"/>
      <c r="G72" s="1419"/>
      <c r="H72" s="784"/>
      <c r="I72" s="1419"/>
      <c r="J72" s="783"/>
      <c r="K72" s="1419"/>
      <c r="L72" s="783"/>
    </row>
    <row r="73" spans="3:13" ht="15.75" x14ac:dyDescent="0.2">
      <c r="C73" s="116" t="s">
        <v>947</v>
      </c>
      <c r="F73" s="1396">
        <v>548956000</v>
      </c>
      <c r="G73" s="1715"/>
      <c r="H73" s="783">
        <v>549056000</v>
      </c>
      <c r="I73" s="1417"/>
      <c r="J73" s="783">
        <v>554179915</v>
      </c>
      <c r="K73" s="1417"/>
      <c r="L73" s="783">
        <v>554179915</v>
      </c>
      <c r="M73" s="203">
        <v>553820000</v>
      </c>
    </row>
    <row r="74" spans="3:13" ht="15.75" x14ac:dyDescent="0.2">
      <c r="C74" s="116" t="s">
        <v>948</v>
      </c>
      <c r="F74" s="1396">
        <v>95000000</v>
      </c>
      <c r="G74" s="1715"/>
      <c r="H74" s="783">
        <v>139428790</v>
      </c>
      <c r="I74" s="1417"/>
      <c r="J74" s="783">
        <v>235265254</v>
      </c>
      <c r="K74" s="1417"/>
      <c r="L74" s="783">
        <v>235265254</v>
      </c>
      <c r="M74" s="203">
        <v>235265254</v>
      </c>
    </row>
    <row r="75" spans="3:13" ht="18.75" x14ac:dyDescent="0.2">
      <c r="C75" s="1710" t="s">
        <v>944</v>
      </c>
      <c r="D75" s="1714"/>
      <c r="E75" s="1714"/>
      <c r="F75" s="1711">
        <f>SUM(F73:F74)</f>
        <v>643956000</v>
      </c>
      <c r="G75" s="1716"/>
      <c r="H75" s="1713">
        <f>SUM(H73:H74)</f>
        <v>688484790</v>
      </c>
      <c r="I75" s="1712"/>
      <c r="J75" s="1713">
        <f>SUM(J73:J74)</f>
        <v>789445169</v>
      </c>
      <c r="K75" s="1712"/>
      <c r="L75" s="1713">
        <f>SUM(L73:L74)</f>
        <v>789445169</v>
      </c>
      <c r="M75" s="482">
        <f>SUM(M73:M74)</f>
        <v>789085254</v>
      </c>
    </row>
    <row r="76" spans="3:13" ht="15.75" x14ac:dyDescent="0.2">
      <c r="C76" s="116"/>
      <c r="F76" s="1398"/>
      <c r="G76" s="1419"/>
      <c r="H76" s="783"/>
      <c r="I76" s="1417"/>
      <c r="J76" s="783"/>
      <c r="K76" s="1417"/>
      <c r="L76" s="783"/>
      <c r="M76" s="203"/>
    </row>
    <row r="77" spans="3:13" ht="15.75" x14ac:dyDescent="0.2">
      <c r="C77" s="1156" t="s">
        <v>279</v>
      </c>
      <c r="D77" s="1159"/>
      <c r="E77" s="1159"/>
      <c r="F77" s="1397">
        <f>SUM(F75-F41)</f>
        <v>0</v>
      </c>
      <c r="G77" s="1418"/>
      <c r="H77" s="1157">
        <f>SUM(H75-H41)</f>
        <v>0</v>
      </c>
      <c r="I77" s="1418"/>
      <c r="J77" s="1157">
        <f>SUM(J75-J41)</f>
        <v>0</v>
      </c>
      <c r="K77" s="1418"/>
      <c r="L77" s="1157">
        <f>SUM(L75-L41)</f>
        <v>0</v>
      </c>
      <c r="M77" s="1158">
        <f>SUM(M75-M41)</f>
        <v>0</v>
      </c>
    </row>
    <row r="78" spans="3:13" ht="15.75" x14ac:dyDescent="0.2">
      <c r="C78" s="116"/>
      <c r="F78" s="1398"/>
      <c r="G78" s="1419"/>
      <c r="H78" s="1717"/>
      <c r="I78" s="1420"/>
      <c r="J78" s="92"/>
      <c r="K78" s="1420"/>
      <c r="L78" s="92"/>
      <c r="M78" s="92"/>
    </row>
  </sheetData>
  <mergeCells count="20">
    <mergeCell ref="AC5:AC6"/>
    <mergeCell ref="I2:I3"/>
    <mergeCell ref="J2:J3"/>
    <mergeCell ref="K2:K3"/>
    <mergeCell ref="L2:L3"/>
    <mergeCell ref="P5:P6"/>
    <mergeCell ref="R5:R6"/>
    <mergeCell ref="T5:T6"/>
    <mergeCell ref="Y5:Y6"/>
    <mergeCell ref="AA5:AA6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23622047244094491" top="0.35433070866141736" bottom="0.39370078740157483" header="0.51181102362204722" footer="0.15748031496062992"/>
  <pageSetup paperSize="9" scale="62" firstPageNumber="89" orientation="portrait" useFirstPageNumber="1" r:id="rId1"/>
  <headerFooter>
    <oddFooter>&amp;C- &amp;P -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Q59"/>
  <sheetViews>
    <sheetView view="pageBreakPreview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83203125" style="115" customWidth="1"/>
    <col min="4" max="5" width="9.33203125" style="115" hidden="1" customWidth="1"/>
    <col min="6" max="6" width="15.6640625" style="115" customWidth="1"/>
    <col min="7" max="7" width="13.1640625" style="1390" hidden="1" customWidth="1"/>
    <col min="8" max="8" width="12.6640625" style="115" hidden="1" customWidth="1"/>
    <col min="9" max="9" width="11.83203125" style="1390" hidden="1" customWidth="1"/>
    <col min="10" max="10" width="14.33203125" style="115" customWidth="1"/>
    <col min="11" max="11" width="15.5" style="1390" customWidth="1"/>
    <col min="12" max="12" width="15.5" style="115" customWidth="1"/>
    <col min="13" max="13" width="14.6640625" style="115" customWidth="1"/>
    <col min="14" max="14" width="15.33203125" style="115" customWidth="1"/>
    <col min="15" max="16" width="9.83203125" style="115" customWidth="1"/>
    <col min="17" max="16384" width="9.33203125" style="115"/>
  </cols>
  <sheetData>
    <row r="1" spans="1:13" s="98" customFormat="1" ht="15.75" customHeight="1" thickBot="1" x14ac:dyDescent="0.25">
      <c r="A1" s="240"/>
      <c r="B1" s="241"/>
      <c r="C1" s="4526" t="s">
        <v>752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491</v>
      </c>
      <c r="D2" s="4444" t="s">
        <v>282</v>
      </c>
      <c r="E2" s="118"/>
      <c r="F2" s="4444" t="s">
        <v>1080</v>
      </c>
      <c r="G2" s="4422" t="s">
        <v>1035</v>
      </c>
      <c r="H2" s="4415" t="s">
        <v>1028</v>
      </c>
      <c r="I2" s="4422" t="s">
        <v>1031</v>
      </c>
      <c r="J2" s="4417" t="s">
        <v>1028</v>
      </c>
      <c r="K2" s="4449" t="s">
        <v>2623</v>
      </c>
      <c r="L2" s="4415" t="s">
        <v>234</v>
      </c>
      <c r="M2" s="4440" t="s">
        <v>1949</v>
      </c>
    </row>
    <row r="3" spans="1:13" s="303" customFormat="1" ht="30" customHeight="1" thickBot="1" x14ac:dyDescent="0.25">
      <c r="A3" s="4506" t="s">
        <v>283</v>
      </c>
      <c r="B3" s="4506"/>
      <c r="C3" s="204" t="s">
        <v>487</v>
      </c>
      <c r="D3" s="4444"/>
      <c r="E3" s="121"/>
      <c r="F3" s="4444"/>
      <c r="G3" s="4647"/>
      <c r="H3" s="4416" t="s">
        <v>1028</v>
      </c>
      <c r="I3" s="4644" t="s">
        <v>1031</v>
      </c>
      <c r="J3" s="4496" t="s">
        <v>1028</v>
      </c>
      <c r="K3" s="4645"/>
      <c r="L3" s="4646"/>
      <c r="M3" s="4441"/>
    </row>
    <row r="4" spans="1:13" s="303" customFormat="1" ht="15" customHeight="1" thickBot="1" x14ac:dyDescent="0.25">
      <c r="A4" s="1300"/>
      <c r="B4" s="1301"/>
      <c r="C4" s="2165"/>
      <c r="D4" s="4464"/>
      <c r="E4" s="4464"/>
      <c r="F4" s="4465"/>
      <c r="G4" s="1440"/>
      <c r="H4" s="1454"/>
      <c r="I4" s="1449"/>
      <c r="J4" s="1450"/>
      <c r="K4" s="1450"/>
      <c r="L4" s="1450"/>
      <c r="M4" s="1508" t="s">
        <v>935</v>
      </c>
    </row>
    <row r="5" spans="1:13" s="145" customFormat="1" ht="32.2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455"/>
      <c r="H6" s="128"/>
      <c r="I6" s="1372"/>
      <c r="J6" s="128"/>
      <c r="K6" s="3330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437"/>
      <c r="H7" s="162"/>
      <c r="I7" s="1373"/>
      <c r="J7" s="162"/>
      <c r="K7" s="334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19150</v>
      </c>
      <c r="E8" s="137">
        <f>SUM(E9:E18)</f>
        <v>19150</v>
      </c>
      <c r="F8" s="137">
        <f>SUM(F9:F18)</f>
        <v>5349000</v>
      </c>
      <c r="G8" s="1382">
        <f t="shared" ref="G8:K23" si="0">SUM(H8-F8)</f>
        <v>0</v>
      </c>
      <c r="H8" s="137">
        <f>SUM(H9:H18)</f>
        <v>5349000</v>
      </c>
      <c r="I8" s="1421">
        <f t="shared" si="0"/>
        <v>-175157</v>
      </c>
      <c r="J8" s="137">
        <f>SUM(J9:J18)</f>
        <v>5173843</v>
      </c>
      <c r="K8" s="3350">
        <f t="shared" si="0"/>
        <v>0</v>
      </c>
      <c r="L8" s="137">
        <f>SUM(L9:L18)</f>
        <v>5173843</v>
      </c>
      <c r="M8" s="137">
        <f>SUM(M9:M18)</f>
        <v>5173843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/>
      <c r="F9" s="150"/>
      <c r="G9" s="1415">
        <f t="shared" si="0"/>
        <v>0</v>
      </c>
      <c r="H9" s="144"/>
      <c r="I9" s="1386">
        <f t="shared" si="0"/>
        <v>0</v>
      </c>
      <c r="J9" s="144"/>
      <c r="K9" s="3345">
        <f t="shared" si="0"/>
        <v>0</v>
      </c>
      <c r="L9" s="144"/>
      <c r="M9" s="150"/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f>SUM('5.10.1. sz. mell.'!AB112)</f>
        <v>19150</v>
      </c>
      <c r="E10" s="144">
        <f>SUM('5.10.1. sz. mell.'!AC112)</f>
        <v>19150</v>
      </c>
      <c r="F10" s="144"/>
      <c r="G10" s="1415">
        <f t="shared" si="0"/>
        <v>228000</v>
      </c>
      <c r="H10" s="144">
        <f>SUM('5.10.1. sz. mell.'!N65)</f>
        <v>228000</v>
      </c>
      <c r="I10" s="1376">
        <f t="shared" si="0"/>
        <v>-15000</v>
      </c>
      <c r="J10" s="144">
        <f>SUM('5.10.1. sz. mell.'!P65)</f>
        <v>213000</v>
      </c>
      <c r="K10" s="3334">
        <f t="shared" si="0"/>
        <v>0</v>
      </c>
      <c r="L10" s="144">
        <f>SUM('5.10.1. sz. mell.'!R65)</f>
        <v>213000</v>
      </c>
      <c r="M10" s="144">
        <f>SUM('5.10.1. sz. mell.'!S65)</f>
        <v>213000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f>SUM('5.10.1. sz. mell.'!L66)</f>
        <v>228000</v>
      </c>
      <c r="G11" s="1415">
        <f t="shared" si="0"/>
        <v>-228000</v>
      </c>
      <c r="H11" s="144">
        <f>SUM('5.10.1. sz. mell.'!N139)</f>
        <v>0</v>
      </c>
      <c r="I11" s="1376">
        <f t="shared" si="0"/>
        <v>0</v>
      </c>
      <c r="J11" s="144">
        <f>SUM('5.10.1. sz. mell.'!P139)</f>
        <v>0</v>
      </c>
      <c r="K11" s="3334">
        <f t="shared" si="0"/>
        <v>0</v>
      </c>
      <c r="L11" s="144">
        <f>SUM('5.10.1. sz. mell.'!R139)</f>
        <v>0</v>
      </c>
      <c r="M11" s="144">
        <f>SUM('5.10.1. sz. mell.'!S139)</f>
        <v>0</v>
      </c>
    </row>
    <row r="12" spans="1:13" s="141" customFormat="1" ht="15" customHeight="1" x14ac:dyDescent="0.2">
      <c r="A12" s="142"/>
      <c r="B12" s="143" t="s">
        <v>158</v>
      </c>
      <c r="C12" s="55" t="s">
        <v>978</v>
      </c>
      <c r="D12" s="144">
        <v>0</v>
      </c>
      <c r="E12" s="144">
        <v>0</v>
      </c>
      <c r="F12" s="144">
        <v>0</v>
      </c>
      <c r="G12" s="1415">
        <f t="shared" si="0"/>
        <v>0</v>
      </c>
      <c r="H12" s="144">
        <v>0</v>
      </c>
      <c r="I12" s="1376">
        <f t="shared" si="0"/>
        <v>0</v>
      </c>
      <c r="J12" s="144">
        <v>0</v>
      </c>
      <c r="K12" s="3334">
        <f t="shared" si="0"/>
        <v>0</v>
      </c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f>SUM('5.10.1. sz. mell.'!L67)+'5.10.1. sz. mell.'!L141</f>
        <v>3932000</v>
      </c>
      <c r="G13" s="1415">
        <f t="shared" si="0"/>
        <v>0</v>
      </c>
      <c r="H13" s="144">
        <f>SUM('5.10.1. sz. mell.'!N67)+'5.10.1. sz. mell.'!N141</f>
        <v>3932000</v>
      </c>
      <c r="I13" s="1376">
        <f t="shared" si="0"/>
        <v>860976</v>
      </c>
      <c r="J13" s="144">
        <f>SUM('5.10.1. sz. mell.'!P67)+'5.10.1. sz. mell.'!P141</f>
        <v>4792976</v>
      </c>
      <c r="K13" s="3334">
        <f t="shared" si="0"/>
        <v>0</v>
      </c>
      <c r="L13" s="144">
        <f>SUM('5.10.1. sz. mell.'!R67)+'5.10.1. sz. mell.'!R141</f>
        <v>4792976</v>
      </c>
      <c r="M13" s="144">
        <f>SUM('5.10.1. sz. mell.'!S67)+'5.10.1. sz. mell.'!S141</f>
        <v>4792976</v>
      </c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7">
        <v>0</v>
      </c>
      <c r="E14" s="147">
        <v>0</v>
      </c>
      <c r="F14" s="147">
        <v>0</v>
      </c>
      <c r="G14" s="1415">
        <f t="shared" si="0"/>
        <v>0</v>
      </c>
      <c r="H14" s="147">
        <v>0</v>
      </c>
      <c r="I14" s="1376">
        <f t="shared" si="0"/>
        <v>0</v>
      </c>
      <c r="J14" s="147">
        <v>0</v>
      </c>
      <c r="K14" s="3334">
        <f t="shared" si="0"/>
        <v>0</v>
      </c>
      <c r="L14" s="147">
        <v>0</v>
      </c>
      <c r="M14" s="147">
        <v>0</v>
      </c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>
        <v>0</v>
      </c>
      <c r="E15" s="144">
        <v>0</v>
      </c>
      <c r="F15" s="144">
        <v>0</v>
      </c>
      <c r="G15" s="1415">
        <f t="shared" si="0"/>
        <v>0</v>
      </c>
      <c r="H15" s="144">
        <v>0</v>
      </c>
      <c r="I15" s="1376">
        <f t="shared" si="0"/>
        <v>0</v>
      </c>
      <c r="J15" s="144">
        <v>0</v>
      </c>
      <c r="K15" s="3334">
        <f t="shared" si="0"/>
        <v>0</v>
      </c>
      <c r="L15" s="144">
        <v>0</v>
      </c>
      <c r="M15" s="144">
        <v>0</v>
      </c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/>
      <c r="G16" s="1415">
        <f t="shared" si="0"/>
        <v>0</v>
      </c>
      <c r="H16" s="144">
        <v>0</v>
      </c>
      <c r="I16" s="1376">
        <f t="shared" si="0"/>
        <v>0</v>
      </c>
      <c r="J16" s="144">
        <v>0</v>
      </c>
      <c r="K16" s="3334">
        <f t="shared" si="0"/>
        <v>0</v>
      </c>
      <c r="L16" s="144">
        <v>0</v>
      </c>
      <c r="M16" s="144">
        <v>0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415">
        <f t="shared" si="0"/>
        <v>0</v>
      </c>
      <c r="H17" s="144">
        <v>0</v>
      </c>
      <c r="I17" s="1404">
        <f t="shared" si="0"/>
        <v>0</v>
      </c>
      <c r="J17" s="144">
        <v>0</v>
      </c>
      <c r="K17" s="3351">
        <f t="shared" si="0"/>
        <v>0</v>
      </c>
      <c r="L17" s="144">
        <v>0</v>
      </c>
      <c r="M17" s="144">
        <v>0</v>
      </c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>
        <f>SUM('5.10.1. sz. mell.'!L68+'5.10.1. sz. mell.'!L143)</f>
        <v>1189000</v>
      </c>
      <c r="G18" s="1415">
        <f t="shared" si="0"/>
        <v>0</v>
      </c>
      <c r="H18" s="153">
        <f>SUM('5.10.1. sz. mell.'!N68+'5.10.1. sz. mell.'!N143)</f>
        <v>1189000</v>
      </c>
      <c r="I18" s="1431">
        <f t="shared" si="0"/>
        <v>-1021133</v>
      </c>
      <c r="J18" s="153">
        <f>SUM('5.10.1. sz. mell.'!P68+'5.10.1. sz. mell.'!P143)</f>
        <v>167867</v>
      </c>
      <c r="K18" s="3352">
        <f t="shared" si="0"/>
        <v>0</v>
      </c>
      <c r="L18" s="153">
        <f>SUM('5.10.1. sz. mell.'!R68+'5.10.1. sz. mell.'!R143)</f>
        <v>167867</v>
      </c>
      <c r="M18" s="153">
        <f>SUM('5.10.1. sz. mell.'!S68+'5.10.1. sz. mell.'!S143)</f>
        <v>167867</v>
      </c>
    </row>
    <row r="19" spans="1:13" s="141" customFormat="1" ht="30" customHeight="1" thickBot="1" x14ac:dyDescent="0.25">
      <c r="A19" s="134" t="s">
        <v>17</v>
      </c>
      <c r="B19" s="148"/>
      <c r="C19" s="247" t="s">
        <v>419</v>
      </c>
      <c r="D19" s="137">
        <f>SUM(D21:D25)</f>
        <v>442256</v>
      </c>
      <c r="E19" s="137">
        <f>SUM(E21:E25)</f>
        <v>442256</v>
      </c>
      <c r="F19" s="137">
        <f>SUM(F21:F25)</f>
        <v>70681000</v>
      </c>
      <c r="G19" s="1382">
        <f t="shared" si="0"/>
        <v>0</v>
      </c>
      <c r="H19" s="137">
        <f>SUM(H21:H25)</f>
        <v>70681000</v>
      </c>
      <c r="I19" s="1421">
        <f t="shared" si="0"/>
        <v>-169900</v>
      </c>
      <c r="J19" s="137">
        <f>SUM(J21:J25)</f>
        <v>70511100</v>
      </c>
      <c r="K19" s="3350">
        <f t="shared" si="0"/>
        <v>0</v>
      </c>
      <c r="L19" s="137">
        <f>SUM(L21:L25)</f>
        <v>70511100</v>
      </c>
      <c r="M19" s="137">
        <f>SUM(M21:M25)</f>
        <v>70511100</v>
      </c>
    </row>
    <row r="20" spans="1:13" s="141" customFormat="1" ht="29.25" customHeight="1" x14ac:dyDescent="0.2">
      <c r="A20" s="146"/>
      <c r="B20" s="143" t="s">
        <v>5</v>
      </c>
      <c r="C20" s="251" t="s">
        <v>420</v>
      </c>
      <c r="D20" s="156"/>
      <c r="E20" s="156"/>
      <c r="F20" s="156"/>
      <c r="G20" s="1415">
        <f t="shared" si="0"/>
        <v>0</v>
      </c>
      <c r="H20" s="156"/>
      <c r="I20" s="1386">
        <f t="shared" si="0"/>
        <v>0</v>
      </c>
      <c r="J20" s="156"/>
      <c r="K20" s="3345">
        <f t="shared" si="0"/>
        <v>0</v>
      </c>
      <c r="L20" s="156"/>
      <c r="M20" s="156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>
        <f>SUM('5.10.1. sz. mell.'!AB129)</f>
        <v>442256</v>
      </c>
      <c r="E21" s="144">
        <f>SUM('5.10.1. sz. mell.'!AC129)</f>
        <v>442256</v>
      </c>
      <c r="F21" s="144">
        <f>SUM('5.10.1. sz. mell.'!L45+'5.10.1. sz. mell.'!L95+'5.10.1. sz. mell.'!L118+'5.10.1. sz. mell.'!L148)</f>
        <v>70681000</v>
      </c>
      <c r="G21" s="1415">
        <f t="shared" si="0"/>
        <v>0</v>
      </c>
      <c r="H21" s="144">
        <f>SUM('5.10.1. sz. mell.'!N45+'5.10.1. sz. mell.'!N95+'5.10.1. sz. mell.'!N118+'5.10.1. sz. mell.'!N148)</f>
        <v>70681000</v>
      </c>
      <c r="I21" s="1376"/>
      <c r="J21" s="144">
        <f>SUM('5.10.1. sz. mell.'!P45+'5.10.1. sz. mell.'!P95+'5.10.1. sz. mell.'!P118+'5.10.1. sz. mell.'!P148)</f>
        <v>70511100</v>
      </c>
      <c r="K21" s="3345">
        <f t="shared" si="0"/>
        <v>0</v>
      </c>
      <c r="L21" s="144">
        <f>SUM('5.10.1. sz. mell.'!R45+'5.10.1. sz. mell.'!R95+'5.10.1. sz. mell.'!R118+'5.10.1. sz. mell.'!R148)</f>
        <v>70511100</v>
      </c>
      <c r="M21" s="144">
        <f>SUM('5.10.1. sz. mell.'!S45+'5.10.1. sz. mell.'!S95+'5.10.1. sz. mell.'!S118+'5.10.1. sz. mell.'!S148)</f>
        <v>70511100</v>
      </c>
    </row>
    <row r="22" spans="1:13" s="145" customFormat="1" ht="18" customHeight="1" x14ac:dyDescent="0.2">
      <c r="A22" s="142"/>
      <c r="B22" s="143" t="s">
        <v>360</v>
      </c>
      <c r="C22" s="55" t="s">
        <v>1429</v>
      </c>
      <c r="D22" s="144">
        <v>0</v>
      </c>
      <c r="E22" s="144">
        <v>0</v>
      </c>
      <c r="F22" s="144">
        <v>0</v>
      </c>
      <c r="G22" s="1415"/>
      <c r="H22" s="144">
        <v>0</v>
      </c>
      <c r="I22" s="1376"/>
      <c r="J22" s="144">
        <v>0</v>
      </c>
      <c r="K22" s="3345">
        <f t="shared" si="0"/>
        <v>0</v>
      </c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>
        <v>0</v>
      </c>
      <c r="E23" s="144">
        <v>0</v>
      </c>
      <c r="F23" s="144">
        <v>0</v>
      </c>
      <c r="G23" s="1415"/>
      <c r="H23" s="144">
        <v>0</v>
      </c>
      <c r="I23" s="1376"/>
      <c r="J23" s="144">
        <v>0</v>
      </c>
      <c r="K23" s="3345">
        <f t="shared" si="0"/>
        <v>0</v>
      </c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/>
      <c r="G24" s="1415"/>
      <c r="H24" s="144"/>
      <c r="I24" s="1404"/>
      <c r="J24" s="144"/>
      <c r="K24" s="3345">
        <f t="shared" ref="K24" si="1">SUM(L24-J24)</f>
        <v>0</v>
      </c>
      <c r="L24" s="144"/>
      <c r="M24" s="144"/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f>SUM('5.10.1. sz. mell.'!L26)</f>
        <v>0</v>
      </c>
      <c r="G25" s="1415"/>
      <c r="H25" s="144"/>
      <c r="I25" s="1393"/>
      <c r="J25" s="144"/>
      <c r="K25" s="3353"/>
      <c r="L25" s="144"/>
      <c r="M25" s="144"/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f>SUM(F27)</f>
        <v>0</v>
      </c>
      <c r="G26" s="1381"/>
      <c r="H26" s="155">
        <f>SUM(H27)</f>
        <v>0</v>
      </c>
      <c r="I26" s="1380"/>
      <c r="J26" s="155">
        <f>SUM(J27)</f>
        <v>0</v>
      </c>
      <c r="K26" s="3338"/>
      <c r="L26" s="155">
        <f>SUM(L27)</f>
        <v>0</v>
      </c>
      <c r="M26" s="155">
        <f>SUM(M27)</f>
        <v>0</v>
      </c>
    </row>
    <row r="27" spans="1:13" s="145" customFormat="1" ht="30" customHeight="1" thickBot="1" x14ac:dyDescent="0.25">
      <c r="A27" s="134"/>
      <c r="B27" s="143" t="s">
        <v>19</v>
      </c>
      <c r="C27" s="55" t="s">
        <v>427</v>
      </c>
      <c r="D27" s="155"/>
      <c r="E27" s="155"/>
      <c r="F27" s="155"/>
      <c r="G27" s="1381"/>
      <c r="H27" s="155"/>
      <c r="I27" s="1380"/>
      <c r="J27" s="155"/>
      <c r="K27" s="3338"/>
      <c r="L27" s="155"/>
      <c r="M27" s="155"/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/>
      <c r="E28" s="155"/>
      <c r="F28" s="155">
        <f>SUM(F29:F31)</f>
        <v>0</v>
      </c>
      <c r="G28" s="1381"/>
      <c r="H28" s="155">
        <f>SUM(H29:H31)</f>
        <v>0</v>
      </c>
      <c r="I28" s="1380"/>
      <c r="J28" s="155">
        <f>SUM(J29:J31)</f>
        <v>0</v>
      </c>
      <c r="K28" s="3338"/>
      <c r="L28" s="155">
        <f>SUM(L29:L31)</f>
        <v>0</v>
      </c>
      <c r="M28" s="155">
        <f>SUM(M29:M31)</f>
        <v>0</v>
      </c>
    </row>
    <row r="29" spans="1:1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155"/>
      <c r="F29" s="155"/>
      <c r="G29" s="1381"/>
      <c r="H29" s="155"/>
      <c r="I29" s="1380"/>
      <c r="J29" s="155"/>
      <c r="K29" s="3338"/>
      <c r="L29" s="155"/>
      <c r="M29" s="155"/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155"/>
      <c r="F30" s="155"/>
      <c r="G30" s="1381"/>
      <c r="H30" s="155"/>
      <c r="I30" s="1380"/>
      <c r="J30" s="155"/>
      <c r="K30" s="3338"/>
      <c r="L30" s="155"/>
      <c r="M30" s="155"/>
    </row>
    <row r="31" spans="1:1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155"/>
      <c r="F31" s="155"/>
      <c r="G31" s="1381"/>
      <c r="H31" s="155"/>
      <c r="I31" s="1380"/>
      <c r="J31" s="155"/>
      <c r="K31" s="3338"/>
      <c r="L31" s="155"/>
      <c r="M31" s="155"/>
    </row>
    <row r="32" spans="1:13" s="141" customFormat="1" ht="28.5" customHeight="1" thickBot="1" x14ac:dyDescent="0.25">
      <c r="A32" s="134" t="s">
        <v>67</v>
      </c>
      <c r="B32" s="254"/>
      <c r="C32" s="170" t="s">
        <v>429</v>
      </c>
      <c r="D32" s="155">
        <v>0</v>
      </c>
      <c r="E32" s="155">
        <v>0</v>
      </c>
      <c r="F32" s="155"/>
      <c r="G32" s="1381"/>
      <c r="H32" s="155"/>
      <c r="I32" s="1381"/>
      <c r="J32" s="155"/>
      <c r="K32" s="3339"/>
      <c r="L32" s="155"/>
      <c r="M32" s="155"/>
    </row>
    <row r="33" spans="1:16" s="141" customFormat="1" ht="28.5" customHeight="1" thickBot="1" x14ac:dyDescent="0.25">
      <c r="A33" s="146"/>
      <c r="B33" s="255" t="s">
        <v>47</v>
      </c>
      <c r="C33" s="251" t="s">
        <v>430</v>
      </c>
      <c r="D33" s="295"/>
      <c r="E33" s="295"/>
      <c r="F33" s="295"/>
      <c r="G33" s="1381"/>
      <c r="H33" s="295"/>
      <c r="I33" s="1381"/>
      <c r="J33" s="295"/>
      <c r="K33" s="3339"/>
      <c r="L33" s="295"/>
      <c r="M33" s="295"/>
    </row>
    <row r="34" spans="1:16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/>
      <c r="G34" s="1381"/>
      <c r="H34" s="295"/>
      <c r="I34" s="1381"/>
      <c r="J34" s="295"/>
      <c r="K34" s="3339"/>
      <c r="L34" s="295"/>
      <c r="M34" s="295"/>
    </row>
    <row r="35" spans="1:16" s="141" customFormat="1" ht="30.75" customHeight="1" thickBot="1" x14ac:dyDescent="0.25">
      <c r="A35" s="258"/>
      <c r="B35" s="257" t="s">
        <v>69</v>
      </c>
      <c r="C35" s="55" t="s">
        <v>432</v>
      </c>
      <c r="D35" s="295"/>
      <c r="E35" s="295"/>
      <c r="F35" s="295"/>
      <c r="G35" s="1381"/>
      <c r="H35" s="295"/>
      <c r="I35" s="1382">
        <f t="shared" ref="I35:I40" si="2">SUM(J35-H35)</f>
        <v>0</v>
      </c>
      <c r="J35" s="295"/>
      <c r="K35" s="3340">
        <f t="shared" ref="K35:K40" si="3">SUM(L35-J35)</f>
        <v>0</v>
      </c>
      <c r="L35" s="295"/>
      <c r="M35" s="295"/>
    </row>
    <row r="36" spans="1:16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24012</v>
      </c>
      <c r="F36" s="285">
        <f>+F37+F38+F39</f>
        <v>52000000</v>
      </c>
      <c r="G36" s="1382">
        <f>SUM(H36-F36)</f>
        <v>0</v>
      </c>
      <c r="H36" s="285">
        <f>+H37+H38+H39</f>
        <v>52000000</v>
      </c>
      <c r="I36" s="1421">
        <f t="shared" si="2"/>
        <v>-1333856</v>
      </c>
      <c r="J36" s="285">
        <f>+J37+J38+J39</f>
        <v>50666144</v>
      </c>
      <c r="K36" s="3398">
        <f t="shared" si="3"/>
        <v>0</v>
      </c>
      <c r="L36" s="285">
        <f>+L37+L38+L39</f>
        <v>50666144</v>
      </c>
      <c r="M36" s="285">
        <f>+M37+M38+M39</f>
        <v>50666144</v>
      </c>
    </row>
    <row r="37" spans="1:16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1325">
        <f>'5.10.1. sz. mell.'!AC136</f>
        <v>24012</v>
      </c>
      <c r="F37" s="1326">
        <f>'5.10.1. sz. mell.'!AD136</f>
        <v>0</v>
      </c>
      <c r="G37" s="1415">
        <f>SUM(H37-F37)</f>
        <v>0</v>
      </c>
      <c r="H37" s="306"/>
      <c r="I37" s="1386">
        <f t="shared" si="2"/>
        <v>0</v>
      </c>
      <c r="J37" s="306"/>
      <c r="K37" s="3345">
        <f t="shared" si="3"/>
        <v>0</v>
      </c>
      <c r="L37" s="306"/>
      <c r="M37" s="306">
        <f>'5.10.1. sz. mell.'!AL124</f>
        <v>0</v>
      </c>
    </row>
    <row r="38" spans="1:16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692">
        <v>0</v>
      </c>
      <c r="F38" s="144"/>
      <c r="G38" s="1415">
        <f>SUM(H38-F38)</f>
        <v>0</v>
      </c>
      <c r="H38" s="144"/>
      <c r="I38" s="1404">
        <f t="shared" si="2"/>
        <v>0</v>
      </c>
      <c r="J38" s="144"/>
      <c r="K38" s="3351">
        <f t="shared" si="3"/>
        <v>0</v>
      </c>
      <c r="L38" s="144"/>
      <c r="M38" s="144"/>
      <c r="N38" s="145"/>
      <c r="O38" s="205"/>
      <c r="P38" s="205"/>
    </row>
    <row r="39" spans="1:16" s="145" customFormat="1" ht="15" customHeight="1" thickBot="1" x14ac:dyDescent="0.25">
      <c r="A39" s="178"/>
      <c r="B39" s="253" t="s">
        <v>85</v>
      </c>
      <c r="C39" s="55" t="s">
        <v>818</v>
      </c>
      <c r="D39" s="155">
        <f>SUM('5.10.1. sz. mell.'!AB131)</f>
        <v>82049</v>
      </c>
      <c r="E39" s="668">
        <f>SUM('5.10.1. sz. mell.'!AC131)+'5.10.1. sz. mell.'!AC133</f>
        <v>112944</v>
      </c>
      <c r="F39" s="294">
        <f>SUM('5.10.1. sz. mell.'!L47+'5.10.1. sz. mell.'!L74+'5.10.1. sz. mell.'!L120+'5.10.1. sz. mell.'!L150)+'5.10.1. sz. mell.'!L97</f>
        <v>52000000</v>
      </c>
      <c r="G39" s="2667">
        <f>SUM(H39-F39)</f>
        <v>0</v>
      </c>
      <c r="H39" s="294">
        <f>SUM('5.10.1. sz. mell.'!N47+'5.10.1. sz. mell.'!N74+'5.10.1. sz. mell.'!N120+'5.10.1. sz. mell.'!N150)+'5.10.1. sz. mell.'!N97</f>
        <v>52000000</v>
      </c>
      <c r="I39" s="1424">
        <f t="shared" si="2"/>
        <v>-1333856</v>
      </c>
      <c r="J39" s="294">
        <f>SUM('5.10.1. sz. mell.'!P47+'5.10.1. sz. mell.'!P74+'5.10.1. sz. mell.'!P120+'5.10.1. sz. mell.'!P150)+'5.10.1. sz. mell.'!P97</f>
        <v>50666144</v>
      </c>
      <c r="K39" s="3516">
        <f t="shared" si="3"/>
        <v>0</v>
      </c>
      <c r="L39" s="294">
        <f>SUM('5.10.1. sz. mell.'!R47+'5.10.1. sz. mell.'!R74+'5.10.1. sz. mell.'!R120+'5.10.1. sz. mell.'!R150)+'5.10.1. sz. mell.'!R97</f>
        <v>50666144</v>
      </c>
      <c r="M39" s="294">
        <f>SUM('5.10.1. sz. mell.'!S47+'5.10.1. sz. mell.'!S74+'5.10.1. sz. mell.'!S120+'5.10.1. sz. mell.'!S150)+'5.10.1. sz. mell.'!S97</f>
        <v>50666144</v>
      </c>
      <c r="O39" s="205"/>
      <c r="P39" s="205"/>
    </row>
    <row r="40" spans="1:16" s="145" customFormat="1" ht="15" customHeight="1" thickBot="1" x14ac:dyDescent="0.25">
      <c r="A40" s="192" t="s">
        <v>99</v>
      </c>
      <c r="B40" s="160"/>
      <c r="C40" s="274" t="s">
        <v>441</v>
      </c>
      <c r="D40" s="162">
        <f>SUM(D8,D19,D26,D32,D36,D39)</f>
        <v>543455</v>
      </c>
      <c r="E40" s="162" t="e">
        <v>#NAME?</v>
      </c>
      <c r="F40" s="162">
        <f>SUM(F8,F19,F26,F32,F36)</f>
        <v>128030000</v>
      </c>
      <c r="G40" s="1437">
        <f>SUM(H40-F40)</f>
        <v>0</v>
      </c>
      <c r="H40" s="162">
        <f>SUM(H8,H19,H26,H32,H36)</f>
        <v>128030000</v>
      </c>
      <c r="I40" s="1373">
        <f t="shared" si="2"/>
        <v>-1678913</v>
      </c>
      <c r="J40" s="162">
        <f>SUM(J8,J19,J26,J32,J36)</f>
        <v>126351087</v>
      </c>
      <c r="K40" s="3354">
        <f t="shared" si="3"/>
        <v>0</v>
      </c>
      <c r="L40" s="162">
        <f>SUM(L8,L19,L26,L32,L36)</f>
        <v>126351087</v>
      </c>
      <c r="M40" s="162">
        <f>SUM(M8,M19,M26,M32,M36)</f>
        <v>126351087</v>
      </c>
      <c r="O40" s="205"/>
      <c r="P40" s="205"/>
    </row>
    <row r="41" spans="1:16" s="145" customFormat="1" ht="15" customHeight="1" thickBot="1" x14ac:dyDescent="0.25">
      <c r="A41" s="2098"/>
      <c r="B41" s="266"/>
      <c r="C41" s="275"/>
      <c r="D41" s="286"/>
      <c r="E41" s="286"/>
      <c r="F41" s="1458"/>
      <c r="G41" s="1443"/>
      <c r="H41" s="286"/>
      <c r="I41" s="1447"/>
      <c r="J41" s="286"/>
      <c r="K41" s="1448"/>
      <c r="L41" s="286"/>
      <c r="M41" s="1458"/>
    </row>
    <row r="42" spans="1:16" s="305" customFormat="1" ht="15" customHeight="1" thickBot="1" x14ac:dyDescent="0.25">
      <c r="A42" s="192"/>
      <c r="B42" s="160"/>
      <c r="C42" s="282" t="s">
        <v>231</v>
      </c>
      <c r="D42" s="162"/>
      <c r="E42" s="162"/>
      <c r="F42" s="162"/>
      <c r="G42" s="1437"/>
      <c r="H42" s="162"/>
      <c r="I42" s="1374"/>
      <c r="J42" s="162"/>
      <c r="K42" s="3332"/>
      <c r="L42" s="162"/>
      <c r="M42" s="162"/>
    </row>
    <row r="43" spans="1:16" s="141" customFormat="1" ht="15" customHeight="1" thickBot="1" x14ac:dyDescent="0.25">
      <c r="A43" s="134" t="s">
        <v>3</v>
      </c>
      <c r="B43" s="170"/>
      <c r="C43" s="171" t="s">
        <v>442</v>
      </c>
      <c r="D43" s="137">
        <f>SUM(D44:D48)</f>
        <v>543455</v>
      </c>
      <c r="E43" s="137">
        <f>SUM(E44:E48)</f>
        <v>598073</v>
      </c>
      <c r="F43" s="137">
        <f>SUM(F44:F48)</f>
        <v>126030000</v>
      </c>
      <c r="G43" s="1382">
        <f t="shared" ref="G43:K53" si="4">SUM(H43-F43)</f>
        <v>0</v>
      </c>
      <c r="H43" s="137">
        <f>SUM(H44:H48)</f>
        <v>126030000</v>
      </c>
      <c r="I43" s="1421">
        <f t="shared" si="4"/>
        <v>-319596</v>
      </c>
      <c r="J43" s="137">
        <f>SUM(J44:J48)</f>
        <v>125710404</v>
      </c>
      <c r="K43" s="3350">
        <f t="shared" si="4"/>
        <v>0</v>
      </c>
      <c r="L43" s="137">
        <f>SUM(L44:L48)</f>
        <v>125710404</v>
      </c>
      <c r="M43" s="137">
        <f>SUM(M44:M48)</f>
        <v>125710404</v>
      </c>
    </row>
    <row r="44" spans="1:16" s="145" customFormat="1" ht="15" customHeight="1" x14ac:dyDescent="0.2">
      <c r="A44" s="173"/>
      <c r="B44" s="174" t="s">
        <v>152</v>
      </c>
      <c r="C44" s="251" t="s">
        <v>153</v>
      </c>
      <c r="D44" s="175">
        <f>SUM('5.10.1. sz. mell.'!AB147)</f>
        <v>168529</v>
      </c>
      <c r="E44" s="175">
        <f>SUM('5.10.1. sz. mell.'!AC147)</f>
        <v>192424</v>
      </c>
      <c r="F44" s="175">
        <f>SUM('5.10.1. sz. mell.'!L53+'5.10.1. sz. mell.'!L80+'5.10.1. sz. mell.'!L103+'5.10.1. sz. mell.'!L126+'5.10.1. sz. mell.'!L156)</f>
        <v>50281000</v>
      </c>
      <c r="G44" s="1415">
        <f t="shared" si="4"/>
        <v>0</v>
      </c>
      <c r="H44" s="175">
        <f>SUM('5.10.1. sz. mell.'!N53+'5.10.1. sz. mell.'!N80+'5.10.1. sz. mell.'!N103+'5.10.1. sz. mell.'!N126+'5.10.1. sz. mell.'!N156)</f>
        <v>50281000</v>
      </c>
      <c r="I44" s="1386">
        <f t="shared" si="4"/>
        <v>318800</v>
      </c>
      <c r="J44" s="175">
        <f>SUM('5.10.1. sz. mell.'!P53+'5.10.1. sz. mell.'!P80+'5.10.1. sz. mell.'!P103+'5.10.1. sz. mell.'!P126+'5.10.1. sz. mell.'!P156)</f>
        <v>50599800</v>
      </c>
      <c r="K44" s="3345">
        <f t="shared" si="4"/>
        <v>0</v>
      </c>
      <c r="L44" s="175">
        <f>SUM('5.10.1. sz. mell.'!R53+'5.10.1. sz. mell.'!R80+'5.10.1. sz. mell.'!R103+'5.10.1. sz. mell.'!R126+'5.10.1. sz. mell.'!R156)</f>
        <v>50599800</v>
      </c>
      <c r="M44" s="175">
        <f>SUM('5.10.1. sz. mell.'!S53+'5.10.1. sz. mell.'!S80+'5.10.1. sz. mell.'!S103+'5.10.1. sz. mell.'!S126+'5.10.1. sz. mell.'!S156)</f>
        <v>50599800</v>
      </c>
    </row>
    <row r="45" spans="1:16" s="145" customFormat="1" ht="15" customHeight="1" x14ac:dyDescent="0.2">
      <c r="A45" s="142"/>
      <c r="B45" s="176" t="s">
        <v>154</v>
      </c>
      <c r="C45" s="55" t="s">
        <v>155</v>
      </c>
      <c r="D45" s="144">
        <f>SUM('5.10.1. sz. mell.'!AB150)</f>
        <v>49730</v>
      </c>
      <c r="E45" s="144">
        <f>SUM('5.10.1. sz. mell.'!AC150)</f>
        <v>49730</v>
      </c>
      <c r="F45" s="175">
        <f>SUM('5.10.1. sz. mell.'!L54+'5.10.1. sz. mell.'!L81+'5.10.1. sz. mell.'!L104+'5.10.1. sz. mell.'!L127+'5.10.1. sz. mell.'!L157)</f>
        <v>10344000</v>
      </c>
      <c r="G45" s="1415">
        <f t="shared" si="4"/>
        <v>0</v>
      </c>
      <c r="H45" s="175">
        <f>SUM('5.10.1. sz. mell.'!N54+'5.10.1. sz. mell.'!N81+'5.10.1. sz. mell.'!N104+'5.10.1. sz. mell.'!N127+'5.10.1. sz. mell.'!N157)</f>
        <v>10344000</v>
      </c>
      <c r="I45" s="1376">
        <f t="shared" si="4"/>
        <v>41373</v>
      </c>
      <c r="J45" s="175">
        <f>SUM('5.10.1. sz. mell.'!P54+'5.10.1. sz. mell.'!P81+'5.10.1. sz. mell.'!P104+'5.10.1. sz. mell.'!P127+'5.10.1. sz. mell.'!P157)</f>
        <v>10385373</v>
      </c>
      <c r="K45" s="3334">
        <f t="shared" si="4"/>
        <v>0</v>
      </c>
      <c r="L45" s="175">
        <f>SUM('5.10.1. sz. mell.'!R54+'5.10.1. sz. mell.'!R81+'5.10.1. sz. mell.'!R104+'5.10.1. sz. mell.'!R127+'5.10.1. sz. mell.'!R157)</f>
        <v>10385373</v>
      </c>
      <c r="M45" s="175">
        <f>SUM('5.10.1. sz. mell.'!S54+'5.10.1. sz. mell.'!S81+'5.10.1. sz. mell.'!S104+'5.10.1. sz. mell.'!S127+'5.10.1. sz. mell.'!S157)</f>
        <v>10385373</v>
      </c>
    </row>
    <row r="46" spans="1:16" s="145" customFormat="1" ht="15" customHeight="1" x14ac:dyDescent="0.2">
      <c r="A46" s="142"/>
      <c r="B46" s="176" t="s">
        <v>156</v>
      </c>
      <c r="C46" s="55" t="s">
        <v>157</v>
      </c>
      <c r="D46" s="144">
        <f>SUM('5.10.1. sz. mell.'!AB152)</f>
        <v>325196</v>
      </c>
      <c r="E46" s="144">
        <f>SUM('5.10.1. sz. mell.'!AC152)</f>
        <v>355919</v>
      </c>
      <c r="F46" s="175">
        <f>SUM('5.10.1. sz. mell.'!L55+'5.10.1. sz. mell.'!L82+'5.10.1. sz. mell.'!L105+'5.10.1. sz. mell.'!L128+'5.10.1. sz. mell.'!L158)</f>
        <v>65405000</v>
      </c>
      <c r="G46" s="1415">
        <f t="shared" si="4"/>
        <v>0</v>
      </c>
      <c r="H46" s="175">
        <f>SUM('5.10.1. sz. mell.'!N55+'5.10.1. sz. mell.'!N82+'5.10.1. sz. mell.'!N105+'5.10.1. sz. mell.'!N128+'5.10.1. sz. mell.'!N158)</f>
        <v>65405000</v>
      </c>
      <c r="I46" s="1376">
        <f t="shared" si="4"/>
        <v>-679769</v>
      </c>
      <c r="J46" s="175">
        <f>SUM('5.10.1. sz. mell.'!P55+'5.10.1. sz. mell.'!P82+'5.10.1. sz. mell.'!P105+'5.10.1. sz. mell.'!P128+'5.10.1. sz. mell.'!P158)</f>
        <v>64725231</v>
      </c>
      <c r="K46" s="3334">
        <f t="shared" si="4"/>
        <v>0</v>
      </c>
      <c r="L46" s="175">
        <f>SUM('5.10.1. sz. mell.'!R55+'5.10.1. sz. mell.'!R82+'5.10.1. sz. mell.'!R105+'5.10.1. sz. mell.'!R128+'5.10.1. sz. mell.'!R158)</f>
        <v>64725231</v>
      </c>
      <c r="M46" s="175">
        <f>SUM('5.10.1. sz. mell.'!S55+'5.10.1. sz. mell.'!S82+'5.10.1. sz. mell.'!S105+'5.10.1. sz. mell.'!S128+'5.10.1. sz. mell.'!S158)</f>
        <v>64725231</v>
      </c>
    </row>
    <row r="47" spans="1:16" s="145" customFormat="1" ht="15" customHeight="1" x14ac:dyDescent="0.2">
      <c r="A47" s="142"/>
      <c r="B47" s="176" t="s">
        <v>158</v>
      </c>
      <c r="C47" s="55" t="s">
        <v>159</v>
      </c>
      <c r="D47" s="144">
        <v>0</v>
      </c>
      <c r="E47" s="144">
        <v>0</v>
      </c>
      <c r="F47" s="144"/>
      <c r="G47" s="1415">
        <f t="shared" si="4"/>
        <v>0</v>
      </c>
      <c r="H47" s="144"/>
      <c r="I47" s="1404">
        <f t="shared" si="4"/>
        <v>0</v>
      </c>
      <c r="J47" s="144"/>
      <c r="K47" s="3351">
        <f t="shared" si="4"/>
        <v>0</v>
      </c>
      <c r="L47" s="144"/>
      <c r="M47" s="144"/>
    </row>
    <row r="48" spans="1:16" s="145" customFormat="1" ht="15" customHeight="1" thickBot="1" x14ac:dyDescent="0.25">
      <c r="A48" s="142"/>
      <c r="B48" s="176" t="s">
        <v>160</v>
      </c>
      <c r="C48" s="55" t="s">
        <v>161</v>
      </c>
      <c r="D48" s="144">
        <v>0</v>
      </c>
      <c r="E48" s="144">
        <v>0</v>
      </c>
      <c r="F48" s="144"/>
      <c r="G48" s="1415">
        <f t="shared" si="4"/>
        <v>0</v>
      </c>
      <c r="H48" s="144"/>
      <c r="I48" s="1431">
        <f t="shared" si="4"/>
        <v>0</v>
      </c>
      <c r="J48" s="144"/>
      <c r="K48" s="3352">
        <f t="shared" si="4"/>
        <v>0</v>
      </c>
      <c r="L48" s="144"/>
      <c r="M48" s="144"/>
    </row>
    <row r="49" spans="1:17" s="145" customFormat="1" ht="15" customHeight="1" thickBot="1" x14ac:dyDescent="0.25">
      <c r="A49" s="134" t="s">
        <v>17</v>
      </c>
      <c r="B49" s="170"/>
      <c r="C49" s="170" t="s">
        <v>443</v>
      </c>
      <c r="D49" s="137">
        <f>SUM(D50:D52)</f>
        <v>0</v>
      </c>
      <c r="E49" s="137">
        <f>SUM(E50:E52)</f>
        <v>3694</v>
      </c>
      <c r="F49" s="137">
        <f>SUM(F50:F52)</f>
        <v>2000000</v>
      </c>
      <c r="G49" s="1382">
        <f t="shared" si="4"/>
        <v>0</v>
      </c>
      <c r="H49" s="137">
        <f>SUM(H50:H52)</f>
        <v>2000000</v>
      </c>
      <c r="I49" s="1421">
        <f t="shared" si="4"/>
        <v>-1359317</v>
      </c>
      <c r="J49" s="137">
        <f>SUM(J50:J52)</f>
        <v>640683</v>
      </c>
      <c r="K49" s="3350">
        <f t="shared" si="4"/>
        <v>0</v>
      </c>
      <c r="L49" s="137">
        <f>SUM(L50:L52)</f>
        <v>640683</v>
      </c>
      <c r="M49" s="137">
        <f>SUM(M50:M52)</f>
        <v>640683</v>
      </c>
    </row>
    <row r="50" spans="1:17" s="141" customFormat="1" ht="15" customHeight="1" x14ac:dyDescent="0.2">
      <c r="A50" s="173"/>
      <c r="B50" s="267" t="s">
        <v>5</v>
      </c>
      <c r="C50" s="251" t="s">
        <v>183</v>
      </c>
      <c r="D50" s="175">
        <v>0</v>
      </c>
      <c r="E50" s="175">
        <f>'5.10.1. sz. mell.'!AC154</f>
        <v>3694</v>
      </c>
      <c r="F50" s="175">
        <f>SUM('5.10.1. sz. mell.'!L58+'5.10.1. sz. mell.'!L131)+'5.10.1. sz. mell.'!L161+'5.10.1. sz. mell.'!L108</f>
        <v>2000000</v>
      </c>
      <c r="G50" s="1415">
        <f t="shared" si="4"/>
        <v>0</v>
      </c>
      <c r="H50" s="175">
        <f>SUM('5.10.1. sz. mell.'!N58+'5.10.1. sz. mell.'!N131)+'5.10.1. sz. mell.'!N161+'5.10.1. sz. mell.'!N108+'5.10.1. sz. mell.'!N85</f>
        <v>2000000</v>
      </c>
      <c r="I50" s="1386">
        <f t="shared" si="4"/>
        <v>-1359317</v>
      </c>
      <c r="J50" s="175">
        <f>SUM('5.10.1. sz. mell.'!P58+'5.10.1. sz. mell.'!P131)+'5.10.1. sz. mell.'!P161+'5.10.1. sz. mell.'!P108+'5.10.1. sz. mell.'!P85</f>
        <v>640683</v>
      </c>
      <c r="K50" s="3345">
        <f t="shared" si="4"/>
        <v>0</v>
      </c>
      <c r="L50" s="175">
        <f>SUM('5.10.1. sz. mell.'!R58+'5.10.1. sz. mell.'!R131)+'5.10.1. sz. mell.'!R161+'5.10.1. sz. mell.'!R108+'5.10.1. sz. mell.'!R85</f>
        <v>640683</v>
      </c>
      <c r="M50" s="175">
        <f>SUM('5.10.1. sz. mell.'!S58+'5.10.1. sz. mell.'!S131)+'5.10.1. sz. mell.'!S161+'5.10.1. sz. mell.'!S108+'5.10.1. sz. mell.'!S85</f>
        <v>640683</v>
      </c>
    </row>
    <row r="51" spans="1:17" s="145" customFormat="1" ht="15" customHeight="1" thickBot="1" x14ac:dyDescent="0.25">
      <c r="A51" s="142"/>
      <c r="B51" s="253" t="s">
        <v>7</v>
      </c>
      <c r="C51" s="55" t="s">
        <v>185</v>
      </c>
      <c r="D51" s="144">
        <v>0</v>
      </c>
      <c r="E51" s="144">
        <f>'5.10.1. sz. mell.'!AC153</f>
        <v>0</v>
      </c>
      <c r="F51" s="144">
        <f>'5.10.1. sz. mell.'!AD153</f>
        <v>0</v>
      </c>
      <c r="G51" s="1415">
        <f t="shared" si="4"/>
        <v>0</v>
      </c>
      <c r="H51" s="175">
        <f>SUM('5.10.1. sz. mell.'!N57+'5.10.1. sz. mell.'!N84+'5.10.1. sz. mell.'!N107+'5.10.1. sz. mell.'!N130+'5.10.1. sz. mell.'!N160)</f>
        <v>0</v>
      </c>
      <c r="I51" s="1376">
        <f t="shared" si="4"/>
        <v>0</v>
      </c>
      <c r="J51" s="175">
        <f>SUM('5.10.1. sz. mell.'!P57+'5.10.1. sz. mell.'!P84+'5.10.1. sz. mell.'!P107+'5.10.1. sz. mell.'!P130+'5.10.1. sz. mell.'!P160)</f>
        <v>0</v>
      </c>
      <c r="K51" s="3334">
        <f t="shared" si="4"/>
        <v>0</v>
      </c>
      <c r="L51" s="175">
        <f>SUM('5.10.1. sz. mell.'!R57+'5.10.1. sz. mell.'!R84+'5.10.1. sz. mell.'!R107+'5.10.1. sz. mell.'!R130+'5.10.1. sz. mell.'!R160)</f>
        <v>0</v>
      </c>
      <c r="M51" s="175">
        <f>SUM('5.10.1. sz. mell.'!S57+'5.10.1. sz. mell.'!S84+'5.10.1. sz. mell.'!S107+'5.10.1. sz. mell.'!S130+'5.10.1. sz. mell.'!S160)</f>
        <v>0</v>
      </c>
    </row>
    <row r="52" spans="1:17" s="145" customFormat="1" ht="14.25" customHeight="1" thickBot="1" x14ac:dyDescent="0.25">
      <c r="A52" s="142"/>
      <c r="B52" s="253" t="s">
        <v>9</v>
      </c>
      <c r="C52" s="55" t="s">
        <v>444</v>
      </c>
      <c r="D52" s="144">
        <v>0</v>
      </c>
      <c r="E52" s="144">
        <v>0</v>
      </c>
      <c r="F52" s="144"/>
      <c r="G52" s="1415">
        <f t="shared" si="4"/>
        <v>0</v>
      </c>
      <c r="H52" s="144"/>
      <c r="I52" s="1373">
        <f t="shared" si="4"/>
        <v>0</v>
      </c>
      <c r="J52" s="144"/>
      <c r="K52" s="3334">
        <f t="shared" si="4"/>
        <v>0</v>
      </c>
      <c r="L52" s="144"/>
      <c r="M52" s="144"/>
    </row>
    <row r="53" spans="1:17" s="145" customFormat="1" ht="15" customHeight="1" thickBot="1" x14ac:dyDescent="0.25">
      <c r="A53" s="192" t="s">
        <v>31</v>
      </c>
      <c r="B53" s="160"/>
      <c r="C53" s="274" t="s">
        <v>465</v>
      </c>
      <c r="D53" s="162" t="e">
        <f>+D43+D49+#REF!</f>
        <v>#REF!</v>
      </c>
      <c r="E53" s="162" t="e">
        <f>+E43+E49+#REF!</f>
        <v>#REF!</v>
      </c>
      <c r="F53" s="162">
        <f>+F43+F49</f>
        <v>128030000</v>
      </c>
      <c r="G53" s="1437">
        <f t="shared" si="4"/>
        <v>0</v>
      </c>
      <c r="H53" s="162">
        <f>+H43+H49</f>
        <v>128030000</v>
      </c>
      <c r="I53" s="1373">
        <f t="shared" si="4"/>
        <v>-1678913</v>
      </c>
      <c r="J53" s="162">
        <f>+J43+J49</f>
        <v>126351087</v>
      </c>
      <c r="K53" s="3343">
        <f t="shared" si="4"/>
        <v>0</v>
      </c>
      <c r="L53" s="162">
        <f>+L43+L49</f>
        <v>126351087</v>
      </c>
      <c r="M53" s="162">
        <f>+M43+M49</f>
        <v>126351087</v>
      </c>
      <c r="O53" s="205"/>
      <c r="P53" s="205"/>
    </row>
    <row r="54" spans="1:17" s="145" customFormat="1" ht="15" customHeight="1" thickBot="1" x14ac:dyDescent="0.25">
      <c r="A54" s="1303"/>
      <c r="B54" s="886"/>
      <c r="C54" s="886"/>
      <c r="D54" s="886"/>
      <c r="E54" s="886"/>
      <c r="F54" s="1304"/>
      <c r="G54" s="1550"/>
      <c r="H54" s="886"/>
      <c r="I54" s="1550"/>
      <c r="J54" s="886"/>
      <c r="K54" s="1550"/>
      <c r="L54" s="886"/>
      <c r="M54" s="1304"/>
      <c r="P54" s="205">
        <f>SUM(F53-F40)</f>
        <v>0</v>
      </c>
      <c r="Q54" s="205">
        <f>SUM(H53-H40)</f>
        <v>0</v>
      </c>
    </row>
    <row r="55" spans="1:17" s="145" customFormat="1" ht="15" customHeight="1" thickBot="1" x14ac:dyDescent="0.25">
      <c r="A55" s="276" t="s">
        <v>324</v>
      </c>
      <c r="B55" s="277"/>
      <c r="C55" s="278"/>
      <c r="D55" s="200">
        <f>SUM('5.10.1. sz. mell.'!I218)</f>
        <v>73</v>
      </c>
      <c r="E55" s="200">
        <f>SUM('5.10.1. sz. mell.'!J218)</f>
        <v>73</v>
      </c>
      <c r="F55" s="200">
        <f>SUM('5.10.1. sz. mell.'!L88+'5.10.1. sz. mell.'!L111+'5.10.1. sz. mell.'!L134)+'5.10.1. sz. mell.'!L164+'5.10.1. sz. mell.'!L61</f>
        <v>19</v>
      </c>
      <c r="G55" s="1559">
        <f>SUM(H55-F55)</f>
        <v>0</v>
      </c>
      <c r="H55" s="200">
        <f>SUM('5.10.1. sz. mell.'!N88+'5.10.1. sz. mell.'!N111+'5.10.1. sz. mell.'!N134)+'5.10.1. sz. mell.'!N164+'5.10.1. sz. mell.'!N61</f>
        <v>19</v>
      </c>
      <c r="I55" s="1559">
        <f>SUM('5.10.1. sz. mell.'!O88+'5.10.1. sz. mell.'!O111+'5.10.1. sz. mell.'!O134)+'5.10.1. sz. mell.'!O164+'5.10.1. sz. mell.'!O61</f>
        <v>0</v>
      </c>
      <c r="J55" s="200">
        <f>SUM('5.10.1. sz. mell.'!P88+'5.10.1. sz. mell.'!P111+'5.10.1. sz. mell.'!P134)+'5.10.1. sz. mell.'!P164+'5.10.1. sz. mell.'!P61</f>
        <v>19</v>
      </c>
      <c r="K55" s="3346">
        <f>SUM(L55-J55)</f>
        <v>0</v>
      </c>
      <c r="L55" s="200">
        <f>SUM('5.10.1. sz. mell.'!R88+'5.10.1. sz. mell.'!R111+'5.10.1. sz. mell.'!R134)+'5.10.1. sz. mell.'!R164+'5.10.1. sz. mell.'!R61</f>
        <v>19</v>
      </c>
      <c r="M55" s="200">
        <f>SUM('5.10.1. sz. mell.'!S88+'5.10.1. sz. mell.'!S111+'5.10.1. sz. mell.'!S134)+'5.10.1. sz. mell.'!S164+'5.10.1. sz. mell.'!S61</f>
        <v>19</v>
      </c>
    </row>
    <row r="56" spans="1:17" s="145" customFormat="1" ht="15" customHeight="1" thickBot="1" x14ac:dyDescent="0.25">
      <c r="A56" s="276" t="s">
        <v>325</v>
      </c>
      <c r="B56" s="277"/>
      <c r="C56" s="278"/>
      <c r="D56" s="279"/>
      <c r="E56" s="279"/>
      <c r="F56" s="279"/>
      <c r="G56" s="1560"/>
      <c r="H56" s="279"/>
      <c r="I56" s="1389"/>
      <c r="J56" s="279"/>
      <c r="K56" s="1389"/>
      <c r="L56" s="279"/>
      <c r="M56" s="279"/>
    </row>
    <row r="59" spans="1:17" x14ac:dyDescent="0.2">
      <c r="H59" s="92">
        <f t="shared" ref="H59:M59" si="5">SUM(H40-H53)</f>
        <v>0</v>
      </c>
      <c r="I59" s="92">
        <f t="shared" si="5"/>
        <v>0</v>
      </c>
      <c r="J59" s="92">
        <f t="shared" si="5"/>
        <v>0</v>
      </c>
      <c r="K59" s="92">
        <f t="shared" si="5"/>
        <v>0</v>
      </c>
      <c r="L59" s="92">
        <f t="shared" si="5"/>
        <v>0</v>
      </c>
      <c r="M59" s="92">
        <f t="shared" si="5"/>
        <v>0</v>
      </c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23622047244094491" top="0.35433070866141736" bottom="0.39370078740157483" header="0.51181102362204722" footer="0.15748031496062992"/>
  <pageSetup paperSize="9" scale="68" firstPageNumber="90" orientation="portrait" useFirstPageNumber="1" r:id="rId1"/>
  <headerFooter>
    <oddFooter>&amp;C- &amp;P -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59"/>
  <sheetViews>
    <sheetView view="pageBreakPreview" zoomScaleNormal="100" zoomScaleSheetLayoutView="100" zoomScalePageLayoutView="60" workbookViewId="0">
      <selection activeCell="K4" sqref="K4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83203125" style="115" customWidth="1"/>
    <col min="4" max="5" width="9.33203125" style="115" hidden="1" customWidth="1"/>
    <col min="6" max="6" width="15.83203125" style="115" customWidth="1"/>
    <col min="7" max="7" width="15.5" style="1390" hidden="1" customWidth="1"/>
    <col min="8" max="8" width="13.1640625" style="115" hidden="1" customWidth="1"/>
    <col min="9" max="9" width="12.1640625" style="1390" hidden="1" customWidth="1"/>
    <col min="10" max="10" width="14.83203125" style="115" customWidth="1"/>
    <col min="11" max="11" width="15.33203125" style="1390" customWidth="1"/>
    <col min="12" max="12" width="15.33203125" style="115" customWidth="1"/>
    <col min="13" max="13" width="14.1640625" style="115" customWidth="1"/>
    <col min="14" max="14" width="15.33203125" style="115" customWidth="1"/>
    <col min="15" max="16" width="9.83203125" style="115" customWidth="1"/>
    <col min="17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753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491</v>
      </c>
      <c r="D2" s="4444" t="s">
        <v>282</v>
      </c>
      <c r="E2" s="118"/>
      <c r="F2" s="4444" t="s">
        <v>1080</v>
      </c>
      <c r="G2" s="4422" t="s">
        <v>1035</v>
      </c>
      <c r="H2" s="4648" t="s">
        <v>1028</v>
      </c>
      <c r="I2" s="4422" t="s">
        <v>1031</v>
      </c>
      <c r="J2" s="4417" t="s">
        <v>1028</v>
      </c>
      <c r="K2" s="4449" t="s">
        <v>2623</v>
      </c>
      <c r="L2" s="4415" t="s">
        <v>234</v>
      </c>
      <c r="M2" s="4440" t="s">
        <v>1950</v>
      </c>
    </row>
    <row r="3" spans="1:13" s="303" customFormat="1" ht="30" customHeight="1" thickBot="1" x14ac:dyDescent="0.25">
      <c r="A3" s="4506" t="s">
        <v>283</v>
      </c>
      <c r="B3" s="4506"/>
      <c r="C3" s="204" t="s">
        <v>327</v>
      </c>
      <c r="D3" s="4444"/>
      <c r="E3" s="121"/>
      <c r="F3" s="4444"/>
      <c r="G3" s="4433"/>
      <c r="H3" s="4649" t="s">
        <v>1028</v>
      </c>
      <c r="I3" s="4646" t="s">
        <v>1031</v>
      </c>
      <c r="J3" s="4496" t="s">
        <v>1028</v>
      </c>
      <c r="K3" s="4645"/>
      <c r="L3" s="4646"/>
      <c r="M3" s="4441"/>
    </row>
    <row r="4" spans="1:13" s="303" customFormat="1" ht="15" customHeight="1" thickBot="1" x14ac:dyDescent="0.25">
      <c r="A4" s="1300"/>
      <c r="B4" s="1301"/>
      <c r="C4" s="2165"/>
      <c r="D4" s="4464"/>
      <c r="E4" s="4464"/>
      <c r="F4" s="4464"/>
      <c r="G4" s="1440"/>
      <c r="H4" s="1455"/>
      <c r="I4" s="1441"/>
      <c r="J4" s="1395"/>
      <c r="K4" s="1441"/>
      <c r="L4" s="1395"/>
      <c r="M4" s="1508" t="s">
        <v>935</v>
      </c>
    </row>
    <row r="5" spans="1:13" s="145" customFormat="1" ht="32.2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1371"/>
      <c r="H5" s="126"/>
      <c r="I5" s="1371"/>
      <c r="J5" s="126"/>
      <c r="K5" s="3329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1372"/>
      <c r="H6" s="128"/>
      <c r="I6" s="1372"/>
      <c r="J6" s="128"/>
      <c r="K6" s="3330"/>
      <c r="L6" s="128"/>
      <c r="M6" s="128"/>
    </row>
    <row r="7" spans="1:13" s="305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373"/>
      <c r="H7" s="162"/>
      <c r="I7" s="1373"/>
      <c r="J7" s="162"/>
      <c r="K7" s="3343"/>
      <c r="L7" s="162"/>
      <c r="M7" s="162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19150</v>
      </c>
      <c r="E8" s="137">
        <f>SUM(E9:E18)</f>
        <v>19150</v>
      </c>
      <c r="F8" s="137">
        <f>SUM(F9:F19)</f>
        <v>17069000</v>
      </c>
      <c r="G8" s="1374">
        <f t="shared" ref="G8:G22" si="0">SUM(H8-F8)</f>
        <v>0</v>
      </c>
      <c r="H8" s="137">
        <f t="shared" ref="H8:M8" si="1">SUM(H9:H19)</f>
        <v>17069000</v>
      </c>
      <c r="I8" s="1374">
        <f t="shared" si="1"/>
        <v>-775928</v>
      </c>
      <c r="J8" s="137">
        <f>SUM(J9:J19)</f>
        <v>16293072</v>
      </c>
      <c r="K8" s="3332">
        <f t="shared" si="1"/>
        <v>0</v>
      </c>
      <c r="L8" s="137">
        <f>SUM(L9:L19)</f>
        <v>16293072</v>
      </c>
      <c r="M8" s="137">
        <f t="shared" si="1"/>
        <v>15933157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/>
      <c r="F9" s="150"/>
      <c r="G9" s="1376">
        <f t="shared" si="0"/>
        <v>0</v>
      </c>
      <c r="H9" s="150"/>
      <c r="I9" s="1376">
        <f t="shared" ref="I9:I41" si="2">SUM(J9-H9)</f>
        <v>0</v>
      </c>
      <c r="J9" s="150"/>
      <c r="K9" s="3334">
        <f t="shared" ref="K9:K54" si="3">SUM(L9-J9)</f>
        <v>0</v>
      </c>
      <c r="L9" s="150"/>
      <c r="M9" s="150"/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f>SUM('5.10.1. sz. mell.'!AB112)</f>
        <v>19150</v>
      </c>
      <c r="E10" s="144">
        <f>SUM('5.10.1. sz. mell.'!AC112)</f>
        <v>19150</v>
      </c>
      <c r="F10" s="144">
        <f>SUM('5.10.1. sz. mell.'!L193+'5.10.1. sz. mell.'!L6)</f>
        <v>14780000</v>
      </c>
      <c r="G10" s="1376">
        <f t="shared" si="0"/>
        <v>1293900</v>
      </c>
      <c r="H10" s="144">
        <f>SUM('5.10.1. sz. mell.'!N193)+'5.10.1. sz. mell.'!N6</f>
        <v>16073900</v>
      </c>
      <c r="I10" s="1376">
        <f t="shared" si="2"/>
        <v>-743433</v>
      </c>
      <c r="J10" s="144">
        <f>SUM('5.10.1. sz. mell.'!P193)+'5.10.1. sz. mell.'!P6</f>
        <v>15330467</v>
      </c>
      <c r="K10" s="3334">
        <f t="shared" si="3"/>
        <v>0</v>
      </c>
      <c r="L10" s="144">
        <f>SUM('5.10.1. sz. mell.'!R193)+'5.10.1. sz. mell.'!R6</f>
        <v>15330467</v>
      </c>
      <c r="M10" s="144">
        <f>SUM('5.10.1. sz. mell.'!S193)+'5.10.1. sz. mell.'!S6</f>
        <v>15067060</v>
      </c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>
        <f>SUM('5.10.1. sz. mell.'!L7+'5.10.1. sz. mell.'!L194)</f>
        <v>1364000</v>
      </c>
      <c r="G11" s="1376">
        <f t="shared" si="0"/>
        <v>-1364000</v>
      </c>
      <c r="H11" s="144">
        <f>SUM('5.10.1. sz. mell.'!N7)</f>
        <v>0</v>
      </c>
      <c r="I11" s="1376">
        <f t="shared" si="2"/>
        <v>0</v>
      </c>
      <c r="J11" s="144">
        <f>SUM('5.10.1. sz. mell.'!P7)</f>
        <v>0</v>
      </c>
      <c r="K11" s="3334">
        <f t="shared" si="3"/>
        <v>0</v>
      </c>
      <c r="L11" s="144">
        <f>SUM('5.10.1. sz. mell.'!R7)</f>
        <v>0</v>
      </c>
      <c r="M11" s="144">
        <f>SUM('5.10.1. sz. mell.'!S7)</f>
        <v>0</v>
      </c>
    </row>
    <row r="12" spans="1:13" s="141" customFormat="1" ht="15" customHeight="1" x14ac:dyDescent="0.2">
      <c r="A12" s="142"/>
      <c r="B12" s="143" t="s">
        <v>158</v>
      </c>
      <c r="C12" s="55" t="s">
        <v>56</v>
      </c>
      <c r="D12" s="144">
        <v>0</v>
      </c>
      <c r="E12" s="144">
        <v>0</v>
      </c>
      <c r="F12" s="144">
        <v>0</v>
      </c>
      <c r="G12" s="1376">
        <f t="shared" si="0"/>
        <v>0</v>
      </c>
      <c r="H12" s="144">
        <v>0</v>
      </c>
      <c r="I12" s="1376">
        <f t="shared" si="2"/>
        <v>0</v>
      </c>
      <c r="J12" s="144">
        <v>0</v>
      </c>
      <c r="K12" s="3334">
        <f t="shared" si="3"/>
        <v>0</v>
      </c>
      <c r="L12" s="144">
        <v>0</v>
      </c>
      <c r="M12" s="144">
        <v>0</v>
      </c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>
        <f>SUM('5.10.1. sz. mell.'!L9+'5.10.1. sz. mell.'!L195)</f>
        <v>798000</v>
      </c>
      <c r="G13" s="1376">
        <f t="shared" si="0"/>
        <v>0</v>
      </c>
      <c r="H13" s="144">
        <f>SUM('5.10.1. sz. mell.'!N9+'5.10.1. sz. mell.'!N195)</f>
        <v>798000</v>
      </c>
      <c r="I13" s="1376">
        <f t="shared" si="2"/>
        <v>-34502</v>
      </c>
      <c r="J13" s="144">
        <f>SUM('5.10.1. sz. mell.'!P9+'5.10.1. sz. mell.'!P195)</f>
        <v>763498</v>
      </c>
      <c r="K13" s="3334">
        <f t="shared" si="3"/>
        <v>0</v>
      </c>
      <c r="L13" s="144">
        <f>SUM('5.10.1. sz. mell.'!R9+'5.10.1. sz. mell.'!R195)</f>
        <v>763498</v>
      </c>
      <c r="M13" s="144">
        <f>SUM('5.10.1. sz. mell.'!S9+'5.10.1. sz. mell.'!S195)</f>
        <v>666990</v>
      </c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7">
        <v>0</v>
      </c>
      <c r="E14" s="147">
        <v>0</v>
      </c>
      <c r="F14" s="147">
        <v>0</v>
      </c>
      <c r="G14" s="1376">
        <f t="shared" si="0"/>
        <v>0</v>
      </c>
      <c r="H14" s="147">
        <v>0</v>
      </c>
      <c r="I14" s="1376">
        <f t="shared" si="2"/>
        <v>0</v>
      </c>
      <c r="J14" s="147">
        <v>0</v>
      </c>
      <c r="K14" s="3334">
        <f t="shared" si="3"/>
        <v>0</v>
      </c>
      <c r="L14" s="147">
        <v>0</v>
      </c>
      <c r="M14" s="147">
        <v>0</v>
      </c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>
        <v>0</v>
      </c>
      <c r="E15" s="144">
        <v>0</v>
      </c>
      <c r="F15" s="144">
        <v>0</v>
      </c>
      <c r="G15" s="1376">
        <f t="shared" si="0"/>
        <v>0</v>
      </c>
      <c r="H15" s="144">
        <v>0</v>
      </c>
      <c r="I15" s="1376">
        <f t="shared" si="2"/>
        <v>0</v>
      </c>
      <c r="J15" s="144">
        <v>0</v>
      </c>
      <c r="K15" s="3334">
        <f t="shared" si="3"/>
        <v>0</v>
      </c>
      <c r="L15" s="144">
        <v>0</v>
      </c>
      <c r="M15" s="144">
        <v>0</v>
      </c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>
        <f>SUM('5.10.1. sz. mell.'!L10)</f>
        <v>0</v>
      </c>
      <c r="G16" s="1376">
        <f t="shared" si="0"/>
        <v>100</v>
      </c>
      <c r="H16" s="153">
        <f>SUM('5.10.1. sz. mell.'!N10)</f>
        <v>100</v>
      </c>
      <c r="I16" s="1376">
        <f t="shared" si="2"/>
        <v>-79</v>
      </c>
      <c r="J16" s="153">
        <f>SUM('5.10.1. sz. mell.'!P10)</f>
        <v>21</v>
      </c>
      <c r="K16" s="3334">
        <f t="shared" si="3"/>
        <v>0</v>
      </c>
      <c r="L16" s="153">
        <f>SUM('5.10.1. sz. mell.'!R10)</f>
        <v>21</v>
      </c>
      <c r="M16" s="153">
        <f>SUM('5.10.1. sz. mell.'!S10)</f>
        <v>21</v>
      </c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376">
        <f t="shared" si="0"/>
        <v>0</v>
      </c>
      <c r="H17" s="153"/>
      <c r="I17" s="1376">
        <f t="shared" si="2"/>
        <v>0</v>
      </c>
      <c r="J17" s="153"/>
      <c r="K17" s="3334">
        <f t="shared" si="3"/>
        <v>0</v>
      </c>
      <c r="L17" s="153"/>
      <c r="M17" s="153">
        <f>SUM('5.10.1. sz. mell.'!S8)</f>
        <v>0</v>
      </c>
    </row>
    <row r="18" spans="1:13" s="145" customFormat="1" ht="15" customHeight="1" x14ac:dyDescent="0.2">
      <c r="A18" s="142"/>
      <c r="B18" s="143" t="s">
        <v>170</v>
      </c>
      <c r="C18" s="55" t="s">
        <v>418</v>
      </c>
      <c r="D18" s="153">
        <v>0</v>
      </c>
      <c r="E18" s="153">
        <v>0</v>
      </c>
      <c r="F18" s="153">
        <f>SUM('5.10.1. sz. mell.'!L11)</f>
        <v>127000</v>
      </c>
      <c r="G18" s="1376">
        <f t="shared" si="0"/>
        <v>70000</v>
      </c>
      <c r="H18" s="153">
        <f>SUM('5.10.1. sz. mell.'!N11)</f>
        <v>197000</v>
      </c>
      <c r="I18" s="1376">
        <f t="shared" si="2"/>
        <v>2086</v>
      </c>
      <c r="J18" s="153">
        <f>SUM('5.10.1. sz. mell.'!P11)</f>
        <v>199086</v>
      </c>
      <c r="K18" s="3334">
        <f t="shared" si="3"/>
        <v>0</v>
      </c>
      <c r="L18" s="153">
        <f>SUM('5.10.1. sz. mell.'!R11)</f>
        <v>199086</v>
      </c>
      <c r="M18" s="153">
        <f>SUM('5.10.1. sz. mell.'!S11)</f>
        <v>199086</v>
      </c>
    </row>
    <row r="19" spans="1:13" s="1282" customFormat="1" ht="15" customHeight="1" thickBot="1" x14ac:dyDescent="0.25">
      <c r="A19" s="1278"/>
      <c r="B19" s="1279" t="s">
        <v>559</v>
      </c>
      <c r="C19" s="950" t="s">
        <v>1021</v>
      </c>
      <c r="D19" s="1280"/>
      <c r="E19" s="1280"/>
      <c r="F19" s="1281">
        <f>SUM('5.10.1. sz. mell.'!L12)</f>
        <v>0</v>
      </c>
      <c r="G19" s="1376">
        <f t="shared" si="0"/>
        <v>0</v>
      </c>
      <c r="H19" s="1281">
        <f>SUM('5.10.1. sz. mell.'!N12)</f>
        <v>0</v>
      </c>
      <c r="I19" s="1435">
        <f t="shared" si="2"/>
        <v>0</v>
      </c>
      <c r="J19" s="1281">
        <f>SUM('5.10.1. sz. mell.'!P12)</f>
        <v>0</v>
      </c>
      <c r="K19" s="3342">
        <f t="shared" si="3"/>
        <v>0</v>
      </c>
      <c r="L19" s="1281">
        <f>SUM('5.10.1. sz. mell.'!R12)</f>
        <v>0</v>
      </c>
      <c r="M19" s="1281">
        <f>SUM('5.10.1. sz. mell.'!S12)</f>
        <v>0</v>
      </c>
    </row>
    <row r="20" spans="1:13" s="141" customFormat="1" ht="33" customHeight="1" thickBot="1" x14ac:dyDescent="0.25">
      <c r="A20" s="134" t="s">
        <v>17</v>
      </c>
      <c r="B20" s="148"/>
      <c r="C20" s="247" t="s">
        <v>419</v>
      </c>
      <c r="D20" s="137">
        <f>SUM(D22:D26)</f>
        <v>442256</v>
      </c>
      <c r="E20" s="137">
        <f>SUM(E22:E26)</f>
        <v>442256</v>
      </c>
      <c r="F20" s="137">
        <f>SUM(F22:F26)</f>
        <v>455857000</v>
      </c>
      <c r="G20" s="1374">
        <f t="shared" si="0"/>
        <v>0</v>
      </c>
      <c r="H20" s="137">
        <f>SUM(H22:H26)</f>
        <v>455857000</v>
      </c>
      <c r="I20" s="1374">
        <f t="shared" si="2"/>
        <v>6244900</v>
      </c>
      <c r="J20" s="137">
        <f>SUM(J22:J26)</f>
        <v>462101900</v>
      </c>
      <c r="K20" s="3332">
        <f t="shared" si="3"/>
        <v>0</v>
      </c>
      <c r="L20" s="137">
        <f>SUM(L22:L26)</f>
        <v>462101900</v>
      </c>
      <c r="M20" s="137">
        <f>SUM(M22:M26)</f>
        <v>462101900</v>
      </c>
    </row>
    <row r="21" spans="1:13" s="141" customFormat="1" ht="30.75" customHeight="1" x14ac:dyDescent="0.2">
      <c r="A21" s="146"/>
      <c r="B21" s="143" t="s">
        <v>5</v>
      </c>
      <c r="C21" s="251" t="s">
        <v>420</v>
      </c>
      <c r="D21" s="156"/>
      <c r="E21" s="156"/>
      <c r="F21" s="156"/>
      <c r="G21" s="1376">
        <f t="shared" si="0"/>
        <v>0</v>
      </c>
      <c r="H21" s="156"/>
      <c r="I21" s="1403">
        <f t="shared" si="2"/>
        <v>0</v>
      </c>
      <c r="J21" s="156"/>
      <c r="K21" s="3333">
        <f t="shared" si="3"/>
        <v>0</v>
      </c>
      <c r="L21" s="156"/>
      <c r="M21" s="156"/>
    </row>
    <row r="22" spans="1:13" s="145" customFormat="1" ht="15" customHeight="1" x14ac:dyDescent="0.2">
      <c r="A22" s="142"/>
      <c r="B22" s="143" t="s">
        <v>421</v>
      </c>
      <c r="C22" s="55" t="s">
        <v>422</v>
      </c>
      <c r="D22" s="144">
        <f>SUM('5.10.1. sz. mell.'!AB129)</f>
        <v>442256</v>
      </c>
      <c r="E22" s="144">
        <f>SUM('5.10.1. sz. mell.'!AC129)</f>
        <v>442256</v>
      </c>
      <c r="F22" s="144">
        <f>SUM('5.10.1. sz. mell.'!L16+'5.10.1. sz. mell.'!L173+'5.10.1. sz. mell.'!L199)</f>
        <v>455857000</v>
      </c>
      <c r="G22" s="1376">
        <f t="shared" si="0"/>
        <v>0</v>
      </c>
      <c r="H22" s="144">
        <f>SUM('5.10.1. sz. mell.'!N16+'5.10.1. sz. mell.'!N173+'5.10.1. sz. mell.'!N199)</f>
        <v>455857000</v>
      </c>
      <c r="I22" s="1376">
        <f t="shared" si="2"/>
        <v>6244900</v>
      </c>
      <c r="J22" s="144">
        <f>SUM('5.10.1. sz. mell.'!P16+'5.10.1. sz. mell.'!P173+'5.10.1. sz. mell.'!P199)</f>
        <v>462101900</v>
      </c>
      <c r="K22" s="3334">
        <f t="shared" si="3"/>
        <v>0</v>
      </c>
      <c r="L22" s="144">
        <f>SUM('5.10.1. sz. mell.'!R16+'5.10.1. sz. mell.'!R173+'5.10.1. sz. mell.'!R199)</f>
        <v>462101900</v>
      </c>
      <c r="M22" s="144">
        <f>SUM('5.10.1. sz. mell.'!S16+'5.10.1. sz. mell.'!S173+'5.10.1. sz. mell.'!S199)</f>
        <v>462101900</v>
      </c>
    </row>
    <row r="23" spans="1:13" s="145" customFormat="1" ht="16.5" customHeight="1" x14ac:dyDescent="0.2">
      <c r="A23" s="142"/>
      <c r="B23" s="143" t="s">
        <v>360</v>
      </c>
      <c r="C23" s="55" t="s">
        <v>1430</v>
      </c>
      <c r="D23" s="144">
        <v>0</v>
      </c>
      <c r="E23" s="144">
        <v>0</v>
      </c>
      <c r="F23" s="144">
        <v>0</v>
      </c>
      <c r="G23" s="1376"/>
      <c r="H23" s="144">
        <v>0</v>
      </c>
      <c r="I23" s="1376">
        <f t="shared" si="2"/>
        <v>0</v>
      </c>
      <c r="J23" s="144">
        <v>0</v>
      </c>
      <c r="K23" s="3334">
        <f t="shared" si="3"/>
        <v>0</v>
      </c>
      <c r="L23" s="144">
        <v>0</v>
      </c>
      <c r="M23" s="144">
        <v>0</v>
      </c>
    </row>
    <row r="24" spans="1:13" s="145" customFormat="1" ht="15" customHeight="1" x14ac:dyDescent="0.2">
      <c r="A24" s="142"/>
      <c r="B24" s="143" t="s">
        <v>357</v>
      </c>
      <c r="C24" s="55" t="s">
        <v>424</v>
      </c>
      <c r="D24" s="144">
        <v>0</v>
      </c>
      <c r="E24" s="144">
        <v>0</v>
      </c>
      <c r="F24" s="144">
        <v>0</v>
      </c>
      <c r="G24" s="1376"/>
      <c r="H24" s="144">
        <v>0</v>
      </c>
      <c r="I24" s="1376">
        <f t="shared" si="2"/>
        <v>0</v>
      </c>
      <c r="J24" s="144">
        <v>0</v>
      </c>
      <c r="K24" s="3334">
        <f t="shared" si="3"/>
        <v>0</v>
      </c>
      <c r="L24" s="144">
        <v>0</v>
      </c>
      <c r="M24" s="144">
        <v>0</v>
      </c>
    </row>
    <row r="25" spans="1:13" s="145" customFormat="1" ht="15" customHeight="1" x14ac:dyDescent="0.2">
      <c r="A25" s="142"/>
      <c r="B25" s="143" t="s">
        <v>7</v>
      </c>
      <c r="C25" s="55" t="s">
        <v>6</v>
      </c>
      <c r="D25" s="144"/>
      <c r="E25" s="144"/>
      <c r="F25" s="144"/>
      <c r="G25" s="1376"/>
      <c r="H25" s="144"/>
      <c r="I25" s="1376">
        <f t="shared" si="2"/>
        <v>0</v>
      </c>
      <c r="J25" s="144"/>
      <c r="K25" s="3334">
        <f t="shared" si="3"/>
        <v>0</v>
      </c>
      <c r="L25" s="144"/>
      <c r="M25" s="144"/>
    </row>
    <row r="26" spans="1:13" s="145" customFormat="1" ht="15" customHeight="1" thickBot="1" x14ac:dyDescent="0.25">
      <c r="A26" s="142"/>
      <c r="B26" s="143" t="s">
        <v>9</v>
      </c>
      <c r="C26" s="55" t="s">
        <v>425</v>
      </c>
      <c r="D26" s="144">
        <v>0</v>
      </c>
      <c r="E26" s="144">
        <v>0</v>
      </c>
      <c r="F26" s="144">
        <f>SUM('5.10.1. sz. mell.'!L26)</f>
        <v>0</v>
      </c>
      <c r="G26" s="1376"/>
      <c r="H26" s="144"/>
      <c r="I26" s="1378">
        <f t="shared" si="2"/>
        <v>0</v>
      </c>
      <c r="J26" s="144"/>
      <c r="K26" s="3336">
        <f t="shared" si="3"/>
        <v>0</v>
      </c>
      <c r="L26" s="144"/>
      <c r="M26" s="2168"/>
    </row>
    <row r="27" spans="1:13" s="145" customFormat="1" ht="15" customHeight="1" thickBot="1" x14ac:dyDescent="0.25">
      <c r="A27" s="134" t="s">
        <v>31</v>
      </c>
      <c r="B27" s="170"/>
      <c r="C27" s="247" t="s">
        <v>426</v>
      </c>
      <c r="D27" s="155">
        <v>0</v>
      </c>
      <c r="E27" s="155">
        <v>0</v>
      </c>
      <c r="F27" s="155">
        <v>0</v>
      </c>
      <c r="G27" s="1374"/>
      <c r="H27" s="155">
        <f t="shared" ref="H27:M27" si="4">SUM(H28)</f>
        <v>100000</v>
      </c>
      <c r="I27" s="1380">
        <f t="shared" si="4"/>
        <v>0</v>
      </c>
      <c r="J27" s="155">
        <f t="shared" si="4"/>
        <v>100000</v>
      </c>
      <c r="K27" s="3338">
        <f>SUM(L27-J27)</f>
        <v>0</v>
      </c>
      <c r="L27" s="155">
        <f t="shared" si="4"/>
        <v>100000</v>
      </c>
      <c r="M27" s="155">
        <f t="shared" si="4"/>
        <v>100000</v>
      </c>
    </row>
    <row r="28" spans="1:13" s="145" customFormat="1" ht="15" customHeight="1" thickBot="1" x14ac:dyDescent="0.25">
      <c r="A28" s="134"/>
      <c r="B28" s="143" t="s">
        <v>19</v>
      </c>
      <c r="C28" s="55" t="s">
        <v>427</v>
      </c>
      <c r="D28" s="155"/>
      <c r="E28" s="155"/>
      <c r="F28" s="155"/>
      <c r="G28" s="1394"/>
      <c r="H28" s="144">
        <f>SUM('5.10.1. sz. mell.'!N25)</f>
        <v>100000</v>
      </c>
      <c r="I28" s="1421">
        <f>SUM('5.10.1. sz. mell.'!O25)</f>
        <v>0</v>
      </c>
      <c r="J28" s="144">
        <f>SUM('5.10.1. sz. mell.'!P25)</f>
        <v>100000</v>
      </c>
      <c r="K28" s="3348">
        <f t="shared" si="3"/>
        <v>0</v>
      </c>
      <c r="L28" s="144">
        <f>SUM('5.10.1. sz. mell.'!R25)</f>
        <v>100000</v>
      </c>
      <c r="M28" s="144">
        <f>SUM('5.10.1. sz. mell.'!S25)</f>
        <v>100000</v>
      </c>
    </row>
    <row r="29" spans="1:13" s="145" customFormat="1" ht="15" customHeight="1" thickBot="1" x14ac:dyDescent="0.25">
      <c r="A29" s="134" t="s">
        <v>45</v>
      </c>
      <c r="B29" s="148"/>
      <c r="C29" s="170" t="s">
        <v>428</v>
      </c>
      <c r="D29" s="155"/>
      <c r="E29" s="155"/>
      <c r="F29" s="155"/>
      <c r="G29" s="1380"/>
      <c r="H29" s="155"/>
      <c r="I29" s="1421">
        <f t="shared" si="2"/>
        <v>0</v>
      </c>
      <c r="J29" s="155"/>
      <c r="K29" s="3348">
        <f t="shared" si="3"/>
        <v>0</v>
      </c>
      <c r="L29" s="155"/>
      <c r="M29" s="155"/>
    </row>
    <row r="30" spans="1:13" s="145" customFormat="1" ht="15" customHeight="1" thickBot="1" x14ac:dyDescent="0.25">
      <c r="A30" s="149"/>
      <c r="B30" s="253" t="s">
        <v>33</v>
      </c>
      <c r="C30" s="55" t="s">
        <v>359</v>
      </c>
      <c r="D30" s="155"/>
      <c r="E30" s="668"/>
      <c r="F30" s="273"/>
      <c r="G30" s="1391"/>
      <c r="H30" s="802"/>
      <c r="I30" s="1386">
        <f t="shared" si="2"/>
        <v>0</v>
      </c>
      <c r="J30" s="802"/>
      <c r="K30" s="3345">
        <f t="shared" si="3"/>
        <v>0</v>
      </c>
      <c r="L30" s="802"/>
      <c r="M30" s="802"/>
    </row>
    <row r="31" spans="1:13" s="145" customFormat="1" ht="15" customHeight="1" thickBot="1" x14ac:dyDescent="0.25">
      <c r="A31" s="146"/>
      <c r="B31" s="253" t="s">
        <v>39</v>
      </c>
      <c r="C31" s="55" t="s">
        <v>72</v>
      </c>
      <c r="D31" s="155"/>
      <c r="E31" s="668"/>
      <c r="F31" s="206"/>
      <c r="G31" s="1392"/>
      <c r="H31" s="803"/>
      <c r="I31" s="1376">
        <f t="shared" si="2"/>
        <v>0</v>
      </c>
      <c r="J31" s="803"/>
      <c r="K31" s="3334">
        <f t="shared" si="3"/>
        <v>0</v>
      </c>
      <c r="L31" s="803"/>
      <c r="M31" s="803"/>
    </row>
    <row r="32" spans="1:13" s="145" customFormat="1" ht="15" customHeight="1" thickBot="1" x14ac:dyDescent="0.25">
      <c r="A32" s="178"/>
      <c r="B32" s="253" t="s">
        <v>41</v>
      </c>
      <c r="C32" s="2376" t="s">
        <v>74</v>
      </c>
      <c r="D32" s="2818"/>
      <c r="E32" s="2819"/>
      <c r="F32" s="847"/>
      <c r="G32" s="1463"/>
      <c r="H32" s="846"/>
      <c r="I32" s="1406">
        <f t="shared" si="2"/>
        <v>0</v>
      </c>
      <c r="J32" s="846"/>
      <c r="K32" s="3349">
        <f t="shared" si="3"/>
        <v>0</v>
      </c>
      <c r="L32" s="846"/>
      <c r="M32" s="846"/>
    </row>
    <row r="33" spans="1:16" s="141" customFormat="1" ht="31.5" customHeight="1" thickBot="1" x14ac:dyDescent="0.25">
      <c r="A33" s="134" t="s">
        <v>67</v>
      </c>
      <c r="B33" s="254"/>
      <c r="C33" s="170" t="s">
        <v>429</v>
      </c>
      <c r="D33" s="155">
        <v>0</v>
      </c>
      <c r="E33" s="155">
        <v>0</v>
      </c>
      <c r="F33" s="827">
        <f>SUM(F34)</f>
        <v>0</v>
      </c>
      <c r="G33" s="1380">
        <f>SUM(H33-F33)</f>
        <v>0</v>
      </c>
      <c r="H33" s="155">
        <f>SUM(H34)</f>
        <v>0</v>
      </c>
      <c r="I33" s="1421">
        <f t="shared" si="2"/>
        <v>0</v>
      </c>
      <c r="J33" s="155">
        <f>SUM(J34)</f>
        <v>0</v>
      </c>
      <c r="K33" s="3332">
        <f t="shared" si="3"/>
        <v>0</v>
      </c>
      <c r="L33" s="155">
        <f>SUM(L34)</f>
        <v>0</v>
      </c>
      <c r="M33" s="155">
        <f>SUM(M34)</f>
        <v>0</v>
      </c>
    </row>
    <row r="34" spans="1:16" s="141" customFormat="1" ht="30.75" customHeight="1" thickBot="1" x14ac:dyDescent="0.25">
      <c r="A34" s="146"/>
      <c r="B34" s="255" t="s">
        <v>47</v>
      </c>
      <c r="C34" s="251" t="s">
        <v>430</v>
      </c>
      <c r="D34" s="295"/>
      <c r="E34" s="295"/>
      <c r="F34" s="295"/>
      <c r="G34" s="1376">
        <f>SUM(H34-F34)</f>
        <v>0</v>
      </c>
      <c r="H34" s="595">
        <f>SUM('5.10.1. sz. mell.'!N18)</f>
        <v>0</v>
      </c>
      <c r="I34" s="1377">
        <f t="shared" si="2"/>
        <v>0</v>
      </c>
      <c r="J34" s="595">
        <f>SUM('5.10.1. sz. mell.'!P18)</f>
        <v>0</v>
      </c>
      <c r="K34" s="3335">
        <f t="shared" si="3"/>
        <v>0</v>
      </c>
      <c r="L34" s="595">
        <f>SUM('5.10.1. sz. mell.'!R18)</f>
        <v>0</v>
      </c>
      <c r="M34" s="595">
        <f>SUM('5.10.1. sz. mell.'!S18)</f>
        <v>0</v>
      </c>
    </row>
    <row r="35" spans="1:16" s="141" customFormat="1" ht="15" customHeight="1" thickBot="1" x14ac:dyDescent="0.3">
      <c r="A35" s="258" t="s">
        <v>79</v>
      </c>
      <c r="B35" s="256"/>
      <c r="C35" s="247" t="s">
        <v>431</v>
      </c>
      <c r="D35" s="295"/>
      <c r="E35" s="295"/>
      <c r="F35" s="295"/>
      <c r="G35" s="1381"/>
      <c r="H35" s="295">
        <f>SUM(H36)</f>
        <v>0</v>
      </c>
      <c r="I35" s="1374">
        <f t="shared" si="2"/>
        <v>0</v>
      </c>
      <c r="J35" s="295">
        <f>SUM(J36)</f>
        <v>0</v>
      </c>
      <c r="K35" s="3332">
        <f t="shared" si="3"/>
        <v>0</v>
      </c>
      <c r="L35" s="295">
        <f>SUM(L36)</f>
        <v>0</v>
      </c>
      <c r="M35" s="295"/>
    </row>
    <row r="36" spans="1:16" s="141" customFormat="1" ht="34.5" customHeight="1" thickBot="1" x14ac:dyDescent="0.25">
      <c r="A36" s="258"/>
      <c r="B36" s="257" t="s">
        <v>69</v>
      </c>
      <c r="C36" s="55" t="s">
        <v>432</v>
      </c>
      <c r="D36" s="295"/>
      <c r="E36" s="295"/>
      <c r="F36" s="295"/>
      <c r="G36" s="1381"/>
      <c r="H36" s="295">
        <f>SUM('5.10.1. sz. mell.'!N26)</f>
        <v>0</v>
      </c>
      <c r="I36" s="1377">
        <f t="shared" si="2"/>
        <v>0</v>
      </c>
      <c r="J36" s="295">
        <f>SUM('5.10.1. sz. mell.'!P26)</f>
        <v>0</v>
      </c>
      <c r="K36" s="3335">
        <f t="shared" si="3"/>
        <v>0</v>
      </c>
      <c r="L36" s="295">
        <f>SUM('5.10.1. sz. mell.'!R26)</f>
        <v>0</v>
      </c>
      <c r="M36" s="295"/>
    </row>
    <row r="37" spans="1:16" s="141" customFormat="1" ht="15" customHeight="1" thickBot="1" x14ac:dyDescent="0.3">
      <c r="A37" s="258" t="s">
        <v>89</v>
      </c>
      <c r="B37" s="256"/>
      <c r="C37" s="170" t="s">
        <v>433</v>
      </c>
      <c r="D37" s="285">
        <f>+D38+D39</f>
        <v>0</v>
      </c>
      <c r="E37" s="285">
        <f>+E38+E39</f>
        <v>24012</v>
      </c>
      <c r="F37" s="285">
        <f>+F38+F39+F40</f>
        <v>43000000</v>
      </c>
      <c r="G37" s="1382"/>
      <c r="H37" s="285">
        <f>+H38+H39+H40</f>
        <v>87428790</v>
      </c>
      <c r="I37" s="1374">
        <f t="shared" si="2"/>
        <v>97170320</v>
      </c>
      <c r="J37" s="285">
        <f>+J38+J39+J40</f>
        <v>184599110</v>
      </c>
      <c r="K37" s="3332">
        <f t="shared" si="3"/>
        <v>0</v>
      </c>
      <c r="L37" s="285">
        <f>+L38+L39+L40</f>
        <v>184599110</v>
      </c>
      <c r="M37" s="285">
        <f>+M38+M39+M40</f>
        <v>184599110</v>
      </c>
    </row>
    <row r="38" spans="1:16" s="141" customFormat="1" ht="15" customHeight="1" x14ac:dyDescent="0.2">
      <c r="A38" s="149"/>
      <c r="B38" s="253" t="s">
        <v>81</v>
      </c>
      <c r="C38" s="55" t="s">
        <v>434</v>
      </c>
      <c r="D38" s="306">
        <v>0</v>
      </c>
      <c r="E38" s="306">
        <f>'5.10.1. sz. mell.'!AC136</f>
        <v>24012</v>
      </c>
      <c r="F38" s="306">
        <f>'5.10.1. sz. mell.'!AD136</f>
        <v>0</v>
      </c>
      <c r="G38" s="1383"/>
      <c r="H38" s="306">
        <f>'5.10.1. sz. mell.'!AF136</f>
        <v>5019041</v>
      </c>
      <c r="I38" s="1386">
        <f t="shared" si="2"/>
        <v>0</v>
      </c>
      <c r="J38" s="306">
        <f>'5.10.1. sz. mell.'!AH136</f>
        <v>5019041</v>
      </c>
      <c r="K38" s="3345">
        <f t="shared" si="3"/>
        <v>0</v>
      </c>
      <c r="L38" s="306">
        <f>'5.10.1. sz. mell.'!AJ136</f>
        <v>5019041</v>
      </c>
      <c r="M38" s="306">
        <f>'5.10.1. sz. mell.'!AK136</f>
        <v>5019041</v>
      </c>
    </row>
    <row r="39" spans="1:16" s="141" customFormat="1" ht="15" customHeight="1" thickBot="1" x14ac:dyDescent="0.25">
      <c r="A39" s="146"/>
      <c r="B39" s="253" t="s">
        <v>83</v>
      </c>
      <c r="C39" s="55" t="s">
        <v>435</v>
      </c>
      <c r="D39" s="294">
        <v>0</v>
      </c>
      <c r="E39" s="294">
        <v>0</v>
      </c>
      <c r="F39" s="153"/>
      <c r="G39" s="1378"/>
      <c r="H39" s="153"/>
      <c r="I39" s="1376">
        <f t="shared" si="2"/>
        <v>0</v>
      </c>
      <c r="J39" s="153"/>
      <c r="K39" s="3334">
        <f t="shared" si="3"/>
        <v>0</v>
      </c>
      <c r="L39" s="153"/>
      <c r="M39" s="153"/>
      <c r="N39" s="145"/>
      <c r="O39" s="205"/>
      <c r="P39" s="205"/>
    </row>
    <row r="40" spans="1:16" s="145" customFormat="1" ht="15" customHeight="1" thickBot="1" x14ac:dyDescent="0.25">
      <c r="A40" s="178"/>
      <c r="B40" s="253" t="s">
        <v>85</v>
      </c>
      <c r="C40" s="55" t="s">
        <v>1433</v>
      </c>
      <c r="D40" s="155">
        <f>SUM('5.10.1. sz. mell.'!AB131)</f>
        <v>82049</v>
      </c>
      <c r="E40" s="668">
        <f>SUM('5.10.1. sz. mell.'!AC131)+'5.10.1. sz. mell.'!AC133</f>
        <v>112944</v>
      </c>
      <c r="F40" s="1488">
        <f>SUM('5.10.1. sz. mell.'!L201+'5.10.1. sz. mell.'!L175+'5.10.1. sz. mell.'!L20)</f>
        <v>43000000</v>
      </c>
      <c r="G40" s="1409"/>
      <c r="H40" s="804">
        <f>SUM('5.10.1. sz. mell.'!N201+'5.10.1. sz. mell.'!N175+'5.10.1. sz. mell.'!N20)</f>
        <v>82409749</v>
      </c>
      <c r="I40" s="1374">
        <f t="shared" si="2"/>
        <v>97170320</v>
      </c>
      <c r="J40" s="804">
        <f>SUM('5.10.1. sz. mell.'!P201+'5.10.1. sz. mell.'!P175+'5.10.1. sz. mell.'!P20)</f>
        <v>179580069</v>
      </c>
      <c r="K40" s="3332">
        <f t="shared" si="3"/>
        <v>0</v>
      </c>
      <c r="L40" s="804">
        <f>SUM('5.10.1. sz. mell.'!R201+'5.10.1. sz. mell.'!R175+'5.10.1. sz. mell.'!R20)</f>
        <v>179580069</v>
      </c>
      <c r="M40" s="804">
        <f>SUM('5.10.1. sz. mell.'!S201+'5.10.1. sz. mell.'!S175+'5.10.1. sz. mell.'!S20)</f>
        <v>179580069</v>
      </c>
      <c r="O40" s="205"/>
      <c r="P40" s="205"/>
    </row>
    <row r="41" spans="1:16" s="145" customFormat="1" ht="15" customHeight="1" thickBot="1" x14ac:dyDescent="0.25">
      <c r="A41" s="192" t="s">
        <v>99</v>
      </c>
      <c r="B41" s="160"/>
      <c r="C41" s="274" t="s">
        <v>441</v>
      </c>
      <c r="D41" s="162">
        <f>SUM(D8,D20,D27,D33,D37,D40)</f>
        <v>543455</v>
      </c>
      <c r="E41" s="162" t="e">
        <v>#NAME?</v>
      </c>
      <c r="F41" s="162">
        <f>SUM(F8,F20,F27,F33,F37)</f>
        <v>515926000</v>
      </c>
      <c r="G41" s="1373"/>
      <c r="H41" s="162">
        <f>SUM(H8,H20,H27,H33,H37)</f>
        <v>560454790</v>
      </c>
      <c r="I41" s="1374">
        <f t="shared" si="2"/>
        <v>102639292</v>
      </c>
      <c r="J41" s="162">
        <f>SUM(J8,J20,J27,J33,J37)</f>
        <v>663094082</v>
      </c>
      <c r="K41" s="3332">
        <f t="shared" si="3"/>
        <v>0</v>
      </c>
      <c r="L41" s="162">
        <f>SUM(L8,L20,L27,L33,L37)</f>
        <v>663094082</v>
      </c>
      <c r="M41" s="162">
        <f>SUM(M8,M20,M27,M33,M37)</f>
        <v>662734167</v>
      </c>
      <c r="O41" s="205"/>
      <c r="P41" s="205"/>
    </row>
    <row r="42" spans="1:16" s="145" customFormat="1" ht="15" customHeight="1" thickBot="1" x14ac:dyDescent="0.25">
      <c r="A42" s="2098"/>
      <c r="B42" s="266"/>
      <c r="C42" s="275"/>
      <c r="D42" s="286"/>
      <c r="E42" s="286"/>
      <c r="F42" s="286"/>
      <c r="G42" s="1443"/>
      <c r="H42" s="286"/>
      <c r="I42" s="1438"/>
      <c r="J42" s="286"/>
      <c r="K42" s="1438"/>
      <c r="L42" s="286"/>
      <c r="M42" s="1458"/>
    </row>
    <row r="43" spans="1:16" s="305" customFormat="1" ht="15" customHeight="1" thickBot="1" x14ac:dyDescent="0.25">
      <c r="A43" s="192"/>
      <c r="B43" s="160"/>
      <c r="C43" s="282" t="s">
        <v>231</v>
      </c>
      <c r="D43" s="162"/>
      <c r="E43" s="162"/>
      <c r="F43" s="162"/>
      <c r="G43" s="1373"/>
      <c r="H43" s="162"/>
      <c r="I43" s="1421">
        <f t="shared" ref="I43:I54" si="5">SUM(J43-H43)</f>
        <v>0</v>
      </c>
      <c r="J43" s="162"/>
      <c r="K43" s="3348">
        <f t="shared" si="3"/>
        <v>0</v>
      </c>
      <c r="L43" s="162"/>
      <c r="M43" s="162"/>
    </row>
    <row r="44" spans="1:16" s="141" customFormat="1" ht="15" customHeight="1" thickBot="1" x14ac:dyDescent="0.25">
      <c r="A44" s="134" t="s">
        <v>3</v>
      </c>
      <c r="B44" s="170"/>
      <c r="C44" s="171" t="s">
        <v>442</v>
      </c>
      <c r="D44" s="137">
        <f>SUM(D45:D49)</f>
        <v>543455</v>
      </c>
      <c r="E44" s="137">
        <f>SUM(E45:E49)</f>
        <v>598073</v>
      </c>
      <c r="F44" s="137">
        <f>SUM(F45:F49)</f>
        <v>514926000</v>
      </c>
      <c r="G44" s="1374"/>
      <c r="H44" s="137">
        <f>SUM(H45:H49)</f>
        <v>532776794</v>
      </c>
      <c r="I44" s="1374">
        <f t="shared" si="5"/>
        <v>74196572</v>
      </c>
      <c r="J44" s="137">
        <f>SUM(J45:J49)</f>
        <v>606973366</v>
      </c>
      <c r="K44" s="3332">
        <f t="shared" si="3"/>
        <v>0</v>
      </c>
      <c r="L44" s="137">
        <f>SUM(L45:L49)</f>
        <v>606973366</v>
      </c>
      <c r="M44" s="137">
        <f>SUM(M45:M49)</f>
        <v>596110135</v>
      </c>
    </row>
    <row r="45" spans="1:16" s="145" customFormat="1" ht="15" customHeight="1" x14ac:dyDescent="0.2">
      <c r="A45" s="173"/>
      <c r="B45" s="174" t="s">
        <v>152</v>
      </c>
      <c r="C45" s="251" t="s">
        <v>153</v>
      </c>
      <c r="D45" s="175">
        <f>SUM('5.10.1. sz. mell.'!AB147)</f>
        <v>168529</v>
      </c>
      <c r="E45" s="175">
        <f>SUM('5.10.1. sz. mell.'!AC147)</f>
        <v>192424</v>
      </c>
      <c r="F45" s="175">
        <f>SUM('5.10.1. sz. mell.'!L30+'5.10.1. sz. mell.'!L181+'5.10.1. sz. mell.'!L207)</f>
        <v>194861000</v>
      </c>
      <c r="G45" s="1386"/>
      <c r="H45" s="175">
        <f>SUM('5.10.1. sz. mell.'!N30+'5.10.1. sz. mell.'!N181+'5.10.1. sz. mell.'!N207)</f>
        <v>203117710</v>
      </c>
      <c r="I45" s="1386">
        <f t="shared" si="5"/>
        <v>4640490</v>
      </c>
      <c r="J45" s="175">
        <f>SUM('5.10.1. sz. mell.'!P30+'5.10.1. sz. mell.'!P181+'5.10.1. sz. mell.'!P207)</f>
        <v>207758200</v>
      </c>
      <c r="K45" s="3345">
        <f t="shared" si="3"/>
        <v>0</v>
      </c>
      <c r="L45" s="175">
        <f>SUM('5.10.1. sz. mell.'!R30+'5.10.1. sz. mell.'!R181+'5.10.1. sz. mell.'!R207)</f>
        <v>207758200</v>
      </c>
      <c r="M45" s="175">
        <f>SUM('5.10.1. sz. mell.'!S30+'5.10.1. sz. mell.'!S181+'5.10.1. sz. mell.'!S207)</f>
        <v>207758200</v>
      </c>
    </row>
    <row r="46" spans="1:16" s="145" customFormat="1" ht="15" customHeight="1" x14ac:dyDescent="0.2">
      <c r="A46" s="142"/>
      <c r="B46" s="176" t="s">
        <v>154</v>
      </c>
      <c r="C46" s="55" t="s">
        <v>155</v>
      </c>
      <c r="D46" s="144">
        <f>SUM('5.10.1. sz. mell.'!AB150)</f>
        <v>49730</v>
      </c>
      <c r="E46" s="144">
        <f>SUM('5.10.1. sz. mell.'!AC150)</f>
        <v>49730</v>
      </c>
      <c r="F46" s="175">
        <f>SUM('5.10.1. sz. mell.'!L31+'5.10.1. sz. mell.'!L182+'5.10.1. sz. mell.'!L208)</f>
        <v>39896000</v>
      </c>
      <c r="G46" s="1386"/>
      <c r="H46" s="175">
        <f>SUM('5.10.1. sz. mell.'!N31+'5.10.1. sz. mell.'!N182+'5.10.1. sz. mell.'!N208)</f>
        <v>39985916</v>
      </c>
      <c r="I46" s="1376">
        <f t="shared" si="5"/>
        <v>4999549</v>
      </c>
      <c r="J46" s="175">
        <f>SUM('5.10.1. sz. mell.'!P31+'5.10.1. sz. mell.'!P182+'5.10.1. sz. mell.'!P208)</f>
        <v>44985465</v>
      </c>
      <c r="K46" s="3334">
        <f t="shared" si="3"/>
        <v>0</v>
      </c>
      <c r="L46" s="175">
        <f>SUM('5.10.1. sz. mell.'!R31+'5.10.1. sz. mell.'!R182+'5.10.1. sz. mell.'!R208)</f>
        <v>44985465</v>
      </c>
      <c r="M46" s="175">
        <f>SUM('5.10.1. sz. mell.'!S31+'5.10.1. sz. mell.'!S182+'5.10.1. sz. mell.'!S208)</f>
        <v>44985465</v>
      </c>
    </row>
    <row r="47" spans="1:16" s="145" customFormat="1" ht="15" customHeight="1" x14ac:dyDescent="0.2">
      <c r="A47" s="142"/>
      <c r="B47" s="176" t="s">
        <v>156</v>
      </c>
      <c r="C47" s="55" t="s">
        <v>157</v>
      </c>
      <c r="D47" s="144">
        <f>SUM('5.10.1. sz. mell.'!AB152)</f>
        <v>325196</v>
      </c>
      <c r="E47" s="144">
        <f>SUM('5.10.1. sz. mell.'!AC152)</f>
        <v>355919</v>
      </c>
      <c r="F47" s="175">
        <f>SUM('5.10.1. sz. mell.'!L32+'5.10.1. sz. mell.'!L183+'5.10.1. sz. mell.'!L209)</f>
        <v>280169000</v>
      </c>
      <c r="G47" s="1386"/>
      <c r="H47" s="175">
        <f>SUM('5.10.1. sz. mell.'!N32+'5.10.1. sz. mell.'!N183+'5.10.1. sz. mell.'!N209)</f>
        <v>289673168</v>
      </c>
      <c r="I47" s="1376">
        <f t="shared" si="5"/>
        <v>64556533</v>
      </c>
      <c r="J47" s="175">
        <f>SUM('5.10.1. sz. mell.'!P32+'5.10.1. sz. mell.'!P183+'5.10.1. sz. mell.'!P209)</f>
        <v>354229701</v>
      </c>
      <c r="K47" s="3334">
        <f t="shared" si="3"/>
        <v>0</v>
      </c>
      <c r="L47" s="175">
        <f>SUM('5.10.1. sz. mell.'!R32+'5.10.1. sz. mell.'!R183+'5.10.1. sz. mell.'!R209)</f>
        <v>354229701</v>
      </c>
      <c r="M47" s="175">
        <f>SUM('5.10.1. sz. mell.'!S32+'5.10.1. sz. mell.'!S183+'5.10.1. sz. mell.'!S209)</f>
        <v>343366470</v>
      </c>
    </row>
    <row r="48" spans="1:16" s="145" customFormat="1" ht="15" customHeight="1" x14ac:dyDescent="0.2">
      <c r="A48" s="142"/>
      <c r="B48" s="176" t="s">
        <v>158</v>
      </c>
      <c r="C48" s="55" t="s">
        <v>159</v>
      </c>
      <c r="D48" s="144">
        <v>0</v>
      </c>
      <c r="E48" s="144">
        <v>0</v>
      </c>
      <c r="F48" s="144"/>
      <c r="G48" s="1376"/>
      <c r="H48" s="144"/>
      <c r="I48" s="1376">
        <f t="shared" si="5"/>
        <v>0</v>
      </c>
      <c r="J48" s="144"/>
      <c r="K48" s="3334">
        <f t="shared" si="3"/>
        <v>0</v>
      </c>
      <c r="L48" s="144"/>
      <c r="M48" s="144"/>
    </row>
    <row r="49" spans="1:16" s="145" customFormat="1" ht="15" customHeight="1" thickBot="1" x14ac:dyDescent="0.25">
      <c r="A49" s="142"/>
      <c r="B49" s="176" t="s">
        <v>160</v>
      </c>
      <c r="C49" s="55" t="s">
        <v>161</v>
      </c>
      <c r="D49" s="144">
        <v>0</v>
      </c>
      <c r="E49" s="144">
        <v>0</v>
      </c>
      <c r="F49" s="144"/>
      <c r="G49" s="1376"/>
      <c r="H49" s="144"/>
      <c r="I49" s="1378">
        <f t="shared" si="5"/>
        <v>0</v>
      </c>
      <c r="J49" s="144"/>
      <c r="K49" s="3336">
        <f t="shared" si="3"/>
        <v>0</v>
      </c>
      <c r="L49" s="144"/>
      <c r="M49" s="144"/>
    </row>
    <row r="50" spans="1:16" s="145" customFormat="1" ht="15" customHeight="1" thickBot="1" x14ac:dyDescent="0.25">
      <c r="A50" s="134" t="s">
        <v>17</v>
      </c>
      <c r="B50" s="170"/>
      <c r="C50" s="170" t="s">
        <v>443</v>
      </c>
      <c r="D50" s="137">
        <f>SUM(D51:D53)</f>
        <v>0</v>
      </c>
      <c r="E50" s="137">
        <f>SUM(E51:E53)</f>
        <v>3694</v>
      </c>
      <c r="F50" s="137">
        <f>SUM(F51:F53)</f>
        <v>1000000</v>
      </c>
      <c r="G50" s="1374"/>
      <c r="H50" s="137">
        <f>SUM(H51:H53)</f>
        <v>27677996</v>
      </c>
      <c r="I50" s="1374">
        <f t="shared" si="5"/>
        <v>28442720</v>
      </c>
      <c r="J50" s="137">
        <f>SUM(J51:J53)</f>
        <v>56120716</v>
      </c>
      <c r="K50" s="3332">
        <f t="shared" si="3"/>
        <v>0</v>
      </c>
      <c r="L50" s="137">
        <f>SUM(L51:L53)</f>
        <v>56120716</v>
      </c>
      <c r="M50" s="137">
        <f>SUM(M51:M53)</f>
        <v>22006993</v>
      </c>
    </row>
    <row r="51" spans="1:16" s="141" customFormat="1" ht="15" customHeight="1" x14ac:dyDescent="0.2">
      <c r="A51" s="173"/>
      <c r="B51" s="267" t="s">
        <v>5</v>
      </c>
      <c r="C51" s="251" t="s">
        <v>183</v>
      </c>
      <c r="D51" s="175">
        <v>0</v>
      </c>
      <c r="E51" s="175">
        <f>'5.10.1. sz. mell.'!AC154</f>
        <v>3694</v>
      </c>
      <c r="F51" s="175">
        <f>SUM('5.10.1. sz. mell.'!L35+'5.10.1. sz. mell.'!L186+'5.10.1. sz. mell.'!L212)</f>
        <v>1000000</v>
      </c>
      <c r="G51" s="1386"/>
      <c r="H51" s="175">
        <f>SUM('5.10.1. sz. mell.'!N35+'5.10.1. sz. mell.'!N186+'5.10.1. sz. mell.'!N212)</f>
        <v>16880496</v>
      </c>
      <c r="I51" s="1386">
        <f t="shared" si="5"/>
        <v>33131520</v>
      </c>
      <c r="J51" s="175">
        <f>SUM('5.10.1. sz. mell.'!P35+'5.10.1. sz. mell.'!P186+'5.10.1. sz. mell.'!P212)</f>
        <v>50012016</v>
      </c>
      <c r="K51" s="3345">
        <f t="shared" si="3"/>
        <v>0</v>
      </c>
      <c r="L51" s="175">
        <f>SUM('5.10.1. sz. mell.'!R35+'5.10.1. sz. mell.'!R186+'5.10.1. sz. mell.'!R212)</f>
        <v>50012016</v>
      </c>
      <c r="M51" s="175">
        <f>SUM('5.10.1. sz. mell.'!S35+'5.10.1. sz. mell.'!S186+'5.10.1. sz. mell.'!S212)</f>
        <v>15898293</v>
      </c>
    </row>
    <row r="52" spans="1:16" s="145" customFormat="1" ht="15" customHeight="1" x14ac:dyDescent="0.2">
      <c r="A52" s="142"/>
      <c r="B52" s="253" t="s">
        <v>7</v>
      </c>
      <c r="C52" s="55" t="s">
        <v>185</v>
      </c>
      <c r="D52" s="144">
        <v>0</v>
      </c>
      <c r="E52" s="144">
        <f>'5.10.1. sz. mell.'!AC153</f>
        <v>0</v>
      </c>
      <c r="F52" s="144">
        <f>'5.10.1. sz. mell.'!AD153</f>
        <v>0</v>
      </c>
      <c r="G52" s="1376"/>
      <c r="H52" s="144">
        <f>'5.10.1. sz. mell.'!AF153</f>
        <v>10797500</v>
      </c>
      <c r="I52" s="1376">
        <f t="shared" si="5"/>
        <v>-4688800</v>
      </c>
      <c r="J52" s="144">
        <f>'5.10.1. sz. mell.'!AH153</f>
        <v>6108700</v>
      </c>
      <c r="K52" s="3334">
        <f t="shared" si="3"/>
        <v>0</v>
      </c>
      <c r="L52" s="144">
        <f>'5.10.1. sz. mell.'!AJ153</f>
        <v>6108700</v>
      </c>
      <c r="M52" s="144">
        <f>'5.10.1. sz. mell.'!AK153</f>
        <v>6108700</v>
      </c>
    </row>
    <row r="53" spans="1:16" s="145" customFormat="1" ht="15.75" customHeight="1" thickBot="1" x14ac:dyDescent="0.25">
      <c r="A53" s="142"/>
      <c r="B53" s="253" t="s">
        <v>9</v>
      </c>
      <c r="C53" s="55" t="s">
        <v>444</v>
      </c>
      <c r="D53" s="144">
        <v>0</v>
      </c>
      <c r="E53" s="144">
        <v>0</v>
      </c>
      <c r="F53" s="144"/>
      <c r="G53" s="1376"/>
      <c r="H53" s="144"/>
      <c r="I53" s="1378">
        <f t="shared" si="5"/>
        <v>0</v>
      </c>
      <c r="J53" s="144"/>
      <c r="K53" s="3336">
        <f t="shared" si="3"/>
        <v>0</v>
      </c>
      <c r="L53" s="144"/>
      <c r="M53" s="144"/>
    </row>
    <row r="54" spans="1:16" s="145" customFormat="1" ht="15" customHeight="1" thickBot="1" x14ac:dyDescent="0.25">
      <c r="A54" s="192" t="s">
        <v>31</v>
      </c>
      <c r="B54" s="160"/>
      <c r="C54" s="274" t="s">
        <v>465</v>
      </c>
      <c r="D54" s="162" t="e">
        <f>+D44+D50+#REF!</f>
        <v>#REF!</v>
      </c>
      <c r="E54" s="162" t="e">
        <f>+E44+E50+#REF!</f>
        <v>#REF!</v>
      </c>
      <c r="F54" s="162">
        <f>+F44+F50</f>
        <v>515926000</v>
      </c>
      <c r="G54" s="1373"/>
      <c r="H54" s="162">
        <f>+H44+H50</f>
        <v>560454790</v>
      </c>
      <c r="I54" s="1374">
        <f t="shared" si="5"/>
        <v>102639292</v>
      </c>
      <c r="J54" s="162">
        <f>+J44+J50</f>
        <v>663094082</v>
      </c>
      <c r="K54" s="3332">
        <f t="shared" si="3"/>
        <v>0</v>
      </c>
      <c r="L54" s="162">
        <f>+L44+L50</f>
        <v>663094082</v>
      </c>
      <c r="M54" s="162">
        <f>+M44+M50</f>
        <v>618117128</v>
      </c>
      <c r="O54" s="205"/>
      <c r="P54" s="205"/>
    </row>
    <row r="55" spans="1:16" s="145" customFormat="1" ht="15" customHeight="1" thickBot="1" x14ac:dyDescent="0.25">
      <c r="A55" s="1303"/>
      <c r="B55" s="886"/>
      <c r="C55" s="886"/>
      <c r="D55" s="886"/>
      <c r="E55" s="886"/>
      <c r="F55" s="886"/>
      <c r="G55" s="1550"/>
      <c r="H55" s="886"/>
      <c r="I55" s="1550"/>
      <c r="J55" s="886"/>
      <c r="K55" s="1550"/>
      <c r="L55" s="886"/>
      <c r="M55" s="1304"/>
    </row>
    <row r="56" spans="1:16" s="145" customFormat="1" ht="15" customHeight="1" thickBot="1" x14ac:dyDescent="0.25">
      <c r="A56" s="276" t="s">
        <v>324</v>
      </c>
      <c r="B56" s="277"/>
      <c r="C56" s="278"/>
      <c r="D56" s="200">
        <f>SUM('5.10.1. sz. mell.'!I218)</f>
        <v>73</v>
      </c>
      <c r="E56" s="200">
        <f>SUM('5.10.1. sz. mell.'!J218)</f>
        <v>73</v>
      </c>
      <c r="F56" s="200">
        <f>SUM('5.10.1. sz. mell.'!L38+'5.10.1. sz. mell.'!L189+'5.10.1. sz. mell.'!L215)</f>
        <v>84</v>
      </c>
      <c r="G56" s="1388">
        <f>SUM(H56-F56)</f>
        <v>0</v>
      </c>
      <c r="H56" s="200">
        <f>SUM('5.10.1. sz. mell.'!N38+'5.10.1. sz. mell.'!N189+'5.10.1. sz. mell.'!N215)</f>
        <v>84</v>
      </c>
      <c r="I56" s="1388"/>
      <c r="J56" s="200">
        <f>SUM('5.10.1. sz. mell.'!P38+'5.10.1. sz. mell.'!P189+'5.10.1. sz. mell.'!P215)</f>
        <v>84</v>
      </c>
      <c r="K56" s="3346">
        <f>SUM(L56-J56)</f>
        <v>0</v>
      </c>
      <c r="L56" s="200">
        <f>SUM('5.10.1. sz. mell.'!R38+'5.10.1. sz. mell.'!R189+'5.10.1. sz. mell.'!R215)</f>
        <v>84</v>
      </c>
      <c r="M56" s="200">
        <f>SUM('5.10.1. sz. mell.'!S38+'5.10.1. sz. mell.'!S189+'5.10.1. sz. mell.'!S215)</f>
        <v>84</v>
      </c>
    </row>
    <row r="57" spans="1:16" s="145" customFormat="1" ht="15" customHeight="1" thickBot="1" x14ac:dyDescent="0.25">
      <c r="A57" s="276" t="s">
        <v>325</v>
      </c>
      <c r="B57" s="277"/>
      <c r="C57" s="278"/>
      <c r="D57" s="279"/>
      <c r="E57" s="279"/>
      <c r="F57" s="279"/>
      <c r="G57" s="1389"/>
      <c r="H57" s="279"/>
      <c r="I57" s="1389"/>
      <c r="J57" s="279"/>
      <c r="K57" s="3347"/>
      <c r="L57" s="279"/>
      <c r="M57" s="279"/>
    </row>
    <row r="59" spans="1:16" x14ac:dyDescent="0.2">
      <c r="H59" s="92">
        <f t="shared" ref="H59:M59" si="6">SUM(H41-H54)</f>
        <v>0</v>
      </c>
      <c r="I59" s="92">
        <f t="shared" si="6"/>
        <v>0</v>
      </c>
      <c r="J59" s="92">
        <f t="shared" si="6"/>
        <v>0</v>
      </c>
      <c r="K59" s="92">
        <f t="shared" si="6"/>
        <v>0</v>
      </c>
      <c r="L59" s="92">
        <f t="shared" si="6"/>
        <v>0</v>
      </c>
      <c r="M59" s="92">
        <f t="shared" si="6"/>
        <v>44617039</v>
      </c>
    </row>
  </sheetData>
  <mergeCells count="14">
    <mergeCell ref="K2:K3"/>
    <mergeCell ref="L2:L3"/>
    <mergeCell ref="I2:I3"/>
    <mergeCell ref="J2:J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23622047244094491" top="0.35433070866141736" bottom="0.39370078740157483" header="0.51181102362204722" footer="0.15748031496062992"/>
  <pageSetup paperSize="9" scale="65" firstPageNumber="91" orientation="portrait" useFirstPageNumber="1" r:id="rId1"/>
  <headerFooter>
    <oddFooter>&amp;C- &amp;P -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56"/>
  <sheetViews>
    <sheetView view="pageBreakPreview" topLeftCell="A31" zoomScaleNormal="100" zoomScaleSheetLayoutView="100" zoomScalePageLayoutView="60" workbookViewId="0">
      <selection activeCell="P13" sqref="P13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1.83203125" style="115" customWidth="1"/>
    <col min="4" max="5" width="9.33203125" style="115" hidden="1" customWidth="1"/>
    <col min="6" max="6" width="12" style="115" customWidth="1"/>
    <col min="7" max="7" width="13.33203125" style="1390" hidden="1" customWidth="1"/>
    <col min="8" max="8" width="12.5" style="115" hidden="1" customWidth="1"/>
    <col min="9" max="9" width="13.33203125" style="1390" hidden="1" customWidth="1"/>
    <col min="10" max="10" width="14.83203125" style="115" customWidth="1"/>
    <col min="11" max="11" width="15.83203125" style="1390" customWidth="1"/>
    <col min="12" max="12" width="15.83203125" style="115" customWidth="1"/>
    <col min="13" max="13" width="14.1640625" style="115" customWidth="1"/>
    <col min="14" max="14" width="15.33203125" style="115" customWidth="1"/>
    <col min="15" max="15" width="9.83203125" style="115" customWidth="1"/>
    <col min="16" max="16" width="16.6640625" style="115" customWidth="1"/>
    <col min="17" max="16384" width="9.33203125" style="115"/>
  </cols>
  <sheetData>
    <row r="1" spans="1:13" s="98" customFormat="1" ht="15" customHeight="1" thickBot="1" x14ac:dyDescent="0.25">
      <c r="A1" s="240"/>
      <c r="B1" s="241"/>
      <c r="C1" s="4526" t="s">
        <v>754</v>
      </c>
      <c r="D1" s="4526"/>
      <c r="E1" s="4526"/>
      <c r="F1" s="4526"/>
      <c r="G1" s="4526"/>
      <c r="H1" s="4526"/>
      <c r="I1" s="4526"/>
      <c r="J1" s="4526"/>
      <c r="K1" s="4526"/>
      <c r="L1" s="4526"/>
      <c r="M1" s="4526"/>
    </row>
    <row r="2" spans="1:13" s="303" customFormat="1" ht="30" customHeight="1" thickBot="1" x14ac:dyDescent="0.25">
      <c r="A2" s="4516" t="s">
        <v>411</v>
      </c>
      <c r="B2" s="4516"/>
      <c r="C2" s="117" t="s">
        <v>491</v>
      </c>
      <c r="D2" s="4444" t="s">
        <v>282</v>
      </c>
      <c r="E2" s="118"/>
      <c r="F2" s="4444" t="s">
        <v>1080</v>
      </c>
      <c r="G2" s="4508" t="s">
        <v>1035</v>
      </c>
      <c r="H2" s="4415" t="s">
        <v>1028</v>
      </c>
      <c r="I2" s="4422" t="s">
        <v>1031</v>
      </c>
      <c r="J2" s="4417" t="s">
        <v>1028</v>
      </c>
      <c r="K2" s="4449" t="s">
        <v>2623</v>
      </c>
      <c r="L2" s="4415" t="s">
        <v>234</v>
      </c>
      <c r="M2" s="4633" t="s">
        <v>1950</v>
      </c>
    </row>
    <row r="3" spans="1:13" s="303" customFormat="1" ht="30" customHeight="1" thickBot="1" x14ac:dyDescent="0.25">
      <c r="A3" s="4512" t="s">
        <v>283</v>
      </c>
      <c r="B3" s="4512"/>
      <c r="C3" s="204" t="s">
        <v>328</v>
      </c>
      <c r="D3" s="4444"/>
      <c r="E3" s="121"/>
      <c r="F3" s="4444"/>
      <c r="G3" s="4509"/>
      <c r="H3" s="4432" t="s">
        <v>1028</v>
      </c>
      <c r="I3" s="4433" t="s">
        <v>1031</v>
      </c>
      <c r="J3" s="4496" t="s">
        <v>1028</v>
      </c>
      <c r="K3" s="4650"/>
      <c r="L3" s="4432"/>
      <c r="M3" s="4651"/>
    </row>
    <row r="4" spans="1:13" s="303" customFormat="1" ht="15" customHeight="1" thickBot="1" x14ac:dyDescent="0.25">
      <c r="A4" s="1300"/>
      <c r="B4" s="1301"/>
      <c r="C4" s="2165"/>
      <c r="D4" s="4464"/>
      <c r="E4" s="4464"/>
      <c r="F4" s="4465"/>
      <c r="G4" s="1440"/>
      <c r="H4" s="1454"/>
      <c r="I4" s="1454"/>
      <c r="J4" s="1454"/>
      <c r="K4" s="1454"/>
      <c r="L4" s="1455"/>
      <c r="M4" s="1508" t="s">
        <v>935</v>
      </c>
    </row>
    <row r="5" spans="1:13" s="145" customFormat="1" ht="32.2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2659"/>
      <c r="H5" s="126"/>
      <c r="I5" s="1371"/>
      <c r="J5" s="126"/>
      <c r="K5" s="3329"/>
      <c r="L5" s="126"/>
      <c r="M5" s="126"/>
    </row>
    <row r="6" spans="1:13" s="305" customFormat="1" ht="15" customHeight="1" thickBot="1" x14ac:dyDescent="0.25">
      <c r="A6" s="124"/>
      <c r="B6" s="127"/>
      <c r="C6" s="127"/>
      <c r="D6" s="128"/>
      <c r="E6" s="128"/>
      <c r="F6" s="128"/>
      <c r="G6" s="2820"/>
      <c r="H6" s="1444"/>
      <c r="I6" s="1444"/>
      <c r="J6" s="1444"/>
      <c r="K6" s="3330"/>
      <c r="L6" s="128"/>
      <c r="M6" s="128"/>
    </row>
    <row r="7" spans="1:13" s="305" customFormat="1" ht="15" customHeight="1" thickBot="1" x14ac:dyDescent="0.25">
      <c r="A7" s="192"/>
      <c r="B7" s="160"/>
      <c r="C7" s="4260" t="s">
        <v>230</v>
      </c>
      <c r="D7" s="4260" t="s">
        <v>230</v>
      </c>
      <c r="E7" s="4260" t="s">
        <v>230</v>
      </c>
      <c r="F7" s="4261"/>
      <c r="G7" s="4262"/>
      <c r="H7" s="4260"/>
      <c r="I7" s="4260"/>
      <c r="J7" s="4260"/>
      <c r="K7" s="3331"/>
      <c r="L7" s="4260"/>
      <c r="M7" s="4261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19150</v>
      </c>
      <c r="E8" s="137">
        <f>SUM(E9:E18)</f>
        <v>19150</v>
      </c>
      <c r="F8" s="137">
        <f>SUM(F9:F18)</f>
        <v>0</v>
      </c>
      <c r="G8" s="1382"/>
      <c r="H8" s="137">
        <f t="shared" ref="H8:M8" si="0">SUM(H9:H18)</f>
        <v>0</v>
      </c>
      <c r="I8" s="1374">
        <f t="shared" si="0"/>
        <v>0</v>
      </c>
      <c r="J8" s="137">
        <f t="shared" si="0"/>
        <v>0</v>
      </c>
      <c r="K8" s="3332">
        <f t="shared" si="0"/>
        <v>0</v>
      </c>
      <c r="L8" s="137">
        <f t="shared" si="0"/>
        <v>0</v>
      </c>
      <c r="M8" s="137">
        <f t="shared" si="0"/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>
        <v>0</v>
      </c>
      <c r="E9" s="150"/>
      <c r="F9" s="150"/>
      <c r="G9" s="1533"/>
      <c r="H9" s="150"/>
      <c r="I9" s="1375"/>
      <c r="J9" s="150"/>
      <c r="K9" s="3333"/>
      <c r="L9" s="150"/>
      <c r="M9" s="150"/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>
        <f>SUM('5.10.1. sz. mell.'!AB112)</f>
        <v>19150</v>
      </c>
      <c r="E10" s="144">
        <f>SUM('5.10.1. sz. mell.'!AC112)</f>
        <v>19150</v>
      </c>
      <c r="F10" s="144"/>
      <c r="G10" s="1415"/>
      <c r="H10" s="144"/>
      <c r="I10" s="1376"/>
      <c r="J10" s="144"/>
      <c r="K10" s="3334"/>
      <c r="L10" s="144"/>
      <c r="M10" s="144"/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>
        <v>0</v>
      </c>
      <c r="E11" s="144">
        <v>0</v>
      </c>
      <c r="F11" s="144"/>
      <c r="G11" s="1415"/>
      <c r="H11" s="144"/>
      <c r="I11" s="1376"/>
      <c r="J11" s="144"/>
      <c r="K11" s="3334"/>
      <c r="L11" s="144"/>
      <c r="M11" s="144"/>
    </row>
    <row r="12" spans="1:13" s="141" customFormat="1" ht="15" customHeight="1" x14ac:dyDescent="0.2">
      <c r="A12" s="142"/>
      <c r="B12" s="143" t="s">
        <v>158</v>
      </c>
      <c r="C12" s="55" t="s">
        <v>56</v>
      </c>
      <c r="D12" s="144">
        <v>0</v>
      </c>
      <c r="E12" s="144">
        <v>0</v>
      </c>
      <c r="F12" s="144"/>
      <c r="G12" s="1415"/>
      <c r="H12" s="144"/>
      <c r="I12" s="1376"/>
      <c r="J12" s="144"/>
      <c r="K12" s="3334"/>
      <c r="L12" s="144"/>
      <c r="M12" s="144"/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>
        <v>0</v>
      </c>
      <c r="E13" s="144">
        <v>0</v>
      </c>
      <c r="F13" s="144"/>
      <c r="G13" s="1415"/>
      <c r="H13" s="144"/>
      <c r="I13" s="1376"/>
      <c r="J13" s="144"/>
      <c r="K13" s="3334"/>
      <c r="L13" s="144"/>
      <c r="M13" s="144"/>
    </row>
    <row r="14" spans="1:13" s="141" customFormat="1" ht="15" customHeight="1" x14ac:dyDescent="0.2">
      <c r="A14" s="146"/>
      <c r="B14" s="143" t="s">
        <v>162</v>
      </c>
      <c r="C14" s="55" t="s">
        <v>340</v>
      </c>
      <c r="D14" s="147">
        <v>0</v>
      </c>
      <c r="E14" s="147">
        <v>0</v>
      </c>
      <c r="F14" s="147"/>
      <c r="G14" s="1519"/>
      <c r="H14" s="147"/>
      <c r="I14" s="1377"/>
      <c r="J14" s="147"/>
      <c r="K14" s="3335"/>
      <c r="L14" s="147"/>
      <c r="M14" s="147"/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>
        <v>0</v>
      </c>
      <c r="E15" s="144">
        <v>0</v>
      </c>
      <c r="F15" s="144"/>
      <c r="G15" s="1415"/>
      <c r="H15" s="144"/>
      <c r="I15" s="1376"/>
      <c r="J15" s="144"/>
      <c r="K15" s="3334"/>
      <c r="L15" s="144"/>
      <c r="M15" s="144"/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/>
      <c r="G16" s="1518"/>
      <c r="H16" s="153"/>
      <c r="I16" s="1378"/>
      <c r="J16" s="153"/>
      <c r="K16" s="3336"/>
      <c r="L16" s="153"/>
      <c r="M16" s="153"/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518"/>
      <c r="H17" s="153"/>
      <c r="I17" s="1378"/>
      <c r="J17" s="153"/>
      <c r="K17" s="3336"/>
      <c r="L17" s="153"/>
      <c r="M17" s="153"/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>
        <v>0</v>
      </c>
      <c r="E18" s="153">
        <v>0</v>
      </c>
      <c r="F18" s="153"/>
      <c r="G18" s="1518"/>
      <c r="H18" s="153"/>
      <c r="I18" s="1378"/>
      <c r="J18" s="153"/>
      <c r="K18" s="3336"/>
      <c r="L18" s="153"/>
      <c r="M18" s="153"/>
    </row>
    <row r="19" spans="1:13" s="141" customFormat="1" ht="30" customHeight="1" thickBot="1" x14ac:dyDescent="0.25">
      <c r="A19" s="134" t="s">
        <v>17</v>
      </c>
      <c r="B19" s="148"/>
      <c r="C19" s="247" t="s">
        <v>419</v>
      </c>
      <c r="D19" s="137">
        <f>SUM(D21:D25)</f>
        <v>442256</v>
      </c>
      <c r="E19" s="137">
        <f>SUM(E21:E25)</f>
        <v>442256</v>
      </c>
      <c r="F19" s="137">
        <f>SUM(F21:F25)</f>
        <v>0</v>
      </c>
      <c r="G19" s="1382"/>
      <c r="H19" s="137">
        <f t="shared" ref="H19:M19" si="1">SUM(H21:H25)</f>
        <v>0</v>
      </c>
      <c r="I19" s="1374">
        <f t="shared" si="1"/>
        <v>0</v>
      </c>
      <c r="J19" s="137">
        <f t="shared" si="1"/>
        <v>0</v>
      </c>
      <c r="K19" s="3332">
        <f t="shared" si="1"/>
        <v>0</v>
      </c>
      <c r="L19" s="137">
        <f t="shared" si="1"/>
        <v>0</v>
      </c>
      <c r="M19" s="137">
        <f t="shared" si="1"/>
        <v>0</v>
      </c>
    </row>
    <row r="20" spans="1:13" s="141" customFormat="1" ht="28.5" customHeight="1" x14ac:dyDescent="0.2">
      <c r="A20" s="146"/>
      <c r="B20" s="143" t="s">
        <v>5</v>
      </c>
      <c r="C20" s="251" t="s">
        <v>420</v>
      </c>
      <c r="D20" s="156"/>
      <c r="E20" s="156"/>
      <c r="F20" s="156"/>
      <c r="G20" s="2805"/>
      <c r="H20" s="156"/>
      <c r="I20" s="1379"/>
      <c r="J20" s="156"/>
      <c r="K20" s="3337"/>
      <c r="L20" s="156"/>
      <c r="M20" s="156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>
        <f>SUM('5.10.1. sz. mell.'!AB129)</f>
        <v>442256</v>
      </c>
      <c r="E21" s="144">
        <f>SUM('5.10.1. sz. mell.'!AC129)</f>
        <v>442256</v>
      </c>
      <c r="F21" s="144"/>
      <c r="G21" s="1415"/>
      <c r="H21" s="144"/>
      <c r="I21" s="1376"/>
      <c r="J21" s="144"/>
      <c r="K21" s="3334"/>
      <c r="L21" s="144"/>
      <c r="M21" s="144"/>
    </row>
    <row r="22" spans="1:13" s="145" customFormat="1" ht="15" customHeight="1" x14ac:dyDescent="0.2">
      <c r="A22" s="142"/>
      <c r="B22" s="143" t="s">
        <v>360</v>
      </c>
      <c r="C22" s="55" t="s">
        <v>1429</v>
      </c>
      <c r="D22" s="144">
        <v>0</v>
      </c>
      <c r="E22" s="144">
        <v>0</v>
      </c>
      <c r="F22" s="144">
        <v>0</v>
      </c>
      <c r="G22" s="1415"/>
      <c r="H22" s="144">
        <v>0</v>
      </c>
      <c r="I22" s="1376">
        <v>0</v>
      </c>
      <c r="J22" s="144">
        <v>0</v>
      </c>
      <c r="K22" s="3334">
        <v>0</v>
      </c>
      <c r="L22" s="144">
        <v>0</v>
      </c>
      <c r="M22" s="144">
        <v>0</v>
      </c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/>
      <c r="E23" s="144"/>
      <c r="F23" s="144"/>
      <c r="G23" s="1415"/>
      <c r="H23" s="144"/>
      <c r="I23" s="1376"/>
      <c r="J23" s="144"/>
      <c r="K23" s="3334"/>
      <c r="L23" s="144"/>
      <c r="M23" s="144"/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>
        <v>0</v>
      </c>
      <c r="E24" s="144">
        <v>0</v>
      </c>
      <c r="F24" s="144">
        <v>0</v>
      </c>
      <c r="G24" s="1415"/>
      <c r="H24" s="144">
        <v>0</v>
      </c>
      <c r="I24" s="1376">
        <v>0</v>
      </c>
      <c r="J24" s="144">
        <v>0</v>
      </c>
      <c r="K24" s="3334">
        <v>0</v>
      </c>
      <c r="L24" s="144">
        <v>0</v>
      </c>
      <c r="M24" s="144">
        <v>0</v>
      </c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>
        <v>0</v>
      </c>
      <c r="E25" s="144">
        <v>0</v>
      </c>
      <c r="F25" s="144">
        <f>SUM('5.10.1. sz. mell.'!L26)</f>
        <v>0</v>
      </c>
      <c r="G25" s="1415"/>
      <c r="H25" s="144"/>
      <c r="I25" s="1376"/>
      <c r="J25" s="144"/>
      <c r="K25" s="3334"/>
      <c r="L25" s="144"/>
      <c r="M25" s="144"/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55">
        <v>0</v>
      </c>
      <c r="E26" s="155">
        <v>0</v>
      </c>
      <c r="F26" s="155">
        <v>0</v>
      </c>
      <c r="G26" s="1381"/>
      <c r="H26" s="155">
        <v>0</v>
      </c>
      <c r="I26" s="1380">
        <v>0</v>
      </c>
      <c r="J26" s="155">
        <v>0</v>
      </c>
      <c r="K26" s="3338">
        <v>0</v>
      </c>
      <c r="L26" s="155">
        <v>0</v>
      </c>
      <c r="M26" s="155">
        <v>0</v>
      </c>
    </row>
    <row r="27" spans="1:13" s="145" customFormat="1" ht="15" customHeight="1" thickBot="1" x14ac:dyDescent="0.25">
      <c r="A27" s="134"/>
      <c r="B27" s="143" t="s">
        <v>19</v>
      </c>
      <c r="C27" s="55" t="s">
        <v>427</v>
      </c>
      <c r="D27" s="155"/>
      <c r="E27" s="155"/>
      <c r="F27" s="155"/>
      <c r="G27" s="1381"/>
      <c r="H27" s="155"/>
      <c r="I27" s="1380"/>
      <c r="J27" s="155"/>
      <c r="K27" s="3338"/>
      <c r="L27" s="155"/>
      <c r="M27" s="155"/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/>
      <c r="E28" s="155"/>
      <c r="F28" s="155"/>
      <c r="G28" s="1381"/>
      <c r="H28" s="155"/>
      <c r="I28" s="1380"/>
      <c r="J28" s="155"/>
      <c r="K28" s="3338"/>
      <c r="L28" s="155"/>
      <c r="M28" s="155"/>
    </row>
    <row r="29" spans="1:13" s="145" customFormat="1" ht="15" customHeight="1" thickBot="1" x14ac:dyDescent="0.25">
      <c r="A29" s="149"/>
      <c r="B29" s="253" t="s">
        <v>33</v>
      </c>
      <c r="C29" s="55" t="s">
        <v>359</v>
      </c>
      <c r="D29" s="155"/>
      <c r="E29" s="668"/>
      <c r="F29" s="273"/>
      <c r="G29" s="1381"/>
      <c r="H29" s="155"/>
      <c r="I29" s="1380"/>
      <c r="J29" s="155"/>
      <c r="K29" s="3338"/>
      <c r="L29" s="155"/>
      <c r="M29" s="155"/>
    </row>
    <row r="30" spans="1:13" s="145" customFormat="1" ht="15" customHeight="1" thickBot="1" x14ac:dyDescent="0.25">
      <c r="A30" s="146"/>
      <c r="B30" s="253" t="s">
        <v>39</v>
      </c>
      <c r="C30" s="55" t="s">
        <v>72</v>
      </c>
      <c r="D30" s="155"/>
      <c r="E30" s="668"/>
      <c r="F30" s="206"/>
      <c r="G30" s="1381"/>
      <c r="H30" s="155"/>
      <c r="I30" s="1380"/>
      <c r="J30" s="155"/>
      <c r="K30" s="3338"/>
      <c r="L30" s="155"/>
      <c r="M30" s="155"/>
    </row>
    <row r="31" spans="1:13" s="145" customFormat="1" ht="15" customHeight="1" thickBot="1" x14ac:dyDescent="0.25">
      <c r="A31" s="178"/>
      <c r="B31" s="253" t="s">
        <v>41</v>
      </c>
      <c r="C31" s="55" t="s">
        <v>74</v>
      </c>
      <c r="D31" s="155"/>
      <c r="E31" s="668"/>
      <c r="F31" s="297"/>
      <c r="G31" s="1381"/>
      <c r="H31" s="155"/>
      <c r="I31" s="1380"/>
      <c r="J31" s="155"/>
      <c r="K31" s="3338"/>
      <c r="L31" s="155"/>
      <c r="M31" s="155"/>
    </row>
    <row r="32" spans="1:13" s="141" customFormat="1" ht="28.5" customHeight="1" thickBot="1" x14ac:dyDescent="0.25">
      <c r="A32" s="134" t="s">
        <v>67</v>
      </c>
      <c r="B32" s="254"/>
      <c r="C32" s="170" t="s">
        <v>429</v>
      </c>
      <c r="D32" s="155">
        <v>0</v>
      </c>
      <c r="E32" s="155">
        <v>0</v>
      </c>
      <c r="F32" s="155"/>
      <c r="G32" s="1381"/>
      <c r="H32" s="155">
        <v>0</v>
      </c>
      <c r="I32" s="1380">
        <v>0</v>
      </c>
      <c r="J32" s="155">
        <v>0</v>
      </c>
      <c r="K32" s="3338">
        <v>0</v>
      </c>
      <c r="L32" s="155">
        <v>0</v>
      </c>
      <c r="M32" s="155">
        <v>0</v>
      </c>
    </row>
    <row r="33" spans="1:16" s="141" customFormat="1" ht="33" customHeight="1" thickBot="1" x14ac:dyDescent="0.25">
      <c r="A33" s="146"/>
      <c r="B33" s="255" t="s">
        <v>47</v>
      </c>
      <c r="C33" s="251" t="s">
        <v>430</v>
      </c>
      <c r="D33" s="295"/>
      <c r="E33" s="295"/>
      <c r="F33" s="295"/>
      <c r="G33" s="1381"/>
      <c r="H33" s="295"/>
      <c r="I33" s="1381"/>
      <c r="J33" s="295"/>
      <c r="K33" s="3339"/>
      <c r="L33" s="295"/>
      <c r="M33" s="295"/>
    </row>
    <row r="34" spans="1:16" s="141" customFormat="1" ht="15" customHeight="1" thickBot="1" x14ac:dyDescent="0.3">
      <c r="A34" s="258" t="s">
        <v>79</v>
      </c>
      <c r="B34" s="256"/>
      <c r="C34" s="247" t="s">
        <v>431</v>
      </c>
      <c r="D34" s="295"/>
      <c r="E34" s="295"/>
      <c r="F34" s="295"/>
      <c r="G34" s="1381"/>
      <c r="H34" s="295"/>
      <c r="I34" s="1381"/>
      <c r="J34" s="295"/>
      <c r="K34" s="3339"/>
      <c r="L34" s="295"/>
      <c r="M34" s="295"/>
    </row>
    <row r="35" spans="1:16" s="141" customFormat="1" ht="33" customHeight="1" thickBot="1" x14ac:dyDescent="0.25">
      <c r="A35" s="258"/>
      <c r="B35" s="257" t="s">
        <v>69</v>
      </c>
      <c r="C35" s="55" t="s">
        <v>432</v>
      </c>
      <c r="D35" s="295"/>
      <c r="E35" s="295"/>
      <c r="F35" s="295"/>
      <c r="G35" s="1381"/>
      <c r="H35" s="295"/>
      <c r="I35" s="1381"/>
      <c r="J35" s="295"/>
      <c r="K35" s="3339"/>
      <c r="L35" s="295"/>
      <c r="M35" s="295"/>
    </row>
    <row r="36" spans="1:16" s="141" customFormat="1" ht="15" customHeight="1" thickBot="1" x14ac:dyDescent="0.3">
      <c r="A36" s="258" t="s">
        <v>89</v>
      </c>
      <c r="B36" s="256"/>
      <c r="C36" s="170" t="s">
        <v>433</v>
      </c>
      <c r="D36" s="285">
        <f>+D37+D38</f>
        <v>0</v>
      </c>
      <c r="E36" s="285">
        <f>+E37+E38</f>
        <v>24012</v>
      </c>
      <c r="F36" s="285">
        <f>+F37+F38+F39</f>
        <v>0</v>
      </c>
      <c r="G36" s="1382"/>
      <c r="H36" s="285">
        <f t="shared" ref="H36:M36" si="2">+H37+H38+H39</f>
        <v>0</v>
      </c>
      <c r="I36" s="1382">
        <f t="shared" si="2"/>
        <v>0</v>
      </c>
      <c r="J36" s="285">
        <f t="shared" si="2"/>
        <v>0</v>
      </c>
      <c r="K36" s="3340">
        <f t="shared" si="2"/>
        <v>0</v>
      </c>
      <c r="L36" s="285">
        <f t="shared" si="2"/>
        <v>0</v>
      </c>
      <c r="M36" s="285">
        <f t="shared" si="2"/>
        <v>0</v>
      </c>
    </row>
    <row r="37" spans="1:16" s="141" customFormat="1" ht="15" customHeight="1" x14ac:dyDescent="0.2">
      <c r="A37" s="149"/>
      <c r="B37" s="253" t="s">
        <v>81</v>
      </c>
      <c r="C37" s="55" t="s">
        <v>434</v>
      </c>
      <c r="D37" s="306">
        <v>0</v>
      </c>
      <c r="E37" s="306">
        <f>'5.10.1. sz. mell.'!AC136</f>
        <v>24012</v>
      </c>
      <c r="F37" s="306">
        <f>'5.10.1. sz. mell.'!AD136</f>
        <v>0</v>
      </c>
      <c r="G37" s="1383"/>
      <c r="H37" s="306"/>
      <c r="I37" s="1383"/>
      <c r="J37" s="306"/>
      <c r="K37" s="3341"/>
      <c r="L37" s="306"/>
      <c r="M37" s="306"/>
    </row>
    <row r="38" spans="1:16" s="141" customFormat="1" ht="15" customHeight="1" thickBot="1" x14ac:dyDescent="0.25">
      <c r="A38" s="146"/>
      <c r="B38" s="253" t="s">
        <v>83</v>
      </c>
      <c r="C38" s="55" t="s">
        <v>435</v>
      </c>
      <c r="D38" s="294">
        <v>0</v>
      </c>
      <c r="E38" s="692">
        <v>0</v>
      </c>
      <c r="F38" s="144"/>
      <c r="G38" s="2667"/>
      <c r="H38" s="294"/>
      <c r="I38" s="1384"/>
      <c r="J38" s="294"/>
      <c r="K38" s="3342"/>
      <c r="L38" s="294"/>
      <c r="M38" s="294"/>
      <c r="N38" s="145"/>
      <c r="O38" s="205"/>
      <c r="P38" s="205"/>
    </row>
    <row r="39" spans="1:16" s="145" customFormat="1" ht="15" customHeight="1" thickBot="1" x14ac:dyDescent="0.25">
      <c r="A39" s="178"/>
      <c r="B39" s="253" t="s">
        <v>85</v>
      </c>
      <c r="C39" s="55" t="s">
        <v>1432</v>
      </c>
      <c r="D39" s="155">
        <f>SUM('5.10.1. sz. mell.'!AB131)</f>
        <v>82049</v>
      </c>
      <c r="E39" s="155">
        <f>SUM('5.10.1. sz. mell.'!AC131)+'5.10.1. sz. mell.'!AC133</f>
        <v>112944</v>
      </c>
      <c r="F39" s="321"/>
      <c r="G39" s="1381"/>
      <c r="H39" s="155"/>
      <c r="I39" s="1380"/>
      <c r="J39" s="155"/>
      <c r="K39" s="3338"/>
      <c r="L39" s="155"/>
      <c r="M39" s="155"/>
      <c r="O39" s="205"/>
      <c r="P39" s="205"/>
    </row>
    <row r="40" spans="1:16" s="145" customFormat="1" ht="15" customHeight="1" thickBot="1" x14ac:dyDescent="0.25">
      <c r="A40" s="192" t="s">
        <v>89</v>
      </c>
      <c r="B40" s="160"/>
      <c r="C40" s="274" t="s">
        <v>460</v>
      </c>
      <c r="D40" s="162">
        <f>SUM(D8,D19,D26,D32,D36,D39)</f>
        <v>543455</v>
      </c>
      <c r="E40" s="162" t="e">
        <v>#NAME?</v>
      </c>
      <c r="F40" s="162">
        <f>SUM(F8,F19,F26,F32,F36)</f>
        <v>0</v>
      </c>
      <c r="G40" s="1437"/>
      <c r="H40" s="162">
        <f t="shared" ref="H40:M40" si="3">SUM(H8,H19,H26,H32,H36)</f>
        <v>0</v>
      </c>
      <c r="I40" s="1401">
        <f t="shared" si="3"/>
        <v>0</v>
      </c>
      <c r="J40" s="162">
        <f t="shared" si="3"/>
        <v>0</v>
      </c>
      <c r="K40" s="3343">
        <f t="shared" si="3"/>
        <v>0</v>
      </c>
      <c r="L40" s="162">
        <f t="shared" si="3"/>
        <v>0</v>
      </c>
      <c r="M40" s="162">
        <f t="shared" si="3"/>
        <v>0</v>
      </c>
    </row>
    <row r="41" spans="1:16" s="145" customFormat="1" ht="15" customHeight="1" thickBot="1" x14ac:dyDescent="0.25">
      <c r="A41" s="2098"/>
      <c r="B41" s="266"/>
      <c r="C41" s="275"/>
      <c r="D41" s="286"/>
      <c r="E41" s="286"/>
      <c r="F41" s="1458"/>
      <c r="G41" s="1443"/>
      <c r="H41" s="1443"/>
      <c r="I41" s="1443"/>
      <c r="J41" s="1443"/>
      <c r="K41" s="1443"/>
      <c r="L41" s="286"/>
      <c r="M41" s="1458"/>
      <c r="O41" s="205"/>
      <c r="P41" s="205"/>
    </row>
    <row r="42" spans="1:16" s="305" customFormat="1" ht="15" customHeight="1" thickBot="1" x14ac:dyDescent="0.25">
      <c r="A42" s="192"/>
      <c r="B42" s="160"/>
      <c r="C42" s="282" t="s">
        <v>231</v>
      </c>
      <c r="D42" s="162"/>
      <c r="E42" s="162"/>
      <c r="F42" s="162"/>
      <c r="G42" s="766"/>
      <c r="H42" s="162"/>
      <c r="I42" s="162"/>
      <c r="J42" s="162"/>
      <c r="K42" s="3343"/>
      <c r="L42" s="162"/>
      <c r="M42" s="162"/>
      <c r="N42" s="145"/>
      <c r="O42" s="205"/>
      <c r="P42" s="205"/>
    </row>
    <row r="43" spans="1:16" s="141" customFormat="1" ht="15" customHeight="1" thickBot="1" x14ac:dyDescent="0.25">
      <c r="A43" s="134" t="s">
        <v>3</v>
      </c>
      <c r="B43" s="170"/>
      <c r="C43" s="171" t="s">
        <v>442</v>
      </c>
      <c r="D43" s="137">
        <f>SUM(D44:D48)</f>
        <v>543455</v>
      </c>
      <c r="E43" s="137">
        <f>SUM(E44:E48)</f>
        <v>598073</v>
      </c>
      <c r="F43" s="137">
        <f>SUM(F44:F48)</f>
        <v>0</v>
      </c>
      <c r="G43" s="1382"/>
      <c r="H43" s="137">
        <f t="shared" ref="H43:M43" si="4">SUM(H44:H48)</f>
        <v>0</v>
      </c>
      <c r="I43" s="1374">
        <f t="shared" si="4"/>
        <v>0</v>
      </c>
      <c r="J43" s="137">
        <f t="shared" si="4"/>
        <v>0</v>
      </c>
      <c r="K43" s="3332">
        <f t="shared" si="4"/>
        <v>0</v>
      </c>
      <c r="L43" s="137">
        <f t="shared" si="4"/>
        <v>0</v>
      </c>
      <c r="M43" s="137">
        <f t="shared" si="4"/>
        <v>0</v>
      </c>
    </row>
    <row r="44" spans="1:16" s="145" customFormat="1" ht="15" customHeight="1" x14ac:dyDescent="0.2">
      <c r="A44" s="173"/>
      <c r="B44" s="174" t="s">
        <v>152</v>
      </c>
      <c r="C44" s="251" t="s">
        <v>153</v>
      </c>
      <c r="D44" s="175">
        <f>SUM('5.10.1. sz. mell.'!AB147)</f>
        <v>168529</v>
      </c>
      <c r="E44" s="175">
        <f>SUM('5.10.1. sz. mell.'!AC147)</f>
        <v>192424</v>
      </c>
      <c r="F44" s="175"/>
      <c r="G44" s="1432"/>
      <c r="H44" s="175"/>
      <c r="I44" s="1386"/>
      <c r="J44" s="175"/>
      <c r="K44" s="3345"/>
      <c r="L44" s="175"/>
      <c r="M44" s="175"/>
    </row>
    <row r="45" spans="1:16" s="145" customFormat="1" ht="15" customHeight="1" x14ac:dyDescent="0.2">
      <c r="A45" s="142"/>
      <c r="B45" s="176" t="s">
        <v>154</v>
      </c>
      <c r="C45" s="55" t="s">
        <v>155</v>
      </c>
      <c r="D45" s="144">
        <f>SUM('5.10.1. sz. mell.'!AB150)</f>
        <v>49730</v>
      </c>
      <c r="E45" s="144">
        <f>SUM('5.10.1. sz. mell.'!AC150)</f>
        <v>49730</v>
      </c>
      <c r="F45" s="144"/>
      <c r="G45" s="1415"/>
      <c r="H45" s="144"/>
      <c r="I45" s="1376"/>
      <c r="J45" s="144"/>
      <c r="K45" s="3334"/>
      <c r="L45" s="144"/>
      <c r="M45" s="144"/>
    </row>
    <row r="46" spans="1:16" s="145" customFormat="1" ht="15" customHeight="1" x14ac:dyDescent="0.2">
      <c r="A46" s="142"/>
      <c r="B46" s="176" t="s">
        <v>156</v>
      </c>
      <c r="C46" s="55" t="s">
        <v>157</v>
      </c>
      <c r="D46" s="144">
        <f>SUM('5.10.1. sz. mell.'!AB152)</f>
        <v>325196</v>
      </c>
      <c r="E46" s="144">
        <f>SUM('5.10.1. sz. mell.'!AC152)</f>
        <v>355919</v>
      </c>
      <c r="F46" s="144"/>
      <c r="G46" s="1415"/>
      <c r="H46" s="144"/>
      <c r="I46" s="1376"/>
      <c r="J46" s="144"/>
      <c r="K46" s="3334"/>
      <c r="L46" s="144"/>
      <c r="M46" s="144"/>
    </row>
    <row r="47" spans="1:16" s="145" customFormat="1" ht="15" customHeight="1" x14ac:dyDescent="0.2">
      <c r="A47" s="142"/>
      <c r="B47" s="176" t="s">
        <v>158</v>
      </c>
      <c r="C47" s="55" t="s">
        <v>159</v>
      </c>
      <c r="D47" s="144">
        <v>0</v>
      </c>
      <c r="E47" s="144">
        <v>0</v>
      </c>
      <c r="F47" s="144"/>
      <c r="G47" s="1415"/>
      <c r="H47" s="144"/>
      <c r="I47" s="1376"/>
      <c r="J47" s="144"/>
      <c r="K47" s="3334"/>
      <c r="L47" s="144"/>
      <c r="M47" s="144"/>
    </row>
    <row r="48" spans="1:16" s="145" customFormat="1" ht="15" customHeight="1" thickBot="1" x14ac:dyDescent="0.25">
      <c r="A48" s="142"/>
      <c r="B48" s="176" t="s">
        <v>160</v>
      </c>
      <c r="C48" s="55" t="s">
        <v>161</v>
      </c>
      <c r="D48" s="144">
        <v>0</v>
      </c>
      <c r="E48" s="144">
        <v>0</v>
      </c>
      <c r="F48" s="144"/>
      <c r="G48" s="1415"/>
      <c r="H48" s="144"/>
      <c r="I48" s="1376"/>
      <c r="J48" s="144"/>
      <c r="K48" s="3334"/>
      <c r="L48" s="144"/>
      <c r="M48" s="144"/>
    </row>
    <row r="49" spans="1:16" s="145" customFormat="1" ht="15" customHeight="1" thickBot="1" x14ac:dyDescent="0.25">
      <c r="A49" s="134" t="s">
        <v>17</v>
      </c>
      <c r="B49" s="170"/>
      <c r="C49" s="170" t="s">
        <v>443</v>
      </c>
      <c r="D49" s="137">
        <f>SUM(D50:D52)</f>
        <v>0</v>
      </c>
      <c r="E49" s="137">
        <f>SUM(E50:E52)</f>
        <v>3694</v>
      </c>
      <c r="F49" s="137">
        <f>SUM(F50:F52)</f>
        <v>0</v>
      </c>
      <c r="G49" s="1382"/>
      <c r="H49" s="137">
        <f t="shared" ref="H49:M49" si="5">SUM(H50:H52)</f>
        <v>0</v>
      </c>
      <c r="I49" s="1374">
        <f t="shared" si="5"/>
        <v>0</v>
      </c>
      <c r="J49" s="137">
        <f t="shared" si="5"/>
        <v>0</v>
      </c>
      <c r="K49" s="3332">
        <f t="shared" si="5"/>
        <v>0</v>
      </c>
      <c r="L49" s="137">
        <f t="shared" si="5"/>
        <v>0</v>
      </c>
      <c r="M49" s="137">
        <f t="shared" si="5"/>
        <v>0</v>
      </c>
    </row>
    <row r="50" spans="1:16" s="141" customFormat="1" ht="15" customHeight="1" x14ac:dyDescent="0.2">
      <c r="A50" s="173"/>
      <c r="B50" s="267" t="s">
        <v>5</v>
      </c>
      <c r="C50" s="251" t="s">
        <v>183</v>
      </c>
      <c r="D50" s="175">
        <v>0</v>
      </c>
      <c r="E50" s="175">
        <f>'5.10.1. sz. mell.'!AC154</f>
        <v>3694</v>
      </c>
      <c r="F50" s="175"/>
      <c r="G50" s="1432"/>
      <c r="H50" s="175"/>
      <c r="I50" s="1386"/>
      <c r="J50" s="175"/>
      <c r="K50" s="3345"/>
      <c r="L50" s="175"/>
      <c r="M50" s="175"/>
    </row>
    <row r="51" spans="1:16" s="145" customFormat="1" ht="15" customHeight="1" x14ac:dyDescent="0.2">
      <c r="A51" s="142"/>
      <c r="B51" s="253" t="s">
        <v>7</v>
      </c>
      <c r="C51" s="55" t="s">
        <v>185</v>
      </c>
      <c r="D51" s="144">
        <v>0</v>
      </c>
      <c r="E51" s="144">
        <f>'5.10.1. sz. mell.'!AC153</f>
        <v>0</v>
      </c>
      <c r="F51" s="144">
        <f>'5.10.1. sz. mell.'!AD153</f>
        <v>0</v>
      </c>
      <c r="G51" s="1415"/>
      <c r="H51" s="144"/>
      <c r="I51" s="1376"/>
      <c r="J51" s="144"/>
      <c r="K51" s="3334"/>
      <c r="L51" s="144"/>
      <c r="M51" s="144"/>
    </row>
    <row r="52" spans="1:16" s="145" customFormat="1" ht="17.25" customHeight="1" thickBot="1" x14ac:dyDescent="0.25">
      <c r="A52" s="142"/>
      <c r="B52" s="253" t="s">
        <v>9</v>
      </c>
      <c r="C52" s="55" t="s">
        <v>444</v>
      </c>
      <c r="D52" s="144">
        <v>0</v>
      </c>
      <c r="E52" s="144">
        <v>0</v>
      </c>
      <c r="F52" s="144"/>
      <c r="G52" s="1415"/>
      <c r="H52" s="144"/>
      <c r="I52" s="1376"/>
      <c r="J52" s="144"/>
      <c r="K52" s="3334"/>
      <c r="L52" s="144"/>
      <c r="M52" s="144"/>
    </row>
    <row r="53" spans="1:16" s="145" customFormat="1" ht="15" customHeight="1" thickBot="1" x14ac:dyDescent="0.25">
      <c r="A53" s="192" t="s">
        <v>31</v>
      </c>
      <c r="B53" s="160"/>
      <c r="C53" s="274" t="s">
        <v>465</v>
      </c>
      <c r="D53" s="162" t="e">
        <f>+D43+D49+#REF!</f>
        <v>#REF!</v>
      </c>
      <c r="E53" s="162" t="e">
        <f>+E43+E49+#REF!</f>
        <v>#REF!</v>
      </c>
      <c r="F53" s="162">
        <f>+F43+F49</f>
        <v>0</v>
      </c>
      <c r="G53" s="766"/>
      <c r="H53" s="162">
        <f t="shared" ref="H53:M53" si="6">+H43+H49</f>
        <v>0</v>
      </c>
      <c r="I53" s="162">
        <f t="shared" si="6"/>
        <v>0</v>
      </c>
      <c r="J53" s="162">
        <f t="shared" si="6"/>
        <v>0</v>
      </c>
      <c r="K53" s="3343">
        <f t="shared" si="6"/>
        <v>0</v>
      </c>
      <c r="L53" s="162">
        <f t="shared" si="6"/>
        <v>0</v>
      </c>
      <c r="M53" s="162">
        <f t="shared" si="6"/>
        <v>0</v>
      </c>
    </row>
    <row r="54" spans="1:16" s="145" customFormat="1" ht="15" customHeight="1" thickBot="1" x14ac:dyDescent="0.25">
      <c r="A54" s="1303"/>
      <c r="B54" s="886"/>
      <c r="C54" s="886"/>
      <c r="D54" s="886"/>
      <c r="E54" s="886"/>
      <c r="F54" s="1304"/>
      <c r="G54" s="1550"/>
      <c r="H54" s="1550"/>
      <c r="I54" s="1550"/>
      <c r="J54" s="1550"/>
      <c r="K54" s="1550"/>
      <c r="L54" s="886"/>
      <c r="M54" s="1304"/>
    </row>
    <row r="55" spans="1:16" s="145" customFormat="1" ht="15" customHeight="1" thickBot="1" x14ac:dyDescent="0.25">
      <c r="A55" s="276" t="s">
        <v>324</v>
      </c>
      <c r="B55" s="277"/>
      <c r="C55" s="278"/>
      <c r="D55" s="200">
        <f>SUM('5.10.1. sz. mell.'!I218)</f>
        <v>73</v>
      </c>
      <c r="E55" s="200">
        <f>SUM('5.10.1. sz. mell.'!J218)</f>
        <v>73</v>
      </c>
      <c r="F55" s="200"/>
      <c r="G55" s="1559"/>
      <c r="H55" s="200"/>
      <c r="I55" s="1388"/>
      <c r="J55" s="200"/>
      <c r="K55" s="3346"/>
      <c r="L55" s="200"/>
      <c r="M55" s="200"/>
      <c r="O55" s="205"/>
    </row>
    <row r="56" spans="1:16" s="145" customFormat="1" ht="15" customHeight="1" thickBot="1" x14ac:dyDescent="0.25">
      <c r="A56" s="276" t="s">
        <v>325</v>
      </c>
      <c r="B56" s="277"/>
      <c r="C56" s="278"/>
      <c r="D56" s="279"/>
      <c r="E56" s="279"/>
      <c r="F56" s="279"/>
      <c r="G56" s="1560"/>
      <c r="H56" s="279"/>
      <c r="I56" s="1389"/>
      <c r="J56" s="279"/>
      <c r="K56" s="3347"/>
      <c r="L56" s="279"/>
      <c r="M56" s="279"/>
      <c r="O56" s="205"/>
      <c r="P56" s="205"/>
    </row>
  </sheetData>
  <mergeCells count="14">
    <mergeCell ref="I2:I3"/>
    <mergeCell ref="J2:J3"/>
    <mergeCell ref="K2:K3"/>
    <mergeCell ref="L2:L3"/>
    <mergeCell ref="C1:M1"/>
    <mergeCell ref="H2:H3"/>
    <mergeCell ref="M2:M3"/>
    <mergeCell ref="G2:G3"/>
    <mergeCell ref="D4:F4"/>
    <mergeCell ref="A5:B5"/>
    <mergeCell ref="A2:B2"/>
    <mergeCell ref="D2:D3"/>
    <mergeCell ref="F2:F3"/>
    <mergeCell ref="A3:B3"/>
  </mergeCells>
  <printOptions horizontalCentered="1"/>
  <pageMargins left="0.19685039370078741" right="0.23622047244094491" top="0.35433070866141736" bottom="0.39370078740157483" header="0.51181102362204722" footer="0.15748031496062992"/>
  <pageSetup paperSize="9" scale="68" firstPageNumber="92" orientation="portrait" useFirstPageNumber="1" r:id="rId1"/>
  <headerFooter>
    <oddFooter>&amp;C- &amp;P -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N237"/>
  <sheetViews>
    <sheetView view="pageBreakPreview" topLeftCell="A141" zoomScaleNormal="100" zoomScaleSheetLayoutView="100" zoomScalePageLayoutView="60" workbookViewId="0">
      <selection activeCell="Q2" sqref="Q2"/>
    </sheetView>
  </sheetViews>
  <sheetFormatPr defaultColWidth="9.33203125" defaultRowHeight="14.25" x14ac:dyDescent="0.2"/>
  <cols>
    <col min="1" max="1" width="2.5" style="207" customWidth="1"/>
    <col min="2" max="2" width="3" style="207" customWidth="1"/>
    <col min="3" max="3" width="8.33203125" style="323" customWidth="1"/>
    <col min="4" max="4" width="52" style="207" customWidth="1"/>
    <col min="5" max="11" width="9.33203125" style="231" hidden="1" customWidth="1"/>
    <col min="12" max="12" width="15.33203125" style="231" customWidth="1"/>
    <col min="13" max="13" width="15" style="1351" hidden="1" customWidth="1"/>
    <col min="14" max="14" width="14.6640625" style="231" hidden="1" customWidth="1"/>
    <col min="15" max="15" width="10.5" style="1351" hidden="1" customWidth="1"/>
    <col min="16" max="16" width="15.1640625" style="231" customWidth="1"/>
    <col min="17" max="17" width="15.83203125" style="1351" customWidth="1"/>
    <col min="18" max="18" width="14.5" style="231" customWidth="1"/>
    <col min="19" max="19" width="14.6640625" style="231" customWidth="1"/>
    <col min="20" max="20" width="18.1640625" style="231" bestFit="1" customWidth="1"/>
    <col min="21" max="21" width="10" style="510" customWidth="1"/>
    <col min="22" max="22" width="43.83203125" style="207" customWidth="1"/>
    <col min="23" max="23" width="0" style="207" hidden="1" customWidth="1"/>
    <col min="24" max="24" width="9.83203125" style="207" hidden="1" customWidth="1"/>
    <col min="25" max="26" width="0" style="207" hidden="1" customWidth="1"/>
    <col min="27" max="27" width="9.33203125" style="207" hidden="1" customWidth="1"/>
    <col min="28" max="28" width="13" style="207" hidden="1" customWidth="1"/>
    <col min="29" max="29" width="12.33203125" style="207" hidden="1" customWidth="1"/>
    <col min="30" max="31" width="14.33203125" style="207" customWidth="1"/>
    <col min="32" max="33" width="16.33203125" style="207" customWidth="1"/>
    <col min="34" max="35" width="17.6640625" style="207" customWidth="1"/>
    <col min="36" max="36" width="16.5" style="207" customWidth="1"/>
    <col min="37" max="37" width="16.33203125" style="207" customWidth="1"/>
    <col min="38" max="38" width="9.33203125" style="207"/>
    <col min="39" max="39" width="15.33203125" style="207" customWidth="1"/>
    <col min="40" max="40" width="17.5" style="324" customWidth="1"/>
    <col min="41" max="16384" width="9.33203125" style="207"/>
  </cols>
  <sheetData>
    <row r="1" spans="1:40" ht="51" customHeight="1" thickTop="1" thickBot="1" x14ac:dyDescent="0.25">
      <c r="A1" s="4477" t="s">
        <v>332</v>
      </c>
      <c r="B1" s="4477"/>
      <c r="C1" s="4477"/>
      <c r="D1" s="208" t="s">
        <v>493</v>
      </c>
      <c r="E1" s="325" t="s">
        <v>494</v>
      </c>
      <c r="F1" s="325" t="s">
        <v>495</v>
      </c>
      <c r="G1" s="325" t="s">
        <v>496</v>
      </c>
      <c r="H1" s="325" t="s">
        <v>497</v>
      </c>
      <c r="I1" s="325" t="s">
        <v>498</v>
      </c>
      <c r="J1" s="325" t="s">
        <v>499</v>
      </c>
      <c r="K1" s="325"/>
      <c r="L1" s="325" t="s">
        <v>1081</v>
      </c>
      <c r="M1" s="3127" t="s">
        <v>1030</v>
      </c>
      <c r="N1" s="786" t="s">
        <v>1028</v>
      </c>
      <c r="O1" s="1344" t="s">
        <v>1031</v>
      </c>
      <c r="P1" s="3404" t="s">
        <v>1028</v>
      </c>
      <c r="Q1" s="3312" t="s">
        <v>2623</v>
      </c>
      <c r="R1" s="325" t="s">
        <v>234</v>
      </c>
      <c r="S1" s="442" t="s">
        <v>289</v>
      </c>
      <c r="T1" s="2169" t="s">
        <v>290</v>
      </c>
      <c r="U1" s="508"/>
    </row>
    <row r="2" spans="1:40" ht="18" customHeight="1" thickTop="1" thickBot="1" x14ac:dyDescent="0.3">
      <c r="A2" s="2171" t="s">
        <v>500</v>
      </c>
      <c r="B2" s="326"/>
      <c r="C2" s="327"/>
      <c r="D2" s="4660" t="s">
        <v>491</v>
      </c>
      <c r="E2" s="4660"/>
      <c r="F2" s="4660"/>
      <c r="G2" s="4660"/>
      <c r="H2" s="4660"/>
      <c r="I2" s="4660"/>
      <c r="J2" s="4660"/>
      <c r="K2" s="4660"/>
      <c r="L2" s="4660"/>
      <c r="M2" s="4660"/>
      <c r="N2" s="4660"/>
      <c r="O2" s="1446"/>
      <c r="P2" s="3405"/>
      <c r="Q2" s="1446"/>
      <c r="R2" s="1342"/>
      <c r="S2" s="2172" t="s">
        <v>935</v>
      </c>
      <c r="T2" s="328"/>
      <c r="U2" s="431"/>
    </row>
    <row r="3" spans="1:40" ht="21.75" customHeight="1" thickTop="1" x14ac:dyDescent="0.3">
      <c r="A3" s="329"/>
      <c r="B3" s="330"/>
      <c r="C3" s="209"/>
      <c r="D3" s="4657" t="s">
        <v>848</v>
      </c>
      <c r="E3" s="4658"/>
      <c r="F3" s="4658"/>
      <c r="G3" s="4658"/>
      <c r="H3" s="4658"/>
      <c r="I3" s="4658"/>
      <c r="J3" s="4658"/>
      <c r="K3" s="4658"/>
      <c r="L3" s="4659"/>
      <c r="M3" s="1352"/>
      <c r="N3" s="1329"/>
      <c r="O3" s="1345"/>
      <c r="P3" s="1329"/>
      <c r="Q3" s="3406"/>
      <c r="R3" s="1329"/>
      <c r="S3" s="331"/>
      <c r="T3" s="1329"/>
      <c r="U3" s="365"/>
    </row>
    <row r="4" spans="1:40" ht="16.5" customHeight="1" x14ac:dyDescent="0.25">
      <c r="A4" s="211"/>
      <c r="B4" s="330" t="s">
        <v>3</v>
      </c>
      <c r="C4" s="224"/>
      <c r="D4" s="4656" t="s">
        <v>230</v>
      </c>
      <c r="E4" s="4656"/>
      <c r="F4" s="4656"/>
      <c r="G4" s="4656"/>
      <c r="H4" s="4656"/>
      <c r="I4" s="220"/>
      <c r="J4" s="220"/>
      <c r="K4" s="220"/>
      <c r="L4" s="220"/>
      <c r="M4" s="1353"/>
      <c r="N4" s="1199"/>
      <c r="O4" s="1346"/>
      <c r="P4" s="1199"/>
      <c r="Q4" s="3407"/>
      <c r="R4" s="1199"/>
      <c r="S4" s="237"/>
      <c r="T4" s="344"/>
      <c r="U4" s="236"/>
    </row>
    <row r="5" spans="1:40" ht="16.5" x14ac:dyDescent="0.25">
      <c r="A5" s="211"/>
      <c r="B5" s="333"/>
      <c r="C5" s="213" t="s">
        <v>152</v>
      </c>
      <c r="D5" s="2393" t="s">
        <v>46</v>
      </c>
      <c r="E5" s="220">
        <f t="shared" ref="E5:J5" si="0">SUM(E6:E9)</f>
        <v>6734</v>
      </c>
      <c r="F5" s="220">
        <f t="shared" si="0"/>
        <v>19366</v>
      </c>
      <c r="G5" s="220">
        <f t="shared" si="0"/>
        <v>7705</v>
      </c>
      <c r="H5" s="220">
        <f t="shared" si="0"/>
        <v>5734</v>
      </c>
      <c r="I5" s="220">
        <f t="shared" si="0"/>
        <v>7790</v>
      </c>
      <c r="J5" s="220">
        <f t="shared" si="0"/>
        <v>7790</v>
      </c>
      <c r="K5" s="220"/>
      <c r="L5" s="230">
        <f>SUM(L6:L12)</f>
        <v>12145000</v>
      </c>
      <c r="M5" s="2837">
        <f>SUM(N5-L5)</f>
        <v>0</v>
      </c>
      <c r="N5" s="632">
        <f>SUM(N6:N12)</f>
        <v>12145000</v>
      </c>
      <c r="O5" s="2829">
        <f t="shared" ref="O5:O68" si="1">SUM(P5-N5)</f>
        <v>-711128</v>
      </c>
      <c r="P5" s="632">
        <f>SUM(P6:P12)</f>
        <v>11433872</v>
      </c>
      <c r="Q5" s="3319">
        <f t="shared" ref="Q5:Q68" si="2">SUM(R5-P5)</f>
        <v>0</v>
      </c>
      <c r="R5" s="632">
        <f>SUM(R6:R12)</f>
        <v>11433872</v>
      </c>
      <c r="S5" s="230">
        <f>SUM(S6:S12)</f>
        <v>11073957</v>
      </c>
      <c r="T5" s="344">
        <f>SUM(S5/N5)*100</f>
        <v>91.181202140798675</v>
      </c>
      <c r="U5" s="236"/>
    </row>
    <row r="6" spans="1:40" ht="16.5" x14ac:dyDescent="0.25">
      <c r="A6" s="211"/>
      <c r="B6" s="333"/>
      <c r="C6" s="224" t="s">
        <v>333</v>
      </c>
      <c r="D6" s="55" t="s">
        <v>50</v>
      </c>
      <c r="E6" s="220">
        <v>1000</v>
      </c>
      <c r="F6" s="220">
        <v>13632</v>
      </c>
      <c r="G6" s="220">
        <v>239</v>
      </c>
      <c r="H6" s="220">
        <v>0</v>
      </c>
      <c r="I6" s="220"/>
      <c r="J6" s="220"/>
      <c r="K6" s="220"/>
      <c r="L6" s="220">
        <v>10216000</v>
      </c>
      <c r="M6" s="1359">
        <f t="shared" ref="M6:M68" si="3">SUM(N6-L6)</f>
        <v>1041900</v>
      </c>
      <c r="N6" s="1196">
        <v>11257900</v>
      </c>
      <c r="O6" s="1434">
        <f t="shared" si="1"/>
        <v>-678633</v>
      </c>
      <c r="P6" s="1196">
        <v>10579267</v>
      </c>
      <c r="Q6" s="3320">
        <f t="shared" si="2"/>
        <v>0</v>
      </c>
      <c r="R6" s="1196">
        <v>10579267</v>
      </c>
      <c r="S6" s="233">
        <v>10315860</v>
      </c>
      <c r="T6" s="344">
        <f t="shared" ref="T6:T77" si="4">SUM(S6/N6)*100</f>
        <v>91.632187175228069</v>
      </c>
      <c r="U6" s="236"/>
    </row>
    <row r="7" spans="1:40" ht="16.5" x14ac:dyDescent="0.25">
      <c r="A7" s="211"/>
      <c r="B7" s="333"/>
      <c r="C7" s="224" t="s">
        <v>335</v>
      </c>
      <c r="D7" s="55" t="s">
        <v>414</v>
      </c>
      <c r="E7" s="220">
        <v>5734</v>
      </c>
      <c r="F7" s="220">
        <v>5734</v>
      </c>
      <c r="G7" s="220">
        <v>6234</v>
      </c>
      <c r="H7" s="220">
        <v>5734</v>
      </c>
      <c r="I7" s="220"/>
      <c r="J7" s="220"/>
      <c r="K7" s="220"/>
      <c r="L7" s="220">
        <v>1112000</v>
      </c>
      <c r="M7" s="1355">
        <f t="shared" si="3"/>
        <v>-1112000</v>
      </c>
      <c r="N7" s="344"/>
      <c r="O7" s="1347">
        <f t="shared" si="1"/>
        <v>0</v>
      </c>
      <c r="P7" s="344"/>
      <c r="Q7" s="3321">
        <f t="shared" si="2"/>
        <v>0</v>
      </c>
      <c r="R7" s="344"/>
      <c r="S7" s="220"/>
      <c r="T7" s="344" t="e">
        <f t="shared" si="4"/>
        <v>#DIV/0!</v>
      </c>
      <c r="U7" s="236"/>
    </row>
    <row r="8" spans="1:40" ht="16.5" x14ac:dyDescent="0.25">
      <c r="A8" s="211"/>
      <c r="B8" s="333"/>
      <c r="C8" s="224" t="s">
        <v>336</v>
      </c>
      <c r="D8" s="55" t="s">
        <v>978</v>
      </c>
      <c r="E8" s="220"/>
      <c r="F8" s="220"/>
      <c r="G8" s="220"/>
      <c r="H8" s="220"/>
      <c r="I8" s="220"/>
      <c r="J8" s="220"/>
      <c r="K8" s="220"/>
      <c r="L8" s="220"/>
      <c r="M8" s="1355">
        <f t="shared" si="3"/>
        <v>0</v>
      </c>
      <c r="N8" s="344"/>
      <c r="O8" s="1347">
        <f t="shared" si="1"/>
        <v>0</v>
      </c>
      <c r="P8" s="344"/>
      <c r="Q8" s="3321">
        <f t="shared" si="2"/>
        <v>0</v>
      </c>
      <c r="R8" s="344"/>
      <c r="S8" s="220"/>
      <c r="T8" s="344"/>
      <c r="U8" s="236"/>
      <c r="AD8" s="1327"/>
      <c r="AE8" s="1327"/>
    </row>
    <row r="9" spans="1:40" ht="16.5" x14ac:dyDescent="0.25">
      <c r="A9" s="211"/>
      <c r="B9" s="333"/>
      <c r="C9" s="224" t="s">
        <v>337</v>
      </c>
      <c r="D9" s="55" t="s">
        <v>343</v>
      </c>
      <c r="E9" s="220"/>
      <c r="F9" s="220"/>
      <c r="G9" s="220">
        <v>1232</v>
      </c>
      <c r="H9" s="220">
        <v>0</v>
      </c>
      <c r="I9" s="220">
        <v>7790</v>
      </c>
      <c r="J9" s="220">
        <v>7790</v>
      </c>
      <c r="K9" s="220"/>
      <c r="L9" s="220">
        <v>690000</v>
      </c>
      <c r="M9" s="1355">
        <f t="shared" si="3"/>
        <v>0</v>
      </c>
      <c r="N9" s="344">
        <v>690000</v>
      </c>
      <c r="O9" s="1347">
        <f t="shared" si="1"/>
        <v>-34502</v>
      </c>
      <c r="P9" s="344">
        <v>655498</v>
      </c>
      <c r="Q9" s="3321">
        <f t="shared" si="2"/>
        <v>0</v>
      </c>
      <c r="R9" s="344">
        <v>655498</v>
      </c>
      <c r="S9" s="220">
        <v>558990</v>
      </c>
      <c r="T9" s="344">
        <v>222818</v>
      </c>
      <c r="U9" s="236"/>
    </row>
    <row r="10" spans="1:40" ht="16.5" x14ac:dyDescent="0.25">
      <c r="A10" s="211"/>
      <c r="B10" s="333"/>
      <c r="C10" s="224" t="s">
        <v>338</v>
      </c>
      <c r="D10" s="55" t="s">
        <v>417</v>
      </c>
      <c r="E10" s="220"/>
      <c r="F10" s="220"/>
      <c r="G10" s="220"/>
      <c r="H10" s="220"/>
      <c r="I10" s="220"/>
      <c r="J10" s="220"/>
      <c r="K10" s="220"/>
      <c r="L10" s="220"/>
      <c r="M10" s="1355">
        <f t="shared" si="3"/>
        <v>100</v>
      </c>
      <c r="N10" s="344">
        <v>100</v>
      </c>
      <c r="O10" s="1347">
        <f t="shared" si="1"/>
        <v>-79</v>
      </c>
      <c r="P10" s="344">
        <v>21</v>
      </c>
      <c r="Q10" s="3321">
        <f t="shared" si="2"/>
        <v>0</v>
      </c>
      <c r="R10" s="344">
        <v>21</v>
      </c>
      <c r="S10" s="220">
        <v>21</v>
      </c>
      <c r="T10" s="344"/>
      <c r="U10" s="236"/>
    </row>
    <row r="11" spans="1:40" ht="16.5" x14ac:dyDescent="0.25">
      <c r="A11" s="211"/>
      <c r="B11" s="333"/>
      <c r="C11" s="224" t="s">
        <v>339</v>
      </c>
      <c r="D11" s="55" t="s">
        <v>66</v>
      </c>
      <c r="E11" s="220"/>
      <c r="F11" s="220"/>
      <c r="G11" s="220"/>
      <c r="H11" s="220"/>
      <c r="I11" s="220"/>
      <c r="J11" s="220"/>
      <c r="K11" s="220"/>
      <c r="L11" s="220">
        <v>127000</v>
      </c>
      <c r="M11" s="1355">
        <f t="shared" si="3"/>
        <v>70000</v>
      </c>
      <c r="N11" s="1330">
        <v>197000</v>
      </c>
      <c r="O11" s="1347">
        <f t="shared" si="1"/>
        <v>2086</v>
      </c>
      <c r="P11" s="1330">
        <v>199086</v>
      </c>
      <c r="Q11" s="3321">
        <f t="shared" si="2"/>
        <v>0</v>
      </c>
      <c r="R11" s="1330">
        <v>199086</v>
      </c>
      <c r="S11" s="509">
        <v>199086</v>
      </c>
      <c r="T11" s="344"/>
      <c r="U11" s="236"/>
    </row>
    <row r="12" spans="1:40" s="1270" customFormat="1" ht="16.5" x14ac:dyDescent="0.25">
      <c r="A12" s="1275"/>
      <c r="B12" s="1273"/>
      <c r="C12" s="1274" t="s">
        <v>341</v>
      </c>
      <c r="D12" s="1276" t="s">
        <v>1020</v>
      </c>
      <c r="E12" s="604"/>
      <c r="F12" s="604"/>
      <c r="G12" s="604"/>
      <c r="H12" s="604"/>
      <c r="I12" s="604"/>
      <c r="J12" s="604"/>
      <c r="K12" s="604"/>
      <c r="L12" s="604"/>
      <c r="M12" s="1355">
        <f t="shared" si="3"/>
        <v>0</v>
      </c>
      <c r="N12" s="1197"/>
      <c r="O12" s="1347">
        <f t="shared" si="1"/>
        <v>0</v>
      </c>
      <c r="P12" s="1197"/>
      <c r="Q12" s="3321">
        <f t="shared" si="2"/>
        <v>0</v>
      </c>
      <c r="R12" s="1197"/>
      <c r="S12" s="604">
        <v>0</v>
      </c>
      <c r="T12" s="2170"/>
      <c r="U12" s="1269"/>
      <c r="AN12" s="1271"/>
    </row>
    <row r="13" spans="1:40" ht="15" customHeight="1" x14ac:dyDescent="0.25">
      <c r="A13" s="211"/>
      <c r="B13" s="333"/>
      <c r="C13" s="213" t="s">
        <v>154</v>
      </c>
      <c r="D13" s="2393" t="s">
        <v>501</v>
      </c>
      <c r="E13" s="220">
        <v>0</v>
      </c>
      <c r="F13" s="220">
        <v>0</v>
      </c>
      <c r="G13" s="220"/>
      <c r="H13" s="220"/>
      <c r="I13" s="220"/>
      <c r="J13" s="220"/>
      <c r="K13" s="220"/>
      <c r="L13" s="230"/>
      <c r="M13" s="1355">
        <f t="shared" si="3"/>
        <v>0</v>
      </c>
      <c r="N13" s="3124"/>
      <c r="O13" s="3125">
        <f t="shared" si="1"/>
        <v>0</v>
      </c>
      <c r="P13" s="3124"/>
      <c r="Q13" s="3322">
        <f t="shared" si="2"/>
        <v>0</v>
      </c>
      <c r="R13" s="3124"/>
      <c r="S13" s="3126"/>
      <c r="T13" s="344" t="e">
        <f t="shared" si="4"/>
        <v>#DIV/0!</v>
      </c>
      <c r="U13" s="236"/>
    </row>
    <row r="14" spans="1:40" ht="34.5" customHeight="1" x14ac:dyDescent="0.25">
      <c r="A14" s="211"/>
      <c r="B14" s="333"/>
      <c r="C14" s="213" t="s">
        <v>156</v>
      </c>
      <c r="D14" s="2393" t="s">
        <v>353</v>
      </c>
      <c r="E14" s="220">
        <f>SUM(E15+E21)</f>
        <v>316171</v>
      </c>
      <c r="F14" s="220">
        <f>SUM(F15+F21)</f>
        <v>228060</v>
      </c>
      <c r="G14" s="220">
        <f>SUM(G15+G21)</f>
        <v>330704</v>
      </c>
      <c r="H14" s="220">
        <f>SUM(H15+H21)</f>
        <v>258000</v>
      </c>
      <c r="I14" s="220">
        <f>SUM(I15+I21)</f>
        <v>314568</v>
      </c>
      <c r="J14" s="220">
        <f>SUM(J15+J21)+J22</f>
        <v>339190</v>
      </c>
      <c r="K14" s="220"/>
      <c r="L14" s="230">
        <f>SUM(L15+L21)+L22</f>
        <v>397257000</v>
      </c>
      <c r="M14" s="2837">
        <f t="shared" si="3"/>
        <v>0</v>
      </c>
      <c r="N14" s="230">
        <f>SUM(N15+N21)+N22</f>
        <v>397257000</v>
      </c>
      <c r="O14" s="2829">
        <f t="shared" si="1"/>
        <v>1548200</v>
      </c>
      <c r="P14" s="632">
        <f>SUM(P15+P21)+P22</f>
        <v>398805200</v>
      </c>
      <c r="Q14" s="3319">
        <f t="shared" si="2"/>
        <v>0</v>
      </c>
      <c r="R14" s="632">
        <f>SUM(R15+R21)+R22</f>
        <v>398805200</v>
      </c>
      <c r="S14" s="230">
        <f>SUM(S15+S21)+S22</f>
        <v>398805200</v>
      </c>
      <c r="T14" s="344">
        <f t="shared" si="4"/>
        <v>100.38972252219595</v>
      </c>
      <c r="U14" s="236"/>
    </row>
    <row r="15" spans="1:40" s="218" customFormat="1" ht="30" x14ac:dyDescent="0.25">
      <c r="A15" s="334"/>
      <c r="B15" s="335"/>
      <c r="C15" s="222" t="s">
        <v>354</v>
      </c>
      <c r="D15" s="55" t="s">
        <v>420</v>
      </c>
      <c r="E15" s="221">
        <f t="shared" ref="E15:J15" si="5">SUM(E16:E20)</f>
        <v>212736</v>
      </c>
      <c r="F15" s="221">
        <f t="shared" si="5"/>
        <v>228060</v>
      </c>
      <c r="G15" s="221">
        <f t="shared" si="5"/>
        <v>306934</v>
      </c>
      <c r="H15" s="221">
        <f t="shared" si="5"/>
        <v>258000</v>
      </c>
      <c r="I15" s="221">
        <f t="shared" si="5"/>
        <v>314568</v>
      </c>
      <c r="J15" s="221">
        <f t="shared" si="5"/>
        <v>335156</v>
      </c>
      <c r="K15" s="221"/>
      <c r="L15" s="221">
        <f>SUM(L16)</f>
        <v>397257000</v>
      </c>
      <c r="M15" s="1355">
        <f t="shared" si="3"/>
        <v>0</v>
      </c>
      <c r="N15" s="1198">
        <f>SUM(N16)</f>
        <v>397257000</v>
      </c>
      <c r="O15" s="1347">
        <f t="shared" si="1"/>
        <v>1548200</v>
      </c>
      <c r="P15" s="1198">
        <f>SUM(P16)</f>
        <v>398805200</v>
      </c>
      <c r="Q15" s="3517">
        <f t="shared" si="2"/>
        <v>0</v>
      </c>
      <c r="R15" s="1198">
        <f>SUM(R16)</f>
        <v>398805200</v>
      </c>
      <c r="S15" s="1198">
        <f>SUM(S16)</f>
        <v>398805200</v>
      </c>
      <c r="T15" s="344">
        <f t="shared" si="4"/>
        <v>100.38972252219595</v>
      </c>
      <c r="U15" s="236"/>
      <c r="AN15" s="336"/>
    </row>
    <row r="16" spans="1:40" ht="31.15" customHeight="1" x14ac:dyDescent="0.25">
      <c r="A16" s="211"/>
      <c r="B16" s="333"/>
      <c r="C16" s="224" t="s">
        <v>502</v>
      </c>
      <c r="D16" s="55" t="s">
        <v>422</v>
      </c>
      <c r="E16" s="220">
        <v>212736</v>
      </c>
      <c r="F16" s="220">
        <v>228060</v>
      </c>
      <c r="G16" s="220">
        <v>298911</v>
      </c>
      <c r="H16" s="220">
        <v>258000</v>
      </c>
      <c r="I16" s="220">
        <v>314568</v>
      </c>
      <c r="J16" s="220">
        <v>314568</v>
      </c>
      <c r="K16" s="220"/>
      <c r="L16" s="220">
        <v>397257000</v>
      </c>
      <c r="M16" s="1355">
        <f t="shared" si="3"/>
        <v>0</v>
      </c>
      <c r="N16" s="344">
        <v>397257000</v>
      </c>
      <c r="O16" s="1347">
        <f t="shared" si="1"/>
        <v>1548200</v>
      </c>
      <c r="P16" s="344">
        <v>398805200</v>
      </c>
      <c r="Q16" s="3518">
        <f t="shared" si="2"/>
        <v>0</v>
      </c>
      <c r="R16" s="344">
        <v>398805200</v>
      </c>
      <c r="S16" s="220">
        <v>398805200</v>
      </c>
      <c r="T16" s="344">
        <f t="shared" si="4"/>
        <v>100.38972252219595</v>
      </c>
      <c r="U16" s="236"/>
      <c r="AB16" s="231">
        <f>SUM(J16:J20)</f>
        <v>335156</v>
      </c>
    </row>
    <row r="17" spans="1:28" ht="28.5" x14ac:dyDescent="0.25">
      <c r="A17" s="211"/>
      <c r="B17" s="333"/>
      <c r="C17" s="212" t="s">
        <v>158</v>
      </c>
      <c r="D17" s="1272" t="s">
        <v>1022</v>
      </c>
      <c r="E17" s="220"/>
      <c r="F17" s="220"/>
      <c r="G17" s="220"/>
      <c r="H17" s="220"/>
      <c r="I17" s="220"/>
      <c r="J17" s="220"/>
      <c r="K17" s="220"/>
      <c r="L17" s="230">
        <f>SUM(L18)</f>
        <v>0</v>
      </c>
      <c r="M17" s="1355">
        <f t="shared" si="3"/>
        <v>0</v>
      </c>
      <c r="N17" s="632">
        <f>SUM(N18)</f>
        <v>0</v>
      </c>
      <c r="O17" s="1347">
        <f t="shared" si="1"/>
        <v>0</v>
      </c>
      <c r="P17" s="632">
        <f>SUM(P18)</f>
        <v>0</v>
      </c>
      <c r="Q17" s="3321">
        <f t="shared" si="2"/>
        <v>0</v>
      </c>
      <c r="R17" s="632">
        <f>SUM(R18)</f>
        <v>0</v>
      </c>
      <c r="S17" s="230">
        <f>SUM(S18)</f>
        <v>0</v>
      </c>
      <c r="T17" s="344"/>
      <c r="U17" s="236"/>
      <c r="AB17" s="231"/>
    </row>
    <row r="18" spans="1:28" ht="30" x14ac:dyDescent="0.25">
      <c r="A18" s="211"/>
      <c r="B18" s="333"/>
      <c r="C18" s="224" t="s">
        <v>504</v>
      </c>
      <c r="D18" s="55" t="s">
        <v>1023</v>
      </c>
      <c r="E18" s="220"/>
      <c r="F18" s="220"/>
      <c r="G18" s="220"/>
      <c r="H18" s="220"/>
      <c r="I18" s="220"/>
      <c r="J18" s="220"/>
      <c r="K18" s="220"/>
      <c r="L18" s="220"/>
      <c r="M18" s="1358">
        <f t="shared" si="3"/>
        <v>0</v>
      </c>
      <c r="N18" s="1331"/>
      <c r="O18" s="3125">
        <f t="shared" si="1"/>
        <v>0</v>
      </c>
      <c r="P18" s="1331"/>
      <c r="Q18" s="3322">
        <f t="shared" si="2"/>
        <v>0</v>
      </c>
      <c r="R18" s="1331"/>
      <c r="S18" s="509">
        <v>0</v>
      </c>
      <c r="T18" s="344"/>
      <c r="U18" s="236"/>
      <c r="AB18" s="231"/>
    </row>
    <row r="19" spans="1:28" ht="16.5" x14ac:dyDescent="0.25">
      <c r="A19" s="211"/>
      <c r="B19" s="333"/>
      <c r="C19" s="213" t="s">
        <v>375</v>
      </c>
      <c r="D19" s="2393" t="s">
        <v>503</v>
      </c>
      <c r="E19" s="220"/>
      <c r="F19" s="220"/>
      <c r="G19" s="220"/>
      <c r="H19" s="220"/>
      <c r="I19" s="220"/>
      <c r="J19" s="220"/>
      <c r="K19" s="220"/>
      <c r="L19" s="230">
        <f>SUM(L20)</f>
        <v>18000000</v>
      </c>
      <c r="M19" s="2837">
        <f t="shared" si="3"/>
        <v>39208581</v>
      </c>
      <c r="N19" s="632">
        <f>SUM(N20)</f>
        <v>57208581</v>
      </c>
      <c r="O19" s="2829">
        <f t="shared" si="1"/>
        <v>78899482</v>
      </c>
      <c r="P19" s="632">
        <f>SUM(P20)</f>
        <v>136108063</v>
      </c>
      <c r="Q19" s="3319">
        <f t="shared" si="2"/>
        <v>0</v>
      </c>
      <c r="R19" s="632">
        <f>SUM(R20)</f>
        <v>136108063</v>
      </c>
      <c r="S19" s="230">
        <f>SUM(S20)</f>
        <v>136108063</v>
      </c>
      <c r="T19" s="344">
        <f t="shared" si="4"/>
        <v>237.91546761140606</v>
      </c>
      <c r="U19" s="236"/>
      <c r="AB19" s="231"/>
    </row>
    <row r="20" spans="1:28" ht="16.5" x14ac:dyDescent="0.25">
      <c r="A20" s="211"/>
      <c r="B20" s="333"/>
      <c r="C20" s="224" t="s">
        <v>302</v>
      </c>
      <c r="D20" s="55" t="s">
        <v>1432</v>
      </c>
      <c r="E20" s="220"/>
      <c r="F20" s="220"/>
      <c r="G20" s="220">
        <v>8023</v>
      </c>
      <c r="H20" s="220">
        <v>0</v>
      </c>
      <c r="I20" s="220"/>
      <c r="J20" s="220">
        <v>20588</v>
      </c>
      <c r="K20" s="220"/>
      <c r="L20" s="220">
        <v>18000000</v>
      </c>
      <c r="M20" s="1718">
        <f t="shared" si="3"/>
        <v>39208581</v>
      </c>
      <c r="N20" s="1719">
        <v>57208581</v>
      </c>
      <c r="O20" s="1720">
        <f t="shared" si="1"/>
        <v>78899482</v>
      </c>
      <c r="P20" s="344">
        <v>136108063</v>
      </c>
      <c r="Q20" s="3321">
        <f t="shared" si="2"/>
        <v>0</v>
      </c>
      <c r="R20" s="344">
        <v>136108063</v>
      </c>
      <c r="S20" s="220">
        <v>136108063</v>
      </c>
      <c r="T20" s="344">
        <f t="shared" si="4"/>
        <v>237.91546761140606</v>
      </c>
      <c r="U20" s="236"/>
    </row>
    <row r="21" spans="1:28" ht="16.5" hidden="1" x14ac:dyDescent="0.25">
      <c r="A21" s="211"/>
      <c r="B21" s="333"/>
      <c r="C21" s="224" t="s">
        <v>356</v>
      </c>
      <c r="D21" s="219" t="s">
        <v>506</v>
      </c>
      <c r="E21" s="220">
        <v>103435</v>
      </c>
      <c r="F21" s="220"/>
      <c r="G21" s="220">
        <v>23770</v>
      </c>
      <c r="H21" s="220">
        <v>0</v>
      </c>
      <c r="I21" s="220"/>
      <c r="J21" s="220">
        <v>629</v>
      </c>
      <c r="K21" s="220"/>
      <c r="L21" s="220"/>
      <c r="M21" s="1355">
        <f t="shared" si="3"/>
        <v>0</v>
      </c>
      <c r="N21" s="344"/>
      <c r="O21" s="1347">
        <f t="shared" si="1"/>
        <v>0</v>
      </c>
      <c r="P21" s="344"/>
      <c r="Q21" s="3321">
        <f t="shared" si="2"/>
        <v>0</v>
      </c>
      <c r="R21" s="344"/>
      <c r="S21" s="220"/>
      <c r="T21" s="344" t="e">
        <f t="shared" si="4"/>
        <v>#DIV/0!</v>
      </c>
      <c r="U21" s="236"/>
    </row>
    <row r="22" spans="1:28" ht="16.5" hidden="1" x14ac:dyDescent="0.25">
      <c r="A22" s="211"/>
      <c r="B22" s="333"/>
      <c r="C22" s="224" t="s">
        <v>374</v>
      </c>
      <c r="D22" s="219" t="s">
        <v>507</v>
      </c>
      <c r="E22" s="220"/>
      <c r="F22" s="220"/>
      <c r="G22" s="220"/>
      <c r="H22" s="220"/>
      <c r="I22" s="220"/>
      <c r="J22" s="220">
        <v>3405</v>
      </c>
      <c r="K22" s="220"/>
      <c r="L22" s="220"/>
      <c r="M22" s="1355">
        <f t="shared" si="3"/>
        <v>0</v>
      </c>
      <c r="N22" s="344"/>
      <c r="O22" s="1347">
        <f t="shared" si="1"/>
        <v>0</v>
      </c>
      <c r="P22" s="344"/>
      <c r="Q22" s="3321">
        <f t="shared" si="2"/>
        <v>0</v>
      </c>
      <c r="R22" s="344"/>
      <c r="S22" s="220"/>
      <c r="T22" s="344" t="e">
        <f t="shared" si="4"/>
        <v>#DIV/0!</v>
      </c>
      <c r="U22" s="236"/>
    </row>
    <row r="23" spans="1:28" ht="16.5" hidden="1" x14ac:dyDescent="0.25">
      <c r="A23" s="211"/>
      <c r="B23" s="333"/>
      <c r="C23" s="209" t="s">
        <v>158</v>
      </c>
      <c r="D23" s="219" t="s">
        <v>508</v>
      </c>
      <c r="E23" s="220"/>
      <c r="F23" s="220"/>
      <c r="G23" s="220"/>
      <c r="H23" s="220"/>
      <c r="I23" s="220"/>
      <c r="J23" s="220"/>
      <c r="K23" s="220"/>
      <c r="L23" s="220"/>
      <c r="M23" s="1355">
        <f t="shared" si="3"/>
        <v>0</v>
      </c>
      <c r="N23" s="344"/>
      <c r="O23" s="1347">
        <f t="shared" si="1"/>
        <v>0</v>
      </c>
      <c r="P23" s="344"/>
      <c r="Q23" s="3321">
        <f t="shared" si="2"/>
        <v>0</v>
      </c>
      <c r="R23" s="344"/>
      <c r="S23" s="220"/>
      <c r="T23" s="344" t="e">
        <f t="shared" si="4"/>
        <v>#DIV/0!</v>
      </c>
      <c r="U23" s="236"/>
    </row>
    <row r="24" spans="1:28" s="215" customFormat="1" ht="16.5" x14ac:dyDescent="0.25">
      <c r="A24" s="211"/>
      <c r="B24" s="212"/>
      <c r="C24" s="213" t="s">
        <v>162</v>
      </c>
      <c r="D24" s="2393" t="s">
        <v>434</v>
      </c>
      <c r="E24" s="214"/>
      <c r="F24" s="214"/>
      <c r="G24" s="214"/>
      <c r="H24" s="214"/>
      <c r="I24" s="220"/>
      <c r="J24" s="220">
        <v>24012</v>
      </c>
      <c r="K24" s="220"/>
      <c r="L24" s="230"/>
      <c r="M24" s="2837">
        <f t="shared" si="3"/>
        <v>5019041</v>
      </c>
      <c r="N24" s="632">
        <v>5019041</v>
      </c>
      <c r="O24" s="2829">
        <f t="shared" si="1"/>
        <v>0</v>
      </c>
      <c r="P24" s="632">
        <v>5019041</v>
      </c>
      <c r="Q24" s="3319">
        <f t="shared" si="2"/>
        <v>0</v>
      </c>
      <c r="R24" s="632">
        <v>5019041</v>
      </c>
      <c r="S24" s="230">
        <v>5019041</v>
      </c>
      <c r="T24" s="344">
        <f t="shared" si="4"/>
        <v>100</v>
      </c>
      <c r="U24" s="236"/>
    </row>
    <row r="25" spans="1:28" s="215" customFormat="1" ht="16.5" x14ac:dyDescent="0.25">
      <c r="A25" s="211"/>
      <c r="B25" s="212"/>
      <c r="C25" s="213" t="s">
        <v>164</v>
      </c>
      <c r="D25" s="2393" t="s">
        <v>80</v>
      </c>
      <c r="E25" s="214"/>
      <c r="F25" s="214"/>
      <c r="G25" s="214"/>
      <c r="H25" s="214"/>
      <c r="I25" s="220"/>
      <c r="J25" s="220"/>
      <c r="K25" s="220"/>
      <c r="L25" s="230"/>
      <c r="M25" s="1355">
        <f t="shared" si="3"/>
        <v>100000</v>
      </c>
      <c r="N25" s="632">
        <v>100000</v>
      </c>
      <c r="O25" s="1347">
        <f t="shared" si="1"/>
        <v>0</v>
      </c>
      <c r="P25" s="632">
        <v>100000</v>
      </c>
      <c r="Q25" s="3321">
        <f t="shared" si="2"/>
        <v>0</v>
      </c>
      <c r="R25" s="632">
        <v>100000</v>
      </c>
      <c r="S25" s="230">
        <v>100000</v>
      </c>
      <c r="T25" s="344"/>
      <c r="U25" s="236"/>
    </row>
    <row r="26" spans="1:28" ht="16.5" x14ac:dyDescent="0.25">
      <c r="A26" s="211"/>
      <c r="B26" s="333"/>
      <c r="C26" s="213" t="s">
        <v>166</v>
      </c>
      <c r="D26" s="2393" t="s">
        <v>509</v>
      </c>
      <c r="E26" s="220">
        <v>1434</v>
      </c>
      <c r="F26" s="220">
        <v>1147</v>
      </c>
      <c r="G26" s="220">
        <v>1474</v>
      </c>
      <c r="H26" s="220">
        <v>1147</v>
      </c>
      <c r="I26" s="220"/>
      <c r="J26" s="220"/>
      <c r="K26" s="220"/>
      <c r="L26" s="230"/>
      <c r="M26" s="1355">
        <f t="shared" si="3"/>
        <v>0</v>
      </c>
      <c r="N26" s="632"/>
      <c r="O26" s="1347">
        <f t="shared" si="1"/>
        <v>0</v>
      </c>
      <c r="P26" s="632"/>
      <c r="Q26" s="3321">
        <f t="shared" si="2"/>
        <v>0</v>
      </c>
      <c r="R26" s="632"/>
      <c r="S26" s="230">
        <v>0</v>
      </c>
      <c r="T26" s="344" t="e">
        <f t="shared" si="4"/>
        <v>#DIV/0!</v>
      </c>
      <c r="U26" s="236"/>
    </row>
    <row r="27" spans="1:28" ht="16.5" x14ac:dyDescent="0.25">
      <c r="A27" s="2656"/>
      <c r="B27" s="2657"/>
      <c r="C27" s="2658" t="s">
        <v>168</v>
      </c>
      <c r="D27" s="337" t="s">
        <v>299</v>
      </c>
      <c r="E27" s="338">
        <f>SUM(E5+E14+E13)</f>
        <v>322905</v>
      </c>
      <c r="F27" s="338">
        <f>SUM(F5+F14+F13)</f>
        <v>247426</v>
      </c>
      <c r="G27" s="338">
        <f>SUM(G5+G14+G13)</f>
        <v>338409</v>
      </c>
      <c r="H27" s="338">
        <f>SUM(H5+H14+H13)</f>
        <v>263734</v>
      </c>
      <c r="I27" s="338" t="e">
        <f>SUM(I5+I14+I13+I24+I23+#REF!)+I26</f>
        <v>#REF!</v>
      </c>
      <c r="J27" s="338" t="e">
        <f>SUM(J5+J14+J13+J24+J23+#REF!)+J26</f>
        <v>#REF!</v>
      </c>
      <c r="K27" s="338"/>
      <c r="L27" s="338">
        <f>SUM(L5+L14+L13+L24+L23)+L26+L19</f>
        <v>427402000</v>
      </c>
      <c r="M27" s="1356">
        <f t="shared" si="3"/>
        <v>44327622</v>
      </c>
      <c r="N27" s="1332">
        <f>SUM(N5+N13+N14+N19+N24+N26)+N25+N17</f>
        <v>471729622</v>
      </c>
      <c r="O27" s="1348">
        <f t="shared" si="1"/>
        <v>79736554</v>
      </c>
      <c r="P27" s="1332">
        <f>SUM(P5+P13+P14+P19+P24+P26)+P25+P17</f>
        <v>551466176</v>
      </c>
      <c r="Q27" s="3324">
        <f t="shared" si="2"/>
        <v>0</v>
      </c>
      <c r="R27" s="1332">
        <f>SUM(R5+R13+R14+R19+R24+R26)+R25+R17</f>
        <v>551466176</v>
      </c>
      <c r="S27" s="338">
        <f>SUM(S5+S13+S14+S19+S24+S26)+S25+S17</f>
        <v>551106261</v>
      </c>
      <c r="T27" s="344">
        <f t="shared" si="4"/>
        <v>116.82672346575683</v>
      </c>
      <c r="U27" s="236"/>
    </row>
    <row r="28" spans="1:28" ht="16.5" customHeight="1" x14ac:dyDescent="0.25">
      <c r="A28" s="211"/>
      <c r="B28" s="330" t="s">
        <v>17</v>
      </c>
      <c r="C28" s="234"/>
      <c r="D28" s="4656" t="s">
        <v>231</v>
      </c>
      <c r="E28" s="4656"/>
      <c r="F28" s="4656"/>
      <c r="G28" s="4656"/>
      <c r="H28" s="4656"/>
      <c r="I28" s="220"/>
      <c r="J28" s="220"/>
      <c r="K28" s="220"/>
      <c r="L28" s="220"/>
      <c r="M28" s="1355"/>
      <c r="N28" s="344"/>
      <c r="O28" s="1355"/>
      <c r="P28" s="344"/>
      <c r="Q28" s="3321"/>
      <c r="R28" s="344"/>
      <c r="S28" s="220"/>
      <c r="T28" s="344" t="e">
        <f t="shared" si="4"/>
        <v>#DIV/0!</v>
      </c>
      <c r="U28" s="236"/>
    </row>
    <row r="29" spans="1:28" ht="16.5" customHeight="1" x14ac:dyDescent="0.25">
      <c r="A29" s="211"/>
      <c r="B29" s="330"/>
      <c r="C29" s="213" t="s">
        <v>5</v>
      </c>
      <c r="D29" s="2393" t="s">
        <v>797</v>
      </c>
      <c r="E29" s="332"/>
      <c r="F29" s="332"/>
      <c r="G29" s="332"/>
      <c r="H29" s="332"/>
      <c r="I29" s="220"/>
      <c r="J29" s="220"/>
      <c r="K29" s="220"/>
      <c r="L29" s="230">
        <f>SUM(L30:L32)</f>
        <v>426402000</v>
      </c>
      <c r="M29" s="2837">
        <f t="shared" si="3"/>
        <v>17850794</v>
      </c>
      <c r="N29" s="632">
        <f>SUM(N30:N32)</f>
        <v>444252794</v>
      </c>
      <c r="O29" s="2829">
        <f t="shared" si="1"/>
        <v>51293834</v>
      </c>
      <c r="P29" s="632">
        <f>SUM(P30:P32)</f>
        <v>495546628</v>
      </c>
      <c r="Q29" s="3319">
        <f t="shared" si="2"/>
        <v>0</v>
      </c>
      <c r="R29" s="632">
        <f>SUM(R30:R32)</f>
        <v>495546628</v>
      </c>
      <c r="S29" s="230">
        <f>SUM(S30:S32)</f>
        <v>484683397</v>
      </c>
      <c r="T29" s="344">
        <f t="shared" si="4"/>
        <v>109.1008100671619</v>
      </c>
      <c r="U29" s="236"/>
    </row>
    <row r="30" spans="1:28" ht="16.5" x14ac:dyDescent="0.25">
      <c r="A30" s="211"/>
      <c r="B30" s="333"/>
      <c r="C30" s="234" t="s">
        <v>358</v>
      </c>
      <c r="D30" s="219" t="s">
        <v>370</v>
      </c>
      <c r="E30" s="220">
        <v>79920</v>
      </c>
      <c r="F30" s="220">
        <v>96893</v>
      </c>
      <c r="G30" s="220">
        <v>106622</v>
      </c>
      <c r="H30" s="220">
        <v>102125</v>
      </c>
      <c r="I30" s="220">
        <v>101451</v>
      </c>
      <c r="J30" s="220">
        <v>125346</v>
      </c>
      <c r="K30" s="220"/>
      <c r="L30" s="604">
        <v>192861000</v>
      </c>
      <c r="M30" s="1355">
        <f t="shared" si="3"/>
        <v>8256710</v>
      </c>
      <c r="N30" s="344">
        <v>201117710</v>
      </c>
      <c r="O30" s="1347">
        <f t="shared" si="1"/>
        <v>4640490</v>
      </c>
      <c r="P30" s="344">
        <v>205758200</v>
      </c>
      <c r="Q30" s="3321">
        <f t="shared" si="2"/>
        <v>0</v>
      </c>
      <c r="R30" s="344">
        <v>205758200</v>
      </c>
      <c r="S30" s="220">
        <v>205758200</v>
      </c>
      <c r="T30" s="344">
        <f t="shared" si="4"/>
        <v>102.30735025771725</v>
      </c>
      <c r="U30" s="236"/>
    </row>
    <row r="31" spans="1:28" ht="16.5" x14ac:dyDescent="0.25">
      <c r="A31" s="211"/>
      <c r="B31" s="333"/>
      <c r="C31" s="234" t="s">
        <v>407</v>
      </c>
      <c r="D31" s="219" t="s">
        <v>408</v>
      </c>
      <c r="E31" s="220">
        <v>25137</v>
      </c>
      <c r="F31" s="220">
        <v>29779</v>
      </c>
      <c r="G31" s="220">
        <v>30303</v>
      </c>
      <c r="H31" s="220">
        <v>31407</v>
      </c>
      <c r="I31" s="220">
        <v>31516</v>
      </c>
      <c r="J31" s="220">
        <v>31516</v>
      </c>
      <c r="K31" s="220"/>
      <c r="L31" s="604">
        <v>39701000</v>
      </c>
      <c r="M31" s="1355">
        <f t="shared" si="3"/>
        <v>89916</v>
      </c>
      <c r="N31" s="344">
        <v>39790916</v>
      </c>
      <c r="O31" s="1347">
        <f t="shared" si="1"/>
        <v>4999549</v>
      </c>
      <c r="P31" s="344">
        <v>44790465</v>
      </c>
      <c r="Q31" s="3321">
        <f t="shared" si="2"/>
        <v>0</v>
      </c>
      <c r="R31" s="344">
        <v>44790465</v>
      </c>
      <c r="S31" s="220">
        <v>44790465</v>
      </c>
      <c r="T31" s="344">
        <f t="shared" si="4"/>
        <v>112.56454865226021</v>
      </c>
      <c r="U31" s="236"/>
    </row>
    <row r="32" spans="1:28" ht="16.5" x14ac:dyDescent="0.25">
      <c r="A32" s="211"/>
      <c r="B32" s="333"/>
      <c r="C32" s="234" t="s">
        <v>409</v>
      </c>
      <c r="D32" s="219" t="s">
        <v>240</v>
      </c>
      <c r="E32" s="220">
        <v>115847</v>
      </c>
      <c r="F32" s="220">
        <v>121901</v>
      </c>
      <c r="G32" s="220">
        <v>179188</v>
      </c>
      <c r="H32" s="220">
        <v>131349</v>
      </c>
      <c r="I32" s="220">
        <v>189391</v>
      </c>
      <c r="J32" s="220">
        <v>213501</v>
      </c>
      <c r="K32" s="220"/>
      <c r="L32" s="604">
        <v>193840000</v>
      </c>
      <c r="M32" s="1355">
        <f t="shared" si="3"/>
        <v>9504168</v>
      </c>
      <c r="N32" s="344">
        <v>203344168</v>
      </c>
      <c r="O32" s="1347">
        <f t="shared" si="1"/>
        <v>41653795</v>
      </c>
      <c r="P32" s="344">
        <v>244997963</v>
      </c>
      <c r="Q32" s="3321">
        <f t="shared" si="2"/>
        <v>0</v>
      </c>
      <c r="R32" s="344">
        <v>244997963</v>
      </c>
      <c r="S32" s="220">
        <v>234134732</v>
      </c>
      <c r="T32" s="344">
        <f t="shared" si="4"/>
        <v>115.14209347769442</v>
      </c>
      <c r="U32" s="236"/>
      <c r="X32" s="231" t="e">
        <v>#NAME?</v>
      </c>
    </row>
    <row r="33" spans="1:40" ht="16.5" x14ac:dyDescent="0.25">
      <c r="A33" s="211"/>
      <c r="B33" s="333"/>
      <c r="C33" s="213" t="s">
        <v>7</v>
      </c>
      <c r="D33" s="2393" t="s">
        <v>511</v>
      </c>
      <c r="E33" s="220"/>
      <c r="F33" s="220"/>
      <c r="G33" s="220"/>
      <c r="H33" s="220"/>
      <c r="I33" s="220"/>
      <c r="J33" s="220"/>
      <c r="K33" s="220"/>
      <c r="L33" s="230">
        <f>SUM(L34:L36)</f>
        <v>1000000</v>
      </c>
      <c r="M33" s="2837">
        <f t="shared" si="3"/>
        <v>26476828</v>
      </c>
      <c r="N33" s="632">
        <f>SUM(N34:N36)</f>
        <v>27476828</v>
      </c>
      <c r="O33" s="2829">
        <f t="shared" si="1"/>
        <v>28442720</v>
      </c>
      <c r="P33" s="632">
        <f>SUM(P34:P36)</f>
        <v>55919548</v>
      </c>
      <c r="Q33" s="3319">
        <f t="shared" si="2"/>
        <v>0</v>
      </c>
      <c r="R33" s="632">
        <f>SUM(R34:R36)</f>
        <v>55919548</v>
      </c>
      <c r="S33" s="230">
        <f>SUM(S34:S36)</f>
        <v>21805825</v>
      </c>
      <c r="T33" s="344">
        <f t="shared" si="4"/>
        <v>79.360779926998845</v>
      </c>
      <c r="U33" s="236"/>
      <c r="X33" s="231"/>
    </row>
    <row r="34" spans="1:40" ht="16.5" x14ac:dyDescent="0.25">
      <c r="A34" s="211"/>
      <c r="B34" s="333"/>
      <c r="C34" s="234" t="s">
        <v>512</v>
      </c>
      <c r="D34" s="219" t="s">
        <v>513</v>
      </c>
      <c r="E34" s="220"/>
      <c r="F34" s="220"/>
      <c r="G34" s="220">
        <v>4664</v>
      </c>
      <c r="H34" s="220">
        <v>0</v>
      </c>
      <c r="I34" s="220"/>
      <c r="J34" s="220"/>
      <c r="K34" s="220"/>
      <c r="L34" s="604"/>
      <c r="M34" s="1355">
        <f t="shared" si="3"/>
        <v>10797500</v>
      </c>
      <c r="N34" s="344">
        <v>10797500</v>
      </c>
      <c r="O34" s="1347">
        <f t="shared" si="1"/>
        <v>-4688800</v>
      </c>
      <c r="P34" s="344">
        <v>6108700</v>
      </c>
      <c r="Q34" s="3321">
        <f t="shared" si="2"/>
        <v>0</v>
      </c>
      <c r="R34" s="344">
        <v>6108700</v>
      </c>
      <c r="S34" s="220">
        <v>6108700</v>
      </c>
      <c r="T34" s="344">
        <f t="shared" si="4"/>
        <v>56.575133132669599</v>
      </c>
      <c r="U34" s="236"/>
    </row>
    <row r="35" spans="1:40" ht="16.5" x14ac:dyDescent="0.25">
      <c r="A35" s="211"/>
      <c r="B35" s="333"/>
      <c r="C35" s="234" t="s">
        <v>514</v>
      </c>
      <c r="D35" s="219" t="s">
        <v>515</v>
      </c>
      <c r="E35" s="220">
        <v>103435</v>
      </c>
      <c r="F35" s="220"/>
      <c r="G35" s="220">
        <v>19106</v>
      </c>
      <c r="H35" s="220">
        <v>0</v>
      </c>
      <c r="I35" s="220"/>
      <c r="J35" s="220">
        <v>629</v>
      </c>
      <c r="K35" s="220"/>
      <c r="L35" s="220">
        <v>1000000</v>
      </c>
      <c r="M35" s="1355">
        <f t="shared" si="3"/>
        <v>15679328</v>
      </c>
      <c r="N35" s="344">
        <v>16679328</v>
      </c>
      <c r="O35" s="1347">
        <f t="shared" si="1"/>
        <v>33131520</v>
      </c>
      <c r="P35" s="344">
        <v>49810848</v>
      </c>
      <c r="Q35" s="3321">
        <f t="shared" si="2"/>
        <v>0</v>
      </c>
      <c r="R35" s="344">
        <v>49810848</v>
      </c>
      <c r="S35" s="220">
        <v>15697125</v>
      </c>
      <c r="T35" s="344">
        <f t="shared" si="4"/>
        <v>94.111255561375145</v>
      </c>
      <c r="U35" s="236"/>
    </row>
    <row r="36" spans="1:40" ht="16.5" x14ac:dyDescent="0.25">
      <c r="A36" s="211"/>
      <c r="B36" s="333"/>
      <c r="C36" s="234" t="s">
        <v>516</v>
      </c>
      <c r="D36" s="219" t="s">
        <v>444</v>
      </c>
      <c r="E36" s="220"/>
      <c r="F36" s="220"/>
      <c r="G36" s="220"/>
      <c r="H36" s="220"/>
      <c r="I36" s="220"/>
      <c r="J36" s="220"/>
      <c r="K36" s="220"/>
      <c r="L36" s="220"/>
      <c r="M36" s="1355">
        <f t="shared" si="3"/>
        <v>0</v>
      </c>
      <c r="N36" s="344"/>
      <c r="O36" s="1347">
        <f t="shared" si="1"/>
        <v>0</v>
      </c>
      <c r="P36" s="344"/>
      <c r="Q36" s="3321">
        <f t="shared" si="2"/>
        <v>0</v>
      </c>
      <c r="R36" s="344"/>
      <c r="S36" s="220"/>
      <c r="T36" s="344" t="e">
        <f t="shared" si="4"/>
        <v>#DIV/0!</v>
      </c>
      <c r="U36" s="236"/>
    </row>
    <row r="37" spans="1:40" ht="16.5" x14ac:dyDescent="0.25">
      <c r="A37" s="2656"/>
      <c r="B37" s="2657"/>
      <c r="C37" s="2658"/>
      <c r="D37" s="339" t="s">
        <v>517</v>
      </c>
      <c r="E37" s="338">
        <f t="shared" ref="E37:J37" si="6">SUM(E30:E36)</f>
        <v>324339</v>
      </c>
      <c r="F37" s="338">
        <f t="shared" si="6"/>
        <v>248573</v>
      </c>
      <c r="G37" s="338">
        <f t="shared" si="6"/>
        <v>339883</v>
      </c>
      <c r="H37" s="338">
        <f t="shared" si="6"/>
        <v>264881</v>
      </c>
      <c r="I37" s="338">
        <f t="shared" si="6"/>
        <v>322358</v>
      </c>
      <c r="J37" s="338">
        <f t="shared" si="6"/>
        <v>370992</v>
      </c>
      <c r="K37" s="338"/>
      <c r="L37" s="338">
        <f>SUM(L29+L33)</f>
        <v>427402000</v>
      </c>
      <c r="M37" s="1356">
        <f t="shared" si="3"/>
        <v>44327622</v>
      </c>
      <c r="N37" s="1332">
        <f>SUM(N29+N33)</f>
        <v>471729622</v>
      </c>
      <c r="O37" s="1348">
        <f t="shared" si="1"/>
        <v>79736554</v>
      </c>
      <c r="P37" s="1332">
        <f>SUM(P29+P33)</f>
        <v>551466176</v>
      </c>
      <c r="Q37" s="3324">
        <f t="shared" si="2"/>
        <v>0</v>
      </c>
      <c r="R37" s="1332">
        <f>SUM(R29+R33)</f>
        <v>551466176</v>
      </c>
      <c r="S37" s="338">
        <f>SUM(S29+S33)</f>
        <v>506489222</v>
      </c>
      <c r="T37" s="344">
        <f t="shared" si="4"/>
        <v>107.36854299134939</v>
      </c>
      <c r="U37" s="236"/>
    </row>
    <row r="38" spans="1:40" ht="16.5" x14ac:dyDescent="0.25">
      <c r="A38" s="211"/>
      <c r="B38" s="330" t="s">
        <v>31</v>
      </c>
      <c r="C38" s="210"/>
      <c r="D38" s="340" t="s">
        <v>518</v>
      </c>
      <c r="E38" s="341">
        <v>53.5</v>
      </c>
      <c r="F38" s="239">
        <v>58</v>
      </c>
      <c r="G38" s="239">
        <v>58</v>
      </c>
      <c r="H38" s="239">
        <v>58</v>
      </c>
      <c r="I38" s="239">
        <v>62</v>
      </c>
      <c r="J38" s="239">
        <v>62</v>
      </c>
      <c r="K38" s="239"/>
      <c r="L38" s="239">
        <v>84</v>
      </c>
      <c r="M38" s="1355">
        <f t="shared" si="3"/>
        <v>0</v>
      </c>
      <c r="N38" s="1200">
        <v>84</v>
      </c>
      <c r="O38" s="1347">
        <f t="shared" si="1"/>
        <v>0</v>
      </c>
      <c r="P38" s="1200">
        <v>84</v>
      </c>
      <c r="Q38" s="3321">
        <f t="shared" si="2"/>
        <v>0</v>
      </c>
      <c r="R38" s="1200">
        <v>84</v>
      </c>
      <c r="S38" s="239">
        <v>84</v>
      </c>
      <c r="T38" s="344">
        <f t="shared" si="4"/>
        <v>100</v>
      </c>
      <c r="U38" s="236"/>
    </row>
    <row r="39" spans="1:40" ht="22.5" customHeight="1" x14ac:dyDescent="0.3">
      <c r="A39" s="329"/>
      <c r="B39" s="330"/>
      <c r="C39" s="209"/>
      <c r="D39" s="342" t="s">
        <v>849</v>
      </c>
      <c r="E39" s="343"/>
      <c r="F39" s="343"/>
      <c r="G39" s="343"/>
      <c r="H39" s="343"/>
      <c r="I39" s="344"/>
      <c r="J39" s="344"/>
      <c r="K39" s="344"/>
      <c r="L39" s="344"/>
      <c r="M39" s="1718"/>
      <c r="N39" s="344"/>
      <c r="O39" s="1718"/>
      <c r="P39" s="344"/>
      <c r="Q39" s="615"/>
      <c r="R39" s="344"/>
      <c r="S39" s="344"/>
      <c r="T39" s="344" t="e">
        <f t="shared" si="4"/>
        <v>#DIV/0!</v>
      </c>
      <c r="U39" s="236"/>
    </row>
    <row r="40" spans="1:40" ht="16.5" customHeight="1" x14ac:dyDescent="0.25">
      <c r="A40" s="211"/>
      <c r="B40" s="330" t="s">
        <v>3</v>
      </c>
      <c r="C40" s="224"/>
      <c r="D40" s="4656" t="s">
        <v>230</v>
      </c>
      <c r="E40" s="4656"/>
      <c r="F40" s="4656"/>
      <c r="G40" s="4656"/>
      <c r="H40" s="4656"/>
      <c r="I40" s="220"/>
      <c r="J40" s="220"/>
      <c r="K40" s="220"/>
      <c r="L40" s="220"/>
      <c r="M40" s="1718"/>
      <c r="N40" s="344"/>
      <c r="O40" s="1718"/>
      <c r="P40" s="344"/>
      <c r="Q40" s="3321"/>
      <c r="R40" s="344"/>
      <c r="S40" s="220"/>
      <c r="T40" s="344" t="e">
        <f t="shared" si="4"/>
        <v>#DIV/0!</v>
      </c>
      <c r="U40" s="236"/>
    </row>
    <row r="41" spans="1:40" ht="16.5" x14ac:dyDescent="0.25">
      <c r="A41" s="211"/>
      <c r="B41" s="333"/>
      <c r="C41" s="213" t="s">
        <v>152</v>
      </c>
      <c r="D41" s="2393" t="s">
        <v>46</v>
      </c>
      <c r="E41" s="220"/>
      <c r="F41" s="220"/>
      <c r="G41" s="220">
        <v>0</v>
      </c>
      <c r="H41" s="220">
        <v>0</v>
      </c>
      <c r="I41" s="220"/>
      <c r="J41" s="220"/>
      <c r="K41" s="220"/>
      <c r="L41" s="230"/>
      <c r="M41" s="2837">
        <f t="shared" si="3"/>
        <v>0</v>
      </c>
      <c r="N41" s="632"/>
      <c r="O41" s="2829">
        <f t="shared" si="1"/>
        <v>0</v>
      </c>
      <c r="P41" s="632"/>
      <c r="Q41" s="3319"/>
      <c r="R41" s="632"/>
      <c r="S41" s="230"/>
      <c r="T41" s="344" t="e">
        <f t="shared" si="4"/>
        <v>#DIV/0!</v>
      </c>
      <c r="U41" s="236"/>
    </row>
    <row r="42" spans="1:40" ht="15" customHeight="1" x14ac:dyDescent="0.25">
      <c r="A42" s="211"/>
      <c r="B42" s="333"/>
      <c r="C42" s="209" t="s">
        <v>154</v>
      </c>
      <c r="D42" s="2393" t="s">
        <v>501</v>
      </c>
      <c r="E42" s="220">
        <v>0</v>
      </c>
      <c r="F42" s="220">
        <v>0</v>
      </c>
      <c r="G42" s="220">
        <v>0</v>
      </c>
      <c r="H42" s="220"/>
      <c r="I42" s="220"/>
      <c r="J42" s="220"/>
      <c r="K42" s="220"/>
      <c r="L42" s="230"/>
      <c r="M42" s="2837">
        <f t="shared" si="3"/>
        <v>0</v>
      </c>
      <c r="N42" s="632"/>
      <c r="O42" s="2829">
        <f t="shared" si="1"/>
        <v>0</v>
      </c>
      <c r="P42" s="632"/>
      <c r="Q42" s="3319"/>
      <c r="R42" s="632"/>
      <c r="S42" s="230"/>
      <c r="T42" s="344" t="e">
        <f t="shared" si="4"/>
        <v>#DIV/0!</v>
      </c>
      <c r="U42" s="236"/>
    </row>
    <row r="43" spans="1:40" ht="28.5" x14ac:dyDescent="0.25">
      <c r="A43" s="211"/>
      <c r="B43" s="333"/>
      <c r="C43" s="209" t="s">
        <v>156</v>
      </c>
      <c r="D43" s="2393" t="s">
        <v>353</v>
      </c>
      <c r="E43" s="220">
        <f t="shared" ref="E43:J43" si="7">SUM(E44+E49)</f>
        <v>26828</v>
      </c>
      <c r="F43" s="220">
        <f t="shared" si="7"/>
        <v>27295</v>
      </c>
      <c r="G43" s="220">
        <f t="shared" si="7"/>
        <v>27490</v>
      </c>
      <c r="H43" s="220">
        <f t="shared" si="7"/>
        <v>39865</v>
      </c>
      <c r="I43" s="220">
        <f t="shared" si="7"/>
        <v>45192</v>
      </c>
      <c r="J43" s="220">
        <f t="shared" si="7"/>
        <v>45192</v>
      </c>
      <c r="K43" s="220"/>
      <c r="L43" s="230">
        <f>SUM(L44+L49)</f>
        <v>19230000</v>
      </c>
      <c r="M43" s="2837">
        <f t="shared" si="3"/>
        <v>0</v>
      </c>
      <c r="N43" s="632">
        <f>SUM(N44+N49)</f>
        <v>19230000</v>
      </c>
      <c r="O43" s="2829">
        <f t="shared" si="1"/>
        <v>96500</v>
      </c>
      <c r="P43" s="632">
        <f>SUM(P44+P49)</f>
        <v>19326500</v>
      </c>
      <c r="Q43" s="3319">
        <f>SUM(R43-P43)</f>
        <v>0</v>
      </c>
      <c r="R43" s="632">
        <f>SUM(R44+R49)</f>
        <v>19326500</v>
      </c>
      <c r="S43" s="632">
        <f>SUM(S44+S49)</f>
        <v>19326500</v>
      </c>
      <c r="T43" s="344">
        <f t="shared" si="4"/>
        <v>100.5018200728029</v>
      </c>
      <c r="U43" s="236"/>
    </row>
    <row r="44" spans="1:40" s="218" customFormat="1" ht="30" x14ac:dyDescent="0.25">
      <c r="A44" s="334"/>
      <c r="B44" s="335"/>
      <c r="C44" s="222" t="s">
        <v>354</v>
      </c>
      <c r="D44" s="55" t="s">
        <v>420</v>
      </c>
      <c r="E44" s="221">
        <f t="shared" ref="E44:J44" si="8">SUM(E45:E47)</f>
        <v>26828</v>
      </c>
      <c r="F44" s="221">
        <f t="shared" si="8"/>
        <v>27295</v>
      </c>
      <c r="G44" s="221">
        <f t="shared" si="8"/>
        <v>27490</v>
      </c>
      <c r="H44" s="221">
        <f t="shared" si="8"/>
        <v>39865</v>
      </c>
      <c r="I44" s="221">
        <f t="shared" si="8"/>
        <v>45192</v>
      </c>
      <c r="J44" s="221">
        <f t="shared" si="8"/>
        <v>45085</v>
      </c>
      <c r="K44" s="221"/>
      <c r="L44" s="221">
        <f>SUM(L45)</f>
        <v>19230000</v>
      </c>
      <c r="M44" s="2853">
        <f t="shared" si="3"/>
        <v>0</v>
      </c>
      <c r="N44" s="1198">
        <f>SUM(N45)</f>
        <v>19230000</v>
      </c>
      <c r="O44" s="1347">
        <f t="shared" si="1"/>
        <v>96500</v>
      </c>
      <c r="P44" s="1198">
        <f>SUM(P45)</f>
        <v>19326500</v>
      </c>
      <c r="Q44" s="3517">
        <f t="shared" si="2"/>
        <v>0</v>
      </c>
      <c r="R44" s="1198">
        <f>SUM(R45)</f>
        <v>19326500</v>
      </c>
      <c r="S44" s="1198">
        <f>SUM(S45)</f>
        <v>19326500</v>
      </c>
      <c r="T44" s="344">
        <f t="shared" si="4"/>
        <v>100.5018200728029</v>
      </c>
      <c r="U44" s="236"/>
      <c r="AN44" s="336"/>
    </row>
    <row r="45" spans="1:40" ht="27.75" customHeight="1" x14ac:dyDescent="0.25">
      <c r="A45" s="211"/>
      <c r="B45" s="333"/>
      <c r="C45" s="224" t="s">
        <v>502</v>
      </c>
      <c r="D45" s="55" t="s">
        <v>422</v>
      </c>
      <c r="E45" s="220">
        <v>20148</v>
      </c>
      <c r="F45" s="220">
        <v>20615</v>
      </c>
      <c r="G45" s="220">
        <v>20615</v>
      </c>
      <c r="H45" s="220">
        <v>30410</v>
      </c>
      <c r="I45" s="220">
        <v>27760</v>
      </c>
      <c r="J45" s="220">
        <v>27760</v>
      </c>
      <c r="K45" s="220"/>
      <c r="L45" s="220">
        <v>19230000</v>
      </c>
      <c r="M45" s="1718">
        <f t="shared" si="3"/>
        <v>0</v>
      </c>
      <c r="N45" s="344">
        <v>19230000</v>
      </c>
      <c r="O45" s="1347">
        <f t="shared" si="1"/>
        <v>96500</v>
      </c>
      <c r="P45" s="344">
        <v>19326500</v>
      </c>
      <c r="Q45" s="3321">
        <f t="shared" si="2"/>
        <v>0</v>
      </c>
      <c r="R45" s="344">
        <v>19326500</v>
      </c>
      <c r="S45" s="220">
        <v>19326500</v>
      </c>
      <c r="T45" s="344">
        <f t="shared" si="4"/>
        <v>100.5018200728029</v>
      </c>
      <c r="U45" s="236"/>
    </row>
    <row r="46" spans="1:40" ht="16.5" x14ac:dyDescent="0.25">
      <c r="A46" s="211"/>
      <c r="B46" s="333"/>
      <c r="C46" s="213" t="s">
        <v>158</v>
      </c>
      <c r="D46" s="2393" t="s">
        <v>503</v>
      </c>
      <c r="E46" s="220"/>
      <c r="F46" s="220"/>
      <c r="G46" s="220"/>
      <c r="H46" s="220"/>
      <c r="I46" s="220"/>
      <c r="J46" s="220"/>
      <c r="K46" s="220"/>
      <c r="L46" s="230">
        <f>SUM(L47)</f>
        <v>18000000</v>
      </c>
      <c r="M46" s="2837">
        <f t="shared" si="3"/>
        <v>0</v>
      </c>
      <c r="N46" s="632">
        <f>SUM(N47)</f>
        <v>18000000</v>
      </c>
      <c r="O46" s="2829">
        <f t="shared" si="1"/>
        <v>5017487</v>
      </c>
      <c r="P46" s="632">
        <f>SUM(P47)</f>
        <v>23017487</v>
      </c>
      <c r="Q46" s="3319">
        <f t="shared" si="2"/>
        <v>0</v>
      </c>
      <c r="R46" s="632">
        <f>SUM(R47)</f>
        <v>23017487</v>
      </c>
      <c r="S46" s="230">
        <f>SUM(S47)</f>
        <v>23017487</v>
      </c>
      <c r="T46" s="344">
        <f t="shared" si="4"/>
        <v>127.87492777777778</v>
      </c>
      <c r="U46" s="236"/>
    </row>
    <row r="47" spans="1:40" ht="16.5" x14ac:dyDescent="0.25">
      <c r="A47" s="211"/>
      <c r="B47" s="333"/>
      <c r="C47" s="224" t="s">
        <v>504</v>
      </c>
      <c r="D47" s="55" t="s">
        <v>1434</v>
      </c>
      <c r="E47" s="220">
        <v>6680</v>
      </c>
      <c r="F47" s="220">
        <v>6680</v>
      </c>
      <c r="G47" s="220">
        <v>6875</v>
      </c>
      <c r="H47" s="220">
        <v>9455</v>
      </c>
      <c r="I47" s="220">
        <v>17432</v>
      </c>
      <c r="J47" s="220">
        <v>17325</v>
      </c>
      <c r="K47" s="220"/>
      <c r="L47" s="220">
        <v>18000000</v>
      </c>
      <c r="M47" s="1355">
        <f t="shared" si="3"/>
        <v>0</v>
      </c>
      <c r="N47" s="344">
        <v>18000000</v>
      </c>
      <c r="O47" s="1347">
        <f t="shared" si="1"/>
        <v>5017487</v>
      </c>
      <c r="P47" s="344">
        <v>23017487</v>
      </c>
      <c r="Q47" s="3321">
        <f t="shared" si="2"/>
        <v>0</v>
      </c>
      <c r="R47" s="344">
        <v>23017487</v>
      </c>
      <c r="S47" s="220">
        <v>23017487</v>
      </c>
      <c r="T47" s="344">
        <f t="shared" si="4"/>
        <v>127.87492777777778</v>
      </c>
      <c r="U47" s="236"/>
    </row>
    <row r="48" spans="1:40" ht="16.5" x14ac:dyDescent="0.25">
      <c r="A48" s="211"/>
      <c r="B48" s="333"/>
      <c r="C48" s="213" t="s">
        <v>375</v>
      </c>
      <c r="D48" s="2393" t="s">
        <v>434</v>
      </c>
      <c r="E48" s="220"/>
      <c r="F48" s="220"/>
      <c r="G48" s="220"/>
      <c r="H48" s="220"/>
      <c r="I48" s="220"/>
      <c r="J48" s="220"/>
      <c r="K48" s="220"/>
      <c r="L48" s="230"/>
      <c r="M48" s="1355">
        <f t="shared" si="3"/>
        <v>0</v>
      </c>
      <c r="N48" s="632"/>
      <c r="O48" s="2829">
        <f t="shared" si="1"/>
        <v>0</v>
      </c>
      <c r="P48" s="632"/>
      <c r="Q48" s="3319">
        <f t="shared" si="2"/>
        <v>0</v>
      </c>
      <c r="R48" s="632"/>
      <c r="S48" s="230"/>
      <c r="T48" s="344" t="e">
        <f t="shared" si="4"/>
        <v>#DIV/0!</v>
      </c>
      <c r="U48" s="236"/>
    </row>
    <row r="49" spans="1:21" ht="16.5" x14ac:dyDescent="0.25">
      <c r="A49" s="211"/>
      <c r="B49" s="333"/>
      <c r="C49" s="213" t="s">
        <v>162</v>
      </c>
      <c r="D49" s="2393" t="s">
        <v>509</v>
      </c>
      <c r="E49" s="220"/>
      <c r="F49" s="220"/>
      <c r="G49" s="220"/>
      <c r="H49" s="220"/>
      <c r="I49" s="220"/>
      <c r="J49" s="220">
        <v>107</v>
      </c>
      <c r="K49" s="220"/>
      <c r="L49" s="220"/>
      <c r="M49" s="1355">
        <f t="shared" si="3"/>
        <v>0</v>
      </c>
      <c r="N49" s="344"/>
      <c r="O49" s="1347">
        <f t="shared" si="1"/>
        <v>0</v>
      </c>
      <c r="P49" s="344"/>
      <c r="Q49" s="3321">
        <f t="shared" si="2"/>
        <v>0</v>
      </c>
      <c r="R49" s="344"/>
      <c r="S49" s="220"/>
      <c r="T49" s="344" t="e">
        <f t="shared" si="4"/>
        <v>#DIV/0!</v>
      </c>
      <c r="U49" s="236"/>
    </row>
    <row r="50" spans="1:21" ht="16.5" x14ac:dyDescent="0.25">
      <c r="A50" s="2656"/>
      <c r="B50" s="2657"/>
      <c r="C50" s="2658" t="s">
        <v>510</v>
      </c>
      <c r="D50" s="337" t="s">
        <v>299</v>
      </c>
      <c r="E50" s="338">
        <f t="shared" ref="E50:J50" si="9">SUM(E41+E43+E42)</f>
        <v>26828</v>
      </c>
      <c r="F50" s="338">
        <f t="shared" si="9"/>
        <v>27295</v>
      </c>
      <c r="G50" s="338">
        <f t="shared" si="9"/>
        <v>27490</v>
      </c>
      <c r="H50" s="338">
        <f t="shared" si="9"/>
        <v>39865</v>
      </c>
      <c r="I50" s="338">
        <f t="shared" si="9"/>
        <v>45192</v>
      </c>
      <c r="J50" s="338">
        <f t="shared" si="9"/>
        <v>45192</v>
      </c>
      <c r="K50" s="338"/>
      <c r="L50" s="338">
        <f>SUM(L41+L43+L42)+L46</f>
        <v>37230000</v>
      </c>
      <c r="M50" s="1356">
        <f t="shared" si="3"/>
        <v>0</v>
      </c>
      <c r="N50" s="1332">
        <f>SUM(N41+N43+N42)+N46</f>
        <v>37230000</v>
      </c>
      <c r="O50" s="1348">
        <f t="shared" si="1"/>
        <v>5113987</v>
      </c>
      <c r="P50" s="1332">
        <f>SUM(P41+P43+P42)+P46</f>
        <v>42343987</v>
      </c>
      <c r="Q50" s="3324">
        <f t="shared" si="2"/>
        <v>0</v>
      </c>
      <c r="R50" s="1332">
        <f>SUM(R41+R43+R42)+R46</f>
        <v>42343987</v>
      </c>
      <c r="S50" s="338">
        <f>SUM(S41+S43+S42)+S46</f>
        <v>42343987</v>
      </c>
      <c r="T50" s="344">
        <f t="shared" si="4"/>
        <v>113.73619930163848</v>
      </c>
      <c r="U50" s="236"/>
    </row>
    <row r="51" spans="1:21" ht="16.5" customHeight="1" x14ac:dyDescent="0.25">
      <c r="A51" s="211"/>
      <c r="B51" s="330" t="s">
        <v>17</v>
      </c>
      <c r="C51" s="234"/>
      <c r="D51" s="4656" t="s">
        <v>231</v>
      </c>
      <c r="E51" s="4656"/>
      <c r="F51" s="4656"/>
      <c r="G51" s="4656"/>
      <c r="H51" s="4656"/>
      <c r="I51" s="220"/>
      <c r="J51" s="220"/>
      <c r="K51" s="220"/>
      <c r="L51" s="220"/>
      <c r="M51" s="1355"/>
      <c r="N51" s="344"/>
      <c r="O51" s="1355"/>
      <c r="P51" s="344"/>
      <c r="Q51" s="3321"/>
      <c r="R51" s="344"/>
      <c r="S51" s="220"/>
      <c r="T51" s="344" t="e">
        <f t="shared" si="4"/>
        <v>#DIV/0!</v>
      </c>
      <c r="U51" s="236"/>
    </row>
    <row r="52" spans="1:21" ht="16.5" customHeight="1" x14ac:dyDescent="0.25">
      <c r="A52" s="211"/>
      <c r="B52" s="330"/>
      <c r="C52" s="213" t="s">
        <v>5</v>
      </c>
      <c r="D52" s="2393" t="s">
        <v>797</v>
      </c>
      <c r="E52" s="332"/>
      <c r="F52" s="332"/>
      <c r="G52" s="332"/>
      <c r="H52" s="332"/>
      <c r="I52" s="220"/>
      <c r="J52" s="220"/>
      <c r="K52" s="220"/>
      <c r="L52" s="230">
        <f>SUM(L53:L55)</f>
        <v>36730000</v>
      </c>
      <c r="M52" s="2837">
        <f t="shared" si="3"/>
        <v>0</v>
      </c>
      <c r="N52" s="632">
        <f>SUM(N53:N55)</f>
        <v>36730000</v>
      </c>
      <c r="O52" s="2829">
        <f t="shared" si="1"/>
        <v>5457441</v>
      </c>
      <c r="P52" s="632">
        <f>SUM(P53:P55)</f>
        <v>42187441</v>
      </c>
      <c r="Q52" s="3319">
        <f t="shared" si="2"/>
        <v>0</v>
      </c>
      <c r="R52" s="632">
        <f>SUM(R53:R55)</f>
        <v>42187441</v>
      </c>
      <c r="S52" s="230">
        <f>SUM(S53:S55)</f>
        <v>42187441</v>
      </c>
      <c r="T52" s="344">
        <f t="shared" si="4"/>
        <v>114.85826572284236</v>
      </c>
      <c r="U52" s="236"/>
    </row>
    <row r="53" spans="1:21" ht="16.5" x14ac:dyDescent="0.25">
      <c r="A53" s="211"/>
      <c r="B53" s="333"/>
      <c r="C53" s="234" t="s">
        <v>358</v>
      </c>
      <c r="D53" s="219" t="s">
        <v>370</v>
      </c>
      <c r="E53" s="220">
        <v>1920</v>
      </c>
      <c r="F53" s="220">
        <v>2160</v>
      </c>
      <c r="G53" s="220">
        <v>2201</v>
      </c>
      <c r="H53" s="220">
        <v>10611</v>
      </c>
      <c r="I53" s="220">
        <v>8039</v>
      </c>
      <c r="J53" s="220">
        <v>8039</v>
      </c>
      <c r="K53" s="220"/>
      <c r="L53" s="220">
        <v>5623000</v>
      </c>
      <c r="M53" s="1355">
        <f t="shared" si="3"/>
        <v>0</v>
      </c>
      <c r="N53" s="344">
        <v>5623000</v>
      </c>
      <c r="O53" s="1347">
        <f t="shared" si="1"/>
        <v>318800</v>
      </c>
      <c r="P53" s="344">
        <v>5941800</v>
      </c>
      <c r="Q53" s="3321">
        <f t="shared" si="2"/>
        <v>0</v>
      </c>
      <c r="R53" s="344">
        <v>5941800</v>
      </c>
      <c r="S53" s="220">
        <v>5941800</v>
      </c>
      <c r="T53" s="344">
        <f t="shared" si="4"/>
        <v>105.66957140316558</v>
      </c>
      <c r="U53" s="236"/>
    </row>
    <row r="54" spans="1:21" ht="16.5" x14ac:dyDescent="0.25">
      <c r="A54" s="211"/>
      <c r="B54" s="333"/>
      <c r="C54" s="234" t="s">
        <v>407</v>
      </c>
      <c r="D54" s="219" t="s">
        <v>408</v>
      </c>
      <c r="E54" s="220">
        <v>615</v>
      </c>
      <c r="F54" s="220">
        <v>691</v>
      </c>
      <c r="G54" s="220">
        <v>704</v>
      </c>
      <c r="H54" s="220">
        <v>3291</v>
      </c>
      <c r="I54" s="220">
        <v>2083</v>
      </c>
      <c r="J54" s="220">
        <v>2083</v>
      </c>
      <c r="K54" s="220"/>
      <c r="L54" s="220">
        <v>1096000</v>
      </c>
      <c r="M54" s="1355">
        <f t="shared" si="3"/>
        <v>0</v>
      </c>
      <c r="N54" s="344">
        <v>1096000</v>
      </c>
      <c r="O54" s="1347">
        <f t="shared" si="1"/>
        <v>-88393</v>
      </c>
      <c r="P54" s="344">
        <v>1007607</v>
      </c>
      <c r="Q54" s="3321">
        <f t="shared" si="2"/>
        <v>0</v>
      </c>
      <c r="R54" s="344">
        <v>1007607</v>
      </c>
      <c r="S54" s="220">
        <v>1007607</v>
      </c>
      <c r="T54" s="344">
        <f t="shared" si="4"/>
        <v>91.93494525547446</v>
      </c>
      <c r="U54" s="236"/>
    </row>
    <row r="55" spans="1:21" ht="16.5" x14ac:dyDescent="0.25">
      <c r="A55" s="211"/>
      <c r="B55" s="333"/>
      <c r="C55" s="234" t="s">
        <v>409</v>
      </c>
      <c r="D55" s="219" t="s">
        <v>240</v>
      </c>
      <c r="E55" s="220">
        <v>24293</v>
      </c>
      <c r="F55" s="220">
        <v>24444</v>
      </c>
      <c r="G55" s="220">
        <v>24585</v>
      </c>
      <c r="H55" s="220">
        <v>25963</v>
      </c>
      <c r="I55" s="220">
        <v>35070</v>
      </c>
      <c r="J55" s="220">
        <v>34963</v>
      </c>
      <c r="K55" s="220"/>
      <c r="L55" s="220">
        <v>30011000</v>
      </c>
      <c r="M55" s="1355">
        <f t="shared" si="3"/>
        <v>0</v>
      </c>
      <c r="N55" s="344">
        <v>30011000</v>
      </c>
      <c r="O55" s="1347">
        <f t="shared" si="1"/>
        <v>5227034</v>
      </c>
      <c r="P55" s="344">
        <v>35238034</v>
      </c>
      <c r="Q55" s="3321">
        <f t="shared" si="2"/>
        <v>0</v>
      </c>
      <c r="R55" s="344">
        <v>35238034</v>
      </c>
      <c r="S55" s="220">
        <v>35238034</v>
      </c>
      <c r="T55" s="344">
        <f t="shared" si="4"/>
        <v>117.41706041118256</v>
      </c>
      <c r="U55" s="236"/>
    </row>
    <row r="56" spans="1:21" ht="16.5" x14ac:dyDescent="0.25">
      <c r="A56" s="211"/>
      <c r="B56" s="333"/>
      <c r="C56" s="213" t="s">
        <v>7</v>
      </c>
      <c r="D56" s="2393" t="s">
        <v>511</v>
      </c>
      <c r="E56" s="220"/>
      <c r="F56" s="220"/>
      <c r="G56" s="220"/>
      <c r="H56" s="220"/>
      <c r="I56" s="220"/>
      <c r="J56" s="220"/>
      <c r="K56" s="220"/>
      <c r="L56" s="230">
        <f>SUM(L57:L59)</f>
        <v>500000</v>
      </c>
      <c r="M56" s="2837">
        <f t="shared" si="3"/>
        <v>0</v>
      </c>
      <c r="N56" s="632">
        <f>SUM(N57:N59)</f>
        <v>500000</v>
      </c>
      <c r="O56" s="2829">
        <f t="shared" si="1"/>
        <v>-343454</v>
      </c>
      <c r="P56" s="632">
        <f>SUM(P57:P59)</f>
        <v>156546</v>
      </c>
      <c r="Q56" s="3319">
        <f t="shared" si="2"/>
        <v>0</v>
      </c>
      <c r="R56" s="632">
        <f>SUM(R57:R59)</f>
        <v>156546</v>
      </c>
      <c r="S56" s="230">
        <f>SUM(S57:S59)</f>
        <v>156546</v>
      </c>
      <c r="T56" s="344">
        <f t="shared" si="4"/>
        <v>31.309199999999997</v>
      </c>
      <c r="U56" s="236"/>
    </row>
    <row r="57" spans="1:21" ht="16.5" x14ac:dyDescent="0.25">
      <c r="A57" s="211"/>
      <c r="B57" s="333"/>
      <c r="C57" s="234" t="s">
        <v>512</v>
      </c>
      <c r="D57" s="219" t="s">
        <v>513</v>
      </c>
      <c r="E57" s="220"/>
      <c r="F57" s="220"/>
      <c r="G57" s="220"/>
      <c r="H57" s="220"/>
      <c r="I57" s="220"/>
      <c r="J57" s="220"/>
      <c r="K57" s="220"/>
      <c r="L57" s="220"/>
      <c r="M57" s="1355">
        <f t="shared" si="3"/>
        <v>0</v>
      </c>
      <c r="N57" s="344"/>
      <c r="O57" s="1347">
        <f t="shared" si="1"/>
        <v>0</v>
      </c>
      <c r="P57" s="344"/>
      <c r="Q57" s="3321">
        <f t="shared" si="2"/>
        <v>0</v>
      </c>
      <c r="R57" s="344"/>
      <c r="S57" s="220"/>
      <c r="T57" s="344" t="e">
        <f t="shared" si="4"/>
        <v>#DIV/0!</v>
      </c>
      <c r="U57" s="236"/>
    </row>
    <row r="58" spans="1:21" ht="16.5" x14ac:dyDescent="0.25">
      <c r="A58" s="211"/>
      <c r="B58" s="333"/>
      <c r="C58" s="234" t="s">
        <v>514</v>
      </c>
      <c r="D58" s="219" t="s">
        <v>515</v>
      </c>
      <c r="E58" s="220"/>
      <c r="F58" s="220"/>
      <c r="G58" s="220"/>
      <c r="H58" s="220"/>
      <c r="I58" s="220"/>
      <c r="J58" s="220">
        <v>107</v>
      </c>
      <c r="K58" s="220"/>
      <c r="L58" s="220">
        <v>500000</v>
      </c>
      <c r="M58" s="1355">
        <f t="shared" si="3"/>
        <v>0</v>
      </c>
      <c r="N58" s="344">
        <v>500000</v>
      </c>
      <c r="O58" s="1347">
        <f t="shared" si="1"/>
        <v>-343454</v>
      </c>
      <c r="P58" s="344">
        <v>156546</v>
      </c>
      <c r="Q58" s="3321">
        <f t="shared" si="2"/>
        <v>0</v>
      </c>
      <c r="R58" s="344">
        <v>156546</v>
      </c>
      <c r="S58" s="220">
        <v>156546</v>
      </c>
      <c r="T58" s="344">
        <f t="shared" si="4"/>
        <v>31.309199999999997</v>
      </c>
      <c r="U58" s="236"/>
    </row>
    <row r="59" spans="1:21" ht="16.5" x14ac:dyDescent="0.25">
      <c r="A59" s="211"/>
      <c r="B59" s="333"/>
      <c r="C59" s="234" t="s">
        <v>516</v>
      </c>
      <c r="D59" s="219" t="s">
        <v>444</v>
      </c>
      <c r="E59" s="220"/>
      <c r="F59" s="220"/>
      <c r="G59" s="220"/>
      <c r="H59" s="220"/>
      <c r="I59" s="220"/>
      <c r="J59" s="220"/>
      <c r="K59" s="220"/>
      <c r="L59" s="220"/>
      <c r="M59" s="1355">
        <f t="shared" si="3"/>
        <v>0</v>
      </c>
      <c r="N59" s="344"/>
      <c r="O59" s="1347">
        <f t="shared" si="1"/>
        <v>0</v>
      </c>
      <c r="P59" s="344"/>
      <c r="Q59" s="3321">
        <f t="shared" si="2"/>
        <v>0</v>
      </c>
      <c r="R59" s="344"/>
      <c r="S59" s="220"/>
      <c r="T59" s="344" t="e">
        <f>SUM(S59/N59)*100</f>
        <v>#DIV/0!</v>
      </c>
      <c r="U59" s="236"/>
    </row>
    <row r="60" spans="1:21" ht="16.5" x14ac:dyDescent="0.25">
      <c r="A60" s="2656"/>
      <c r="B60" s="2657"/>
      <c r="C60" s="2658"/>
      <c r="D60" s="339" t="s">
        <v>517</v>
      </c>
      <c r="E60" s="338">
        <f t="shared" ref="E60:J60" si="10">SUM(E53:E59)</f>
        <v>26828</v>
      </c>
      <c r="F60" s="338">
        <f t="shared" si="10"/>
        <v>27295</v>
      </c>
      <c r="G60" s="338">
        <f t="shared" si="10"/>
        <v>27490</v>
      </c>
      <c r="H60" s="338">
        <f t="shared" si="10"/>
        <v>39865</v>
      </c>
      <c r="I60" s="338">
        <f t="shared" si="10"/>
        <v>45192</v>
      </c>
      <c r="J60" s="338">
        <f t="shared" si="10"/>
        <v>45192</v>
      </c>
      <c r="K60" s="338"/>
      <c r="L60" s="338">
        <f>SUM(L52+L56)</f>
        <v>37230000</v>
      </c>
      <c r="M60" s="1356">
        <f t="shared" si="3"/>
        <v>0</v>
      </c>
      <c r="N60" s="1332">
        <f>SUM(N52+N56)</f>
        <v>37230000</v>
      </c>
      <c r="O60" s="1348">
        <f t="shared" si="1"/>
        <v>5113987</v>
      </c>
      <c r="P60" s="1332">
        <f>SUM(P52+P56)</f>
        <v>42343987</v>
      </c>
      <c r="Q60" s="3324">
        <f t="shared" si="2"/>
        <v>0</v>
      </c>
      <c r="R60" s="1332">
        <f>SUM(R52+R56)</f>
        <v>42343987</v>
      </c>
      <c r="S60" s="338">
        <f>SUM(S52+S56)</f>
        <v>42343987</v>
      </c>
      <c r="T60" s="344">
        <f t="shared" si="4"/>
        <v>113.73619930163848</v>
      </c>
      <c r="U60" s="236"/>
    </row>
    <row r="61" spans="1:21" ht="16.5" x14ac:dyDescent="0.25">
      <c r="A61" s="211"/>
      <c r="B61" s="330" t="s">
        <v>31</v>
      </c>
      <c r="C61" s="210"/>
      <c r="D61" s="340" t="s">
        <v>518</v>
      </c>
      <c r="E61" s="239">
        <v>1</v>
      </c>
      <c r="F61" s="239">
        <v>0</v>
      </c>
      <c r="G61" s="239">
        <v>0</v>
      </c>
      <c r="H61" s="239">
        <v>3</v>
      </c>
      <c r="I61" s="239">
        <v>0</v>
      </c>
      <c r="J61" s="239">
        <v>0</v>
      </c>
      <c r="K61" s="239"/>
      <c r="L61" s="239">
        <v>9</v>
      </c>
      <c r="M61" s="1355"/>
      <c r="N61" s="1200">
        <v>9</v>
      </c>
      <c r="O61" s="1347"/>
      <c r="P61" s="239">
        <v>9</v>
      </c>
      <c r="Q61" s="3321">
        <f t="shared" si="2"/>
        <v>0</v>
      </c>
      <c r="R61" s="239">
        <v>9</v>
      </c>
      <c r="S61" s="239">
        <v>9</v>
      </c>
      <c r="T61" s="344">
        <f t="shared" si="4"/>
        <v>100</v>
      </c>
      <c r="U61" s="236"/>
    </row>
    <row r="62" spans="1:21" ht="17.25" x14ac:dyDescent="0.3">
      <c r="A62" s="329"/>
      <c r="B62" s="330"/>
      <c r="C62" s="209"/>
      <c r="D62" s="342" t="s">
        <v>850</v>
      </c>
      <c r="E62" s="343"/>
      <c r="F62" s="343"/>
      <c r="G62" s="343"/>
      <c r="H62" s="343"/>
      <c r="I62" s="344"/>
      <c r="J62" s="344"/>
      <c r="K62" s="344"/>
      <c r="L62" s="344"/>
      <c r="M62" s="1355"/>
      <c r="N62" s="344"/>
      <c r="O62" s="1355"/>
      <c r="P62" s="344"/>
      <c r="Q62" s="615"/>
      <c r="R62" s="344"/>
      <c r="S62" s="344"/>
      <c r="T62" s="344" t="e">
        <f t="shared" si="4"/>
        <v>#DIV/0!</v>
      </c>
      <c r="U62" s="236"/>
    </row>
    <row r="63" spans="1:21" ht="16.5" customHeight="1" x14ac:dyDescent="0.25">
      <c r="A63" s="211"/>
      <c r="B63" s="330" t="s">
        <v>3</v>
      </c>
      <c r="C63" s="224"/>
      <c r="D63" s="4656" t="s">
        <v>230</v>
      </c>
      <c r="E63" s="4656"/>
      <c r="F63" s="4656"/>
      <c r="G63" s="4656"/>
      <c r="H63" s="4656"/>
      <c r="I63" s="220"/>
      <c r="J63" s="220"/>
      <c r="K63" s="220"/>
      <c r="L63" s="220"/>
      <c r="M63" s="1355"/>
      <c r="N63" s="344"/>
      <c r="O63" s="1355"/>
      <c r="P63" s="344"/>
      <c r="Q63" s="3321"/>
      <c r="R63" s="344"/>
      <c r="S63" s="220"/>
      <c r="T63" s="344" t="e">
        <f t="shared" si="4"/>
        <v>#DIV/0!</v>
      </c>
      <c r="U63" s="236"/>
    </row>
    <row r="64" spans="1:21" ht="16.5" x14ac:dyDescent="0.25">
      <c r="A64" s="211"/>
      <c r="B64" s="333"/>
      <c r="C64" s="209" t="s">
        <v>152</v>
      </c>
      <c r="D64" s="2393" t="s">
        <v>46</v>
      </c>
      <c r="E64" s="220">
        <f t="shared" ref="E64:J64" si="11">SUM(E66:E67)</f>
        <v>2585</v>
      </c>
      <c r="F64" s="220">
        <f t="shared" si="11"/>
        <v>3074</v>
      </c>
      <c r="G64" s="220">
        <f t="shared" si="11"/>
        <v>3074</v>
      </c>
      <c r="H64" s="220">
        <f t="shared" si="11"/>
        <v>3934</v>
      </c>
      <c r="I64" s="220">
        <f t="shared" si="11"/>
        <v>4860</v>
      </c>
      <c r="J64" s="220">
        <f t="shared" si="11"/>
        <v>4860</v>
      </c>
      <c r="K64" s="220"/>
      <c r="L64" s="230">
        <f>SUM(L66:L68)</f>
        <v>2749000</v>
      </c>
      <c r="M64" s="2837">
        <f t="shared" si="3"/>
        <v>0</v>
      </c>
      <c r="N64" s="632">
        <f>SUM(N65:N68)</f>
        <v>2749000</v>
      </c>
      <c r="O64" s="2829">
        <f t="shared" si="1"/>
        <v>-153529</v>
      </c>
      <c r="P64" s="632">
        <f>SUM(P65:P68)</f>
        <v>2595471</v>
      </c>
      <c r="Q64" s="3319">
        <f t="shared" si="2"/>
        <v>0</v>
      </c>
      <c r="R64" s="632">
        <f>SUM(R65:R68)</f>
        <v>2595471</v>
      </c>
      <c r="S64" s="230">
        <f>SUM(S65:S68)</f>
        <v>2595471</v>
      </c>
      <c r="T64" s="344">
        <f t="shared" si="4"/>
        <v>94.415096398690437</v>
      </c>
      <c r="U64" s="236"/>
    </row>
    <row r="65" spans="1:40" ht="16.5" x14ac:dyDescent="0.25">
      <c r="A65" s="211"/>
      <c r="B65" s="333"/>
      <c r="C65" s="224" t="s">
        <v>519</v>
      </c>
      <c r="D65" s="1155" t="s">
        <v>50</v>
      </c>
      <c r="E65" s="220"/>
      <c r="F65" s="220"/>
      <c r="G65" s="220"/>
      <c r="H65" s="220"/>
      <c r="I65" s="220"/>
      <c r="J65" s="220"/>
      <c r="K65" s="220"/>
      <c r="L65" s="230"/>
      <c r="M65" s="1355">
        <f t="shared" si="3"/>
        <v>228000</v>
      </c>
      <c r="N65" s="344">
        <v>228000</v>
      </c>
      <c r="O65" s="1347">
        <f t="shared" si="1"/>
        <v>-15000</v>
      </c>
      <c r="P65" s="344">
        <v>213000</v>
      </c>
      <c r="Q65" s="3321">
        <f t="shared" si="2"/>
        <v>0</v>
      </c>
      <c r="R65" s="344">
        <v>213000</v>
      </c>
      <c r="S65" s="220">
        <v>213000</v>
      </c>
      <c r="T65" s="344"/>
      <c r="U65" s="236"/>
    </row>
    <row r="66" spans="1:40" ht="16.5" x14ac:dyDescent="0.25">
      <c r="A66" s="211"/>
      <c r="B66" s="333"/>
      <c r="C66" s="224" t="s">
        <v>618</v>
      </c>
      <c r="D66" s="55" t="s">
        <v>414</v>
      </c>
      <c r="E66" s="220">
        <v>2154</v>
      </c>
      <c r="F66" s="220">
        <v>2647</v>
      </c>
      <c r="G66" s="220">
        <v>2647</v>
      </c>
      <c r="H66" s="220">
        <v>3278</v>
      </c>
      <c r="I66" s="220">
        <v>4860</v>
      </c>
      <c r="J66" s="220">
        <v>4860</v>
      </c>
      <c r="K66" s="220"/>
      <c r="L66" s="220">
        <v>228000</v>
      </c>
      <c r="M66" s="1355">
        <f t="shared" si="3"/>
        <v>-228000</v>
      </c>
      <c r="N66" s="344"/>
      <c r="O66" s="1347">
        <f t="shared" si="1"/>
        <v>0</v>
      </c>
      <c r="P66" s="344"/>
      <c r="Q66" s="3321">
        <f t="shared" si="2"/>
        <v>0</v>
      </c>
      <c r="R66" s="344"/>
      <c r="S66" s="220"/>
      <c r="T66" s="344" t="e">
        <f t="shared" si="4"/>
        <v>#DIV/0!</v>
      </c>
      <c r="U66" s="236"/>
    </row>
    <row r="67" spans="1:40" ht="16.5" x14ac:dyDescent="0.25">
      <c r="A67" s="211"/>
      <c r="B67" s="333"/>
      <c r="C67" s="224" t="s">
        <v>336</v>
      </c>
      <c r="D67" s="55" t="s">
        <v>926</v>
      </c>
      <c r="E67" s="220">
        <v>431</v>
      </c>
      <c r="F67" s="220">
        <v>427</v>
      </c>
      <c r="G67" s="220">
        <v>427</v>
      </c>
      <c r="H67" s="220">
        <v>656</v>
      </c>
      <c r="I67" s="220"/>
      <c r="J67" s="220"/>
      <c r="K67" s="220"/>
      <c r="L67" s="220">
        <v>1332000</v>
      </c>
      <c r="M67" s="1355">
        <f t="shared" si="3"/>
        <v>0</v>
      </c>
      <c r="N67" s="344">
        <v>1332000</v>
      </c>
      <c r="O67" s="1347">
        <f t="shared" si="1"/>
        <v>882604</v>
      </c>
      <c r="P67" s="344">
        <v>2214604</v>
      </c>
      <c r="Q67" s="3321">
        <f t="shared" si="2"/>
        <v>0</v>
      </c>
      <c r="R67" s="344">
        <v>2214604</v>
      </c>
      <c r="S67" s="220">
        <v>2214604</v>
      </c>
      <c r="T67" s="344">
        <f t="shared" si="4"/>
        <v>166.26156156156156</v>
      </c>
      <c r="U67" s="236"/>
    </row>
    <row r="68" spans="1:40" ht="16.5" x14ac:dyDescent="0.25">
      <c r="A68" s="211"/>
      <c r="B68" s="333"/>
      <c r="C68" s="224" t="s">
        <v>337</v>
      </c>
      <c r="D68" s="55" t="s">
        <v>66</v>
      </c>
      <c r="E68" s="220"/>
      <c r="F68" s="220"/>
      <c r="G68" s="220"/>
      <c r="H68" s="220"/>
      <c r="I68" s="220"/>
      <c r="J68" s="220"/>
      <c r="K68" s="220"/>
      <c r="L68" s="220">
        <v>1189000</v>
      </c>
      <c r="M68" s="1355">
        <f t="shared" si="3"/>
        <v>0</v>
      </c>
      <c r="N68" s="1197">
        <v>1189000</v>
      </c>
      <c r="O68" s="1347">
        <f t="shared" si="1"/>
        <v>-1021133</v>
      </c>
      <c r="P68" s="1197">
        <v>167867</v>
      </c>
      <c r="Q68" s="3321">
        <f t="shared" si="2"/>
        <v>0</v>
      </c>
      <c r="R68" s="1197">
        <v>167867</v>
      </c>
      <c r="S68" s="220">
        <v>167867</v>
      </c>
      <c r="T68" s="344">
        <v>0</v>
      </c>
      <c r="U68" s="236"/>
    </row>
    <row r="69" spans="1:40" ht="15" customHeight="1" x14ac:dyDescent="0.25">
      <c r="A69" s="211"/>
      <c r="B69" s="333"/>
      <c r="C69" s="209" t="s">
        <v>154</v>
      </c>
      <c r="D69" s="2393" t="s">
        <v>501</v>
      </c>
      <c r="E69" s="220">
        <v>0</v>
      </c>
      <c r="F69" s="220">
        <v>0</v>
      </c>
      <c r="G69" s="220">
        <v>0</v>
      </c>
      <c r="H69" s="220"/>
      <c r="I69" s="220"/>
      <c r="J69" s="220"/>
      <c r="K69" s="220"/>
      <c r="L69" s="230">
        <v>0</v>
      </c>
      <c r="M69" s="2837">
        <f t="shared" ref="M69:M132" si="12">SUM(N69-L69)</f>
        <v>0</v>
      </c>
      <c r="N69" s="632">
        <v>0</v>
      </c>
      <c r="O69" s="2829">
        <f t="shared" ref="O69:O132" si="13">SUM(P69-N69)</f>
        <v>0</v>
      </c>
      <c r="P69" s="632">
        <v>0</v>
      </c>
      <c r="Q69" s="3319">
        <f t="shared" ref="Q69:Q132" si="14">SUM(R69-P69)</f>
        <v>0</v>
      </c>
      <c r="R69" s="632">
        <v>0</v>
      </c>
      <c r="S69" s="230">
        <v>0</v>
      </c>
      <c r="T69" s="344" t="e">
        <f t="shared" si="4"/>
        <v>#DIV/0!</v>
      </c>
      <c r="U69" s="236"/>
    </row>
    <row r="70" spans="1:40" ht="28.5" x14ac:dyDescent="0.25">
      <c r="A70" s="211"/>
      <c r="B70" s="333"/>
      <c r="C70" s="209" t="s">
        <v>156</v>
      </c>
      <c r="D70" s="2393" t="s">
        <v>353</v>
      </c>
      <c r="E70" s="220">
        <f t="shared" ref="E70:J70" si="15">SUM(E71+E76)</f>
        <v>0</v>
      </c>
      <c r="F70" s="220">
        <f t="shared" si="15"/>
        <v>0</v>
      </c>
      <c r="G70" s="220">
        <f t="shared" si="15"/>
        <v>759</v>
      </c>
      <c r="H70" s="220">
        <f t="shared" si="15"/>
        <v>0</v>
      </c>
      <c r="I70" s="220">
        <f t="shared" si="15"/>
        <v>24354</v>
      </c>
      <c r="J70" s="220">
        <f t="shared" si="15"/>
        <v>24354</v>
      </c>
      <c r="K70" s="220"/>
      <c r="L70" s="230">
        <f>SUM(L71+L76)</f>
        <v>0</v>
      </c>
      <c r="M70" s="2837">
        <f t="shared" si="12"/>
        <v>0</v>
      </c>
      <c r="N70" s="632">
        <f>SUM(N71+N76)</f>
        <v>0</v>
      </c>
      <c r="O70" s="2829">
        <f t="shared" si="13"/>
        <v>0</v>
      </c>
      <c r="P70" s="632">
        <f>SUM(P71+P76)</f>
        <v>0</v>
      </c>
      <c r="Q70" s="3319">
        <f t="shared" si="14"/>
        <v>0</v>
      </c>
      <c r="R70" s="632">
        <f>SUM(R71+R76)</f>
        <v>0</v>
      </c>
      <c r="S70" s="230">
        <f>SUM(S71+S76)</f>
        <v>0</v>
      </c>
      <c r="T70" s="344" t="e">
        <f t="shared" si="4"/>
        <v>#DIV/0!</v>
      </c>
      <c r="U70" s="236"/>
    </row>
    <row r="71" spans="1:40" s="218" customFormat="1" ht="30" x14ac:dyDescent="0.25">
      <c r="A71" s="334"/>
      <c r="B71" s="335"/>
      <c r="C71" s="222" t="s">
        <v>354</v>
      </c>
      <c r="D71" s="55" t="s">
        <v>420</v>
      </c>
      <c r="E71" s="221">
        <f>SUM(E72:E74)</f>
        <v>0</v>
      </c>
      <c r="F71" s="221"/>
      <c r="G71" s="221">
        <f>SUM(G72:G74)</f>
        <v>499</v>
      </c>
      <c r="H71" s="221">
        <f>SUM(H72:H74)</f>
        <v>0</v>
      </c>
      <c r="I71" s="221">
        <f>SUM(I72:I74)</f>
        <v>24354</v>
      </c>
      <c r="J71" s="221">
        <f>SUM(J72:J74)</f>
        <v>24132</v>
      </c>
      <c r="K71" s="221"/>
      <c r="L71" s="221">
        <f>SUM(L72)</f>
        <v>0</v>
      </c>
      <c r="M71" s="1355">
        <f t="shared" si="12"/>
        <v>0</v>
      </c>
      <c r="N71" s="1198">
        <f>SUM(N72)</f>
        <v>0</v>
      </c>
      <c r="O71" s="1347">
        <f t="shared" si="13"/>
        <v>0</v>
      </c>
      <c r="P71" s="1198">
        <f>SUM(P72)</f>
        <v>0</v>
      </c>
      <c r="Q71" s="3321">
        <f t="shared" si="14"/>
        <v>0</v>
      </c>
      <c r="R71" s="1198">
        <f>SUM(R72)</f>
        <v>0</v>
      </c>
      <c r="S71" s="221">
        <f>SUM(S72)</f>
        <v>0</v>
      </c>
      <c r="T71" s="344" t="e">
        <f t="shared" si="4"/>
        <v>#DIV/0!</v>
      </c>
      <c r="U71" s="236"/>
      <c r="AN71" s="336"/>
    </row>
    <row r="72" spans="1:40" ht="32.25" customHeight="1" x14ac:dyDescent="0.25">
      <c r="A72" s="211"/>
      <c r="B72" s="333"/>
      <c r="C72" s="224" t="s">
        <v>502</v>
      </c>
      <c r="D72" s="55" t="s">
        <v>422</v>
      </c>
      <c r="E72" s="220"/>
      <c r="F72" s="220"/>
      <c r="G72" s="220"/>
      <c r="H72" s="220"/>
      <c r="I72" s="220"/>
      <c r="J72" s="220"/>
      <c r="K72" s="220"/>
      <c r="L72" s="220">
        <v>0</v>
      </c>
      <c r="M72" s="1355">
        <f t="shared" si="12"/>
        <v>0</v>
      </c>
      <c r="N72" s="344">
        <v>0</v>
      </c>
      <c r="O72" s="1347">
        <f t="shared" si="13"/>
        <v>0</v>
      </c>
      <c r="P72" s="344"/>
      <c r="Q72" s="3321">
        <f t="shared" si="14"/>
        <v>0</v>
      </c>
      <c r="R72" s="344"/>
      <c r="S72" s="220">
        <v>0</v>
      </c>
      <c r="T72" s="344" t="e">
        <f t="shared" si="4"/>
        <v>#DIV/0!</v>
      </c>
      <c r="U72" s="236"/>
    </row>
    <row r="73" spans="1:40" ht="20.25" customHeight="1" x14ac:dyDescent="0.25">
      <c r="A73" s="211"/>
      <c r="B73" s="333"/>
      <c r="C73" s="213" t="s">
        <v>158</v>
      </c>
      <c r="D73" s="2393" t="s">
        <v>503</v>
      </c>
      <c r="E73" s="220"/>
      <c r="F73" s="220"/>
      <c r="G73" s="220"/>
      <c r="H73" s="220"/>
      <c r="I73" s="220"/>
      <c r="J73" s="220"/>
      <c r="K73" s="220"/>
      <c r="L73" s="230">
        <f>SUM(L74)</f>
        <v>11000000</v>
      </c>
      <c r="M73" s="2837">
        <f t="shared" si="12"/>
        <v>0</v>
      </c>
      <c r="N73" s="632">
        <f>SUM(N74)</f>
        <v>11000000</v>
      </c>
      <c r="O73" s="2829">
        <f t="shared" si="13"/>
        <v>1732892</v>
      </c>
      <c r="P73" s="632">
        <f>SUM(P74)</f>
        <v>12732892</v>
      </c>
      <c r="Q73" s="3319">
        <f t="shared" si="14"/>
        <v>0</v>
      </c>
      <c r="R73" s="632">
        <f>SUM(R74)</f>
        <v>12732892</v>
      </c>
      <c r="S73" s="230">
        <f>SUM(S74)</f>
        <v>12732892</v>
      </c>
      <c r="T73" s="344">
        <f t="shared" si="4"/>
        <v>115.75356363636364</v>
      </c>
      <c r="U73" s="236"/>
    </row>
    <row r="74" spans="1:40" ht="16.5" x14ac:dyDescent="0.25">
      <c r="A74" s="211"/>
      <c r="B74" s="333"/>
      <c r="C74" s="224" t="s">
        <v>504</v>
      </c>
      <c r="D74" s="55" t="s">
        <v>1434</v>
      </c>
      <c r="E74" s="220"/>
      <c r="F74" s="220"/>
      <c r="G74" s="220">
        <v>499</v>
      </c>
      <c r="H74" s="220">
        <v>0</v>
      </c>
      <c r="I74" s="220">
        <v>24354</v>
      </c>
      <c r="J74" s="220">
        <v>24132</v>
      </c>
      <c r="K74" s="220"/>
      <c r="L74" s="220">
        <v>11000000</v>
      </c>
      <c r="M74" s="1355">
        <f t="shared" si="12"/>
        <v>0</v>
      </c>
      <c r="N74" s="344">
        <v>11000000</v>
      </c>
      <c r="O74" s="1347">
        <f t="shared" si="13"/>
        <v>1732892</v>
      </c>
      <c r="P74" s="344">
        <v>12732892</v>
      </c>
      <c r="Q74" s="3321">
        <f t="shared" si="14"/>
        <v>0</v>
      </c>
      <c r="R74" s="344">
        <v>12732892</v>
      </c>
      <c r="S74" s="220">
        <v>12732892</v>
      </c>
      <c r="T74" s="344">
        <f t="shared" si="4"/>
        <v>115.75356363636364</v>
      </c>
      <c r="U74" s="236"/>
    </row>
    <row r="75" spans="1:40" ht="16.5" x14ac:dyDescent="0.25">
      <c r="A75" s="211"/>
      <c r="B75" s="333"/>
      <c r="C75" s="213" t="s">
        <v>375</v>
      </c>
      <c r="D75" s="2393" t="s">
        <v>434</v>
      </c>
      <c r="E75" s="220"/>
      <c r="F75" s="220"/>
      <c r="G75" s="220"/>
      <c r="H75" s="220"/>
      <c r="I75" s="220"/>
      <c r="J75" s="220"/>
      <c r="K75" s="220"/>
      <c r="L75" s="230"/>
      <c r="M75" s="2837">
        <f t="shared" si="12"/>
        <v>0</v>
      </c>
      <c r="N75" s="344"/>
      <c r="O75" s="1347">
        <f t="shared" si="13"/>
        <v>0</v>
      </c>
      <c r="P75" s="344"/>
      <c r="Q75" s="3321">
        <f t="shared" si="14"/>
        <v>0</v>
      </c>
      <c r="R75" s="344"/>
      <c r="S75" s="220"/>
      <c r="T75" s="344" t="e">
        <f t="shared" si="4"/>
        <v>#DIV/0!</v>
      </c>
      <c r="U75" s="236"/>
    </row>
    <row r="76" spans="1:40" ht="16.5" x14ac:dyDescent="0.25">
      <c r="A76" s="211"/>
      <c r="B76" s="333"/>
      <c r="C76" s="213" t="s">
        <v>162</v>
      </c>
      <c r="D76" s="2393" t="s">
        <v>509</v>
      </c>
      <c r="E76" s="220"/>
      <c r="F76" s="220"/>
      <c r="G76" s="220">
        <v>260</v>
      </c>
      <c r="H76" s="220">
        <v>0</v>
      </c>
      <c r="I76" s="220"/>
      <c r="J76" s="220">
        <v>222</v>
      </c>
      <c r="K76" s="220"/>
      <c r="L76" s="230"/>
      <c r="M76" s="2837">
        <f t="shared" si="12"/>
        <v>0</v>
      </c>
      <c r="N76" s="632"/>
      <c r="O76" s="2829">
        <f t="shared" si="13"/>
        <v>0</v>
      </c>
      <c r="P76" s="632"/>
      <c r="Q76" s="3319">
        <f t="shared" si="14"/>
        <v>0</v>
      </c>
      <c r="R76" s="632"/>
      <c r="S76" s="230"/>
      <c r="T76" s="344" t="e">
        <f t="shared" si="4"/>
        <v>#DIV/0!</v>
      </c>
      <c r="U76" s="236"/>
    </row>
    <row r="77" spans="1:40" ht="16.5" x14ac:dyDescent="0.25">
      <c r="A77" s="2656"/>
      <c r="B77" s="2657"/>
      <c r="C77" s="2658" t="s">
        <v>510</v>
      </c>
      <c r="D77" s="337" t="s">
        <v>299</v>
      </c>
      <c r="E77" s="338">
        <f t="shared" ref="E77:J77" si="16">SUM(E64+E70+E69)</f>
        <v>2585</v>
      </c>
      <c r="F77" s="338">
        <f t="shared" si="16"/>
        <v>3074</v>
      </c>
      <c r="G77" s="338">
        <f t="shared" si="16"/>
        <v>3833</v>
      </c>
      <c r="H77" s="338">
        <f t="shared" si="16"/>
        <v>3934</v>
      </c>
      <c r="I77" s="338">
        <f t="shared" si="16"/>
        <v>29214</v>
      </c>
      <c r="J77" s="338">
        <f t="shared" si="16"/>
        <v>29214</v>
      </c>
      <c r="K77" s="338"/>
      <c r="L77" s="338">
        <f>SUM(L64+L70+L69)+L73</f>
        <v>13749000</v>
      </c>
      <c r="M77" s="1356">
        <f t="shared" si="12"/>
        <v>0</v>
      </c>
      <c r="N77" s="1332">
        <f>SUM(N64+N70+N69)+N73</f>
        <v>13749000</v>
      </c>
      <c r="O77" s="1348">
        <f t="shared" si="13"/>
        <v>1579363</v>
      </c>
      <c r="P77" s="1332">
        <f>SUM(P64+P70+P69)+P73</f>
        <v>15328363</v>
      </c>
      <c r="Q77" s="3324">
        <f t="shared" si="14"/>
        <v>0</v>
      </c>
      <c r="R77" s="1332">
        <f>SUM(R64+R70+R69)+R73</f>
        <v>15328363</v>
      </c>
      <c r="S77" s="338">
        <f>SUM(S64+S70+S69)+S73</f>
        <v>15328363</v>
      </c>
      <c r="T77" s="344">
        <f t="shared" si="4"/>
        <v>111.48711178994837</v>
      </c>
      <c r="U77" s="236"/>
    </row>
    <row r="78" spans="1:40" ht="16.5" customHeight="1" x14ac:dyDescent="0.25">
      <c r="A78" s="211"/>
      <c r="B78" s="330" t="s">
        <v>17</v>
      </c>
      <c r="C78" s="234"/>
      <c r="D78" s="4656" t="s">
        <v>231</v>
      </c>
      <c r="E78" s="4656"/>
      <c r="F78" s="4656"/>
      <c r="G78" s="4656"/>
      <c r="H78" s="4656"/>
      <c r="I78" s="220"/>
      <c r="J78" s="220"/>
      <c r="K78" s="220"/>
      <c r="L78" s="220"/>
      <c r="M78" s="1355"/>
      <c r="N78" s="344"/>
      <c r="O78" s="1355"/>
      <c r="P78" s="344"/>
      <c r="Q78" s="3321"/>
      <c r="R78" s="344"/>
      <c r="S78" s="220"/>
      <c r="T78" s="344" t="e">
        <f t="shared" ref="T78:T148" si="17">SUM(S78/N78)*100</f>
        <v>#DIV/0!</v>
      </c>
      <c r="U78" s="236"/>
    </row>
    <row r="79" spans="1:40" ht="16.5" customHeight="1" x14ac:dyDescent="0.25">
      <c r="A79" s="211"/>
      <c r="B79" s="330"/>
      <c r="C79" s="213" t="s">
        <v>5</v>
      </c>
      <c r="D79" s="2393" t="s">
        <v>797</v>
      </c>
      <c r="E79" s="332"/>
      <c r="F79" s="332"/>
      <c r="G79" s="332"/>
      <c r="H79" s="332"/>
      <c r="I79" s="220"/>
      <c r="J79" s="220"/>
      <c r="K79" s="220"/>
      <c r="L79" s="230">
        <f>SUM(L80:L82)</f>
        <v>13749000</v>
      </c>
      <c r="M79" s="2837">
        <f t="shared" si="12"/>
        <v>0</v>
      </c>
      <c r="N79" s="632">
        <f>SUM(N80:N82)</f>
        <v>13749000</v>
      </c>
      <c r="O79" s="2829">
        <f t="shared" si="13"/>
        <v>1579363</v>
      </c>
      <c r="P79" s="632">
        <f>SUM(P80:P82)</f>
        <v>15328363</v>
      </c>
      <c r="Q79" s="3319">
        <f t="shared" si="14"/>
        <v>0</v>
      </c>
      <c r="R79" s="632">
        <f>SUM(R80:R82)</f>
        <v>15328363</v>
      </c>
      <c r="S79" s="230">
        <f>SUM(S80:S82)</f>
        <v>15328363</v>
      </c>
      <c r="T79" s="344">
        <f t="shared" si="17"/>
        <v>111.48711178994837</v>
      </c>
      <c r="U79" s="236"/>
    </row>
    <row r="80" spans="1:40" ht="16.5" x14ac:dyDescent="0.25">
      <c r="A80" s="211"/>
      <c r="B80" s="333"/>
      <c r="C80" s="234" t="s">
        <v>5</v>
      </c>
      <c r="D80" s="219" t="s">
        <v>370</v>
      </c>
      <c r="E80" s="220">
        <v>1962</v>
      </c>
      <c r="F80" s="220">
        <v>2295</v>
      </c>
      <c r="G80" s="220">
        <v>2363</v>
      </c>
      <c r="H80" s="220">
        <v>2499</v>
      </c>
      <c r="I80" s="220">
        <v>12869</v>
      </c>
      <c r="J80" s="220">
        <v>12869</v>
      </c>
      <c r="K80" s="220"/>
      <c r="L80" s="220">
        <v>4383000</v>
      </c>
      <c r="M80" s="1355">
        <f t="shared" si="12"/>
        <v>0</v>
      </c>
      <c r="N80" s="344">
        <v>4383000</v>
      </c>
      <c r="O80" s="1347">
        <f t="shared" si="13"/>
        <v>0</v>
      </c>
      <c r="P80" s="344">
        <v>4383000</v>
      </c>
      <c r="Q80" s="3321">
        <f t="shared" si="14"/>
        <v>0</v>
      </c>
      <c r="R80" s="344">
        <v>4383000</v>
      </c>
      <c r="S80" s="220">
        <v>4383000</v>
      </c>
      <c r="T80" s="344">
        <f t="shared" si="17"/>
        <v>100</v>
      </c>
      <c r="U80" s="236"/>
    </row>
    <row r="81" spans="1:40" ht="16.5" x14ac:dyDescent="0.25">
      <c r="A81" s="211"/>
      <c r="B81" s="333"/>
      <c r="C81" s="234" t="s">
        <v>7</v>
      </c>
      <c r="D81" s="219" t="s">
        <v>408</v>
      </c>
      <c r="E81" s="220">
        <v>587</v>
      </c>
      <c r="F81" s="220">
        <v>699</v>
      </c>
      <c r="G81" s="220">
        <v>721</v>
      </c>
      <c r="H81" s="220">
        <v>719</v>
      </c>
      <c r="I81" s="220">
        <v>3527</v>
      </c>
      <c r="J81" s="220">
        <v>3527</v>
      </c>
      <c r="K81" s="220"/>
      <c r="L81" s="220">
        <v>927000</v>
      </c>
      <c r="M81" s="1355">
        <f t="shared" si="12"/>
        <v>0</v>
      </c>
      <c r="N81" s="344">
        <v>927000</v>
      </c>
      <c r="O81" s="1347">
        <f t="shared" si="13"/>
        <v>0</v>
      </c>
      <c r="P81" s="344">
        <v>927000</v>
      </c>
      <c r="Q81" s="3321">
        <f t="shared" si="14"/>
        <v>0</v>
      </c>
      <c r="R81" s="344">
        <v>927000</v>
      </c>
      <c r="S81" s="220">
        <v>927000</v>
      </c>
      <c r="T81" s="344">
        <f t="shared" si="17"/>
        <v>100</v>
      </c>
      <c r="U81" s="236"/>
    </row>
    <row r="82" spans="1:40" ht="16.5" x14ac:dyDescent="0.25">
      <c r="A82" s="211"/>
      <c r="B82" s="333"/>
      <c r="C82" s="234" t="s">
        <v>9</v>
      </c>
      <c r="D82" s="219" t="s">
        <v>240</v>
      </c>
      <c r="E82" s="220">
        <v>36</v>
      </c>
      <c r="F82" s="220">
        <v>80</v>
      </c>
      <c r="G82" s="220">
        <v>489</v>
      </c>
      <c r="H82" s="220">
        <v>716</v>
      </c>
      <c r="I82" s="220">
        <v>12818</v>
      </c>
      <c r="J82" s="220">
        <v>12596</v>
      </c>
      <c r="K82" s="220"/>
      <c r="L82" s="220">
        <v>8439000</v>
      </c>
      <c r="M82" s="1355">
        <f t="shared" si="12"/>
        <v>0</v>
      </c>
      <c r="N82" s="344">
        <v>8439000</v>
      </c>
      <c r="O82" s="1347">
        <f t="shared" si="13"/>
        <v>1579363</v>
      </c>
      <c r="P82" s="344">
        <v>10018363</v>
      </c>
      <c r="Q82" s="3321">
        <f t="shared" si="14"/>
        <v>0</v>
      </c>
      <c r="R82" s="344">
        <v>10018363</v>
      </c>
      <c r="S82" s="220">
        <v>10018363</v>
      </c>
      <c r="T82" s="344">
        <f t="shared" si="17"/>
        <v>118.7150491764427</v>
      </c>
      <c r="U82" s="236"/>
    </row>
    <row r="83" spans="1:40" ht="16.5" x14ac:dyDescent="0.25">
      <c r="A83" s="211"/>
      <c r="B83" s="333"/>
      <c r="C83" s="213" t="s">
        <v>7</v>
      </c>
      <c r="D83" s="2393" t="s">
        <v>511</v>
      </c>
      <c r="E83" s="220"/>
      <c r="F83" s="220"/>
      <c r="G83" s="220"/>
      <c r="H83" s="220"/>
      <c r="I83" s="220"/>
      <c r="J83" s="220"/>
      <c r="K83" s="220"/>
      <c r="L83" s="230">
        <f>SUM(L84:L86)</f>
        <v>0</v>
      </c>
      <c r="M83" s="2837">
        <f t="shared" si="12"/>
        <v>0</v>
      </c>
      <c r="N83" s="632">
        <f>SUM(N84:N86)</f>
        <v>0</v>
      </c>
      <c r="O83" s="2829">
        <f t="shared" si="13"/>
        <v>0</v>
      </c>
      <c r="P83" s="632">
        <f>SUM(P84:P86)</f>
        <v>0</v>
      </c>
      <c r="Q83" s="3319">
        <f t="shared" si="14"/>
        <v>0</v>
      </c>
      <c r="R83" s="632">
        <f>SUM(R84:R86)</f>
        <v>0</v>
      </c>
      <c r="S83" s="230">
        <f>SUM(S84:S86)</f>
        <v>0</v>
      </c>
      <c r="T83" s="344" t="e">
        <f t="shared" si="17"/>
        <v>#DIV/0!</v>
      </c>
      <c r="U83" s="236"/>
    </row>
    <row r="84" spans="1:40" ht="16.5" x14ac:dyDescent="0.25">
      <c r="A84" s="211"/>
      <c r="B84" s="333"/>
      <c r="C84" s="234" t="s">
        <v>512</v>
      </c>
      <c r="D84" s="219" t="s">
        <v>513</v>
      </c>
      <c r="E84" s="220"/>
      <c r="F84" s="220"/>
      <c r="G84" s="220"/>
      <c r="H84" s="220"/>
      <c r="I84" s="220"/>
      <c r="J84" s="220"/>
      <c r="K84" s="220"/>
      <c r="L84" s="220"/>
      <c r="M84" s="1355">
        <f t="shared" si="12"/>
        <v>0</v>
      </c>
      <c r="N84" s="344"/>
      <c r="O84" s="1347">
        <f t="shared" si="13"/>
        <v>0</v>
      </c>
      <c r="P84" s="344"/>
      <c r="Q84" s="3321">
        <f t="shared" si="14"/>
        <v>0</v>
      </c>
      <c r="R84" s="344"/>
      <c r="S84" s="220"/>
      <c r="T84" s="344" t="e">
        <f t="shared" si="17"/>
        <v>#DIV/0!</v>
      </c>
      <c r="U84" s="236"/>
    </row>
    <row r="85" spans="1:40" ht="16.5" x14ac:dyDescent="0.25">
      <c r="A85" s="211"/>
      <c r="B85" s="333"/>
      <c r="C85" s="234" t="s">
        <v>514</v>
      </c>
      <c r="D85" s="219" t="s">
        <v>515</v>
      </c>
      <c r="E85" s="220"/>
      <c r="F85" s="220"/>
      <c r="G85" s="220">
        <v>260</v>
      </c>
      <c r="H85" s="220">
        <v>0</v>
      </c>
      <c r="I85" s="220"/>
      <c r="J85" s="220">
        <v>222</v>
      </c>
      <c r="K85" s="220"/>
      <c r="L85" s="220"/>
      <c r="M85" s="1355">
        <f t="shared" si="12"/>
        <v>0</v>
      </c>
      <c r="N85" s="344"/>
      <c r="O85" s="1347">
        <f t="shared" si="13"/>
        <v>0</v>
      </c>
      <c r="P85" s="344"/>
      <c r="Q85" s="3321">
        <f t="shared" si="14"/>
        <v>0</v>
      </c>
      <c r="R85" s="344"/>
      <c r="S85" s="220"/>
      <c r="T85" s="344" t="e">
        <f t="shared" si="17"/>
        <v>#DIV/0!</v>
      </c>
      <c r="U85" s="236"/>
    </row>
    <row r="86" spans="1:40" ht="16.5" x14ac:dyDescent="0.25">
      <c r="A86" s="211"/>
      <c r="B86" s="333"/>
      <c r="C86" s="234" t="s">
        <v>516</v>
      </c>
      <c r="D86" s="219" t="s">
        <v>444</v>
      </c>
      <c r="E86" s="220"/>
      <c r="F86" s="220"/>
      <c r="G86" s="220"/>
      <c r="H86" s="220"/>
      <c r="I86" s="220"/>
      <c r="J86" s="220"/>
      <c r="K86" s="220"/>
      <c r="L86" s="220"/>
      <c r="M86" s="1355">
        <f t="shared" si="12"/>
        <v>0</v>
      </c>
      <c r="N86" s="344"/>
      <c r="O86" s="1347">
        <f t="shared" si="13"/>
        <v>0</v>
      </c>
      <c r="P86" s="344"/>
      <c r="Q86" s="3321">
        <f t="shared" si="14"/>
        <v>0</v>
      </c>
      <c r="R86" s="344"/>
      <c r="S86" s="220"/>
      <c r="T86" s="344" t="e">
        <f t="shared" si="17"/>
        <v>#DIV/0!</v>
      </c>
      <c r="U86" s="236"/>
    </row>
    <row r="87" spans="1:40" ht="16.5" x14ac:dyDescent="0.25">
      <c r="A87" s="2656"/>
      <c r="B87" s="2657"/>
      <c r="C87" s="2658"/>
      <c r="D87" s="339" t="s">
        <v>517</v>
      </c>
      <c r="E87" s="338">
        <f t="shared" ref="E87:J87" si="18">SUM(E80:E86)</f>
        <v>2585</v>
      </c>
      <c r="F87" s="338">
        <f t="shared" si="18"/>
        <v>3074</v>
      </c>
      <c r="G87" s="338">
        <f t="shared" si="18"/>
        <v>3833</v>
      </c>
      <c r="H87" s="338">
        <f t="shared" si="18"/>
        <v>3934</v>
      </c>
      <c r="I87" s="338">
        <f t="shared" si="18"/>
        <v>29214</v>
      </c>
      <c r="J87" s="338">
        <f t="shared" si="18"/>
        <v>29214</v>
      </c>
      <c r="K87" s="338"/>
      <c r="L87" s="338">
        <f>SUM(L80:L86)</f>
        <v>13749000</v>
      </c>
      <c r="M87" s="1356">
        <f t="shared" si="12"/>
        <v>0</v>
      </c>
      <c r="N87" s="1332">
        <f>SUM(N80:N86)</f>
        <v>13749000</v>
      </c>
      <c r="O87" s="1348">
        <f t="shared" si="13"/>
        <v>1579363</v>
      </c>
      <c r="P87" s="1332">
        <f>SUM(P80:P86)</f>
        <v>15328363</v>
      </c>
      <c r="Q87" s="3324">
        <f t="shared" si="14"/>
        <v>0</v>
      </c>
      <c r="R87" s="1332">
        <f>SUM(R80:R86)</f>
        <v>15328363</v>
      </c>
      <c r="S87" s="338">
        <f>SUM(S80:S86)</f>
        <v>15328363</v>
      </c>
      <c r="T87" s="344">
        <f t="shared" si="17"/>
        <v>111.48711178994837</v>
      </c>
      <c r="U87" s="236"/>
    </row>
    <row r="88" spans="1:40" ht="16.5" x14ac:dyDescent="0.25">
      <c r="A88" s="211"/>
      <c r="B88" s="330" t="s">
        <v>31</v>
      </c>
      <c r="C88" s="210"/>
      <c r="D88" s="340" t="s">
        <v>518</v>
      </c>
      <c r="E88" s="239">
        <v>1</v>
      </c>
      <c r="F88" s="239">
        <v>1</v>
      </c>
      <c r="G88" s="239">
        <v>1</v>
      </c>
      <c r="H88" s="239">
        <v>1</v>
      </c>
      <c r="I88" s="239">
        <v>1</v>
      </c>
      <c r="J88" s="239">
        <v>1</v>
      </c>
      <c r="K88" s="239"/>
      <c r="L88" s="239">
        <v>0</v>
      </c>
      <c r="M88" s="1355">
        <f t="shared" si="12"/>
        <v>0</v>
      </c>
      <c r="N88" s="1200">
        <v>0</v>
      </c>
      <c r="O88" s="1347">
        <f t="shared" si="13"/>
        <v>0</v>
      </c>
      <c r="P88" s="1200">
        <v>0</v>
      </c>
      <c r="Q88" s="3321">
        <f t="shared" si="14"/>
        <v>0</v>
      </c>
      <c r="R88" s="1200">
        <v>0</v>
      </c>
      <c r="S88" s="239">
        <v>0</v>
      </c>
      <c r="T88" s="344" t="e">
        <f t="shared" si="17"/>
        <v>#DIV/0!</v>
      </c>
      <c r="U88" s="236"/>
    </row>
    <row r="89" spans="1:40" ht="17.25" x14ac:dyDescent="0.3">
      <c r="A89" s="329"/>
      <c r="B89" s="330"/>
      <c r="C89" s="209"/>
      <c r="D89" s="342" t="s">
        <v>851</v>
      </c>
      <c r="E89" s="343"/>
      <c r="F89" s="343"/>
      <c r="G89" s="343"/>
      <c r="H89" s="343"/>
      <c r="I89" s="344"/>
      <c r="J89" s="344"/>
      <c r="K89" s="344"/>
      <c r="L89" s="344"/>
      <c r="M89" s="1355"/>
      <c r="N89" s="344"/>
      <c r="O89" s="1355"/>
      <c r="P89" s="344"/>
      <c r="Q89" s="615"/>
      <c r="R89" s="344"/>
      <c r="S89" s="344"/>
      <c r="T89" s="344" t="e">
        <f t="shared" si="17"/>
        <v>#DIV/0!</v>
      </c>
      <c r="U89" s="236"/>
    </row>
    <row r="90" spans="1:40" ht="16.5" customHeight="1" x14ac:dyDescent="0.25">
      <c r="A90" s="211"/>
      <c r="B90" s="330" t="s">
        <v>3</v>
      </c>
      <c r="C90" s="224"/>
      <c r="D90" s="4656" t="s">
        <v>230</v>
      </c>
      <c r="E90" s="4656"/>
      <c r="F90" s="4656"/>
      <c r="G90" s="4656"/>
      <c r="H90" s="4656"/>
      <c r="I90" s="220"/>
      <c r="J90" s="220"/>
      <c r="K90" s="220"/>
      <c r="L90" s="220"/>
      <c r="M90" s="1355"/>
      <c r="N90" s="344"/>
      <c r="O90" s="1355"/>
      <c r="P90" s="344"/>
      <c r="Q90" s="3321"/>
      <c r="R90" s="344"/>
      <c r="S90" s="220"/>
      <c r="T90" s="344" t="e">
        <f t="shared" si="17"/>
        <v>#DIV/0!</v>
      </c>
      <c r="U90" s="236"/>
    </row>
    <row r="91" spans="1:40" ht="16.5" x14ac:dyDescent="0.25">
      <c r="A91" s="211"/>
      <c r="B91" s="333"/>
      <c r="C91" s="209" t="s">
        <v>152</v>
      </c>
      <c r="D91" s="2393" t="s">
        <v>46</v>
      </c>
      <c r="E91" s="220"/>
      <c r="F91" s="220"/>
      <c r="G91" s="220"/>
      <c r="H91" s="227"/>
      <c r="I91" s="220"/>
      <c r="J91" s="220"/>
      <c r="K91" s="220"/>
      <c r="L91" s="230">
        <v>0</v>
      </c>
      <c r="M91" s="1355">
        <f t="shared" si="12"/>
        <v>0</v>
      </c>
      <c r="N91" s="632">
        <v>0</v>
      </c>
      <c r="O91" s="2829">
        <f t="shared" si="13"/>
        <v>0</v>
      </c>
      <c r="P91" s="632">
        <v>0</v>
      </c>
      <c r="Q91" s="3319">
        <f t="shared" si="14"/>
        <v>0</v>
      </c>
      <c r="R91" s="632">
        <v>0</v>
      </c>
      <c r="S91" s="230">
        <v>0</v>
      </c>
      <c r="T91" s="344" t="e">
        <f t="shared" si="17"/>
        <v>#DIV/0!</v>
      </c>
      <c r="U91" s="236"/>
    </row>
    <row r="92" spans="1:40" ht="15" customHeight="1" x14ac:dyDescent="0.25">
      <c r="A92" s="211"/>
      <c r="B92" s="333"/>
      <c r="C92" s="209" t="s">
        <v>154</v>
      </c>
      <c r="D92" s="2393" t="s">
        <v>501</v>
      </c>
      <c r="E92" s="220">
        <v>0</v>
      </c>
      <c r="F92" s="220">
        <v>0</v>
      </c>
      <c r="G92" s="220">
        <v>0</v>
      </c>
      <c r="H92" s="227"/>
      <c r="I92" s="220">
        <v>0</v>
      </c>
      <c r="J92" s="220"/>
      <c r="K92" s="220"/>
      <c r="L92" s="230">
        <v>0</v>
      </c>
      <c r="M92" s="2837">
        <f t="shared" si="12"/>
        <v>0</v>
      </c>
      <c r="N92" s="632">
        <v>0</v>
      </c>
      <c r="O92" s="2829">
        <f t="shared" si="13"/>
        <v>0</v>
      </c>
      <c r="P92" s="632">
        <v>0</v>
      </c>
      <c r="Q92" s="3319">
        <f t="shared" si="14"/>
        <v>0</v>
      </c>
      <c r="R92" s="632">
        <v>0</v>
      </c>
      <c r="S92" s="230">
        <v>0</v>
      </c>
      <c r="T92" s="344" t="e">
        <f t="shared" si="17"/>
        <v>#DIV/0!</v>
      </c>
      <c r="U92" s="236"/>
    </row>
    <row r="93" spans="1:40" ht="28.5" x14ac:dyDescent="0.25">
      <c r="A93" s="211"/>
      <c r="B93" s="333"/>
      <c r="C93" s="209" t="s">
        <v>156</v>
      </c>
      <c r="D93" s="2393" t="s">
        <v>353</v>
      </c>
      <c r="E93" s="220">
        <f t="shared" ref="E93:J93" si="19">SUM(E94+E98)</f>
        <v>11898</v>
      </c>
      <c r="F93" s="220">
        <f t="shared" si="19"/>
        <v>13011</v>
      </c>
      <c r="G93" s="220">
        <f t="shared" si="19"/>
        <v>13387</v>
      </c>
      <c r="H93" s="227">
        <f t="shared" si="19"/>
        <v>0</v>
      </c>
      <c r="I93" s="220">
        <f t="shared" si="19"/>
        <v>11928</v>
      </c>
      <c r="J93" s="220">
        <f t="shared" si="19"/>
        <v>11928</v>
      </c>
      <c r="K93" s="220"/>
      <c r="L93" s="230">
        <f>SUM(L94)</f>
        <v>8291000</v>
      </c>
      <c r="M93" s="2837">
        <f t="shared" si="12"/>
        <v>0</v>
      </c>
      <c r="N93" s="632">
        <f>SUM(N94+N98)</f>
        <v>8291000</v>
      </c>
      <c r="O93" s="2829">
        <f t="shared" si="13"/>
        <v>-125800</v>
      </c>
      <c r="P93" s="632">
        <f>SUM(P94+P98)</f>
        <v>8165200</v>
      </c>
      <c r="Q93" s="3319">
        <f t="shared" si="14"/>
        <v>0</v>
      </c>
      <c r="R93" s="632">
        <f>SUM(R94+R98)</f>
        <v>8165200</v>
      </c>
      <c r="S93" s="230">
        <f>SUM(S94+S98)</f>
        <v>8165208</v>
      </c>
      <c r="T93" s="344">
        <f t="shared" si="17"/>
        <v>98.482788565914845</v>
      </c>
      <c r="U93" s="236"/>
    </row>
    <row r="94" spans="1:40" s="218" customFormat="1" ht="30" x14ac:dyDescent="0.25">
      <c r="A94" s="334"/>
      <c r="B94" s="335"/>
      <c r="C94" s="222" t="s">
        <v>354</v>
      </c>
      <c r="D94" s="55" t="s">
        <v>420</v>
      </c>
      <c r="E94" s="221">
        <f t="shared" ref="E94:J94" si="20">SUM(E95:E97)</f>
        <v>11898</v>
      </c>
      <c r="F94" s="221">
        <f t="shared" si="20"/>
        <v>13011</v>
      </c>
      <c r="G94" s="221">
        <f t="shared" si="20"/>
        <v>13387</v>
      </c>
      <c r="H94" s="345">
        <f t="shared" si="20"/>
        <v>0</v>
      </c>
      <c r="I94" s="221">
        <f t="shared" si="20"/>
        <v>11928</v>
      </c>
      <c r="J94" s="221">
        <f t="shared" si="20"/>
        <v>11928</v>
      </c>
      <c r="K94" s="221"/>
      <c r="L94" s="221">
        <f>SUM(L95)</f>
        <v>8291000</v>
      </c>
      <c r="M94" s="1355">
        <f t="shared" si="12"/>
        <v>0</v>
      </c>
      <c r="N94" s="1198">
        <f>SUM(N95)</f>
        <v>8291000</v>
      </c>
      <c r="O94" s="1347">
        <f t="shared" si="13"/>
        <v>-125800</v>
      </c>
      <c r="P94" s="1198">
        <f>SUM(P95)</f>
        <v>8165200</v>
      </c>
      <c r="Q94" s="3323">
        <f>SUM(Q95)</f>
        <v>0</v>
      </c>
      <c r="R94" s="1198">
        <f>SUM(R95)</f>
        <v>8165200</v>
      </c>
      <c r="S94" s="1198">
        <f>SUM(S95)</f>
        <v>8165200</v>
      </c>
      <c r="T94" s="344">
        <f t="shared" si="17"/>
        <v>98.482692075744779</v>
      </c>
      <c r="U94" s="236"/>
      <c r="AN94" s="336"/>
    </row>
    <row r="95" spans="1:40" ht="30" x14ac:dyDescent="0.25">
      <c r="A95" s="211"/>
      <c r="B95" s="333"/>
      <c r="C95" s="224" t="s">
        <v>502</v>
      </c>
      <c r="D95" s="55" t="s">
        <v>422</v>
      </c>
      <c r="E95" s="220">
        <v>10776</v>
      </c>
      <c r="F95" s="220">
        <v>10236</v>
      </c>
      <c r="G95" s="220">
        <v>10236</v>
      </c>
      <c r="H95" s="227">
        <v>0</v>
      </c>
      <c r="I95" s="220">
        <v>11928</v>
      </c>
      <c r="J95" s="220">
        <v>11928</v>
      </c>
      <c r="K95" s="220"/>
      <c r="L95" s="220">
        <v>8291000</v>
      </c>
      <c r="M95" s="1355">
        <f t="shared" si="12"/>
        <v>0</v>
      </c>
      <c r="N95" s="344">
        <v>8291000</v>
      </c>
      <c r="O95" s="1347">
        <f t="shared" si="13"/>
        <v>-125800</v>
      </c>
      <c r="P95" s="344">
        <v>8165200</v>
      </c>
      <c r="Q95" s="3321">
        <f t="shared" si="14"/>
        <v>0</v>
      </c>
      <c r="R95" s="344">
        <v>8165200</v>
      </c>
      <c r="S95" s="220">
        <v>8165200</v>
      </c>
      <c r="T95" s="344">
        <f t="shared" si="17"/>
        <v>98.482692075744779</v>
      </c>
      <c r="U95" s="236"/>
    </row>
    <row r="96" spans="1:40" ht="16.5" x14ac:dyDescent="0.25">
      <c r="A96" s="211"/>
      <c r="B96" s="333"/>
      <c r="C96" s="213" t="s">
        <v>158</v>
      </c>
      <c r="D96" s="2393" t="s">
        <v>503</v>
      </c>
      <c r="E96" s="220"/>
      <c r="F96" s="220"/>
      <c r="G96" s="220"/>
      <c r="H96" s="227"/>
      <c r="I96" s="220"/>
      <c r="J96" s="220"/>
      <c r="K96" s="220"/>
      <c r="L96" s="230">
        <f>SUM(L97)</f>
        <v>8000000</v>
      </c>
      <c r="M96" s="2837">
        <f t="shared" si="12"/>
        <v>0</v>
      </c>
      <c r="N96" s="632">
        <f>SUM(N97)</f>
        <v>8000000</v>
      </c>
      <c r="O96" s="2829">
        <f t="shared" si="13"/>
        <v>-244434</v>
      </c>
      <c r="P96" s="632">
        <f>SUM(P97)</f>
        <v>7755566</v>
      </c>
      <c r="Q96" s="3319">
        <f t="shared" si="14"/>
        <v>0</v>
      </c>
      <c r="R96" s="632">
        <f>SUM(R97)</f>
        <v>7755566</v>
      </c>
      <c r="S96" s="230">
        <f>SUM(S97)</f>
        <v>7755566</v>
      </c>
      <c r="T96" s="344">
        <f t="shared" si="17"/>
        <v>96.944575</v>
      </c>
      <c r="U96" s="236"/>
    </row>
    <row r="97" spans="1:40" ht="16.5" x14ac:dyDescent="0.25">
      <c r="A97" s="211"/>
      <c r="B97" s="333"/>
      <c r="C97" s="224" t="s">
        <v>504</v>
      </c>
      <c r="D97" s="55" t="s">
        <v>1433</v>
      </c>
      <c r="E97" s="220">
        <v>1122</v>
      </c>
      <c r="F97" s="220">
        <v>2775</v>
      </c>
      <c r="G97" s="220">
        <v>3151</v>
      </c>
      <c r="H97" s="227">
        <v>0</v>
      </c>
      <c r="I97" s="220"/>
      <c r="J97" s="220"/>
      <c r="K97" s="220"/>
      <c r="L97" s="220">
        <v>8000000</v>
      </c>
      <c r="M97" s="1355">
        <f t="shared" si="12"/>
        <v>0</v>
      </c>
      <c r="N97" s="344">
        <v>8000000</v>
      </c>
      <c r="O97" s="1347">
        <f t="shared" si="13"/>
        <v>-244434</v>
      </c>
      <c r="P97" s="344">
        <v>7755566</v>
      </c>
      <c r="Q97" s="3321">
        <f t="shared" si="14"/>
        <v>0</v>
      </c>
      <c r="R97" s="344">
        <v>7755566</v>
      </c>
      <c r="S97" s="220">
        <v>7755566</v>
      </c>
      <c r="T97" s="344">
        <f t="shared" si="17"/>
        <v>96.944575</v>
      </c>
      <c r="U97" s="236"/>
    </row>
    <row r="98" spans="1:40" ht="16.5" x14ac:dyDescent="0.25">
      <c r="A98" s="211"/>
      <c r="B98" s="333"/>
      <c r="C98" s="213" t="s">
        <v>375</v>
      </c>
      <c r="D98" s="2393" t="s">
        <v>434</v>
      </c>
      <c r="E98" s="220"/>
      <c r="F98" s="220"/>
      <c r="G98" s="220"/>
      <c r="H98" s="227"/>
      <c r="I98" s="220"/>
      <c r="J98" s="220"/>
      <c r="K98" s="220"/>
      <c r="L98" s="230"/>
      <c r="M98" s="1355">
        <f t="shared" si="12"/>
        <v>0</v>
      </c>
      <c r="N98" s="632"/>
      <c r="O98" s="2829">
        <f t="shared" si="13"/>
        <v>0</v>
      </c>
      <c r="P98" s="632"/>
      <c r="Q98" s="3319">
        <f t="shared" si="14"/>
        <v>0</v>
      </c>
      <c r="R98" s="632"/>
      <c r="S98" s="230">
        <v>8</v>
      </c>
      <c r="T98" s="344" t="e">
        <f t="shared" si="17"/>
        <v>#DIV/0!</v>
      </c>
      <c r="U98" s="236"/>
    </row>
    <row r="99" spans="1:40" s="215" customFormat="1" ht="16.5" x14ac:dyDescent="0.25">
      <c r="A99" s="211"/>
      <c r="B99" s="212"/>
      <c r="C99" s="213" t="s">
        <v>162</v>
      </c>
      <c r="D99" s="2393" t="s">
        <v>509</v>
      </c>
      <c r="E99" s="214"/>
      <c r="F99" s="214"/>
      <c r="G99" s="214"/>
      <c r="H99" s="214"/>
      <c r="I99" s="220"/>
      <c r="J99" s="220"/>
      <c r="K99" s="220"/>
      <c r="L99" s="230"/>
      <c r="M99" s="1355">
        <f t="shared" si="12"/>
        <v>0</v>
      </c>
      <c r="N99" s="632"/>
      <c r="O99" s="2829">
        <f t="shared" si="13"/>
        <v>0</v>
      </c>
      <c r="P99" s="632"/>
      <c r="Q99" s="3319">
        <f t="shared" si="14"/>
        <v>0</v>
      </c>
      <c r="R99" s="632"/>
      <c r="S99" s="230"/>
      <c r="T99" s="344" t="e">
        <f t="shared" si="17"/>
        <v>#DIV/0!</v>
      </c>
      <c r="U99" s="236"/>
    </row>
    <row r="100" spans="1:40" ht="16.5" x14ac:dyDescent="0.25">
      <c r="A100" s="2656"/>
      <c r="B100" s="2657"/>
      <c r="C100" s="2658" t="s">
        <v>510</v>
      </c>
      <c r="D100" s="337" t="s">
        <v>299</v>
      </c>
      <c r="E100" s="338">
        <f>SUM(E91+E93+E92)</f>
        <v>11898</v>
      </c>
      <c r="F100" s="338">
        <f>SUM(F91+F93+F92)</f>
        <v>13011</v>
      </c>
      <c r="G100" s="338">
        <f>SUM(G91+G93+G92)</f>
        <v>13387</v>
      </c>
      <c r="H100" s="346">
        <f>SUM(H91+H93+H92)</f>
        <v>0</v>
      </c>
      <c r="I100" s="338">
        <f>SUM(I91+I93+I92+I99)</f>
        <v>11928</v>
      </c>
      <c r="J100" s="338">
        <f>SUM(J91+J93+J92+J99)</f>
        <v>11928</v>
      </c>
      <c r="K100" s="338"/>
      <c r="L100" s="338">
        <f>SUM(L91+L93+L92+L99)+L96</f>
        <v>16291000</v>
      </c>
      <c r="M100" s="1356">
        <f t="shared" si="12"/>
        <v>0</v>
      </c>
      <c r="N100" s="1332">
        <f>SUM(N91+N93+N92+N99)+N96</f>
        <v>16291000</v>
      </c>
      <c r="O100" s="1348">
        <f t="shared" si="13"/>
        <v>-370234</v>
      </c>
      <c r="P100" s="1332">
        <f>SUM(P91+P93+P92+P99)+P96</f>
        <v>15920766</v>
      </c>
      <c r="Q100" s="3324">
        <f t="shared" si="14"/>
        <v>0</v>
      </c>
      <c r="R100" s="1332">
        <f>SUM(R91+R93+R92+R99)+R96</f>
        <v>15920766</v>
      </c>
      <c r="S100" s="338">
        <f>SUM(S91+S93+S92+S99)+S96</f>
        <v>15920774</v>
      </c>
      <c r="T100" s="344">
        <f t="shared" si="17"/>
        <v>97.727420047879193</v>
      </c>
      <c r="U100" s="236"/>
    </row>
    <row r="101" spans="1:40" ht="16.5" customHeight="1" x14ac:dyDescent="0.25">
      <c r="A101" s="211"/>
      <c r="B101" s="330" t="s">
        <v>17</v>
      </c>
      <c r="C101" s="234"/>
      <c r="D101" s="4656" t="s">
        <v>231</v>
      </c>
      <c r="E101" s="4656"/>
      <c r="F101" s="4656"/>
      <c r="G101" s="4656"/>
      <c r="H101" s="4656"/>
      <c r="I101" s="220"/>
      <c r="J101" s="220"/>
      <c r="K101" s="220"/>
      <c r="L101" s="220"/>
      <c r="M101" s="1355"/>
      <c r="N101" s="344"/>
      <c r="O101" s="1355"/>
      <c r="P101" s="344"/>
      <c r="Q101" s="3321"/>
      <c r="R101" s="344"/>
      <c r="S101" s="220"/>
      <c r="T101" s="344" t="e">
        <f t="shared" si="17"/>
        <v>#DIV/0!</v>
      </c>
      <c r="U101" s="236"/>
    </row>
    <row r="102" spans="1:40" ht="16.5" customHeight="1" x14ac:dyDescent="0.25">
      <c r="A102" s="211"/>
      <c r="B102" s="330"/>
      <c r="C102" s="213" t="s">
        <v>5</v>
      </c>
      <c r="D102" s="2393" t="s">
        <v>797</v>
      </c>
      <c r="E102" s="332"/>
      <c r="F102" s="332"/>
      <c r="G102" s="332"/>
      <c r="H102" s="332"/>
      <c r="I102" s="220"/>
      <c r="J102" s="220"/>
      <c r="K102" s="220"/>
      <c r="L102" s="230">
        <f>SUM(L103:L105)</f>
        <v>15791000</v>
      </c>
      <c r="M102" s="2837">
        <f t="shared" si="12"/>
        <v>0</v>
      </c>
      <c r="N102" s="632">
        <f>SUM(N103:N105)</f>
        <v>15791000</v>
      </c>
      <c r="O102" s="2829">
        <f t="shared" si="13"/>
        <v>129766</v>
      </c>
      <c r="P102" s="632">
        <f>SUM(P103:P105)</f>
        <v>15920766</v>
      </c>
      <c r="Q102" s="3319">
        <f t="shared" si="14"/>
        <v>0</v>
      </c>
      <c r="R102" s="632">
        <f>SUM(R103:R105)</f>
        <v>15920766</v>
      </c>
      <c r="S102" s="230">
        <f>SUM(S103:S105)</f>
        <v>15920766</v>
      </c>
      <c r="T102" s="344">
        <f t="shared" si="17"/>
        <v>100.82177189538343</v>
      </c>
      <c r="U102" s="236"/>
    </row>
    <row r="103" spans="1:40" ht="16.5" x14ac:dyDescent="0.25">
      <c r="A103" s="211"/>
      <c r="B103" s="333"/>
      <c r="C103" s="234" t="s">
        <v>5</v>
      </c>
      <c r="D103" s="219" t="s">
        <v>370</v>
      </c>
      <c r="E103" s="220">
        <v>7165</v>
      </c>
      <c r="F103" s="220">
        <v>8560</v>
      </c>
      <c r="G103" s="220">
        <v>8845</v>
      </c>
      <c r="H103" s="227">
        <v>0</v>
      </c>
      <c r="I103" s="220">
        <v>8438</v>
      </c>
      <c r="J103" s="220">
        <v>8438</v>
      </c>
      <c r="K103" s="220"/>
      <c r="L103" s="220">
        <v>11998000</v>
      </c>
      <c r="M103" s="1355">
        <f t="shared" si="12"/>
        <v>0</v>
      </c>
      <c r="N103" s="344">
        <v>11998000</v>
      </c>
      <c r="O103" s="1347">
        <f t="shared" si="13"/>
        <v>0</v>
      </c>
      <c r="P103" s="344">
        <v>11998000</v>
      </c>
      <c r="Q103" s="3321">
        <f t="shared" si="14"/>
        <v>0</v>
      </c>
      <c r="R103" s="344">
        <v>11998000</v>
      </c>
      <c r="S103" s="220">
        <v>11998000</v>
      </c>
      <c r="T103" s="344">
        <f t="shared" si="17"/>
        <v>100</v>
      </c>
      <c r="U103" s="236"/>
    </row>
    <row r="104" spans="1:40" ht="16.5" x14ac:dyDescent="0.25">
      <c r="A104" s="211"/>
      <c r="B104" s="333"/>
      <c r="C104" s="234" t="s">
        <v>7</v>
      </c>
      <c r="D104" s="219" t="s">
        <v>408</v>
      </c>
      <c r="E104" s="220">
        <v>2274</v>
      </c>
      <c r="F104" s="220">
        <v>2699</v>
      </c>
      <c r="G104" s="220">
        <v>2790</v>
      </c>
      <c r="H104" s="227">
        <v>0</v>
      </c>
      <c r="I104" s="220">
        <v>2303</v>
      </c>
      <c r="J104" s="220">
        <v>2303</v>
      </c>
      <c r="K104" s="220"/>
      <c r="L104" s="220">
        <v>2495000</v>
      </c>
      <c r="M104" s="1355">
        <f t="shared" si="12"/>
        <v>0</v>
      </c>
      <c r="N104" s="344">
        <v>2495000</v>
      </c>
      <c r="O104" s="1347">
        <f t="shared" si="13"/>
        <v>129766</v>
      </c>
      <c r="P104" s="344">
        <v>2624766</v>
      </c>
      <c r="Q104" s="3321">
        <f t="shared" si="14"/>
        <v>0</v>
      </c>
      <c r="R104" s="344">
        <v>2624766</v>
      </c>
      <c r="S104" s="220">
        <v>2624766</v>
      </c>
      <c r="T104" s="344">
        <f t="shared" si="17"/>
        <v>105.20104208416834</v>
      </c>
      <c r="U104" s="236"/>
    </row>
    <row r="105" spans="1:40" ht="16.5" x14ac:dyDescent="0.25">
      <c r="A105" s="211"/>
      <c r="B105" s="333"/>
      <c r="C105" s="234" t="s">
        <v>9</v>
      </c>
      <c r="D105" s="219" t="s">
        <v>240</v>
      </c>
      <c r="E105" s="220">
        <v>2459</v>
      </c>
      <c r="F105" s="220">
        <v>1752</v>
      </c>
      <c r="G105" s="220">
        <v>1752</v>
      </c>
      <c r="H105" s="227">
        <v>0</v>
      </c>
      <c r="I105" s="220">
        <v>1187</v>
      </c>
      <c r="J105" s="220">
        <v>1187</v>
      </c>
      <c r="K105" s="220"/>
      <c r="L105" s="220">
        <v>1298000</v>
      </c>
      <c r="M105" s="1355">
        <f t="shared" si="12"/>
        <v>0</v>
      </c>
      <c r="N105" s="344">
        <v>1298000</v>
      </c>
      <c r="O105" s="1347">
        <f t="shared" si="13"/>
        <v>0</v>
      </c>
      <c r="P105" s="344">
        <v>1298000</v>
      </c>
      <c r="Q105" s="3321">
        <f t="shared" si="14"/>
        <v>0</v>
      </c>
      <c r="R105" s="344">
        <v>1298000</v>
      </c>
      <c r="S105" s="220">
        <v>1298000</v>
      </c>
      <c r="T105" s="344">
        <f t="shared" si="17"/>
        <v>100</v>
      </c>
      <c r="U105" s="236"/>
    </row>
    <row r="106" spans="1:40" ht="16.5" x14ac:dyDescent="0.25">
      <c r="A106" s="211"/>
      <c r="B106" s="333"/>
      <c r="C106" s="213" t="s">
        <v>7</v>
      </c>
      <c r="D106" s="2393" t="s">
        <v>511</v>
      </c>
      <c r="E106" s="220"/>
      <c r="F106" s="220"/>
      <c r="G106" s="220"/>
      <c r="H106" s="227"/>
      <c r="I106" s="220"/>
      <c r="J106" s="220"/>
      <c r="K106" s="220"/>
      <c r="L106" s="230">
        <f>SUM(L107:L109)</f>
        <v>500000</v>
      </c>
      <c r="M106" s="2837">
        <f t="shared" si="12"/>
        <v>0</v>
      </c>
      <c r="N106" s="632">
        <f>SUM(N107:N109)</f>
        <v>500000</v>
      </c>
      <c r="O106" s="2829">
        <f t="shared" si="13"/>
        <v>-500000</v>
      </c>
      <c r="P106" s="632">
        <f>SUM(P107:P109)</f>
        <v>0</v>
      </c>
      <c r="Q106" s="3319">
        <f t="shared" si="14"/>
        <v>0</v>
      </c>
      <c r="R106" s="632">
        <f>SUM(R107:R109)</f>
        <v>0</v>
      </c>
      <c r="S106" s="230">
        <f>SUM(S107:S109)</f>
        <v>0</v>
      </c>
      <c r="T106" s="344">
        <f t="shared" si="17"/>
        <v>0</v>
      </c>
      <c r="U106" s="236"/>
    </row>
    <row r="107" spans="1:40" ht="16.5" x14ac:dyDescent="0.25">
      <c r="A107" s="211"/>
      <c r="B107" s="333"/>
      <c r="C107" s="234" t="s">
        <v>512</v>
      </c>
      <c r="D107" s="219" t="s">
        <v>513</v>
      </c>
      <c r="E107" s="220"/>
      <c r="F107" s="220"/>
      <c r="G107" s="220"/>
      <c r="H107" s="227"/>
      <c r="I107" s="220"/>
      <c r="J107" s="220"/>
      <c r="K107" s="220"/>
      <c r="L107" s="220"/>
      <c r="M107" s="1355">
        <f t="shared" si="12"/>
        <v>0</v>
      </c>
      <c r="N107" s="344"/>
      <c r="O107" s="1347">
        <f t="shared" si="13"/>
        <v>0</v>
      </c>
      <c r="P107" s="344"/>
      <c r="Q107" s="3321">
        <f t="shared" si="14"/>
        <v>0</v>
      </c>
      <c r="R107" s="344"/>
      <c r="S107" s="220"/>
      <c r="T107" s="344" t="e">
        <f t="shared" si="17"/>
        <v>#DIV/0!</v>
      </c>
      <c r="U107" s="236"/>
    </row>
    <row r="108" spans="1:40" ht="16.5" x14ac:dyDescent="0.25">
      <c r="A108" s="211"/>
      <c r="B108" s="333"/>
      <c r="C108" s="234" t="s">
        <v>514</v>
      </c>
      <c r="D108" s="219" t="s">
        <v>515</v>
      </c>
      <c r="E108" s="220"/>
      <c r="F108" s="220"/>
      <c r="G108" s="220"/>
      <c r="H108" s="227"/>
      <c r="I108" s="220"/>
      <c r="J108" s="220"/>
      <c r="K108" s="220"/>
      <c r="L108" s="220">
        <v>500000</v>
      </c>
      <c r="M108" s="1355">
        <f t="shared" si="12"/>
        <v>0</v>
      </c>
      <c r="N108" s="344">
        <v>500000</v>
      </c>
      <c r="O108" s="1347">
        <f t="shared" si="13"/>
        <v>-500000</v>
      </c>
      <c r="P108" s="344"/>
      <c r="Q108" s="3321">
        <f t="shared" si="14"/>
        <v>0</v>
      </c>
      <c r="R108" s="344"/>
      <c r="S108" s="220"/>
      <c r="T108" s="344">
        <f t="shared" si="17"/>
        <v>0</v>
      </c>
      <c r="U108" s="236"/>
    </row>
    <row r="109" spans="1:40" ht="16.5" x14ac:dyDescent="0.25">
      <c r="A109" s="211"/>
      <c r="B109" s="333"/>
      <c r="C109" s="234" t="s">
        <v>516</v>
      </c>
      <c r="D109" s="219" t="s">
        <v>444</v>
      </c>
      <c r="E109" s="220"/>
      <c r="F109" s="220"/>
      <c r="G109" s="220"/>
      <c r="H109" s="227"/>
      <c r="I109" s="220"/>
      <c r="J109" s="220"/>
      <c r="K109" s="220"/>
      <c r="L109" s="220"/>
      <c r="M109" s="1355">
        <f t="shared" si="12"/>
        <v>0</v>
      </c>
      <c r="N109" s="344"/>
      <c r="O109" s="1347">
        <f t="shared" si="13"/>
        <v>0</v>
      </c>
      <c r="P109" s="344"/>
      <c r="Q109" s="3321">
        <f t="shared" si="14"/>
        <v>0</v>
      </c>
      <c r="R109" s="344"/>
      <c r="S109" s="220"/>
      <c r="T109" s="344" t="e">
        <f t="shared" si="17"/>
        <v>#DIV/0!</v>
      </c>
      <c r="U109" s="236"/>
      <c r="AD109" s="4652"/>
      <c r="AE109" s="4654" t="s">
        <v>1038</v>
      </c>
      <c r="AF109" s="4652" t="s">
        <v>1036</v>
      </c>
      <c r="AG109" s="4654" t="s">
        <v>1038</v>
      </c>
      <c r="AH109" s="4652" t="s">
        <v>1037</v>
      </c>
      <c r="AI109" s="4654" t="s">
        <v>1038</v>
      </c>
      <c r="AJ109" s="4652" t="s">
        <v>1039</v>
      </c>
      <c r="AK109" s="4652" t="s">
        <v>289</v>
      </c>
    </row>
    <row r="110" spans="1:40" ht="17.25" thickBot="1" x14ac:dyDescent="0.3">
      <c r="A110" s="2656"/>
      <c r="B110" s="2657"/>
      <c r="C110" s="2658"/>
      <c r="D110" s="339" t="s">
        <v>517</v>
      </c>
      <c r="E110" s="338">
        <f t="shared" ref="E110:J110" si="21">SUM(E103:E109)</f>
        <v>11898</v>
      </c>
      <c r="F110" s="338">
        <f t="shared" si="21"/>
        <v>13011</v>
      </c>
      <c r="G110" s="338">
        <f t="shared" si="21"/>
        <v>13387</v>
      </c>
      <c r="H110" s="346">
        <f t="shared" si="21"/>
        <v>0</v>
      </c>
      <c r="I110" s="338">
        <f t="shared" si="21"/>
        <v>11928</v>
      </c>
      <c r="J110" s="338">
        <f t="shared" si="21"/>
        <v>11928</v>
      </c>
      <c r="K110" s="338"/>
      <c r="L110" s="338">
        <f>SUM(L102+L106)</f>
        <v>16291000</v>
      </c>
      <c r="M110" s="1356">
        <f t="shared" si="12"/>
        <v>0</v>
      </c>
      <c r="N110" s="1332">
        <f>SUM(N102+N106)</f>
        <v>16291000</v>
      </c>
      <c r="O110" s="1348">
        <f t="shared" si="13"/>
        <v>-370234</v>
      </c>
      <c r="P110" s="1332">
        <f>SUM(P102+P106)</f>
        <v>15920766</v>
      </c>
      <c r="Q110" s="3324">
        <f t="shared" si="14"/>
        <v>0</v>
      </c>
      <c r="R110" s="1332">
        <f>SUM(R102+R106)</f>
        <v>15920766</v>
      </c>
      <c r="S110" s="338">
        <f>SUM(S102+S106)</f>
        <v>15920766</v>
      </c>
      <c r="T110" s="344">
        <f t="shared" si="17"/>
        <v>97.727370941010378</v>
      </c>
      <c r="U110" s="236"/>
      <c r="V110" s="207" t="s">
        <v>520</v>
      </c>
      <c r="W110" s="347" t="s">
        <v>521</v>
      </c>
      <c r="X110" s="347" t="s">
        <v>522</v>
      </c>
      <c r="Y110" s="348" t="s">
        <v>523</v>
      </c>
      <c r="Z110" s="349" t="s">
        <v>524</v>
      </c>
      <c r="AA110" s="349" t="s">
        <v>525</v>
      </c>
      <c r="AB110" s="350" t="s">
        <v>526</v>
      </c>
      <c r="AC110" s="350" t="s">
        <v>527</v>
      </c>
      <c r="AD110" s="4653" t="s">
        <v>867</v>
      </c>
      <c r="AE110" s="4655" t="s">
        <v>1038</v>
      </c>
      <c r="AF110" s="4653"/>
      <c r="AG110" s="4655" t="s">
        <v>1038</v>
      </c>
      <c r="AH110" s="4653"/>
      <c r="AI110" s="4655" t="s">
        <v>1038</v>
      </c>
      <c r="AJ110" s="4653"/>
      <c r="AK110" s="4653"/>
    </row>
    <row r="111" spans="1:40" ht="17.25" thickBot="1" x14ac:dyDescent="0.3">
      <c r="A111" s="211"/>
      <c r="B111" s="330" t="s">
        <v>31</v>
      </c>
      <c r="C111" s="210"/>
      <c r="D111" s="340" t="s">
        <v>518</v>
      </c>
      <c r="E111" s="239">
        <v>3</v>
      </c>
      <c r="F111" s="239">
        <v>3</v>
      </c>
      <c r="G111" s="239">
        <v>3</v>
      </c>
      <c r="H111" s="239">
        <v>0</v>
      </c>
      <c r="I111" s="239">
        <v>3</v>
      </c>
      <c r="J111" s="239">
        <v>3</v>
      </c>
      <c r="K111" s="239"/>
      <c r="L111" s="239">
        <v>3</v>
      </c>
      <c r="M111" s="1355">
        <f t="shared" si="12"/>
        <v>0</v>
      </c>
      <c r="N111" s="1200">
        <v>3</v>
      </c>
      <c r="O111" s="1347">
        <f t="shared" si="13"/>
        <v>0</v>
      </c>
      <c r="P111" s="239">
        <v>3</v>
      </c>
      <c r="Q111" s="3321">
        <f t="shared" si="14"/>
        <v>0</v>
      </c>
      <c r="R111" s="239">
        <v>3</v>
      </c>
      <c r="S111" s="239">
        <v>3</v>
      </c>
      <c r="T111" s="344">
        <f t="shared" si="17"/>
        <v>100</v>
      </c>
      <c r="U111" s="509"/>
      <c r="V111" s="1149" t="s">
        <v>975</v>
      </c>
      <c r="W111" s="351"/>
      <c r="X111" s="351">
        <f>SUM(H4+H40+H63+H90+H113+H136)</f>
        <v>0</v>
      </c>
      <c r="Y111" s="351"/>
      <c r="Z111" s="351"/>
      <c r="AA111" s="351"/>
      <c r="AB111" s="351">
        <f>SUM(I4+I40+I63+I90+I113+I136+I166+I191)</f>
        <v>0</v>
      </c>
      <c r="AC111" s="351">
        <f>SUM(J4+J40+J63+J90+J113+J136+J166+J191)</f>
        <v>0</v>
      </c>
      <c r="AD111" s="351">
        <f>SUM(L5+L41+L64+L91+L114+L137+L167+L192)</f>
        <v>22418000</v>
      </c>
      <c r="AE111" s="351">
        <f>SUM(AF111-AD111)</f>
        <v>0</v>
      </c>
      <c r="AF111" s="1724">
        <f>SUM(N5+N41+N64+N91+N114+N137+N167+N192)</f>
        <v>22418000</v>
      </c>
      <c r="AG111" s="351">
        <f>SUM(AH111-AF111)</f>
        <v>-951085</v>
      </c>
      <c r="AH111" s="351">
        <f>SUM(P5+P41+P64+P91+P114+P137+P167+P192)</f>
        <v>21466915</v>
      </c>
      <c r="AI111" s="351">
        <f t="shared" ref="AI111:AI157" si="22">SUM(AJ111-AH111)</f>
        <v>0</v>
      </c>
      <c r="AJ111" s="351">
        <f>SUM(R5+R41+R64+R91+R114+R137+R167+R192)</f>
        <v>21466915</v>
      </c>
      <c r="AK111" s="1721">
        <f>SUM(S5+S41+S64+S91+S114+S137+S167+S192)</f>
        <v>21107000</v>
      </c>
      <c r="AM111" s="231">
        <f>SUM(AN111-AK111)</f>
        <v>-10338949</v>
      </c>
      <c r="AN111" s="231">
        <v>10768051</v>
      </c>
    </row>
    <row r="112" spans="1:40" ht="18" thickBot="1" x14ac:dyDescent="0.35">
      <c r="A112" s="329"/>
      <c r="B112" s="330"/>
      <c r="C112" s="209"/>
      <c r="D112" s="342" t="s">
        <v>852</v>
      </c>
      <c r="E112" s="343"/>
      <c r="F112" s="343"/>
      <c r="G112" s="343"/>
      <c r="H112" s="343"/>
      <c r="I112" s="344"/>
      <c r="J112" s="344"/>
      <c r="K112" s="344"/>
      <c r="L112" s="344"/>
      <c r="M112" s="1355"/>
      <c r="N112" s="344"/>
      <c r="O112" s="1355"/>
      <c r="P112" s="344"/>
      <c r="Q112" s="615"/>
      <c r="R112" s="344"/>
      <c r="S112" s="344"/>
      <c r="T112" s="344" t="e">
        <f t="shared" si="17"/>
        <v>#DIV/0!</v>
      </c>
      <c r="U112" s="236"/>
      <c r="V112" s="170" t="s">
        <v>46</v>
      </c>
      <c r="W112" s="351"/>
      <c r="X112" s="351">
        <f>SUM(H5+H41+H64+H91+H114+H137)</f>
        <v>9668</v>
      </c>
      <c r="Y112" s="351"/>
      <c r="Z112" s="351"/>
      <c r="AA112" s="351"/>
      <c r="AB112" s="351">
        <f>SUM(I5+I41+I64+I91+I114+I137+I167+I192)</f>
        <v>19150</v>
      </c>
      <c r="AC112" s="351">
        <f>SUM(J5+J41+J64+J91+J114+J137+J167+J192)</f>
        <v>19150</v>
      </c>
      <c r="AD112" s="1724">
        <f>SUM(AD114:AD125)</f>
        <v>22418000</v>
      </c>
      <c r="AE112" s="351">
        <f t="shared" ref="AE112:AG157" si="23">SUM(AF112-AD112)</f>
        <v>0</v>
      </c>
      <c r="AF112" s="1724">
        <f>SUM(AF114:AF125)</f>
        <v>22418000</v>
      </c>
      <c r="AG112" s="351">
        <f t="shared" si="23"/>
        <v>-951085</v>
      </c>
      <c r="AH112" s="1724">
        <f>SUM(AH114:AH125)</f>
        <v>21466915</v>
      </c>
      <c r="AI112" s="351">
        <f t="shared" si="22"/>
        <v>0</v>
      </c>
      <c r="AJ112" s="1724">
        <f>SUM(AJ114:AJ125)</f>
        <v>21466915</v>
      </c>
      <c r="AK112" s="1724">
        <f>SUM(AK114:AK125)</f>
        <v>21107000</v>
      </c>
      <c r="AM112" s="231">
        <f t="shared" ref="AM112:AM157" si="24">SUM(AN112-AK112)</f>
        <v>-10338949</v>
      </c>
      <c r="AN112" s="231">
        <v>10768051</v>
      </c>
    </row>
    <row r="113" spans="1:40" ht="16.5" customHeight="1" thickBot="1" x14ac:dyDescent="0.3">
      <c r="A113" s="211"/>
      <c r="B113" s="330" t="s">
        <v>3</v>
      </c>
      <c r="C113" s="224"/>
      <c r="D113" s="4656" t="s">
        <v>230</v>
      </c>
      <c r="E113" s="4656"/>
      <c r="F113" s="4656"/>
      <c r="G113" s="4656"/>
      <c r="H113" s="4656"/>
      <c r="I113" s="220"/>
      <c r="J113" s="220"/>
      <c r="K113" s="220"/>
      <c r="L113" s="220"/>
      <c r="M113" s="1355"/>
      <c r="N113" s="344"/>
      <c r="O113" s="1355"/>
      <c r="P113" s="344"/>
      <c r="Q113" s="3321"/>
      <c r="R113" s="344"/>
      <c r="S113" s="220"/>
      <c r="T113" s="344" t="e">
        <f t="shared" si="17"/>
        <v>#DIV/0!</v>
      </c>
      <c r="U113" s="509"/>
      <c r="V113" s="1148" t="s">
        <v>279</v>
      </c>
      <c r="W113" s="350"/>
      <c r="X113" s="350"/>
      <c r="Y113" s="350"/>
      <c r="Z113" s="350"/>
      <c r="AA113" s="350"/>
      <c r="AB113" s="350"/>
      <c r="AC113" s="350"/>
      <c r="AD113" s="351"/>
      <c r="AE113" s="351"/>
      <c r="AF113" s="1724"/>
      <c r="AG113" s="351">
        <f t="shared" si="23"/>
        <v>0</v>
      </c>
      <c r="AH113" s="351"/>
      <c r="AI113" s="351">
        <f t="shared" si="22"/>
        <v>0</v>
      </c>
      <c r="AJ113" s="351"/>
      <c r="AK113" s="351">
        <f>SUM(AK112-AK111)</f>
        <v>0</v>
      </c>
      <c r="AM113" s="231">
        <f t="shared" si="24"/>
        <v>0</v>
      </c>
      <c r="AN113" s="231"/>
    </row>
    <row r="114" spans="1:40" ht="16.5" x14ac:dyDescent="0.25">
      <c r="A114" s="211"/>
      <c r="B114" s="333"/>
      <c r="C114" s="209" t="s">
        <v>152</v>
      </c>
      <c r="D114" s="2393" t="s">
        <v>46</v>
      </c>
      <c r="E114" s="220"/>
      <c r="F114" s="220"/>
      <c r="G114" s="220">
        <v>2</v>
      </c>
      <c r="H114" s="220">
        <v>0</v>
      </c>
      <c r="I114" s="220"/>
      <c r="J114" s="220"/>
      <c r="K114" s="220"/>
      <c r="L114" s="230">
        <v>0</v>
      </c>
      <c r="M114" s="1355">
        <f t="shared" si="12"/>
        <v>0</v>
      </c>
      <c r="N114" s="632">
        <v>0</v>
      </c>
      <c r="O114" s="2829">
        <f t="shared" si="13"/>
        <v>0</v>
      </c>
      <c r="P114" s="632">
        <v>0</v>
      </c>
      <c r="Q114" s="3319">
        <f t="shared" si="14"/>
        <v>0</v>
      </c>
      <c r="R114" s="632">
        <v>0</v>
      </c>
      <c r="S114" s="230">
        <v>0</v>
      </c>
      <c r="T114" s="344" t="e">
        <f t="shared" si="17"/>
        <v>#DIV/0!</v>
      </c>
      <c r="U114" s="509"/>
      <c r="V114" s="249" t="s">
        <v>48</v>
      </c>
      <c r="AD114" s="351"/>
      <c r="AE114" s="351">
        <f t="shared" si="23"/>
        <v>0</v>
      </c>
      <c r="AF114" s="1725"/>
      <c r="AG114" s="351">
        <f t="shared" si="23"/>
        <v>0</v>
      </c>
      <c r="AH114" s="1153"/>
      <c r="AI114" s="351">
        <f t="shared" si="22"/>
        <v>0</v>
      </c>
      <c r="AJ114" s="1153"/>
      <c r="AK114" s="1722"/>
      <c r="AM114" s="231">
        <f t="shared" si="24"/>
        <v>0</v>
      </c>
      <c r="AN114" s="231"/>
    </row>
    <row r="115" spans="1:40" ht="15" customHeight="1" x14ac:dyDescent="0.25">
      <c r="A115" s="211"/>
      <c r="B115" s="333"/>
      <c r="C115" s="209" t="s">
        <v>154</v>
      </c>
      <c r="D115" s="2393" t="s">
        <v>501</v>
      </c>
      <c r="E115" s="220">
        <v>0</v>
      </c>
      <c r="F115" s="220">
        <v>0</v>
      </c>
      <c r="G115" s="220">
        <v>0</v>
      </c>
      <c r="H115" s="220"/>
      <c r="I115" s="220"/>
      <c r="J115" s="220"/>
      <c r="K115" s="220"/>
      <c r="L115" s="230">
        <v>0</v>
      </c>
      <c r="M115" s="2837">
        <f t="shared" si="12"/>
        <v>0</v>
      </c>
      <c r="N115" s="632">
        <v>0</v>
      </c>
      <c r="O115" s="2829">
        <f t="shared" si="13"/>
        <v>0</v>
      </c>
      <c r="P115" s="632">
        <v>0</v>
      </c>
      <c r="Q115" s="3319">
        <f t="shared" si="14"/>
        <v>0</v>
      </c>
      <c r="R115" s="632">
        <v>0</v>
      </c>
      <c r="S115" s="230">
        <v>0</v>
      </c>
      <c r="T115" s="344" t="e">
        <f t="shared" si="17"/>
        <v>#DIV/0!</v>
      </c>
      <c r="U115" s="509"/>
      <c r="V115" s="55" t="s">
        <v>50</v>
      </c>
      <c r="AD115" s="351">
        <f>SUM(L6+L65+L138+L193)</f>
        <v>14780000</v>
      </c>
      <c r="AE115" s="351">
        <f t="shared" si="23"/>
        <v>1521900</v>
      </c>
      <c r="AF115" s="1724">
        <f>SUM(N6+N65+N138+N193)</f>
        <v>16301900</v>
      </c>
      <c r="AG115" s="351">
        <f t="shared" si="23"/>
        <v>-758433</v>
      </c>
      <c r="AH115" s="351">
        <f>SUM(P6+P65+P138+P193)</f>
        <v>15543467</v>
      </c>
      <c r="AI115" s="351">
        <f t="shared" si="22"/>
        <v>0</v>
      </c>
      <c r="AJ115" s="351">
        <f>SUM(R6+R65+R138+R193)</f>
        <v>15543467</v>
      </c>
      <c r="AK115" s="1721">
        <f>SUM(S6+S65+S138+S193)</f>
        <v>15280060</v>
      </c>
      <c r="AM115" s="231">
        <f t="shared" si="24"/>
        <v>-7664449</v>
      </c>
      <c r="AN115" s="231">
        <v>7615611</v>
      </c>
    </row>
    <row r="116" spans="1:40" ht="28.5" x14ac:dyDescent="0.25">
      <c r="A116" s="211"/>
      <c r="B116" s="333"/>
      <c r="C116" s="209" t="s">
        <v>156</v>
      </c>
      <c r="D116" s="2393" t="s">
        <v>353</v>
      </c>
      <c r="E116" s="220">
        <f t="shared" ref="E116:J116" si="25">SUM(E117+E122)</f>
        <v>27927</v>
      </c>
      <c r="F116" s="220">
        <f t="shared" si="25"/>
        <v>30134</v>
      </c>
      <c r="G116" s="220">
        <f t="shared" si="25"/>
        <v>31732</v>
      </c>
      <c r="H116" s="220">
        <f t="shared" si="25"/>
        <v>28884</v>
      </c>
      <c r="I116" s="220">
        <f t="shared" si="25"/>
        <v>29434</v>
      </c>
      <c r="J116" s="220">
        <f t="shared" si="25"/>
        <v>30099</v>
      </c>
      <c r="K116" s="220"/>
      <c r="L116" s="230">
        <f t="shared" ref="L116:S117" si="26">SUM(L117)</f>
        <v>43160000</v>
      </c>
      <c r="M116" s="2837">
        <f t="shared" si="12"/>
        <v>0</v>
      </c>
      <c r="N116" s="632">
        <f t="shared" si="26"/>
        <v>43160000</v>
      </c>
      <c r="O116" s="2829">
        <f t="shared" si="13"/>
        <v>-140600</v>
      </c>
      <c r="P116" s="632">
        <f t="shared" si="26"/>
        <v>43019400</v>
      </c>
      <c r="Q116" s="3319">
        <f t="shared" si="14"/>
        <v>0</v>
      </c>
      <c r="R116" s="632">
        <f t="shared" si="26"/>
        <v>43019400</v>
      </c>
      <c r="S116" s="230">
        <f t="shared" si="26"/>
        <v>43019400</v>
      </c>
      <c r="T116" s="344">
        <f t="shared" si="17"/>
        <v>99.674235403151073</v>
      </c>
      <c r="U116" s="509"/>
      <c r="V116" s="55" t="s">
        <v>414</v>
      </c>
      <c r="W116" s="231">
        <f>E7+E40+E71+E101+E131+E164</f>
        <v>5741.5</v>
      </c>
      <c r="X116" s="231">
        <f>SUM(H13+H42+H69+H92+H115+H145)</f>
        <v>0</v>
      </c>
      <c r="Y116" s="231"/>
      <c r="Z116" s="231"/>
      <c r="AA116" s="231"/>
      <c r="AB116" s="231">
        <f>SUM(I13+I42+I69+I92+I115+I145+I170+I196)</f>
        <v>0</v>
      </c>
      <c r="AC116" s="231">
        <f>SUM(J13+J42+J69+J92+J115+J145+J170+J196)</f>
        <v>0</v>
      </c>
      <c r="AD116" s="351">
        <f>SUM(L7+L66+L139+L194)</f>
        <v>1592000</v>
      </c>
      <c r="AE116" s="351">
        <f t="shared" si="23"/>
        <v>-1592000</v>
      </c>
      <c r="AF116" s="1724">
        <f>SUM(N7+N66+N139+N194)</f>
        <v>0</v>
      </c>
      <c r="AG116" s="351">
        <f t="shared" si="23"/>
        <v>0</v>
      </c>
      <c r="AH116" s="351">
        <f>SUM(P7+P66+P139+P194)</f>
        <v>0</v>
      </c>
      <c r="AI116" s="351">
        <f t="shared" si="22"/>
        <v>0</v>
      </c>
      <c r="AJ116" s="351">
        <f>SUM(R7+R66+R139+R194)</f>
        <v>0</v>
      </c>
      <c r="AK116" s="1721">
        <f>SUM(S7+S66+S139+S194)</f>
        <v>0</v>
      </c>
      <c r="AM116" s="231">
        <f t="shared" si="24"/>
        <v>0</v>
      </c>
      <c r="AN116" s="231"/>
    </row>
    <row r="117" spans="1:40" s="218" customFormat="1" ht="30" x14ac:dyDescent="0.25">
      <c r="A117" s="334"/>
      <c r="B117" s="335"/>
      <c r="C117" s="222" t="s">
        <v>354</v>
      </c>
      <c r="D117" s="55" t="s">
        <v>420</v>
      </c>
      <c r="E117" s="221">
        <f t="shared" ref="E117:J117" si="27">SUM(E118:E120)</f>
        <v>27927</v>
      </c>
      <c r="F117" s="221">
        <f t="shared" si="27"/>
        <v>30134</v>
      </c>
      <c r="G117" s="221">
        <f t="shared" si="27"/>
        <v>31732</v>
      </c>
      <c r="H117" s="221">
        <f t="shared" si="27"/>
        <v>28884</v>
      </c>
      <c r="I117" s="221">
        <f t="shared" si="27"/>
        <v>29434</v>
      </c>
      <c r="J117" s="221">
        <f t="shared" si="27"/>
        <v>29434</v>
      </c>
      <c r="K117" s="221"/>
      <c r="L117" s="221">
        <f t="shared" si="26"/>
        <v>43160000</v>
      </c>
      <c r="M117" s="1355">
        <f t="shared" si="12"/>
        <v>0</v>
      </c>
      <c r="N117" s="1198">
        <f t="shared" si="26"/>
        <v>43160000</v>
      </c>
      <c r="O117" s="1347">
        <f t="shared" si="13"/>
        <v>-140600</v>
      </c>
      <c r="P117" s="1198">
        <f t="shared" si="26"/>
        <v>43019400</v>
      </c>
      <c r="Q117" s="3323">
        <f t="shared" si="26"/>
        <v>0</v>
      </c>
      <c r="R117" s="1198">
        <f t="shared" si="26"/>
        <v>43019400</v>
      </c>
      <c r="S117" s="1198">
        <f t="shared" si="26"/>
        <v>43019400</v>
      </c>
      <c r="T117" s="344">
        <f t="shared" si="17"/>
        <v>99.674235403151073</v>
      </c>
      <c r="U117" s="509"/>
      <c r="V117" s="55" t="s">
        <v>415</v>
      </c>
      <c r="W117" s="207"/>
      <c r="X117" s="207"/>
      <c r="Y117" s="207"/>
      <c r="Z117" s="207"/>
      <c r="AA117" s="207"/>
      <c r="AB117" s="207"/>
      <c r="AC117" s="207"/>
      <c r="AD117" s="351"/>
      <c r="AE117" s="351">
        <f t="shared" si="23"/>
        <v>0</v>
      </c>
      <c r="AF117" s="1724"/>
      <c r="AG117" s="351">
        <f t="shared" si="23"/>
        <v>0</v>
      </c>
      <c r="AH117" s="351"/>
      <c r="AI117" s="351">
        <f t="shared" si="22"/>
        <v>0</v>
      </c>
      <c r="AJ117" s="351"/>
      <c r="AK117" s="1721"/>
      <c r="AL117" s="207"/>
      <c r="AM117" s="231">
        <f t="shared" si="24"/>
        <v>0</v>
      </c>
      <c r="AN117" s="231"/>
    </row>
    <row r="118" spans="1:40" ht="30" x14ac:dyDescent="0.25">
      <c r="A118" s="211"/>
      <c r="B118" s="333"/>
      <c r="C118" s="224" t="s">
        <v>502</v>
      </c>
      <c r="D118" s="55" t="s">
        <v>422</v>
      </c>
      <c r="E118" s="220">
        <v>19835</v>
      </c>
      <c r="F118" s="220">
        <v>20000</v>
      </c>
      <c r="G118" s="220">
        <v>20000</v>
      </c>
      <c r="H118" s="220">
        <v>20000</v>
      </c>
      <c r="I118" s="220">
        <v>22800</v>
      </c>
      <c r="J118" s="220">
        <v>22800</v>
      </c>
      <c r="K118" s="220"/>
      <c r="L118" s="220">
        <v>43160000</v>
      </c>
      <c r="M118" s="1355">
        <f t="shared" si="12"/>
        <v>0</v>
      </c>
      <c r="N118" s="344">
        <v>43160000</v>
      </c>
      <c r="O118" s="1347">
        <f t="shared" si="13"/>
        <v>-140600</v>
      </c>
      <c r="P118" s="344">
        <v>43019400</v>
      </c>
      <c r="Q118" s="3321">
        <f t="shared" si="14"/>
        <v>0</v>
      </c>
      <c r="R118" s="344">
        <v>43019400</v>
      </c>
      <c r="S118" s="220">
        <v>43019400</v>
      </c>
      <c r="T118" s="344">
        <f t="shared" si="17"/>
        <v>99.674235403151073</v>
      </c>
      <c r="U118" s="509"/>
      <c r="V118" s="250" t="s">
        <v>416</v>
      </c>
      <c r="AD118" s="351">
        <f>SUM(L9+L141+L67+L195)</f>
        <v>4730000</v>
      </c>
      <c r="AE118" s="351">
        <f t="shared" si="23"/>
        <v>0</v>
      </c>
      <c r="AF118" s="1724">
        <f>SUM(N9+N141+N67+N195)</f>
        <v>4730000</v>
      </c>
      <c r="AG118" s="351">
        <f t="shared" si="23"/>
        <v>826474</v>
      </c>
      <c r="AH118" s="351">
        <f>SUM(P9+P141+P67+P195)</f>
        <v>5556474</v>
      </c>
      <c r="AI118" s="351">
        <f t="shared" si="22"/>
        <v>0</v>
      </c>
      <c r="AJ118" s="351">
        <f>SUM(R9+R141+R67+R195)</f>
        <v>5556474</v>
      </c>
      <c r="AK118" s="1721">
        <f>SUM(S9+S141+S67+S195)</f>
        <v>5459966</v>
      </c>
      <c r="AL118" s="231"/>
      <c r="AM118" s="231">
        <f t="shared" si="24"/>
        <v>-2594178</v>
      </c>
      <c r="AN118" s="231">
        <v>2865788</v>
      </c>
    </row>
    <row r="119" spans="1:40" ht="16.5" x14ac:dyDescent="0.25">
      <c r="A119" s="211"/>
      <c r="B119" s="333"/>
      <c r="C119" s="213" t="s">
        <v>158</v>
      </c>
      <c r="D119" s="2393" t="s">
        <v>503</v>
      </c>
      <c r="E119" s="220"/>
      <c r="F119" s="220"/>
      <c r="G119" s="220"/>
      <c r="H119" s="220"/>
      <c r="I119" s="220"/>
      <c r="J119" s="220"/>
      <c r="K119" s="220"/>
      <c r="L119" s="230">
        <f>SUM(L120)</f>
        <v>6000000</v>
      </c>
      <c r="M119" s="2837">
        <f t="shared" si="12"/>
        <v>0</v>
      </c>
      <c r="N119" s="632">
        <f>SUM(N120)</f>
        <v>6000000</v>
      </c>
      <c r="O119" s="2829">
        <f t="shared" si="13"/>
        <v>-6000000</v>
      </c>
      <c r="P119" s="632">
        <f>SUM(P120)</f>
        <v>0</v>
      </c>
      <c r="Q119" s="3319">
        <f t="shared" si="14"/>
        <v>0</v>
      </c>
      <c r="R119" s="632">
        <f>SUM(R120)</f>
        <v>0</v>
      </c>
      <c r="S119" s="230">
        <f>SUM(S120)</f>
        <v>0</v>
      </c>
      <c r="T119" s="344">
        <f t="shared" si="17"/>
        <v>0</v>
      </c>
      <c r="U119" s="509"/>
      <c r="V119" s="55" t="s">
        <v>58</v>
      </c>
      <c r="W119" s="218"/>
      <c r="X119" s="218"/>
      <c r="Y119" s="218"/>
      <c r="Z119" s="218"/>
      <c r="AA119" s="218"/>
      <c r="AB119" s="218"/>
      <c r="AC119" s="218"/>
      <c r="AD119" s="351"/>
      <c r="AE119" s="351">
        <f t="shared" si="23"/>
        <v>0</v>
      </c>
      <c r="AF119" s="1724"/>
      <c r="AG119" s="351">
        <f t="shared" si="23"/>
        <v>0</v>
      </c>
      <c r="AH119" s="351"/>
      <c r="AI119" s="351">
        <f t="shared" si="22"/>
        <v>0</v>
      </c>
      <c r="AJ119" s="351"/>
      <c r="AK119" s="1721"/>
      <c r="AL119" s="231"/>
      <c r="AM119" s="231">
        <f t="shared" si="24"/>
        <v>0</v>
      </c>
      <c r="AN119" s="231"/>
    </row>
    <row r="120" spans="1:40" ht="16.5" x14ac:dyDescent="0.25">
      <c r="A120" s="211"/>
      <c r="B120" s="333"/>
      <c r="C120" s="224" t="s">
        <v>504</v>
      </c>
      <c r="D120" s="55" t="s">
        <v>818</v>
      </c>
      <c r="E120" s="220">
        <v>8092</v>
      </c>
      <c r="F120" s="220">
        <v>10134</v>
      </c>
      <c r="G120" s="220">
        <v>11732</v>
      </c>
      <c r="H120" s="220">
        <v>8884</v>
      </c>
      <c r="I120" s="220">
        <v>6634</v>
      </c>
      <c r="J120" s="220">
        <v>6634</v>
      </c>
      <c r="K120" s="220"/>
      <c r="L120" s="220">
        <v>6000000</v>
      </c>
      <c r="M120" s="1355">
        <f t="shared" si="12"/>
        <v>0</v>
      </c>
      <c r="N120" s="344">
        <v>6000000</v>
      </c>
      <c r="O120" s="1347">
        <f t="shared" si="13"/>
        <v>-6000000</v>
      </c>
      <c r="P120" s="344"/>
      <c r="Q120" s="3321">
        <f t="shared" si="14"/>
        <v>0</v>
      </c>
      <c r="R120" s="344"/>
      <c r="S120" s="220"/>
      <c r="T120" s="344">
        <f t="shared" si="17"/>
        <v>0</v>
      </c>
      <c r="U120" s="509"/>
      <c r="V120" s="55" t="s">
        <v>60</v>
      </c>
      <c r="AD120" s="351"/>
      <c r="AE120" s="351">
        <f t="shared" si="23"/>
        <v>0</v>
      </c>
      <c r="AF120" s="1724"/>
      <c r="AG120" s="351">
        <f t="shared" si="23"/>
        <v>0</v>
      </c>
      <c r="AH120" s="351"/>
      <c r="AI120" s="351">
        <f t="shared" si="22"/>
        <v>0</v>
      </c>
      <c r="AJ120" s="351"/>
      <c r="AK120" s="1721"/>
      <c r="AL120" s="231"/>
      <c r="AM120" s="231">
        <f t="shared" si="24"/>
        <v>0</v>
      </c>
      <c r="AN120" s="231"/>
    </row>
    <row r="121" spans="1:40" ht="16.5" x14ac:dyDescent="0.25">
      <c r="A121" s="211"/>
      <c r="B121" s="333"/>
      <c r="C121" s="213" t="s">
        <v>375</v>
      </c>
      <c r="D121" s="2393" t="s">
        <v>434</v>
      </c>
      <c r="E121" s="220"/>
      <c r="F121" s="220"/>
      <c r="G121" s="220"/>
      <c r="H121" s="220"/>
      <c r="I121" s="220"/>
      <c r="J121" s="220"/>
      <c r="K121" s="220"/>
      <c r="L121" s="220"/>
      <c r="M121" s="1355">
        <f t="shared" si="12"/>
        <v>0</v>
      </c>
      <c r="N121" s="344"/>
      <c r="O121" s="1347">
        <f t="shared" si="13"/>
        <v>0</v>
      </c>
      <c r="P121" s="344"/>
      <c r="Q121" s="3321">
        <f t="shared" si="14"/>
        <v>0</v>
      </c>
      <c r="R121" s="344"/>
      <c r="S121" s="220"/>
      <c r="T121" s="344" t="e">
        <f t="shared" si="17"/>
        <v>#DIV/0!</v>
      </c>
      <c r="U121" s="509"/>
      <c r="V121" s="55" t="s">
        <v>976</v>
      </c>
      <c r="AD121" s="351"/>
      <c r="AE121" s="351">
        <f t="shared" si="23"/>
        <v>0</v>
      </c>
      <c r="AF121" s="1724"/>
      <c r="AG121" s="351">
        <f t="shared" si="23"/>
        <v>0</v>
      </c>
      <c r="AH121" s="351"/>
      <c r="AI121" s="351">
        <f t="shared" si="22"/>
        <v>0</v>
      </c>
      <c r="AJ121" s="351"/>
      <c r="AK121" s="1721"/>
      <c r="AL121" s="231"/>
      <c r="AM121" s="231">
        <f t="shared" si="24"/>
        <v>0</v>
      </c>
      <c r="AN121" s="231"/>
    </row>
    <row r="122" spans="1:40" ht="16.5" x14ac:dyDescent="0.25">
      <c r="A122" s="211"/>
      <c r="B122" s="333"/>
      <c r="C122" s="213" t="s">
        <v>162</v>
      </c>
      <c r="D122" s="2393" t="s">
        <v>509</v>
      </c>
      <c r="E122" s="220"/>
      <c r="F122" s="220"/>
      <c r="G122" s="220"/>
      <c r="H122" s="220">
        <v>0</v>
      </c>
      <c r="I122" s="220"/>
      <c r="J122" s="220">
        <v>665</v>
      </c>
      <c r="K122" s="220"/>
      <c r="L122" s="220"/>
      <c r="M122" s="1355">
        <f t="shared" si="12"/>
        <v>0</v>
      </c>
      <c r="N122" s="344"/>
      <c r="O122" s="1347">
        <f t="shared" si="13"/>
        <v>0</v>
      </c>
      <c r="P122" s="344"/>
      <c r="Q122" s="3321">
        <f t="shared" si="14"/>
        <v>0</v>
      </c>
      <c r="R122" s="344"/>
      <c r="S122" s="220"/>
      <c r="T122" s="344" t="e">
        <f t="shared" si="17"/>
        <v>#DIV/0!</v>
      </c>
      <c r="U122" s="509"/>
      <c r="V122" s="55" t="s">
        <v>417</v>
      </c>
      <c r="AD122" s="351">
        <f>SUM(L10)</f>
        <v>0</v>
      </c>
      <c r="AE122" s="351">
        <f t="shared" si="23"/>
        <v>100</v>
      </c>
      <c r="AF122" s="1724">
        <f>SUM(N10)</f>
        <v>100</v>
      </c>
      <c r="AG122" s="351">
        <f t="shared" si="23"/>
        <v>-79</v>
      </c>
      <c r="AH122" s="351">
        <f>SUM(P10)</f>
        <v>21</v>
      </c>
      <c r="AI122" s="351">
        <f t="shared" si="22"/>
        <v>0</v>
      </c>
      <c r="AJ122" s="351">
        <f>SUM(R10)</f>
        <v>21</v>
      </c>
      <c r="AK122" s="1721">
        <f>SUM(S10)</f>
        <v>21</v>
      </c>
      <c r="AL122" s="231"/>
      <c r="AM122" s="231">
        <f t="shared" si="24"/>
        <v>1669</v>
      </c>
      <c r="AN122" s="231">
        <v>1690</v>
      </c>
    </row>
    <row r="123" spans="1:40" ht="16.5" x14ac:dyDescent="0.25">
      <c r="A123" s="2656"/>
      <c r="B123" s="2657"/>
      <c r="C123" s="2658" t="s">
        <v>510</v>
      </c>
      <c r="D123" s="337" t="s">
        <v>299</v>
      </c>
      <c r="E123" s="338">
        <f t="shared" ref="E123:J123" si="28">SUM(E114+E116+E115)</f>
        <v>27927</v>
      </c>
      <c r="F123" s="338">
        <f t="shared" si="28"/>
        <v>30134</v>
      </c>
      <c r="G123" s="338">
        <f t="shared" si="28"/>
        <v>31734</v>
      </c>
      <c r="H123" s="338">
        <f t="shared" si="28"/>
        <v>28884</v>
      </c>
      <c r="I123" s="338">
        <f t="shared" si="28"/>
        <v>29434</v>
      </c>
      <c r="J123" s="338">
        <f t="shared" si="28"/>
        <v>30099</v>
      </c>
      <c r="K123" s="338"/>
      <c r="L123" s="338">
        <f>SUM(L114+L116+L115)+L119</f>
        <v>49160000</v>
      </c>
      <c r="M123" s="1356">
        <f t="shared" si="12"/>
        <v>0</v>
      </c>
      <c r="N123" s="1332">
        <f>SUM(N114+N116+N115)+N119</f>
        <v>49160000</v>
      </c>
      <c r="O123" s="1348">
        <f t="shared" si="13"/>
        <v>-6140600</v>
      </c>
      <c r="P123" s="1332">
        <f>SUM(P114+P116+P115)+P119</f>
        <v>43019400</v>
      </c>
      <c r="Q123" s="3324">
        <f t="shared" si="14"/>
        <v>0</v>
      </c>
      <c r="R123" s="1332">
        <f>SUM(R114+R116+R115)+R119</f>
        <v>43019400</v>
      </c>
      <c r="S123" s="338">
        <f>SUM(S114+S116+S115)+S119</f>
        <v>43019400</v>
      </c>
      <c r="T123" s="344">
        <f t="shared" si="17"/>
        <v>87.508950366151339</v>
      </c>
      <c r="U123" s="509"/>
      <c r="V123" s="55" t="s">
        <v>64</v>
      </c>
      <c r="AD123" s="351"/>
      <c r="AE123" s="351">
        <f t="shared" si="23"/>
        <v>0</v>
      </c>
      <c r="AF123" s="1724"/>
      <c r="AG123" s="351">
        <f t="shared" si="23"/>
        <v>0</v>
      </c>
      <c r="AH123" s="351"/>
      <c r="AI123" s="351">
        <f t="shared" si="22"/>
        <v>0</v>
      </c>
      <c r="AJ123" s="351"/>
      <c r="AK123" s="1721"/>
      <c r="AL123" s="231"/>
      <c r="AM123" s="231">
        <f t="shared" si="24"/>
        <v>0</v>
      </c>
      <c r="AN123" s="231"/>
    </row>
    <row r="124" spans="1:40" ht="16.5" customHeight="1" x14ac:dyDescent="0.25">
      <c r="A124" s="211"/>
      <c r="B124" s="330" t="s">
        <v>17</v>
      </c>
      <c r="C124" s="234"/>
      <c r="D124" s="4656" t="s">
        <v>231</v>
      </c>
      <c r="E124" s="4656"/>
      <c r="F124" s="4656"/>
      <c r="G124" s="4656"/>
      <c r="H124" s="4656"/>
      <c r="I124" s="220"/>
      <c r="J124" s="220"/>
      <c r="K124" s="220"/>
      <c r="L124" s="230"/>
      <c r="M124" s="1355"/>
      <c r="N124" s="632"/>
      <c r="O124" s="1355"/>
      <c r="P124" s="632"/>
      <c r="Q124" s="3321"/>
      <c r="R124" s="632"/>
      <c r="S124" s="230"/>
      <c r="T124" s="344" t="e">
        <f t="shared" si="17"/>
        <v>#DIV/0!</v>
      </c>
      <c r="U124" s="509"/>
      <c r="V124" s="250" t="s">
        <v>418</v>
      </c>
      <c r="AD124" s="351">
        <f>SUM(L11+L143+L68)</f>
        <v>1316000</v>
      </c>
      <c r="AE124" s="351">
        <f t="shared" si="23"/>
        <v>70000</v>
      </c>
      <c r="AF124" s="1724">
        <f>SUM(N11+N143+N68)</f>
        <v>1386000</v>
      </c>
      <c r="AG124" s="351">
        <f t="shared" si="23"/>
        <v>-1019047</v>
      </c>
      <c r="AH124" s="351">
        <f>SUM(P11+P143+P68)</f>
        <v>366953</v>
      </c>
      <c r="AI124" s="351">
        <f t="shared" si="22"/>
        <v>0</v>
      </c>
      <c r="AJ124" s="351">
        <f>SUM(R11+R143+R68)</f>
        <v>366953</v>
      </c>
      <c r="AK124" s="1721">
        <f>SUM(S11+S143+S68)</f>
        <v>366953</v>
      </c>
      <c r="AL124" s="231"/>
      <c r="AM124" s="231">
        <f t="shared" si="24"/>
        <v>-94291</v>
      </c>
      <c r="AN124" s="231">
        <v>272662</v>
      </c>
    </row>
    <row r="125" spans="1:40" ht="16.5" customHeight="1" x14ac:dyDescent="0.25">
      <c r="A125" s="211"/>
      <c r="B125" s="330"/>
      <c r="C125" s="213" t="s">
        <v>5</v>
      </c>
      <c r="D125" s="2821" t="s">
        <v>797</v>
      </c>
      <c r="E125" s="332"/>
      <c r="F125" s="332"/>
      <c r="G125" s="332"/>
      <c r="H125" s="332"/>
      <c r="I125" s="220"/>
      <c r="J125" s="220"/>
      <c r="K125" s="220"/>
      <c r="L125" s="230">
        <f>SUM(L126:L128)</f>
        <v>48660000</v>
      </c>
      <c r="M125" s="2837">
        <f t="shared" si="12"/>
        <v>0</v>
      </c>
      <c r="N125" s="632">
        <f>SUM(N126:N128)</f>
        <v>48660000</v>
      </c>
      <c r="O125" s="2829">
        <f t="shared" si="13"/>
        <v>-5990600</v>
      </c>
      <c r="P125" s="632">
        <f>SUM(P126:P128)</f>
        <v>42669400</v>
      </c>
      <c r="Q125" s="3319">
        <f t="shared" si="14"/>
        <v>0</v>
      </c>
      <c r="R125" s="632">
        <f>SUM(R126:R128)</f>
        <v>42669400</v>
      </c>
      <c r="S125" s="230">
        <f>SUM(S126:S128)</f>
        <v>42669400</v>
      </c>
      <c r="T125" s="344">
        <f t="shared" si="17"/>
        <v>87.688861487875045</v>
      </c>
      <c r="U125" s="509"/>
      <c r="V125" s="1150" t="s">
        <v>1020</v>
      </c>
      <c r="AD125" s="351">
        <f>SUM(L12+L144+L69)</f>
        <v>0</v>
      </c>
      <c r="AE125" s="351">
        <f t="shared" si="23"/>
        <v>0</v>
      </c>
      <c r="AF125" s="1724">
        <f>SUM(N12+N144+N69)</f>
        <v>0</v>
      </c>
      <c r="AG125" s="351">
        <f t="shared" si="23"/>
        <v>0</v>
      </c>
      <c r="AH125" s="351">
        <f>SUM(P12+P144+P69)</f>
        <v>0</v>
      </c>
      <c r="AI125" s="351">
        <f t="shared" si="22"/>
        <v>0</v>
      </c>
      <c r="AJ125" s="351">
        <f>SUM(R12+R144+R69)</f>
        <v>0</v>
      </c>
      <c r="AK125" s="1721">
        <f>SUM(S12+S144+S69)</f>
        <v>0</v>
      </c>
      <c r="AL125" s="231"/>
      <c r="AM125" s="231">
        <f t="shared" si="24"/>
        <v>12300</v>
      </c>
      <c r="AN125" s="231">
        <v>12300</v>
      </c>
    </row>
    <row r="126" spans="1:40" ht="16.5" x14ac:dyDescent="0.25">
      <c r="A126" s="211"/>
      <c r="B126" s="333"/>
      <c r="C126" s="234" t="s">
        <v>5</v>
      </c>
      <c r="D126" s="219" t="s">
        <v>370</v>
      </c>
      <c r="E126" s="220">
        <v>17861</v>
      </c>
      <c r="F126" s="220">
        <v>18148</v>
      </c>
      <c r="G126" s="220">
        <v>19341</v>
      </c>
      <c r="H126" s="220">
        <v>17173</v>
      </c>
      <c r="I126" s="220">
        <v>19012</v>
      </c>
      <c r="J126" s="220">
        <v>19012</v>
      </c>
      <c r="K126" s="220"/>
      <c r="L126" s="220">
        <v>27277000</v>
      </c>
      <c r="M126" s="1355">
        <f t="shared" si="12"/>
        <v>0</v>
      </c>
      <c r="N126" s="344">
        <v>27277000</v>
      </c>
      <c r="O126" s="1347">
        <f t="shared" si="13"/>
        <v>0</v>
      </c>
      <c r="P126" s="344">
        <v>27277000</v>
      </c>
      <c r="Q126" s="3321">
        <f t="shared" si="14"/>
        <v>0</v>
      </c>
      <c r="R126" s="344">
        <v>27277000</v>
      </c>
      <c r="S126" s="220">
        <v>27277000</v>
      </c>
      <c r="T126" s="344">
        <f t="shared" si="17"/>
        <v>100</v>
      </c>
      <c r="U126" s="509"/>
      <c r="V126" s="219" t="s">
        <v>528</v>
      </c>
      <c r="W126" s="351"/>
      <c r="X126" s="351" t="e">
        <f>SUM(#REF!+H67)</f>
        <v>#REF!</v>
      </c>
      <c r="Y126" s="351"/>
      <c r="Z126" s="351"/>
      <c r="AA126" s="351"/>
      <c r="AB126" s="351" t="e">
        <f>SUM(#REF!+I67+I169)</f>
        <v>#REF!</v>
      </c>
      <c r="AC126" s="351" t="e">
        <f>SUM(#REF!+J67+J169)</f>
        <v>#REF!</v>
      </c>
      <c r="AD126" s="351"/>
      <c r="AE126" s="351">
        <f t="shared" si="23"/>
        <v>0</v>
      </c>
      <c r="AF126" s="1724"/>
      <c r="AG126" s="351">
        <f t="shared" si="23"/>
        <v>0</v>
      </c>
      <c r="AH126" s="351"/>
      <c r="AI126" s="351">
        <f t="shared" si="22"/>
        <v>0</v>
      </c>
      <c r="AJ126" s="351"/>
      <c r="AK126" s="1721"/>
      <c r="AL126" s="231"/>
      <c r="AM126" s="231">
        <f t="shared" si="24"/>
        <v>0</v>
      </c>
      <c r="AN126" s="231"/>
    </row>
    <row r="127" spans="1:40" ht="16.5" x14ac:dyDescent="0.25">
      <c r="A127" s="211"/>
      <c r="B127" s="333"/>
      <c r="C127" s="234" t="s">
        <v>7</v>
      </c>
      <c r="D127" s="219" t="s">
        <v>408</v>
      </c>
      <c r="E127" s="220">
        <v>5645</v>
      </c>
      <c r="F127" s="220">
        <v>5679</v>
      </c>
      <c r="G127" s="220">
        <v>6008</v>
      </c>
      <c r="H127" s="220">
        <v>5372</v>
      </c>
      <c r="I127" s="220">
        <v>5190</v>
      </c>
      <c r="J127" s="220">
        <v>5190</v>
      </c>
      <c r="K127" s="220"/>
      <c r="L127" s="220">
        <v>5631000</v>
      </c>
      <c r="M127" s="1355">
        <f t="shared" si="12"/>
        <v>0</v>
      </c>
      <c r="N127" s="344">
        <v>5631000</v>
      </c>
      <c r="O127" s="1347">
        <f t="shared" si="13"/>
        <v>0</v>
      </c>
      <c r="P127" s="344">
        <v>5631000</v>
      </c>
      <c r="Q127" s="3321">
        <f t="shared" si="14"/>
        <v>0</v>
      </c>
      <c r="R127" s="344">
        <v>5631000</v>
      </c>
      <c r="S127" s="220">
        <v>5631000</v>
      </c>
      <c r="T127" s="344">
        <f t="shared" si="17"/>
        <v>100</v>
      </c>
      <c r="U127" s="509"/>
      <c r="V127" s="219" t="s">
        <v>529</v>
      </c>
      <c r="W127" s="351"/>
      <c r="X127" s="351">
        <f>SUM(H14+H43+H70+H93+H116+H146)</f>
        <v>326749</v>
      </c>
      <c r="Y127" s="351"/>
      <c r="Z127" s="351"/>
      <c r="AA127" s="351"/>
      <c r="AB127" s="351">
        <f t="shared" ref="AB127:AC129" si="29">SUM(I14+I43+I70+I93+I116+I146+I171+I197)</f>
        <v>524305</v>
      </c>
      <c r="AC127" s="351">
        <f t="shared" si="29"/>
        <v>558605</v>
      </c>
      <c r="AD127" s="351">
        <f>SUM(L14+L43+L70+L93+L116+L146+L171+L197)</f>
        <v>526538000</v>
      </c>
      <c r="AE127" s="351">
        <f t="shared" si="23"/>
        <v>0</v>
      </c>
      <c r="AF127" s="1724">
        <f>SUM(N14+N43+N70+N93+N116+N146+N171+N197)</f>
        <v>526538000</v>
      </c>
      <c r="AG127" s="351">
        <f t="shared" si="23"/>
        <v>6075000</v>
      </c>
      <c r="AH127" s="351">
        <f>SUM(P14+P43+P70+P93+P116+P146+P171+P197)</f>
        <v>532613000</v>
      </c>
      <c r="AI127" s="351">
        <f t="shared" si="22"/>
        <v>0</v>
      </c>
      <c r="AJ127" s="351">
        <f t="shared" ref="AJ127:AK129" si="30">SUM(R14+R43+R70+R93+R116+R146+R171+R197)</f>
        <v>532613000</v>
      </c>
      <c r="AK127" s="1721">
        <v>0</v>
      </c>
      <c r="AL127" s="231"/>
      <c r="AM127" s="231">
        <f t="shared" si="24"/>
        <v>243088600</v>
      </c>
      <c r="AN127" s="231">
        <v>243088600</v>
      </c>
    </row>
    <row r="128" spans="1:40" ht="16.5" x14ac:dyDescent="0.25">
      <c r="A128" s="211"/>
      <c r="B128" s="333"/>
      <c r="C128" s="234" t="s">
        <v>9</v>
      </c>
      <c r="D128" s="219" t="s">
        <v>240</v>
      </c>
      <c r="E128" s="220">
        <v>4421</v>
      </c>
      <c r="F128" s="220">
        <v>6307</v>
      </c>
      <c r="G128" s="220">
        <v>6385</v>
      </c>
      <c r="H128" s="220">
        <v>6339</v>
      </c>
      <c r="I128" s="220">
        <v>5232</v>
      </c>
      <c r="J128" s="220">
        <v>5232</v>
      </c>
      <c r="K128" s="220"/>
      <c r="L128" s="220">
        <v>15752000</v>
      </c>
      <c r="M128" s="1355">
        <f t="shared" si="12"/>
        <v>0</v>
      </c>
      <c r="N128" s="344">
        <v>15752000</v>
      </c>
      <c r="O128" s="1347">
        <f t="shared" si="13"/>
        <v>-5990600</v>
      </c>
      <c r="P128" s="344">
        <v>9761400</v>
      </c>
      <c r="Q128" s="3321">
        <f t="shared" si="14"/>
        <v>0</v>
      </c>
      <c r="R128" s="344">
        <v>9761400</v>
      </c>
      <c r="S128" s="220">
        <v>9761400</v>
      </c>
      <c r="T128" s="344">
        <f t="shared" si="17"/>
        <v>61.969273743016764</v>
      </c>
      <c r="U128" s="509"/>
      <c r="V128" s="219" t="s">
        <v>530</v>
      </c>
      <c r="W128" s="351"/>
      <c r="X128" s="351">
        <f>SUM(H15+H44+H71+H94+H117+H147)</f>
        <v>326749</v>
      </c>
      <c r="Y128" s="351"/>
      <c r="Z128" s="351"/>
      <c r="AA128" s="351"/>
      <c r="AB128" s="351">
        <f t="shared" si="29"/>
        <v>524305</v>
      </c>
      <c r="AC128" s="351">
        <f t="shared" si="29"/>
        <v>551506</v>
      </c>
      <c r="AD128" s="351">
        <f>SUM(L15+L44+L71+L94+L117+L147+L172+L198)</f>
        <v>526538000</v>
      </c>
      <c r="AE128" s="351">
        <f t="shared" si="23"/>
        <v>0</v>
      </c>
      <c r="AF128" s="1724">
        <f>SUM(N15+N44+N71+N94+N117+N147+N172+N198)</f>
        <v>526538000</v>
      </c>
      <c r="AG128" s="351">
        <f t="shared" si="23"/>
        <v>6075000</v>
      </c>
      <c r="AH128" s="351">
        <f>SUM(P15+P44+P71+P94+P117+P147+P172+P198)</f>
        <v>532613000</v>
      </c>
      <c r="AI128" s="351">
        <f t="shared" si="22"/>
        <v>0</v>
      </c>
      <c r="AJ128" s="351">
        <f t="shared" si="30"/>
        <v>532613000</v>
      </c>
      <c r="AK128" s="1721">
        <f t="shared" si="30"/>
        <v>532613000</v>
      </c>
      <c r="AM128" s="231">
        <f t="shared" si="24"/>
        <v>-289524400</v>
      </c>
      <c r="AN128" s="231">
        <v>243088600</v>
      </c>
    </row>
    <row r="129" spans="1:40" ht="16.5" x14ac:dyDescent="0.25">
      <c r="A129" s="211"/>
      <c r="B129" s="333"/>
      <c r="C129" s="213" t="s">
        <v>7</v>
      </c>
      <c r="D129" s="2393" t="s">
        <v>511</v>
      </c>
      <c r="E129" s="220"/>
      <c r="F129" s="220"/>
      <c r="G129" s="220"/>
      <c r="H129" s="220"/>
      <c r="I129" s="220"/>
      <c r="J129" s="220"/>
      <c r="K129" s="220"/>
      <c r="L129" s="230">
        <f>SUM(L130:L132)</f>
        <v>500000</v>
      </c>
      <c r="M129" s="2837">
        <f t="shared" si="12"/>
        <v>0</v>
      </c>
      <c r="N129" s="632">
        <f>SUM(N130:N132)</f>
        <v>500000</v>
      </c>
      <c r="O129" s="2829">
        <f t="shared" si="13"/>
        <v>-150000</v>
      </c>
      <c r="P129" s="632">
        <f>SUM(P130:P132)</f>
        <v>350000</v>
      </c>
      <c r="Q129" s="3319">
        <f t="shared" si="14"/>
        <v>0</v>
      </c>
      <c r="R129" s="632">
        <f>SUM(R130:R132)</f>
        <v>350000</v>
      </c>
      <c r="S129" s="230">
        <f>SUM(S130:S132)</f>
        <v>350000</v>
      </c>
      <c r="T129" s="344">
        <f t="shared" si="17"/>
        <v>70</v>
      </c>
      <c r="U129" s="509"/>
      <c r="V129" s="219" t="s">
        <v>531</v>
      </c>
      <c r="W129" s="351"/>
      <c r="X129" s="351">
        <f>SUM(H16+H45+H72+H95+H118+H148)</f>
        <v>308410</v>
      </c>
      <c r="Y129" s="351"/>
      <c r="Z129" s="351"/>
      <c r="AA129" s="351"/>
      <c r="AB129" s="351">
        <f t="shared" si="29"/>
        <v>442256</v>
      </c>
      <c r="AC129" s="351">
        <f t="shared" si="29"/>
        <v>442256</v>
      </c>
      <c r="AD129" s="351">
        <f>SUM(L16+L45+L72+L95+L118+L148+L173+L199)</f>
        <v>526538000</v>
      </c>
      <c r="AE129" s="351">
        <f t="shared" si="23"/>
        <v>0</v>
      </c>
      <c r="AF129" s="1724">
        <f>SUM(N16+N45+N72+N95+N118+N148+N173+N199)</f>
        <v>526538000</v>
      </c>
      <c r="AG129" s="351">
        <f t="shared" si="23"/>
        <v>6075000</v>
      </c>
      <c r="AH129" s="351">
        <f>SUM(P16+P45+P72+P95+P118+P148+P173+P199)</f>
        <v>532613000</v>
      </c>
      <c r="AI129" s="351">
        <f t="shared" si="22"/>
        <v>0</v>
      </c>
      <c r="AJ129" s="351">
        <f t="shared" si="30"/>
        <v>532613000</v>
      </c>
      <c r="AK129" s="1721">
        <f t="shared" si="30"/>
        <v>532613000</v>
      </c>
      <c r="AM129" s="231">
        <f t="shared" si="24"/>
        <v>-289524400</v>
      </c>
      <c r="AN129" s="231">
        <v>243088600</v>
      </c>
    </row>
    <row r="130" spans="1:40" ht="16.5" x14ac:dyDescent="0.25">
      <c r="A130" s="211"/>
      <c r="B130" s="333"/>
      <c r="C130" s="234" t="s">
        <v>512</v>
      </c>
      <c r="D130" s="219" t="s">
        <v>513</v>
      </c>
      <c r="E130" s="220"/>
      <c r="F130" s="220"/>
      <c r="G130" s="220"/>
      <c r="H130" s="220"/>
      <c r="I130" s="220"/>
      <c r="J130" s="220"/>
      <c r="K130" s="220"/>
      <c r="L130" s="220"/>
      <c r="M130" s="1355">
        <f t="shared" si="12"/>
        <v>0</v>
      </c>
      <c r="N130" s="344"/>
      <c r="O130" s="1347">
        <f t="shared" si="13"/>
        <v>0</v>
      </c>
      <c r="P130" s="344"/>
      <c r="Q130" s="3321">
        <f t="shared" si="14"/>
        <v>0</v>
      </c>
      <c r="R130" s="344"/>
      <c r="S130" s="220"/>
      <c r="T130" s="344" t="e">
        <f t="shared" si="17"/>
        <v>#DIV/0!</v>
      </c>
      <c r="U130" s="509"/>
      <c r="V130" s="219"/>
      <c r="W130" s="351"/>
      <c r="X130" s="351"/>
      <c r="Y130" s="351"/>
      <c r="Z130" s="351"/>
      <c r="AA130" s="351"/>
      <c r="AB130" s="351"/>
      <c r="AC130" s="351"/>
      <c r="AD130" s="351"/>
      <c r="AE130" s="351">
        <f t="shared" si="23"/>
        <v>0</v>
      </c>
      <c r="AF130" s="1724"/>
      <c r="AG130" s="351">
        <f t="shared" si="23"/>
        <v>0</v>
      </c>
      <c r="AH130" s="351"/>
      <c r="AI130" s="351">
        <f t="shared" si="22"/>
        <v>0</v>
      </c>
      <c r="AJ130" s="351"/>
      <c r="AK130" s="1721"/>
      <c r="AM130" s="231">
        <f t="shared" si="24"/>
        <v>0</v>
      </c>
      <c r="AN130" s="231"/>
    </row>
    <row r="131" spans="1:40" ht="16.5" x14ac:dyDescent="0.25">
      <c r="A131" s="211"/>
      <c r="B131" s="333"/>
      <c r="C131" s="234" t="s">
        <v>514</v>
      </c>
      <c r="D131" s="219" t="s">
        <v>515</v>
      </c>
      <c r="E131" s="220"/>
      <c r="F131" s="220"/>
      <c r="G131" s="220"/>
      <c r="H131" s="220"/>
      <c r="I131" s="220"/>
      <c r="J131" s="220">
        <v>665</v>
      </c>
      <c r="K131" s="220"/>
      <c r="L131" s="220">
        <v>500000</v>
      </c>
      <c r="M131" s="1355">
        <f t="shared" si="12"/>
        <v>0</v>
      </c>
      <c r="N131" s="344">
        <v>500000</v>
      </c>
      <c r="O131" s="1347">
        <f t="shared" si="13"/>
        <v>-150000</v>
      </c>
      <c r="P131" s="344">
        <v>350000</v>
      </c>
      <c r="Q131" s="3321">
        <f t="shared" si="14"/>
        <v>0</v>
      </c>
      <c r="R131" s="344">
        <v>350000</v>
      </c>
      <c r="S131" s="220">
        <v>350000</v>
      </c>
      <c r="T131" s="344">
        <f t="shared" si="17"/>
        <v>70</v>
      </c>
      <c r="U131" s="509"/>
      <c r="V131" s="219" t="s">
        <v>532</v>
      </c>
      <c r="W131" s="351"/>
      <c r="X131" s="351">
        <f>SUM(H20+H47+H74+H97+H120+H150)</f>
        <v>18339</v>
      </c>
      <c r="Y131" s="352"/>
      <c r="Z131" s="352"/>
      <c r="AA131" s="352"/>
      <c r="AB131" s="352">
        <f>SUM(I20+I47+I74+I97+I120+I150+I175+I201)</f>
        <v>82049</v>
      </c>
      <c r="AC131" s="352">
        <f>SUM(J20+J47+J74+J97+J120+J150+J175+J201)</f>
        <v>109250</v>
      </c>
      <c r="AD131" s="352">
        <f>SUM(L20+L47+L74+L97+L120+L150+L175+L201)</f>
        <v>95000000</v>
      </c>
      <c r="AE131" s="351">
        <f t="shared" si="23"/>
        <v>39409749</v>
      </c>
      <c r="AF131" s="1726">
        <f>SUM(N20+N47+N74+N97+N120+N150+N175+N201)</f>
        <v>134409749</v>
      </c>
      <c r="AG131" s="351">
        <f t="shared" si="23"/>
        <v>95836464</v>
      </c>
      <c r="AH131" s="352">
        <f>SUM(P20+P47+P74+P97+P120+P150+P175+P201)</f>
        <v>230246213</v>
      </c>
      <c r="AI131" s="351">
        <f t="shared" si="22"/>
        <v>0</v>
      </c>
      <c r="AJ131" s="352">
        <v>230246213</v>
      </c>
      <c r="AK131" s="352">
        <v>230246213</v>
      </c>
      <c r="AM131" s="231">
        <f t="shared" si="24"/>
        <v>-125581459</v>
      </c>
      <c r="AN131" s="231">
        <v>104664754</v>
      </c>
    </row>
    <row r="132" spans="1:40" ht="16.5" x14ac:dyDescent="0.25">
      <c r="A132" s="211"/>
      <c r="B132" s="333"/>
      <c r="C132" s="234" t="s">
        <v>516</v>
      </c>
      <c r="D132" s="219" t="s">
        <v>444</v>
      </c>
      <c r="E132" s="220"/>
      <c r="F132" s="220"/>
      <c r="G132" s="220"/>
      <c r="H132" s="220"/>
      <c r="I132" s="220"/>
      <c r="J132" s="220"/>
      <c r="K132" s="220"/>
      <c r="L132" s="220"/>
      <c r="M132" s="1355">
        <f t="shared" si="12"/>
        <v>0</v>
      </c>
      <c r="N132" s="344"/>
      <c r="O132" s="1347">
        <f t="shared" si="13"/>
        <v>0</v>
      </c>
      <c r="P132" s="344"/>
      <c r="Q132" s="3321">
        <f t="shared" si="14"/>
        <v>0</v>
      </c>
      <c r="R132" s="344"/>
      <c r="S132" s="220"/>
      <c r="T132" s="344" t="e">
        <f t="shared" si="17"/>
        <v>#DIV/0!</v>
      </c>
      <c r="U132" s="509"/>
      <c r="V132" s="219"/>
      <c r="W132" s="351"/>
      <c r="X132" s="351"/>
      <c r="Y132" s="352"/>
      <c r="Z132" s="352"/>
      <c r="AA132" s="352"/>
      <c r="AB132" s="352"/>
      <c r="AC132" s="352"/>
      <c r="AD132" s="352"/>
      <c r="AE132" s="351">
        <f t="shared" si="23"/>
        <v>0</v>
      </c>
      <c r="AF132" s="1726"/>
      <c r="AG132" s="351">
        <f t="shared" si="23"/>
        <v>0</v>
      </c>
      <c r="AH132" s="352"/>
      <c r="AI132" s="351">
        <f t="shared" si="22"/>
        <v>0</v>
      </c>
      <c r="AJ132" s="352"/>
      <c r="AK132" s="352"/>
      <c r="AM132" s="231">
        <f t="shared" si="24"/>
        <v>0</v>
      </c>
      <c r="AN132" s="231"/>
    </row>
    <row r="133" spans="1:40" ht="16.5" x14ac:dyDescent="0.25">
      <c r="A133" s="2656"/>
      <c r="B133" s="2657"/>
      <c r="C133" s="2658"/>
      <c r="D133" s="339" t="s">
        <v>517</v>
      </c>
      <c r="E133" s="338">
        <f t="shared" ref="E133:J133" si="31">SUM(E126:E131)</f>
        <v>27927</v>
      </c>
      <c r="F133" s="338">
        <f t="shared" si="31"/>
        <v>30134</v>
      </c>
      <c r="G133" s="338">
        <f t="shared" si="31"/>
        <v>31734</v>
      </c>
      <c r="H133" s="338">
        <f t="shared" si="31"/>
        <v>28884</v>
      </c>
      <c r="I133" s="338">
        <f t="shared" si="31"/>
        <v>29434</v>
      </c>
      <c r="J133" s="338">
        <f t="shared" si="31"/>
        <v>30099</v>
      </c>
      <c r="K133" s="338"/>
      <c r="L133" s="338">
        <f>SUM(L125+L129)</f>
        <v>49160000</v>
      </c>
      <c r="M133" s="1356">
        <f t="shared" ref="M133:M196" si="32">SUM(N133-L133)</f>
        <v>0</v>
      </c>
      <c r="N133" s="1332">
        <f>SUM(N125+N129)</f>
        <v>49160000</v>
      </c>
      <c r="O133" s="1348">
        <f t="shared" ref="O133:O196" si="33">SUM(P133-N133)</f>
        <v>-6140600</v>
      </c>
      <c r="P133" s="1332">
        <f>SUM(P125+P129)</f>
        <v>43019400</v>
      </c>
      <c r="Q133" s="3324">
        <f t="shared" ref="Q133:Q196" si="34">SUM(R133-P133)</f>
        <v>0</v>
      </c>
      <c r="R133" s="1332">
        <f>SUM(R125+R129)</f>
        <v>43019400</v>
      </c>
      <c r="S133" s="338">
        <f>SUM(S125+S129)</f>
        <v>43019400</v>
      </c>
      <c r="T133" s="344">
        <f t="shared" si="17"/>
        <v>87.508950366151339</v>
      </c>
      <c r="U133" s="509"/>
      <c r="V133" s="219" t="s">
        <v>506</v>
      </c>
      <c r="W133" s="351"/>
      <c r="X133" s="351">
        <f>SUM(H21+H49+H76+H98+H122+H151)</f>
        <v>0</v>
      </c>
      <c r="Y133" s="352"/>
      <c r="Z133" s="352"/>
      <c r="AA133" s="352"/>
      <c r="AB133" s="352">
        <f>SUM(I21+I49+I76+I98+I122+I151+I176+I203)</f>
        <v>0</v>
      </c>
      <c r="AC133" s="352">
        <f>SUM(J21+J49+J76+J98+J122+J151+J176+J203)</f>
        <v>3694</v>
      </c>
      <c r="AD133" s="352">
        <f>SUM(L21+L49+L76+L98+L122+L151+L176+L203)</f>
        <v>0</v>
      </c>
      <c r="AE133" s="351">
        <f t="shared" si="23"/>
        <v>0</v>
      </c>
      <c r="AF133" s="1726">
        <f>SUM(N21+N49+N76+N98+N122+N151+N176+N203)</f>
        <v>0</v>
      </c>
      <c r="AG133" s="351">
        <f t="shared" si="23"/>
        <v>0</v>
      </c>
      <c r="AH133" s="352">
        <f>SUM(P21+P49+P76+P98+P122+P151+P176+P203)</f>
        <v>0</v>
      </c>
      <c r="AI133" s="351">
        <f t="shared" si="22"/>
        <v>0</v>
      </c>
      <c r="AJ133" s="352">
        <f>SUM(R21+R49+R76+R98+R122+R151+R176+R203)</f>
        <v>0</v>
      </c>
      <c r="AK133" s="352">
        <v>0</v>
      </c>
      <c r="AL133" s="231"/>
      <c r="AM133" s="231">
        <f t="shared" si="24"/>
        <v>0</v>
      </c>
      <c r="AN133" s="231"/>
    </row>
    <row r="134" spans="1:40" ht="16.5" x14ac:dyDescent="0.25">
      <c r="A134" s="211"/>
      <c r="B134" s="330" t="s">
        <v>31</v>
      </c>
      <c r="C134" s="210"/>
      <c r="D134" s="340" t="s">
        <v>518</v>
      </c>
      <c r="E134" s="238">
        <v>7.5</v>
      </c>
      <c r="F134" s="238">
        <v>7.5</v>
      </c>
      <c r="G134" s="238">
        <v>7.5</v>
      </c>
      <c r="H134" s="238">
        <v>7</v>
      </c>
      <c r="I134" s="238">
        <v>7</v>
      </c>
      <c r="J134" s="238">
        <v>7</v>
      </c>
      <c r="K134" s="238"/>
      <c r="L134" s="238">
        <v>7</v>
      </c>
      <c r="M134" s="1355">
        <f t="shared" si="32"/>
        <v>0</v>
      </c>
      <c r="N134" s="1333">
        <v>7</v>
      </c>
      <c r="O134" s="1347">
        <f t="shared" si="33"/>
        <v>0</v>
      </c>
      <c r="P134" s="238">
        <v>7</v>
      </c>
      <c r="Q134" s="3321">
        <f t="shared" si="34"/>
        <v>0</v>
      </c>
      <c r="R134" s="238">
        <v>7</v>
      </c>
      <c r="S134" s="238">
        <v>7</v>
      </c>
      <c r="T134" s="344">
        <f t="shared" si="17"/>
        <v>100</v>
      </c>
      <c r="U134" s="509"/>
      <c r="V134" s="228" t="s">
        <v>508</v>
      </c>
      <c r="W134" s="351"/>
      <c r="X134" s="351"/>
      <c r="Y134" s="351"/>
      <c r="Z134" s="351"/>
      <c r="AA134" s="351"/>
      <c r="AB134" s="351">
        <f>I23</f>
        <v>0</v>
      </c>
      <c r="AC134" s="351">
        <f>J23</f>
        <v>0</v>
      </c>
      <c r="AD134" s="351">
        <f>L23</f>
        <v>0</v>
      </c>
      <c r="AE134" s="351">
        <f t="shared" si="23"/>
        <v>0</v>
      </c>
      <c r="AF134" s="1724">
        <f>N23</f>
        <v>0</v>
      </c>
      <c r="AG134" s="351">
        <f t="shared" si="23"/>
        <v>0</v>
      </c>
      <c r="AH134" s="351">
        <f>P23</f>
        <v>0</v>
      </c>
      <c r="AI134" s="351">
        <f t="shared" si="22"/>
        <v>0</v>
      </c>
      <c r="AJ134" s="351">
        <f>R23</f>
        <v>0</v>
      </c>
      <c r="AK134" s="1721">
        <f>S23</f>
        <v>0</v>
      </c>
      <c r="AM134" s="231">
        <f t="shared" si="24"/>
        <v>0</v>
      </c>
      <c r="AN134" s="231"/>
    </row>
    <row r="135" spans="1:40" ht="17.25" x14ac:dyDescent="0.3">
      <c r="A135" s="329"/>
      <c r="B135" s="330"/>
      <c r="C135" s="209"/>
      <c r="D135" s="342" t="s">
        <v>853</v>
      </c>
      <c r="E135" s="343"/>
      <c r="F135" s="343"/>
      <c r="G135" s="343"/>
      <c r="H135" s="343"/>
      <c r="I135" s="344"/>
      <c r="J135" s="344"/>
      <c r="K135" s="344"/>
      <c r="L135" s="344"/>
      <c r="M135" s="1355"/>
      <c r="N135" s="344"/>
      <c r="O135" s="1355"/>
      <c r="P135" s="344"/>
      <c r="Q135" s="615"/>
      <c r="R135" s="344"/>
      <c r="S135" s="344"/>
      <c r="T135" s="344" t="e">
        <f t="shared" si="17"/>
        <v>#DIV/0!</v>
      </c>
      <c r="U135" s="509"/>
      <c r="V135" s="228" t="s">
        <v>1040</v>
      </c>
      <c r="W135" s="350"/>
      <c r="X135" s="350"/>
      <c r="Y135" s="350"/>
      <c r="Z135" s="351"/>
      <c r="AA135" s="351"/>
      <c r="AB135" s="351"/>
      <c r="AC135" s="351"/>
      <c r="AD135" s="1721">
        <f>SUM(L18)</f>
        <v>0</v>
      </c>
      <c r="AE135" s="351">
        <f t="shared" si="23"/>
        <v>0</v>
      </c>
      <c r="AF135" s="1721">
        <f>SUM(N18)</f>
        <v>0</v>
      </c>
      <c r="AG135" s="351">
        <f t="shared" si="23"/>
        <v>0</v>
      </c>
      <c r="AH135" s="1721">
        <f>SUM(P18)</f>
        <v>0</v>
      </c>
      <c r="AI135" s="351">
        <f t="shared" si="22"/>
        <v>0</v>
      </c>
      <c r="AJ135" s="1721">
        <f>SUM(R18)</f>
        <v>0</v>
      </c>
      <c r="AK135" s="1721">
        <f>SUM(S18)</f>
        <v>0</v>
      </c>
      <c r="AM135" s="231">
        <f t="shared" si="24"/>
        <v>7300000</v>
      </c>
      <c r="AN135" s="231">
        <v>7300000</v>
      </c>
    </row>
    <row r="136" spans="1:40" ht="16.5" customHeight="1" x14ac:dyDescent="0.25">
      <c r="A136" s="211"/>
      <c r="B136" s="330" t="s">
        <v>3</v>
      </c>
      <c r="C136" s="224"/>
      <c r="D136" s="4656" t="s">
        <v>230</v>
      </c>
      <c r="E136" s="4656"/>
      <c r="F136" s="4656"/>
      <c r="G136" s="4656"/>
      <c r="H136" s="4656"/>
      <c r="I136" s="220"/>
      <c r="J136" s="220"/>
      <c r="K136" s="220"/>
      <c r="L136" s="220"/>
      <c r="M136" s="1355"/>
      <c r="N136" s="344"/>
      <c r="O136" s="1355"/>
      <c r="P136" s="344"/>
      <c r="Q136" s="3321"/>
      <c r="R136" s="344"/>
      <c r="S136" s="220"/>
      <c r="T136" s="344" t="e">
        <f t="shared" si="17"/>
        <v>#DIV/0!</v>
      </c>
      <c r="U136" s="509"/>
      <c r="V136" s="228" t="s">
        <v>533</v>
      </c>
      <c r="Z136" s="351"/>
      <c r="AA136" s="351"/>
      <c r="AB136" s="351">
        <f>I24+I99</f>
        <v>0</v>
      </c>
      <c r="AC136" s="351">
        <f>J24+J99</f>
        <v>24012</v>
      </c>
      <c r="AD136" s="351">
        <f>L24+L99</f>
        <v>0</v>
      </c>
      <c r="AE136" s="351">
        <f t="shared" si="23"/>
        <v>5019041</v>
      </c>
      <c r="AF136" s="1724">
        <f>N24+N99</f>
        <v>5019041</v>
      </c>
      <c r="AG136" s="351">
        <f t="shared" si="23"/>
        <v>0</v>
      </c>
      <c r="AH136" s="351">
        <f>P24+P99</f>
        <v>5019041</v>
      </c>
      <c r="AI136" s="351">
        <f t="shared" si="22"/>
        <v>0</v>
      </c>
      <c r="AJ136" s="351">
        <f>R24+R99</f>
        <v>5019041</v>
      </c>
      <c r="AK136" s="1721">
        <v>5019041</v>
      </c>
      <c r="AM136" s="231">
        <f t="shared" si="24"/>
        <v>38926099</v>
      </c>
      <c r="AN136" s="231">
        <v>43945140</v>
      </c>
    </row>
    <row r="137" spans="1:40" ht="16.5" x14ac:dyDescent="0.25">
      <c r="A137" s="211"/>
      <c r="B137" s="333"/>
      <c r="C137" s="209" t="s">
        <v>152</v>
      </c>
      <c r="D137" s="2393" t="s">
        <v>46</v>
      </c>
      <c r="E137" s="220"/>
      <c r="F137" s="220"/>
      <c r="G137" s="220">
        <v>2</v>
      </c>
      <c r="H137" s="227">
        <v>0</v>
      </c>
      <c r="I137" s="220">
        <v>1800</v>
      </c>
      <c r="J137" s="220">
        <v>1800</v>
      </c>
      <c r="K137" s="220"/>
      <c r="L137" s="230">
        <f>SUM(L138:L144)</f>
        <v>2600000</v>
      </c>
      <c r="M137" s="1355">
        <f t="shared" si="32"/>
        <v>0</v>
      </c>
      <c r="N137" s="632">
        <f>SUM(N138:N144)</f>
        <v>2600000</v>
      </c>
      <c r="O137" s="2837">
        <f t="shared" si="33"/>
        <v>-21628</v>
      </c>
      <c r="P137" s="632">
        <f>SUM(P138:P144)</f>
        <v>2578372</v>
      </c>
      <c r="Q137" s="3325">
        <f t="shared" si="34"/>
        <v>0</v>
      </c>
      <c r="R137" s="632">
        <f>SUM(R138:R144)</f>
        <v>2578372</v>
      </c>
      <c r="S137" s="230">
        <f>SUM(S138:S144)</f>
        <v>2578372</v>
      </c>
      <c r="T137" s="632">
        <v>2400</v>
      </c>
      <c r="U137" s="509"/>
      <c r="V137" s="228" t="s">
        <v>980</v>
      </c>
      <c r="Z137" s="351"/>
      <c r="AA137" s="351"/>
      <c r="AB137" s="351">
        <f>I26</f>
        <v>0</v>
      </c>
      <c r="AC137" s="351">
        <f>J26</f>
        <v>0</v>
      </c>
      <c r="AD137" s="351">
        <f>SUM(L25+L26)</f>
        <v>0</v>
      </c>
      <c r="AE137" s="351">
        <f t="shared" si="23"/>
        <v>100000</v>
      </c>
      <c r="AF137" s="1724">
        <f>SUM(N25+N26)</f>
        <v>100000</v>
      </c>
      <c r="AG137" s="351">
        <f t="shared" si="23"/>
        <v>0</v>
      </c>
      <c r="AH137" s="351">
        <f>SUM(P25+P26)</f>
        <v>100000</v>
      </c>
      <c r="AI137" s="351">
        <f t="shared" si="22"/>
        <v>0</v>
      </c>
      <c r="AJ137" s="351">
        <f>SUM(R25+R26)</f>
        <v>100000</v>
      </c>
      <c r="AK137" s="1721">
        <f>SUM(S25+S26)</f>
        <v>100000</v>
      </c>
      <c r="AM137" s="231">
        <f t="shared" si="24"/>
        <v>-100000</v>
      </c>
      <c r="AN137" s="231"/>
    </row>
    <row r="138" spans="1:40" ht="16.5" x14ac:dyDescent="0.25">
      <c r="A138" s="211"/>
      <c r="B138" s="333"/>
      <c r="C138" s="224" t="s">
        <v>519</v>
      </c>
      <c r="D138" s="1155" t="s">
        <v>50</v>
      </c>
      <c r="E138" s="220"/>
      <c r="F138" s="220"/>
      <c r="G138" s="220"/>
      <c r="H138" s="227"/>
      <c r="I138" s="220"/>
      <c r="J138" s="220"/>
      <c r="K138" s="220"/>
      <c r="L138" s="220"/>
      <c r="M138" s="1355">
        <f t="shared" si="32"/>
        <v>0</v>
      </c>
      <c r="N138" s="344"/>
      <c r="O138" s="1347">
        <f t="shared" si="33"/>
        <v>0</v>
      </c>
      <c r="P138" s="344"/>
      <c r="Q138" s="3321">
        <f t="shared" si="34"/>
        <v>0</v>
      </c>
      <c r="R138" s="344"/>
      <c r="S138" s="220"/>
      <c r="T138" s="632"/>
      <c r="U138" s="509"/>
      <c r="V138" s="337" t="s">
        <v>299</v>
      </c>
      <c r="W138" s="353">
        <f>SUM(W112:W127)</f>
        <v>5741.5</v>
      </c>
      <c r="X138" s="353">
        <f>SUM(X112+X116+X127)</f>
        <v>336417</v>
      </c>
      <c r="Y138" s="353">
        <f>SUM(Y112+Y116+Y127)</f>
        <v>0</v>
      </c>
      <c r="Z138" s="353">
        <f>SUM(Z112+Z116+Z127)</f>
        <v>0</v>
      </c>
      <c r="AA138" s="353">
        <f>SUM(AA112+AA116+AA127+AA134+AA136)</f>
        <v>0</v>
      </c>
      <c r="AB138" s="353" t="e">
        <f>SUM(AB112+AB116+AB127+AB134+AB136+AB126)</f>
        <v>#REF!</v>
      </c>
      <c r="AC138" s="353" t="e">
        <f>SUM(AC112+AC116+AC127+AC134+AC136+AC126)</f>
        <v>#REF!</v>
      </c>
      <c r="AD138" s="353">
        <f>SUM(AD112+AD127+AD134+AD136+AD126)+AD137+AD131</f>
        <v>643956000</v>
      </c>
      <c r="AE138" s="351">
        <f t="shared" si="23"/>
        <v>44528790</v>
      </c>
      <c r="AF138" s="1727">
        <f>SUM(AF112+AF127+AF134+AF136+AF126)+AF137+AF131</f>
        <v>688484790</v>
      </c>
      <c r="AG138" s="351">
        <f t="shared" si="23"/>
        <v>100960379</v>
      </c>
      <c r="AH138" s="353">
        <f>SUM(AH112+AH127+AH134+AH136+AH126)+AH137+AH131</f>
        <v>789445169</v>
      </c>
      <c r="AI138" s="351">
        <f t="shared" si="22"/>
        <v>0</v>
      </c>
      <c r="AJ138" s="353">
        <f>SUM(AJ112+AJ127+AJ134+AJ136+AJ126)+AJ137+AJ131</f>
        <v>789445169</v>
      </c>
      <c r="AK138" s="1723">
        <f>SUM(AK112+AK127+AK134+AK136+AK126)+AK137+AK131+AK135</f>
        <v>256472254</v>
      </c>
      <c r="AM138" s="665">
        <f t="shared" si="24"/>
        <v>153294291</v>
      </c>
      <c r="AN138" s="665">
        <v>409766545</v>
      </c>
    </row>
    <row r="139" spans="1:40" ht="16.5" x14ac:dyDescent="0.25">
      <c r="A139" s="211"/>
      <c r="B139" s="333"/>
      <c r="C139" s="224" t="s">
        <v>618</v>
      </c>
      <c r="D139" s="1155" t="s">
        <v>414</v>
      </c>
      <c r="E139" s="220"/>
      <c r="F139" s="220"/>
      <c r="G139" s="220"/>
      <c r="H139" s="227"/>
      <c r="I139" s="220"/>
      <c r="J139" s="220"/>
      <c r="K139" s="220"/>
      <c r="L139" s="220"/>
      <c r="M139" s="1355">
        <f t="shared" si="32"/>
        <v>0</v>
      </c>
      <c r="N139" s="344"/>
      <c r="O139" s="1347">
        <f t="shared" si="33"/>
        <v>0</v>
      </c>
      <c r="P139" s="344"/>
      <c r="Q139" s="3321">
        <f t="shared" si="34"/>
        <v>0</v>
      </c>
      <c r="R139" s="344"/>
      <c r="S139" s="220"/>
      <c r="T139" s="632"/>
      <c r="U139" s="509"/>
      <c r="V139" s="337"/>
      <c r="W139" s="353"/>
      <c r="X139" s="353"/>
      <c r="Y139" s="353"/>
      <c r="Z139" s="353"/>
      <c r="AA139" s="353"/>
      <c r="AB139" s="353"/>
      <c r="AC139" s="353"/>
      <c r="AD139" s="353"/>
      <c r="AE139" s="351">
        <f t="shared" si="23"/>
        <v>0</v>
      </c>
      <c r="AF139" s="353"/>
      <c r="AG139" s="351">
        <f t="shared" si="23"/>
        <v>0</v>
      </c>
      <c r="AH139" s="353"/>
      <c r="AI139" s="351">
        <f t="shared" si="22"/>
        <v>0</v>
      </c>
      <c r="AJ139" s="353"/>
      <c r="AK139" s="353"/>
      <c r="AM139" s="231">
        <f t="shared" si="24"/>
        <v>0</v>
      </c>
      <c r="AN139" s="231"/>
    </row>
    <row r="140" spans="1:40" ht="16.5" x14ac:dyDescent="0.25">
      <c r="A140" s="211"/>
      <c r="B140" s="333"/>
      <c r="C140" s="224" t="s">
        <v>619</v>
      </c>
      <c r="D140" s="1155" t="s">
        <v>979</v>
      </c>
      <c r="E140" s="220"/>
      <c r="F140" s="220"/>
      <c r="G140" s="220"/>
      <c r="H140" s="227"/>
      <c r="I140" s="220"/>
      <c r="J140" s="220"/>
      <c r="K140" s="220"/>
      <c r="L140" s="220"/>
      <c r="M140" s="1355">
        <f t="shared" si="32"/>
        <v>0</v>
      </c>
      <c r="N140" s="344"/>
      <c r="O140" s="1347">
        <f t="shared" si="33"/>
        <v>0</v>
      </c>
      <c r="P140" s="344"/>
      <c r="Q140" s="3321">
        <f t="shared" si="34"/>
        <v>0</v>
      </c>
      <c r="R140" s="344"/>
      <c r="S140" s="220"/>
      <c r="T140" s="632"/>
      <c r="U140" s="509"/>
      <c r="V140" s="337"/>
      <c r="W140" s="353"/>
      <c r="X140" s="353"/>
      <c r="Y140" s="353"/>
      <c r="Z140" s="353"/>
      <c r="AA140" s="353"/>
      <c r="AB140" s="353"/>
      <c r="AC140" s="353"/>
      <c r="AD140" s="353"/>
      <c r="AE140" s="351">
        <f t="shared" si="23"/>
        <v>0</v>
      </c>
      <c r="AF140" s="353"/>
      <c r="AG140" s="351">
        <f t="shared" si="23"/>
        <v>0</v>
      </c>
      <c r="AH140" s="353"/>
      <c r="AI140" s="351">
        <f t="shared" si="22"/>
        <v>0</v>
      </c>
      <c r="AJ140" s="353"/>
      <c r="AK140" s="353"/>
      <c r="AM140" s="231">
        <f t="shared" si="24"/>
        <v>0</v>
      </c>
      <c r="AN140" s="231"/>
    </row>
    <row r="141" spans="1:40" ht="16.5" x14ac:dyDescent="0.25">
      <c r="A141" s="211"/>
      <c r="B141" s="333"/>
      <c r="C141" s="224" t="s">
        <v>620</v>
      </c>
      <c r="D141" s="1155" t="s">
        <v>343</v>
      </c>
      <c r="E141" s="220"/>
      <c r="F141" s="220"/>
      <c r="G141" s="220"/>
      <c r="H141" s="227"/>
      <c r="I141" s="220"/>
      <c r="J141" s="220"/>
      <c r="K141" s="220"/>
      <c r="L141" s="220">
        <v>2600000</v>
      </c>
      <c r="M141" s="1355">
        <f t="shared" si="32"/>
        <v>0</v>
      </c>
      <c r="N141" s="344">
        <v>2600000</v>
      </c>
      <c r="O141" s="1347">
        <f t="shared" si="33"/>
        <v>-21628</v>
      </c>
      <c r="P141" s="344">
        <v>2578372</v>
      </c>
      <c r="Q141" s="3321">
        <f t="shared" si="34"/>
        <v>0</v>
      </c>
      <c r="R141" s="344">
        <v>2578372</v>
      </c>
      <c r="S141" s="220">
        <v>2578372</v>
      </c>
      <c r="T141" s="632"/>
      <c r="U141" s="509"/>
      <c r="V141" s="337"/>
      <c r="W141" s="353"/>
      <c r="X141" s="353"/>
      <c r="Y141" s="353"/>
      <c r="Z141" s="353"/>
      <c r="AA141" s="353"/>
      <c r="AB141" s="353"/>
      <c r="AC141" s="353"/>
      <c r="AD141" s="353"/>
      <c r="AE141" s="351">
        <f t="shared" si="23"/>
        <v>0</v>
      </c>
      <c r="AF141" s="353"/>
      <c r="AG141" s="351">
        <f t="shared" si="23"/>
        <v>0</v>
      </c>
      <c r="AH141" s="353"/>
      <c r="AI141" s="351">
        <f t="shared" si="22"/>
        <v>0</v>
      </c>
      <c r="AJ141" s="353"/>
      <c r="AK141" s="353"/>
      <c r="AM141" s="231">
        <f t="shared" si="24"/>
        <v>0</v>
      </c>
      <c r="AN141" s="231"/>
    </row>
    <row r="142" spans="1:40" ht="16.5" x14ac:dyDescent="0.25">
      <c r="A142" s="211"/>
      <c r="B142" s="333"/>
      <c r="C142" s="224" t="s">
        <v>706</v>
      </c>
      <c r="D142" s="1155" t="s">
        <v>417</v>
      </c>
      <c r="E142" s="220"/>
      <c r="F142" s="220"/>
      <c r="G142" s="220"/>
      <c r="H142" s="227"/>
      <c r="I142" s="220"/>
      <c r="J142" s="220"/>
      <c r="K142" s="220"/>
      <c r="L142" s="220"/>
      <c r="M142" s="1355">
        <f t="shared" si="32"/>
        <v>0</v>
      </c>
      <c r="N142" s="344"/>
      <c r="O142" s="1347">
        <f t="shared" si="33"/>
        <v>0</v>
      </c>
      <c r="P142" s="344"/>
      <c r="Q142" s="3321">
        <f t="shared" si="34"/>
        <v>0</v>
      </c>
      <c r="R142" s="344"/>
      <c r="S142" s="220"/>
      <c r="T142" s="632"/>
      <c r="U142" s="509"/>
      <c r="V142" s="337"/>
      <c r="W142" s="353"/>
      <c r="X142" s="353"/>
      <c r="Y142" s="353"/>
      <c r="Z142" s="353"/>
      <c r="AA142" s="353"/>
      <c r="AB142" s="353"/>
      <c r="AC142" s="353"/>
      <c r="AD142" s="353"/>
      <c r="AE142" s="351">
        <f t="shared" si="23"/>
        <v>0</v>
      </c>
      <c r="AF142" s="353"/>
      <c r="AG142" s="351">
        <f t="shared" si="23"/>
        <v>0</v>
      </c>
      <c r="AH142" s="353"/>
      <c r="AI142" s="351">
        <f t="shared" si="22"/>
        <v>0</v>
      </c>
      <c r="AJ142" s="353"/>
      <c r="AK142" s="353"/>
      <c r="AM142" s="231">
        <f t="shared" si="24"/>
        <v>0</v>
      </c>
      <c r="AN142" s="231"/>
    </row>
    <row r="143" spans="1:40" ht="16.5" x14ac:dyDescent="0.25">
      <c r="A143" s="211"/>
      <c r="B143" s="333"/>
      <c r="C143" s="224" t="s">
        <v>707</v>
      </c>
      <c r="D143" s="1155" t="s">
        <v>979</v>
      </c>
      <c r="E143" s="220"/>
      <c r="F143" s="220"/>
      <c r="G143" s="220"/>
      <c r="H143" s="227"/>
      <c r="I143" s="220"/>
      <c r="J143" s="220"/>
      <c r="K143" s="220"/>
      <c r="L143" s="220"/>
      <c r="M143" s="1355">
        <f t="shared" si="32"/>
        <v>0</v>
      </c>
      <c r="N143" s="1197">
        <v>0</v>
      </c>
      <c r="O143" s="1347">
        <f t="shared" si="33"/>
        <v>0</v>
      </c>
      <c r="P143" s="1197">
        <v>0</v>
      </c>
      <c r="Q143" s="3321">
        <f t="shared" si="34"/>
        <v>0</v>
      </c>
      <c r="R143" s="1197">
        <v>0</v>
      </c>
      <c r="S143" s="220">
        <v>0</v>
      </c>
      <c r="T143" s="632"/>
      <c r="U143" s="509"/>
      <c r="V143" s="337"/>
      <c r="W143" s="353"/>
      <c r="X143" s="353"/>
      <c r="Y143" s="353"/>
      <c r="Z143" s="353"/>
      <c r="AA143" s="353"/>
      <c r="AB143" s="353"/>
      <c r="AC143" s="353"/>
      <c r="AD143" s="353"/>
      <c r="AE143" s="351">
        <f t="shared" si="23"/>
        <v>0</v>
      </c>
      <c r="AF143" s="353"/>
      <c r="AG143" s="351">
        <f t="shared" si="23"/>
        <v>0</v>
      </c>
      <c r="AH143" s="353"/>
      <c r="AI143" s="351">
        <f t="shared" si="22"/>
        <v>0</v>
      </c>
      <c r="AJ143" s="353"/>
      <c r="AK143" s="353"/>
      <c r="AM143" s="231">
        <f t="shared" si="24"/>
        <v>0</v>
      </c>
      <c r="AN143" s="231"/>
    </row>
    <row r="144" spans="1:40" ht="16.5" x14ac:dyDescent="0.25">
      <c r="A144" s="211"/>
      <c r="B144" s="333"/>
      <c r="C144" s="224" t="s">
        <v>341</v>
      </c>
      <c r="D144" s="1155" t="s">
        <v>1020</v>
      </c>
      <c r="E144" s="220"/>
      <c r="F144" s="220"/>
      <c r="G144" s="220"/>
      <c r="H144" s="227"/>
      <c r="I144" s="220"/>
      <c r="J144" s="220"/>
      <c r="K144" s="220"/>
      <c r="L144" s="220"/>
      <c r="M144" s="1355">
        <f t="shared" si="32"/>
        <v>0</v>
      </c>
      <c r="N144" s="1197"/>
      <c r="O144" s="1347">
        <f t="shared" si="33"/>
        <v>0</v>
      </c>
      <c r="P144" s="1197"/>
      <c r="Q144" s="3321">
        <f t="shared" si="34"/>
        <v>0</v>
      </c>
      <c r="R144" s="1197"/>
      <c r="S144" s="220"/>
      <c r="T144" s="632"/>
      <c r="U144" s="509"/>
      <c r="V144" s="337"/>
      <c r="W144" s="353"/>
      <c r="X144" s="353"/>
      <c r="Y144" s="353"/>
      <c r="Z144" s="353"/>
      <c r="AA144" s="353"/>
      <c r="AB144" s="353"/>
      <c r="AC144" s="353"/>
      <c r="AD144" s="353"/>
      <c r="AE144" s="351">
        <f t="shared" si="23"/>
        <v>0</v>
      </c>
      <c r="AF144" s="353"/>
      <c r="AG144" s="351">
        <f t="shared" si="23"/>
        <v>0</v>
      </c>
      <c r="AH144" s="353"/>
      <c r="AI144" s="351">
        <f t="shared" si="22"/>
        <v>0</v>
      </c>
      <c r="AJ144" s="353"/>
      <c r="AK144" s="353"/>
      <c r="AM144" s="231">
        <f t="shared" si="24"/>
        <v>0</v>
      </c>
      <c r="AN144" s="231"/>
    </row>
    <row r="145" spans="1:40" ht="16.5" x14ac:dyDescent="0.25">
      <c r="A145" s="211"/>
      <c r="B145" s="333"/>
      <c r="C145" s="209" t="s">
        <v>154</v>
      </c>
      <c r="D145" s="2393" t="s">
        <v>501</v>
      </c>
      <c r="E145" s="220">
        <v>0</v>
      </c>
      <c r="F145" s="220">
        <v>0</v>
      </c>
      <c r="G145" s="220">
        <v>0</v>
      </c>
      <c r="H145" s="227"/>
      <c r="I145" s="220"/>
      <c r="J145" s="220"/>
      <c r="K145" s="220"/>
      <c r="L145" s="220"/>
      <c r="M145" s="1355">
        <f t="shared" si="32"/>
        <v>0</v>
      </c>
      <c r="N145" s="344"/>
      <c r="O145" s="1347">
        <f t="shared" si="33"/>
        <v>0</v>
      </c>
      <c r="P145" s="344"/>
      <c r="Q145" s="3321">
        <f t="shared" si="34"/>
        <v>0</v>
      </c>
      <c r="R145" s="344"/>
      <c r="S145" s="220"/>
      <c r="T145" s="344" t="e">
        <f t="shared" si="17"/>
        <v>#DIV/0!</v>
      </c>
      <c r="U145" s="509"/>
      <c r="V145" s="337"/>
      <c r="W145" s="353"/>
      <c r="X145" s="353"/>
      <c r="Y145" s="353"/>
      <c r="Z145" s="353"/>
      <c r="AA145" s="353"/>
      <c r="AB145" s="353"/>
      <c r="AC145" s="353"/>
      <c r="AD145" s="353"/>
      <c r="AE145" s="351">
        <f t="shared" si="23"/>
        <v>0</v>
      </c>
      <c r="AF145" s="353"/>
      <c r="AG145" s="351">
        <f t="shared" si="23"/>
        <v>0</v>
      </c>
      <c r="AH145" s="353"/>
      <c r="AI145" s="351">
        <f t="shared" si="22"/>
        <v>0</v>
      </c>
      <c r="AJ145" s="353"/>
      <c r="AK145" s="353"/>
      <c r="AM145" s="231">
        <f t="shared" si="24"/>
        <v>0</v>
      </c>
      <c r="AN145" s="231"/>
    </row>
    <row r="146" spans="1:40" ht="28.5" x14ac:dyDescent="0.25">
      <c r="A146" s="211"/>
      <c r="B146" s="333"/>
      <c r="C146" s="209" t="s">
        <v>156</v>
      </c>
      <c r="D146" s="2393" t="s">
        <v>353</v>
      </c>
      <c r="E146" s="220">
        <f t="shared" ref="E146:J146" si="35">SUM(E147+E151)</f>
        <v>27927</v>
      </c>
      <c r="F146" s="220">
        <f t="shared" si="35"/>
        <v>30134</v>
      </c>
      <c r="G146" s="220">
        <f t="shared" si="35"/>
        <v>31732</v>
      </c>
      <c r="H146" s="227">
        <f t="shared" si="35"/>
        <v>0</v>
      </c>
      <c r="I146" s="220">
        <f t="shared" si="35"/>
        <v>26394</v>
      </c>
      <c r="J146" s="220">
        <f t="shared" si="35"/>
        <v>28407</v>
      </c>
      <c r="K146" s="220"/>
      <c r="L146" s="230">
        <f>SUM(L147+L151)</f>
        <v>0</v>
      </c>
      <c r="M146" s="2837">
        <f t="shared" si="32"/>
        <v>0</v>
      </c>
      <c r="N146" s="632">
        <f>SUM(N147+N151)</f>
        <v>0</v>
      </c>
      <c r="O146" s="2829">
        <f t="shared" si="33"/>
        <v>0</v>
      </c>
      <c r="P146" s="632">
        <f>SUM(P147+P151)</f>
        <v>0</v>
      </c>
      <c r="Q146" s="3319">
        <f t="shared" si="34"/>
        <v>0</v>
      </c>
      <c r="R146" s="632">
        <f>SUM(R147+R151)</f>
        <v>0</v>
      </c>
      <c r="S146" s="230">
        <f>SUM(S147+S151)</f>
        <v>0</v>
      </c>
      <c r="T146" s="344" t="e">
        <f t="shared" si="17"/>
        <v>#DIV/0!</v>
      </c>
      <c r="U146" s="509"/>
      <c r="V146" s="340" t="s">
        <v>231</v>
      </c>
      <c r="W146" s="351"/>
      <c r="X146" s="351"/>
      <c r="Y146" s="352"/>
      <c r="Z146" s="352"/>
      <c r="AA146" s="352"/>
      <c r="AB146" s="352"/>
      <c r="AC146" s="352"/>
      <c r="AD146" s="352"/>
      <c r="AE146" s="351">
        <f t="shared" si="23"/>
        <v>0</v>
      </c>
      <c r="AF146" s="352"/>
      <c r="AG146" s="351">
        <f t="shared" si="23"/>
        <v>0</v>
      </c>
      <c r="AH146" s="352"/>
      <c r="AI146" s="351">
        <f t="shared" si="22"/>
        <v>0</v>
      </c>
      <c r="AJ146" s="352"/>
      <c r="AK146" s="352"/>
      <c r="AL146" s="231"/>
      <c r="AM146" s="231">
        <f t="shared" si="24"/>
        <v>0</v>
      </c>
      <c r="AN146" s="231"/>
    </row>
    <row r="147" spans="1:40" ht="30" x14ac:dyDescent="0.25">
      <c r="A147" s="334"/>
      <c r="B147" s="335"/>
      <c r="C147" s="222" t="s">
        <v>354</v>
      </c>
      <c r="D147" s="55" t="s">
        <v>420</v>
      </c>
      <c r="E147" s="221">
        <f t="shared" ref="E147:J147" si="36">SUM(E148:E150)</f>
        <v>27927</v>
      </c>
      <c r="F147" s="221">
        <f t="shared" si="36"/>
        <v>30134</v>
      </c>
      <c r="G147" s="221">
        <f t="shared" si="36"/>
        <v>31732</v>
      </c>
      <c r="H147" s="345">
        <f t="shared" si="36"/>
        <v>0</v>
      </c>
      <c r="I147" s="221">
        <f t="shared" si="36"/>
        <v>26394</v>
      </c>
      <c r="J147" s="221">
        <f t="shared" si="36"/>
        <v>26394</v>
      </c>
      <c r="K147" s="221"/>
      <c r="L147" s="221">
        <f>SUM(L148)</f>
        <v>0</v>
      </c>
      <c r="M147" s="1355">
        <f t="shared" si="32"/>
        <v>0</v>
      </c>
      <c r="N147" s="1198">
        <f>SUM(N148)</f>
        <v>0</v>
      </c>
      <c r="O147" s="1347">
        <f t="shared" si="33"/>
        <v>0</v>
      </c>
      <c r="P147" s="1198">
        <f>SUM(P148)</f>
        <v>0</v>
      </c>
      <c r="Q147" s="3321">
        <f t="shared" si="34"/>
        <v>0</v>
      </c>
      <c r="R147" s="1198">
        <f>SUM(R148)</f>
        <v>0</v>
      </c>
      <c r="S147" s="221">
        <f>SUM(S148)</f>
        <v>0</v>
      </c>
      <c r="T147" s="344" t="e">
        <f t="shared" si="17"/>
        <v>#DIV/0!</v>
      </c>
      <c r="U147" s="236"/>
      <c r="V147" s="228" t="s">
        <v>370</v>
      </c>
      <c r="W147" s="354"/>
      <c r="X147" s="354">
        <f>SUM(H30+H53+H80+H103+H126+H156)</f>
        <v>132408</v>
      </c>
      <c r="Y147" s="354"/>
      <c r="Z147" s="354"/>
      <c r="AA147" s="354"/>
      <c r="AB147" s="354">
        <f>SUM(I30+I53+I80+I103+I126+I156+I181+I207)</f>
        <v>168529</v>
      </c>
      <c r="AC147" s="354">
        <f>SUM(J30+J53+J80+J103+J126+J156+J181+J207)</f>
        <v>192424</v>
      </c>
      <c r="AD147" s="354">
        <f>SUM(L30+L53+L80+L103+L126+L156+L181+L207)</f>
        <v>245142000</v>
      </c>
      <c r="AE147" s="351">
        <f t="shared" si="23"/>
        <v>8256710</v>
      </c>
      <c r="AF147" s="354">
        <f>SUM(N30+N53+N80+N103+N126+N156+N181+N207)</f>
        <v>253398710</v>
      </c>
      <c r="AG147" s="351">
        <f t="shared" si="23"/>
        <v>4959290</v>
      </c>
      <c r="AH147" s="354">
        <f>SUM(P30+P53+P80+P103+P126+P156+P181+P207)</f>
        <v>258358000</v>
      </c>
      <c r="AI147" s="351">
        <f t="shared" si="22"/>
        <v>0</v>
      </c>
      <c r="AJ147" s="354">
        <f>SUM(R30+R53+R80+R103+R126+R156+R181+R207)</f>
        <v>258358000</v>
      </c>
      <c r="AK147" s="354">
        <f>SUM(S30+S53+S80+S103+S126+S156+S181+S207)</f>
        <v>258358000</v>
      </c>
      <c r="AM147" s="231">
        <f t="shared" si="24"/>
        <v>-258358000</v>
      </c>
      <c r="AN147" s="231"/>
    </row>
    <row r="148" spans="1:40" ht="30" x14ac:dyDescent="0.25">
      <c r="A148" s="211"/>
      <c r="B148" s="333"/>
      <c r="C148" s="224" t="s">
        <v>502</v>
      </c>
      <c r="D148" s="55" t="s">
        <v>422</v>
      </c>
      <c r="E148" s="220">
        <v>19835</v>
      </c>
      <c r="F148" s="220">
        <v>20000</v>
      </c>
      <c r="G148" s="220">
        <v>20000</v>
      </c>
      <c r="H148" s="227"/>
      <c r="I148" s="220"/>
      <c r="J148" s="220"/>
      <c r="K148" s="220"/>
      <c r="L148" s="220">
        <v>0</v>
      </c>
      <c r="M148" s="1355">
        <f t="shared" si="32"/>
        <v>0</v>
      </c>
      <c r="N148" s="344">
        <v>0</v>
      </c>
      <c r="O148" s="1347">
        <f t="shared" si="33"/>
        <v>0</v>
      </c>
      <c r="P148" s="344"/>
      <c r="Q148" s="3321">
        <f t="shared" si="34"/>
        <v>0</v>
      </c>
      <c r="R148" s="344"/>
      <c r="S148" s="220"/>
      <c r="T148" s="344" t="e">
        <f t="shared" si="17"/>
        <v>#DIV/0!</v>
      </c>
      <c r="U148" s="236"/>
      <c r="V148" s="228"/>
      <c r="W148" s="354"/>
      <c r="X148" s="354"/>
      <c r="Y148" s="354"/>
      <c r="Z148" s="354"/>
      <c r="AA148" s="354"/>
      <c r="AB148" s="354"/>
      <c r="AC148" s="354"/>
      <c r="AD148" s="354"/>
      <c r="AE148" s="351">
        <f t="shared" si="23"/>
        <v>0</v>
      </c>
      <c r="AF148" s="354"/>
      <c r="AG148" s="351">
        <f t="shared" si="23"/>
        <v>0</v>
      </c>
      <c r="AH148" s="354"/>
      <c r="AI148" s="351">
        <f t="shared" si="22"/>
        <v>0</v>
      </c>
      <c r="AJ148" s="354"/>
      <c r="AK148" s="354"/>
      <c r="AM148" s="231">
        <f t="shared" si="24"/>
        <v>0</v>
      </c>
      <c r="AN148" s="231"/>
    </row>
    <row r="149" spans="1:40" ht="16.5" x14ac:dyDescent="0.25">
      <c r="A149" s="211"/>
      <c r="B149" s="333"/>
      <c r="C149" s="213" t="s">
        <v>158</v>
      </c>
      <c r="D149" s="2393" t="s">
        <v>503</v>
      </c>
      <c r="E149" s="220"/>
      <c r="F149" s="220"/>
      <c r="G149" s="220"/>
      <c r="H149" s="227"/>
      <c r="I149" s="220"/>
      <c r="J149" s="220"/>
      <c r="K149" s="220"/>
      <c r="L149" s="230">
        <f>SUM(L150)</f>
        <v>9000000</v>
      </c>
      <c r="M149" s="2837">
        <f t="shared" si="32"/>
        <v>0</v>
      </c>
      <c r="N149" s="632">
        <f>SUM(N150)</f>
        <v>9000000</v>
      </c>
      <c r="O149" s="2829">
        <f t="shared" si="33"/>
        <v>-1839801</v>
      </c>
      <c r="P149" s="632">
        <f>SUM(P150)</f>
        <v>7160199</v>
      </c>
      <c r="Q149" s="3319">
        <f t="shared" si="34"/>
        <v>0</v>
      </c>
      <c r="R149" s="632">
        <f>SUM(R150)</f>
        <v>7160199</v>
      </c>
      <c r="S149" s="230">
        <f>SUM(S150)</f>
        <v>7160199</v>
      </c>
      <c r="T149" s="344">
        <f t="shared" ref="T149:T215" si="37">SUM(S149/N149)*100</f>
        <v>79.557766666666666</v>
      </c>
      <c r="U149" s="236"/>
      <c r="V149" s="228"/>
      <c r="W149" s="354"/>
      <c r="X149" s="354"/>
      <c r="Y149" s="354"/>
      <c r="Z149" s="354"/>
      <c r="AA149" s="354"/>
      <c r="AB149" s="354"/>
      <c r="AC149" s="354"/>
      <c r="AD149" s="354"/>
      <c r="AE149" s="351">
        <f t="shared" si="23"/>
        <v>0</v>
      </c>
      <c r="AF149" s="354"/>
      <c r="AG149" s="351">
        <f t="shared" si="23"/>
        <v>0</v>
      </c>
      <c r="AH149" s="354"/>
      <c r="AI149" s="351">
        <f t="shared" si="22"/>
        <v>0</v>
      </c>
      <c r="AJ149" s="354"/>
      <c r="AK149" s="354"/>
      <c r="AM149" s="231">
        <f t="shared" si="24"/>
        <v>0</v>
      </c>
      <c r="AN149" s="231"/>
    </row>
    <row r="150" spans="1:40" ht="16.5" x14ac:dyDescent="0.25">
      <c r="A150" s="211"/>
      <c r="B150" s="333"/>
      <c r="C150" s="224" t="s">
        <v>504</v>
      </c>
      <c r="D150" s="55" t="s">
        <v>1433</v>
      </c>
      <c r="E150" s="220">
        <v>8092</v>
      </c>
      <c r="F150" s="220">
        <v>10134</v>
      </c>
      <c r="G150" s="220">
        <v>11732</v>
      </c>
      <c r="H150" s="227"/>
      <c r="I150" s="220">
        <v>26394</v>
      </c>
      <c r="J150" s="220">
        <v>26394</v>
      </c>
      <c r="K150" s="220"/>
      <c r="L150" s="220">
        <v>9000000</v>
      </c>
      <c r="M150" s="1355">
        <f t="shared" si="32"/>
        <v>0</v>
      </c>
      <c r="N150" s="344">
        <v>9000000</v>
      </c>
      <c r="O150" s="1347">
        <f t="shared" si="33"/>
        <v>-1839801</v>
      </c>
      <c r="P150" s="344">
        <v>7160199</v>
      </c>
      <c r="Q150" s="3321">
        <f t="shared" si="34"/>
        <v>0</v>
      </c>
      <c r="R150" s="344">
        <v>7160199</v>
      </c>
      <c r="S150" s="220">
        <v>7160199</v>
      </c>
      <c r="T150" s="344">
        <f t="shared" si="37"/>
        <v>79.557766666666666</v>
      </c>
      <c r="U150" s="236"/>
      <c r="V150" s="228" t="s">
        <v>408</v>
      </c>
      <c r="W150" s="351"/>
      <c r="X150" s="351">
        <f>SUM(H31+H54+H81+H104+H127+H157)</f>
        <v>40789</v>
      </c>
      <c r="Y150" s="351"/>
      <c r="Z150" s="351"/>
      <c r="AA150" s="351"/>
      <c r="AB150" s="351">
        <f>SUM(I31+I54+I81+I104+I127+I157+I182+I208)</f>
        <v>49730</v>
      </c>
      <c r="AC150" s="351">
        <f>SUM(J31+J54+J81+J104+J127+J157+J182+J208)</f>
        <v>49730</v>
      </c>
      <c r="AD150" s="351">
        <f>SUM(L31+L54+L81+L104+L127+L157+L182+L208)</f>
        <v>50240000</v>
      </c>
      <c r="AE150" s="351">
        <f t="shared" si="23"/>
        <v>89916</v>
      </c>
      <c r="AF150" s="351">
        <f>SUM(N31+N54+N81+N104+N127+N157+N182+N208)</f>
        <v>50329916</v>
      </c>
      <c r="AG150" s="351">
        <f t="shared" si="23"/>
        <v>5040922</v>
      </c>
      <c r="AH150" s="351">
        <f>SUM(P31+P54+P81+P104+P127+P157+P182+P208)</f>
        <v>55370838</v>
      </c>
      <c r="AI150" s="351">
        <f t="shared" si="22"/>
        <v>0</v>
      </c>
      <c r="AJ150" s="351">
        <f>SUM(R31+R54+R81+R104+R127+R157+R182+R208)</f>
        <v>55370838</v>
      </c>
      <c r="AK150" s="351">
        <f>SUM(S31+S54+S81+S104+S127+S157+S182+S208)</f>
        <v>55370838</v>
      </c>
      <c r="AM150" s="231">
        <f t="shared" si="24"/>
        <v>-55370838</v>
      </c>
      <c r="AN150" s="231"/>
    </row>
    <row r="151" spans="1:40" ht="16.5" x14ac:dyDescent="0.25">
      <c r="A151" s="211"/>
      <c r="B151" s="333"/>
      <c r="C151" s="213" t="s">
        <v>375</v>
      </c>
      <c r="D151" s="2393" t="s">
        <v>434</v>
      </c>
      <c r="E151" s="220"/>
      <c r="F151" s="220"/>
      <c r="G151" s="220"/>
      <c r="H151" s="227">
        <v>0</v>
      </c>
      <c r="I151" s="220"/>
      <c r="J151" s="220">
        <v>2013</v>
      </c>
      <c r="K151" s="220"/>
      <c r="L151" s="230"/>
      <c r="M151" s="2835">
        <f t="shared" si="32"/>
        <v>0</v>
      </c>
      <c r="N151" s="632"/>
      <c r="O151" s="2829">
        <f t="shared" si="33"/>
        <v>0</v>
      </c>
      <c r="P151" s="632"/>
      <c r="Q151" s="3319">
        <f t="shared" si="34"/>
        <v>0</v>
      </c>
      <c r="R151" s="632"/>
      <c r="S151" s="230"/>
      <c r="T151" s="344" t="e">
        <f t="shared" si="37"/>
        <v>#DIV/0!</v>
      </c>
      <c r="U151" s="236"/>
      <c r="V151" s="228"/>
      <c r="W151" s="351"/>
      <c r="X151" s="351"/>
      <c r="Y151" s="351"/>
      <c r="Z151" s="351"/>
      <c r="AA151" s="351"/>
      <c r="AB151" s="351"/>
      <c r="AC151" s="351"/>
      <c r="AD151" s="351"/>
      <c r="AE151" s="351">
        <f t="shared" si="23"/>
        <v>0</v>
      </c>
      <c r="AF151" s="351"/>
      <c r="AG151" s="351">
        <f t="shared" si="23"/>
        <v>0</v>
      </c>
      <c r="AH151" s="351"/>
      <c r="AI151" s="351">
        <f t="shared" si="22"/>
        <v>0</v>
      </c>
      <c r="AJ151" s="351"/>
      <c r="AK151" s="351"/>
      <c r="AM151" s="231">
        <f t="shared" si="24"/>
        <v>0</v>
      </c>
      <c r="AN151" s="231"/>
    </row>
    <row r="152" spans="1:40" ht="16.5" x14ac:dyDescent="0.25">
      <c r="A152" s="211"/>
      <c r="B152" s="333"/>
      <c r="C152" s="213" t="s">
        <v>162</v>
      </c>
      <c r="D152" s="2393" t="s">
        <v>509</v>
      </c>
      <c r="E152" s="220"/>
      <c r="F152" s="220"/>
      <c r="G152" s="220"/>
      <c r="H152" s="227"/>
      <c r="I152" s="220"/>
      <c r="J152" s="220"/>
      <c r="K152" s="220"/>
      <c r="L152" s="220"/>
      <c r="M152" s="2835">
        <f t="shared" si="32"/>
        <v>0</v>
      </c>
      <c r="N152" s="220"/>
      <c r="O152" s="2829">
        <f t="shared" si="33"/>
        <v>0</v>
      </c>
      <c r="P152" s="220"/>
      <c r="Q152" s="3319">
        <f t="shared" si="34"/>
        <v>0</v>
      </c>
      <c r="R152" s="220"/>
      <c r="S152" s="220"/>
      <c r="T152" s="344" t="e">
        <f t="shared" si="37"/>
        <v>#DIV/0!</v>
      </c>
      <c r="U152" s="236"/>
      <c r="V152" s="228" t="s">
        <v>240</v>
      </c>
      <c r="W152" s="351"/>
      <c r="X152" s="351">
        <f>SUM(H158+H128+H105+H82+H55+H32)</f>
        <v>164367</v>
      </c>
      <c r="Y152" s="351"/>
      <c r="Z152" s="351"/>
      <c r="AA152" s="351"/>
      <c r="AB152" s="351">
        <f>SUM(I158+I128+I105+I82+I55+I32+I183+I209)</f>
        <v>325196</v>
      </c>
      <c r="AC152" s="351">
        <f>SUM(J158+J128+J105+J82+J55+J32+J183+J209)</f>
        <v>355919</v>
      </c>
      <c r="AD152" s="351">
        <f>SUM(L158+L128+L105+L82+L55+L32+L183+L209)</f>
        <v>345574000</v>
      </c>
      <c r="AE152" s="351">
        <f t="shared" si="23"/>
        <v>9504168</v>
      </c>
      <c r="AF152" s="351">
        <f>SUM(N158+N128+N105+N82+N55+N32+N183+N209)</f>
        <v>355078168</v>
      </c>
      <c r="AG152" s="351">
        <f t="shared" si="23"/>
        <v>63876764</v>
      </c>
      <c r="AH152" s="351">
        <f>SUM(P158+P128+P105+P82+P55+P32+P183+P209)</f>
        <v>418954932</v>
      </c>
      <c r="AI152" s="351">
        <f t="shared" si="22"/>
        <v>0</v>
      </c>
      <c r="AJ152" s="351">
        <f>SUM(R158+R128+R105+R82+R55+R32+R183+R209)</f>
        <v>418954932</v>
      </c>
      <c r="AK152" s="351">
        <f>SUM(S158+S128+S105+S82+S55+S32+S183+S209)</f>
        <v>408091701</v>
      </c>
      <c r="AM152" s="231">
        <f t="shared" si="24"/>
        <v>-408091701</v>
      </c>
      <c r="AN152" s="231"/>
    </row>
    <row r="153" spans="1:40" ht="16.5" x14ac:dyDescent="0.25">
      <c r="A153" s="2656"/>
      <c r="B153" s="2657"/>
      <c r="C153" s="2658" t="s">
        <v>510</v>
      </c>
      <c r="D153" s="337" t="s">
        <v>299</v>
      </c>
      <c r="E153" s="338">
        <f t="shared" ref="E153:J153" si="38">SUM(E137+E146+E145)</f>
        <v>27927</v>
      </c>
      <c r="F153" s="338">
        <f t="shared" si="38"/>
        <v>30134</v>
      </c>
      <c r="G153" s="338">
        <f t="shared" si="38"/>
        <v>31734</v>
      </c>
      <c r="H153" s="346">
        <f t="shared" si="38"/>
        <v>0</v>
      </c>
      <c r="I153" s="338">
        <f t="shared" si="38"/>
        <v>28194</v>
      </c>
      <c r="J153" s="338">
        <f t="shared" si="38"/>
        <v>30207</v>
      </c>
      <c r="K153" s="338"/>
      <c r="L153" s="338">
        <f>SUM(L137+L146+L145)+L149</f>
        <v>11600000</v>
      </c>
      <c r="M153" s="1356">
        <f t="shared" si="32"/>
        <v>0</v>
      </c>
      <c r="N153" s="1332">
        <f>SUM(N137+N146+N145)+N149</f>
        <v>11600000</v>
      </c>
      <c r="O153" s="1348">
        <f t="shared" si="33"/>
        <v>-1861429</v>
      </c>
      <c r="P153" s="1332">
        <f>SUM(P137+P146+P145)+P149</f>
        <v>9738571</v>
      </c>
      <c r="Q153" s="3324">
        <f t="shared" si="34"/>
        <v>0</v>
      </c>
      <c r="R153" s="1332">
        <f>SUM(R137+R146+R145)+R149</f>
        <v>9738571</v>
      </c>
      <c r="S153" s="338">
        <f>SUM(S137+S146+S145)+S149</f>
        <v>9738571</v>
      </c>
      <c r="T153" s="344">
        <f t="shared" si="37"/>
        <v>83.953198275862079</v>
      </c>
      <c r="U153" s="236"/>
      <c r="V153" s="228" t="s">
        <v>513</v>
      </c>
      <c r="W153" s="354"/>
      <c r="X153" s="354">
        <f>SUM(H34+H57+H84+H107)</f>
        <v>0</v>
      </c>
      <c r="Y153" s="354"/>
      <c r="Z153" s="354"/>
      <c r="AA153" s="354"/>
      <c r="AB153" s="354">
        <f>SUM(I34+I57+I84+I107+I185+I211)</f>
        <v>0</v>
      </c>
      <c r="AC153" s="354">
        <f>SUM(J34+J57+J84+J107+J185+J211)</f>
        <v>0</v>
      </c>
      <c r="AD153" s="354">
        <f>SUM(L34+L57+L84+L107+L185+L211)</f>
        <v>0</v>
      </c>
      <c r="AE153" s="351">
        <f t="shared" si="23"/>
        <v>10797500</v>
      </c>
      <c r="AF153" s="354">
        <f>SUM(N34+N57+N84+N107+N185+N211)</f>
        <v>10797500</v>
      </c>
      <c r="AG153" s="351">
        <f t="shared" si="23"/>
        <v>-4688800</v>
      </c>
      <c r="AH153" s="354">
        <f>SUM(P34+P57+P84+P107+P185+P211)</f>
        <v>6108700</v>
      </c>
      <c r="AI153" s="351">
        <f t="shared" si="22"/>
        <v>0</v>
      </c>
      <c r="AJ153" s="354">
        <f>SUM(R34+R57+R84+R107+R185+R211)</f>
        <v>6108700</v>
      </c>
      <c r="AK153" s="354">
        <f>SUM(S34+S57+S84+S107+S185+S211)</f>
        <v>6108700</v>
      </c>
      <c r="AM153" s="231">
        <f t="shared" si="24"/>
        <v>-6108700</v>
      </c>
      <c r="AN153" s="231"/>
    </row>
    <row r="154" spans="1:40" ht="16.5" customHeight="1" x14ac:dyDescent="0.25">
      <c r="A154" s="211"/>
      <c r="B154" s="330" t="s">
        <v>17</v>
      </c>
      <c r="C154" s="234"/>
      <c r="D154" s="4656" t="s">
        <v>231</v>
      </c>
      <c r="E154" s="4656"/>
      <c r="F154" s="4656"/>
      <c r="G154" s="4656"/>
      <c r="H154" s="4656"/>
      <c r="I154" s="220"/>
      <c r="J154" s="220"/>
      <c r="K154" s="220"/>
      <c r="L154" s="220"/>
      <c r="M154" s="2835"/>
      <c r="N154" s="344"/>
      <c r="O154" s="2835"/>
      <c r="P154" s="344"/>
      <c r="Q154" s="3321"/>
      <c r="R154" s="344"/>
      <c r="S154" s="220"/>
      <c r="T154" s="344" t="e">
        <f t="shared" si="37"/>
        <v>#DIV/0!</v>
      </c>
      <c r="U154" s="236"/>
      <c r="V154" s="228" t="s">
        <v>515</v>
      </c>
      <c r="W154" s="354"/>
      <c r="X154" s="354">
        <f>SUM(H161+H131+H108+H85+H58+H35)</f>
        <v>0</v>
      </c>
      <c r="Y154" s="354"/>
      <c r="Z154" s="354"/>
      <c r="AA154" s="354"/>
      <c r="AB154" s="354">
        <f>SUM(I161+I131+I108+I85+I58+I35+I186+I212)</f>
        <v>0</v>
      </c>
      <c r="AC154" s="354">
        <f>SUM(J161+J131+J108+J85+J58+J35+J186+J212)</f>
        <v>3694</v>
      </c>
      <c r="AD154" s="354">
        <f>SUM(L161+L131+L108+L85+L58+L35+L186+L212)</f>
        <v>3000000</v>
      </c>
      <c r="AE154" s="351">
        <f t="shared" si="23"/>
        <v>15880496</v>
      </c>
      <c r="AF154" s="354">
        <f>SUM(N161+N131+N108+N85+N58+N35+N186+N212)</f>
        <v>18880496</v>
      </c>
      <c r="AG154" s="351">
        <f t="shared" si="23"/>
        <v>31772203</v>
      </c>
      <c r="AH154" s="354">
        <f>SUM(P161+P131+P108+P85+P58+P35+P186+P212)</f>
        <v>50652699</v>
      </c>
      <c r="AI154" s="351">
        <f t="shared" si="22"/>
        <v>0</v>
      </c>
      <c r="AJ154" s="354">
        <f>SUM(R161+R131+R108+R85+R58+R35+R186+R212)</f>
        <v>50652699</v>
      </c>
      <c r="AK154" s="354">
        <f>SUM(S161+S131+S108+S85+S58+S35+S186+S212)</f>
        <v>16538976</v>
      </c>
      <c r="AM154" s="231">
        <f t="shared" si="24"/>
        <v>-16538976</v>
      </c>
      <c r="AN154" s="231"/>
    </row>
    <row r="155" spans="1:40" ht="16.5" customHeight="1" x14ac:dyDescent="0.25">
      <c r="A155" s="211"/>
      <c r="B155" s="330"/>
      <c r="C155" s="213" t="s">
        <v>5</v>
      </c>
      <c r="D155" s="2821" t="s">
        <v>797</v>
      </c>
      <c r="E155" s="332"/>
      <c r="F155" s="332"/>
      <c r="G155" s="332"/>
      <c r="H155" s="332"/>
      <c r="I155" s="220"/>
      <c r="J155" s="220"/>
      <c r="K155" s="220"/>
      <c r="L155" s="230">
        <f>SUM(L156:L158)</f>
        <v>11100000</v>
      </c>
      <c r="M155" s="2837">
        <f t="shared" si="32"/>
        <v>0</v>
      </c>
      <c r="N155" s="632">
        <f>SUM(N156:N158)</f>
        <v>11100000</v>
      </c>
      <c r="O155" s="2829">
        <f t="shared" si="33"/>
        <v>-1495566</v>
      </c>
      <c r="P155" s="632">
        <f>SUM(P156:P158)</f>
        <v>9604434</v>
      </c>
      <c r="Q155" s="3319">
        <f t="shared" si="34"/>
        <v>0</v>
      </c>
      <c r="R155" s="632">
        <f>SUM(R156:R158)</f>
        <v>9604434</v>
      </c>
      <c r="S155" s="230">
        <f>SUM(S156:S158)</f>
        <v>9604434</v>
      </c>
      <c r="T155" s="344">
        <f t="shared" si="37"/>
        <v>86.526432432432429</v>
      </c>
      <c r="U155" s="236"/>
      <c r="V155" s="228" t="s">
        <v>534</v>
      </c>
      <c r="W155" s="354"/>
      <c r="X155" s="354"/>
      <c r="Y155" s="354"/>
      <c r="Z155" s="354"/>
      <c r="AA155" s="354"/>
      <c r="AB155" s="354">
        <f>I36+I59+I86+I109+I187+I213</f>
        <v>0</v>
      </c>
      <c r="AC155" s="354">
        <f>J36+J59+J86+J109+J187+J213</f>
        <v>0</v>
      </c>
      <c r="AD155" s="354">
        <f>L36+L59+L86+L109+L187+L213</f>
        <v>0</v>
      </c>
      <c r="AE155" s="351">
        <f t="shared" si="23"/>
        <v>0</v>
      </c>
      <c r="AF155" s="354">
        <f>N36+N59+N86+N109+N187+N213</f>
        <v>0</v>
      </c>
      <c r="AG155" s="351">
        <f t="shared" si="23"/>
        <v>0</v>
      </c>
      <c r="AH155" s="354">
        <f>P36+P59+P86+P109+P187+P213</f>
        <v>0</v>
      </c>
      <c r="AI155" s="351">
        <f t="shared" si="22"/>
        <v>0</v>
      </c>
      <c r="AJ155" s="354">
        <f>R36+R59+R86+R109+R187+R213</f>
        <v>0</v>
      </c>
      <c r="AK155" s="354">
        <f>S36+S59+S86+S109+S187+S213</f>
        <v>0</v>
      </c>
      <c r="AM155" s="231">
        <f t="shared" si="24"/>
        <v>0</v>
      </c>
      <c r="AN155" s="231"/>
    </row>
    <row r="156" spans="1:40" ht="16.5" x14ac:dyDescent="0.25">
      <c r="A156" s="211"/>
      <c r="B156" s="333"/>
      <c r="C156" s="234" t="s">
        <v>5</v>
      </c>
      <c r="D156" s="219" t="s">
        <v>370</v>
      </c>
      <c r="E156" s="220">
        <v>17861</v>
      </c>
      <c r="F156" s="220">
        <v>18148</v>
      </c>
      <c r="G156" s="220">
        <v>19341</v>
      </c>
      <c r="H156" s="227"/>
      <c r="I156" s="220">
        <v>10917</v>
      </c>
      <c r="J156" s="220">
        <v>10917</v>
      </c>
      <c r="K156" s="220"/>
      <c r="L156" s="220">
        <v>1000000</v>
      </c>
      <c r="M156" s="1355">
        <f t="shared" si="32"/>
        <v>0</v>
      </c>
      <c r="N156" s="344">
        <v>1000000</v>
      </c>
      <c r="O156" s="1347">
        <f t="shared" si="33"/>
        <v>0</v>
      </c>
      <c r="P156" s="344">
        <v>1000000</v>
      </c>
      <c r="Q156" s="3321">
        <f t="shared" si="34"/>
        <v>0</v>
      </c>
      <c r="R156" s="344">
        <v>1000000</v>
      </c>
      <c r="S156" s="220">
        <v>1000000</v>
      </c>
      <c r="T156" s="344">
        <f t="shared" si="37"/>
        <v>100</v>
      </c>
      <c r="U156" s="236"/>
      <c r="V156" s="339" t="s">
        <v>535</v>
      </c>
      <c r="W156" s="338"/>
      <c r="X156" s="338"/>
      <c r="Y156" s="338"/>
      <c r="Z156" s="338"/>
      <c r="AA156" s="338"/>
      <c r="AB156" s="338"/>
      <c r="AC156" s="338"/>
      <c r="AD156" s="338"/>
      <c r="AE156" s="351">
        <f t="shared" si="23"/>
        <v>0</v>
      </c>
      <c r="AF156" s="338"/>
      <c r="AG156" s="351">
        <f t="shared" si="23"/>
        <v>0</v>
      </c>
      <c r="AH156" s="338"/>
      <c r="AI156" s="351">
        <f t="shared" si="22"/>
        <v>0</v>
      </c>
      <c r="AJ156" s="338"/>
      <c r="AK156" s="338"/>
      <c r="AM156" s="231">
        <f t="shared" si="24"/>
        <v>0</v>
      </c>
      <c r="AN156" s="231"/>
    </row>
    <row r="157" spans="1:40" ht="16.5" x14ac:dyDescent="0.25">
      <c r="A157" s="211"/>
      <c r="B157" s="333"/>
      <c r="C157" s="234" t="s">
        <v>7</v>
      </c>
      <c r="D157" s="219" t="s">
        <v>408</v>
      </c>
      <c r="E157" s="220">
        <v>5645</v>
      </c>
      <c r="F157" s="220">
        <v>5679</v>
      </c>
      <c r="G157" s="220">
        <v>6008</v>
      </c>
      <c r="H157" s="227"/>
      <c r="I157" s="220">
        <v>2981</v>
      </c>
      <c r="J157" s="220">
        <v>2981</v>
      </c>
      <c r="K157" s="220"/>
      <c r="L157" s="220">
        <v>195000</v>
      </c>
      <c r="M157" s="1355">
        <f t="shared" si="32"/>
        <v>0</v>
      </c>
      <c r="N157" s="344">
        <v>195000</v>
      </c>
      <c r="O157" s="1347">
        <f t="shared" si="33"/>
        <v>0</v>
      </c>
      <c r="P157" s="344">
        <v>195000</v>
      </c>
      <c r="Q157" s="3321">
        <f t="shared" si="34"/>
        <v>0</v>
      </c>
      <c r="R157" s="344">
        <v>195000</v>
      </c>
      <c r="S157" s="220">
        <v>195000</v>
      </c>
      <c r="T157" s="344">
        <f t="shared" si="37"/>
        <v>100</v>
      </c>
      <c r="U157" s="236"/>
      <c r="V157" s="339" t="s">
        <v>517</v>
      </c>
      <c r="W157" s="338"/>
      <c r="X157" s="338">
        <f t="shared" ref="X157:AD157" si="39">SUM(X147:X156)</f>
        <v>337564</v>
      </c>
      <c r="Y157" s="338">
        <f t="shared" si="39"/>
        <v>0</v>
      </c>
      <c r="Z157" s="338">
        <f t="shared" si="39"/>
        <v>0</v>
      </c>
      <c r="AA157" s="338">
        <f t="shared" si="39"/>
        <v>0</v>
      </c>
      <c r="AB157" s="338">
        <f t="shared" si="39"/>
        <v>543455</v>
      </c>
      <c r="AC157" s="338">
        <f t="shared" si="39"/>
        <v>601767</v>
      </c>
      <c r="AD157" s="338">
        <f t="shared" si="39"/>
        <v>643956000</v>
      </c>
      <c r="AE157" s="351">
        <f t="shared" si="23"/>
        <v>44528790</v>
      </c>
      <c r="AF157" s="338">
        <f>SUM(AF147:AF156)</f>
        <v>688484790</v>
      </c>
      <c r="AG157" s="351">
        <f t="shared" si="23"/>
        <v>100960379</v>
      </c>
      <c r="AH157" s="338">
        <f>SUM(AH147:AH156)</f>
        <v>789445169</v>
      </c>
      <c r="AI157" s="351">
        <f t="shared" si="22"/>
        <v>0</v>
      </c>
      <c r="AJ157" s="338">
        <f>SUM(AJ147:AJ156)</f>
        <v>789445169</v>
      </c>
      <c r="AK157" s="338">
        <f>SUM(AK147:AK156)</f>
        <v>744468215</v>
      </c>
      <c r="AM157" s="231">
        <f t="shared" si="24"/>
        <v>-744468215</v>
      </c>
      <c r="AN157" s="231"/>
    </row>
    <row r="158" spans="1:40" ht="16.5" x14ac:dyDescent="0.25">
      <c r="A158" s="211"/>
      <c r="B158" s="333"/>
      <c r="C158" s="234" t="s">
        <v>9</v>
      </c>
      <c r="D158" s="219" t="s">
        <v>240</v>
      </c>
      <c r="E158" s="220">
        <v>4421</v>
      </c>
      <c r="F158" s="220">
        <v>6307</v>
      </c>
      <c r="G158" s="220">
        <v>6385</v>
      </c>
      <c r="H158" s="227"/>
      <c r="I158" s="220">
        <v>14296</v>
      </c>
      <c r="J158" s="220">
        <v>14296</v>
      </c>
      <c r="K158" s="220"/>
      <c r="L158" s="220">
        <v>9905000</v>
      </c>
      <c r="M158" s="1355">
        <f t="shared" si="32"/>
        <v>0</v>
      </c>
      <c r="N158" s="344">
        <v>9905000</v>
      </c>
      <c r="O158" s="1347">
        <f t="shared" si="33"/>
        <v>-1495566</v>
      </c>
      <c r="P158" s="344">
        <v>8409434</v>
      </c>
      <c r="Q158" s="3321">
        <f t="shared" si="34"/>
        <v>0</v>
      </c>
      <c r="R158" s="344">
        <v>8409434</v>
      </c>
      <c r="S158" s="220">
        <v>8409434</v>
      </c>
      <c r="T158" s="344">
        <f t="shared" si="37"/>
        <v>84.900898536092882</v>
      </c>
      <c r="U158" s="236"/>
      <c r="V158" s="1152" t="s">
        <v>977</v>
      </c>
      <c r="W158" s="1151"/>
      <c r="X158" s="1151"/>
      <c r="Y158" s="1151"/>
      <c r="Z158" s="1151"/>
      <c r="AA158" s="1151"/>
      <c r="AB158" s="1151"/>
      <c r="AC158" s="1151"/>
      <c r="AD158" s="338">
        <f>SUM(AD138-AD157)</f>
        <v>0</v>
      </c>
      <c r="AE158" s="338">
        <f t="shared" ref="AE158:AK158" si="40">SUM(AE138-AE157)</f>
        <v>0</v>
      </c>
      <c r="AF158" s="338">
        <f t="shared" si="40"/>
        <v>0</v>
      </c>
      <c r="AG158" s="338">
        <f t="shared" si="40"/>
        <v>0</v>
      </c>
      <c r="AH158" s="338">
        <f t="shared" si="40"/>
        <v>0</v>
      </c>
      <c r="AI158" s="338">
        <f t="shared" si="40"/>
        <v>0</v>
      </c>
      <c r="AJ158" s="338">
        <f t="shared" si="40"/>
        <v>0</v>
      </c>
      <c r="AK158" s="338">
        <f t="shared" si="40"/>
        <v>-487995961</v>
      </c>
      <c r="AN158" s="231"/>
    </row>
    <row r="159" spans="1:40" ht="16.5" x14ac:dyDescent="0.25">
      <c r="A159" s="211"/>
      <c r="B159" s="333"/>
      <c r="C159" s="213" t="s">
        <v>7</v>
      </c>
      <c r="D159" s="2393" t="s">
        <v>511</v>
      </c>
      <c r="E159" s="220"/>
      <c r="F159" s="220"/>
      <c r="G159" s="220"/>
      <c r="H159" s="227"/>
      <c r="I159" s="220"/>
      <c r="J159" s="220"/>
      <c r="K159" s="220"/>
      <c r="L159" s="230">
        <f>SUM(L160:L162)</f>
        <v>500000</v>
      </c>
      <c r="M159" s="2837">
        <f t="shared" si="32"/>
        <v>0</v>
      </c>
      <c r="N159" s="632">
        <f>SUM(N160:N162)</f>
        <v>500000</v>
      </c>
      <c r="O159" s="2829">
        <f t="shared" si="33"/>
        <v>-365863</v>
      </c>
      <c r="P159" s="632">
        <f>SUM(P160:P162)</f>
        <v>134137</v>
      </c>
      <c r="Q159" s="3319">
        <f t="shared" si="34"/>
        <v>0</v>
      </c>
      <c r="R159" s="632">
        <f>SUM(R160:R162)</f>
        <v>134137</v>
      </c>
      <c r="S159" s="230">
        <f>SUM(S160:S162)</f>
        <v>134137</v>
      </c>
      <c r="T159" s="344">
        <f t="shared" si="37"/>
        <v>26.827400000000001</v>
      </c>
      <c r="U159" s="236"/>
      <c r="V159" s="232" t="s">
        <v>536</v>
      </c>
      <c r="X159" s="231">
        <f>SUM(H218)</f>
        <v>69</v>
      </c>
      <c r="Y159" s="231"/>
      <c r="Z159" s="231"/>
      <c r="AA159" s="231"/>
      <c r="AB159" s="231">
        <f>SUM(I218)</f>
        <v>73</v>
      </c>
      <c r="AC159" s="231">
        <f>SUM(J218)</f>
        <v>73</v>
      </c>
      <c r="AD159" s="1153">
        <f>SUM(L218)</f>
        <v>103</v>
      </c>
      <c r="AE159" s="1153"/>
      <c r="AF159" s="1153">
        <f>SUM(N218)</f>
        <v>103</v>
      </c>
      <c r="AG159" s="1153"/>
      <c r="AH159" s="1153">
        <f>SUM(P218)</f>
        <v>103</v>
      </c>
      <c r="AI159" s="1153"/>
      <c r="AJ159" s="1153">
        <f>SUM(R218)</f>
        <v>103</v>
      </c>
      <c r="AK159" s="1153">
        <f>SUM(S218)</f>
        <v>103</v>
      </c>
      <c r="AN159" s="231"/>
    </row>
    <row r="160" spans="1:40" ht="16.5" x14ac:dyDescent="0.25">
      <c r="A160" s="211"/>
      <c r="B160" s="333"/>
      <c r="C160" s="234" t="s">
        <v>512</v>
      </c>
      <c r="D160" s="219" t="s">
        <v>513</v>
      </c>
      <c r="E160" s="220"/>
      <c r="F160" s="220"/>
      <c r="G160" s="220"/>
      <c r="H160" s="227"/>
      <c r="I160" s="220"/>
      <c r="J160" s="220"/>
      <c r="K160" s="220"/>
      <c r="L160" s="220"/>
      <c r="M160" s="1355">
        <f t="shared" si="32"/>
        <v>0</v>
      </c>
      <c r="N160" s="344"/>
      <c r="O160" s="1347">
        <f t="shared" si="33"/>
        <v>0</v>
      </c>
      <c r="P160" s="344"/>
      <c r="Q160" s="3321">
        <f t="shared" si="34"/>
        <v>0</v>
      </c>
      <c r="R160" s="344"/>
      <c r="S160" s="220"/>
      <c r="T160" s="344" t="e">
        <f t="shared" si="37"/>
        <v>#DIV/0!</v>
      </c>
      <c r="U160" s="236"/>
      <c r="AN160" s="231"/>
    </row>
    <row r="161" spans="1:40" ht="16.5" x14ac:dyDescent="0.25">
      <c r="A161" s="211"/>
      <c r="B161" s="333"/>
      <c r="C161" s="234" t="s">
        <v>514</v>
      </c>
      <c r="D161" s="219" t="s">
        <v>515</v>
      </c>
      <c r="E161" s="220"/>
      <c r="F161" s="220"/>
      <c r="G161" s="220"/>
      <c r="H161" s="227"/>
      <c r="I161" s="220"/>
      <c r="J161" s="220">
        <v>2013</v>
      </c>
      <c r="K161" s="220"/>
      <c r="L161" s="220">
        <v>500000</v>
      </c>
      <c r="M161" s="1355">
        <f t="shared" si="32"/>
        <v>0</v>
      </c>
      <c r="N161" s="344">
        <v>500000</v>
      </c>
      <c r="O161" s="1347">
        <f t="shared" si="33"/>
        <v>-365863</v>
      </c>
      <c r="P161" s="344">
        <v>134137</v>
      </c>
      <c r="Q161" s="3321">
        <f t="shared" si="34"/>
        <v>0</v>
      </c>
      <c r="R161" s="344">
        <v>134137</v>
      </c>
      <c r="S161" s="220">
        <v>134137</v>
      </c>
      <c r="T161" s="344">
        <f t="shared" si="37"/>
        <v>26.827400000000001</v>
      </c>
      <c r="U161" s="236"/>
      <c r="AN161" s="231"/>
    </row>
    <row r="162" spans="1:40" ht="16.5" x14ac:dyDescent="0.25">
      <c r="A162" s="211"/>
      <c r="B162" s="333"/>
      <c r="C162" s="234" t="s">
        <v>516</v>
      </c>
      <c r="D162" s="219" t="s">
        <v>444</v>
      </c>
      <c r="E162" s="220"/>
      <c r="F162" s="220"/>
      <c r="G162" s="220"/>
      <c r="H162" s="227"/>
      <c r="I162" s="220"/>
      <c r="J162" s="220"/>
      <c r="K162" s="220"/>
      <c r="L162" s="220"/>
      <c r="M162" s="1355">
        <f t="shared" si="32"/>
        <v>0</v>
      </c>
      <c r="N162" s="344"/>
      <c r="O162" s="1347">
        <f t="shared" si="33"/>
        <v>0</v>
      </c>
      <c r="P162" s="344"/>
      <c r="Q162" s="3321">
        <f t="shared" si="34"/>
        <v>0</v>
      </c>
      <c r="R162" s="344"/>
      <c r="S162" s="220"/>
      <c r="T162" s="344" t="e">
        <f t="shared" si="37"/>
        <v>#DIV/0!</v>
      </c>
      <c r="U162" s="236"/>
      <c r="AN162" s="231"/>
    </row>
    <row r="163" spans="1:40" ht="16.5" x14ac:dyDescent="0.25">
      <c r="A163" s="2656"/>
      <c r="B163" s="2657"/>
      <c r="C163" s="2658"/>
      <c r="D163" s="339" t="s">
        <v>517</v>
      </c>
      <c r="E163" s="338">
        <f t="shared" ref="E163:J163" si="41">SUM(E156:E161)</f>
        <v>27927</v>
      </c>
      <c r="F163" s="338">
        <f t="shared" si="41"/>
        <v>30134</v>
      </c>
      <c r="G163" s="338">
        <f t="shared" si="41"/>
        <v>31734</v>
      </c>
      <c r="H163" s="346">
        <f t="shared" si="41"/>
        <v>0</v>
      </c>
      <c r="I163" s="338">
        <f t="shared" si="41"/>
        <v>28194</v>
      </c>
      <c r="J163" s="338">
        <f t="shared" si="41"/>
        <v>30207</v>
      </c>
      <c r="K163" s="338"/>
      <c r="L163" s="338">
        <f>SUM(L155+L159)</f>
        <v>11600000</v>
      </c>
      <c r="M163" s="1356">
        <f t="shared" si="32"/>
        <v>0</v>
      </c>
      <c r="N163" s="1332">
        <f>SUM(N155+N159)</f>
        <v>11600000</v>
      </c>
      <c r="O163" s="1348">
        <f t="shared" si="33"/>
        <v>-1861429</v>
      </c>
      <c r="P163" s="1332">
        <f>SUM(P155+P159)</f>
        <v>9738571</v>
      </c>
      <c r="Q163" s="3324">
        <f t="shared" si="34"/>
        <v>0</v>
      </c>
      <c r="R163" s="1332">
        <f>SUM(R155+R159)</f>
        <v>9738571</v>
      </c>
      <c r="S163" s="338">
        <f>SUM(S155+S159)</f>
        <v>9738571</v>
      </c>
      <c r="T163" s="344">
        <f t="shared" si="37"/>
        <v>83.953198275862079</v>
      </c>
      <c r="U163" s="236"/>
      <c r="AN163" s="231"/>
    </row>
    <row r="164" spans="1:40" ht="16.5" x14ac:dyDescent="0.25">
      <c r="A164" s="211"/>
      <c r="B164" s="330" t="s">
        <v>31</v>
      </c>
      <c r="C164" s="210"/>
      <c r="D164" s="340" t="s">
        <v>518</v>
      </c>
      <c r="E164" s="238">
        <v>7.5</v>
      </c>
      <c r="F164" s="238">
        <v>7.5</v>
      </c>
      <c r="G164" s="238">
        <v>7.5</v>
      </c>
      <c r="H164" s="227"/>
      <c r="I164" s="238">
        <v>0</v>
      </c>
      <c r="J164" s="238">
        <v>0</v>
      </c>
      <c r="K164" s="238"/>
      <c r="L164" s="238">
        <v>0</v>
      </c>
      <c r="M164" s="1355"/>
      <c r="N164" s="1333">
        <v>0</v>
      </c>
      <c r="O164" s="1347"/>
      <c r="P164" s="1333"/>
      <c r="Q164" s="3321"/>
      <c r="R164" s="1333"/>
      <c r="S164" s="238">
        <v>0</v>
      </c>
      <c r="T164" s="344" t="e">
        <f t="shared" si="37"/>
        <v>#DIV/0!</v>
      </c>
      <c r="U164" s="236"/>
      <c r="AN164" s="231"/>
    </row>
    <row r="165" spans="1:40" ht="17.25" x14ac:dyDescent="0.3">
      <c r="A165" s="329"/>
      <c r="B165" s="330"/>
      <c r="C165" s="209"/>
      <c r="D165" s="342" t="s">
        <v>854</v>
      </c>
      <c r="E165" s="343"/>
      <c r="F165" s="343"/>
      <c r="G165" s="343"/>
      <c r="H165" s="343"/>
      <c r="I165" s="344"/>
      <c r="J165" s="344"/>
      <c r="K165" s="344"/>
      <c r="L165" s="344"/>
      <c r="M165" s="1355"/>
      <c r="N165" s="344"/>
      <c r="O165" s="1355"/>
      <c r="P165" s="344"/>
      <c r="Q165" s="615"/>
      <c r="R165" s="344"/>
      <c r="S165" s="344"/>
      <c r="T165" s="344" t="e">
        <f t="shared" si="37"/>
        <v>#DIV/0!</v>
      </c>
      <c r="U165" s="236"/>
      <c r="AN165" s="231"/>
    </row>
    <row r="166" spans="1:40" ht="16.5" customHeight="1" x14ac:dyDescent="0.25">
      <c r="A166" s="211"/>
      <c r="B166" s="330" t="s">
        <v>3</v>
      </c>
      <c r="C166" s="224"/>
      <c r="D166" s="4656" t="s">
        <v>230</v>
      </c>
      <c r="E166" s="4656"/>
      <c r="F166" s="4656"/>
      <c r="G166" s="4656"/>
      <c r="H166" s="4656"/>
      <c r="I166" s="220"/>
      <c r="J166" s="220"/>
      <c r="K166" s="220"/>
      <c r="L166" s="220"/>
      <c r="M166" s="1355"/>
      <c r="N166" s="344"/>
      <c r="O166" s="1355"/>
      <c r="P166" s="344"/>
      <c r="Q166" s="3321"/>
      <c r="R166" s="344"/>
      <c r="S166" s="220"/>
      <c r="T166" s="344" t="e">
        <f t="shared" si="37"/>
        <v>#DIV/0!</v>
      </c>
      <c r="U166" s="236"/>
      <c r="AN166" s="231"/>
    </row>
    <row r="167" spans="1:40" ht="16.5" x14ac:dyDescent="0.25">
      <c r="A167" s="211"/>
      <c r="B167" s="333"/>
      <c r="C167" s="209" t="s">
        <v>152</v>
      </c>
      <c r="D167" s="2393" t="s">
        <v>46</v>
      </c>
      <c r="E167" s="220">
        <f t="shared" ref="E167:J167" si="42">SUM(E168:E169)</f>
        <v>2585</v>
      </c>
      <c r="F167" s="220">
        <f t="shared" si="42"/>
        <v>3074</v>
      </c>
      <c r="G167" s="220">
        <f t="shared" si="42"/>
        <v>3074</v>
      </c>
      <c r="H167" s="220">
        <f t="shared" si="42"/>
        <v>3934</v>
      </c>
      <c r="I167" s="220">
        <f t="shared" si="42"/>
        <v>0</v>
      </c>
      <c r="J167" s="220">
        <f t="shared" si="42"/>
        <v>0</v>
      </c>
      <c r="K167" s="220"/>
      <c r="L167" s="230">
        <f>SUM(L168:L169)</f>
        <v>0</v>
      </c>
      <c r="M167" s="1355">
        <f t="shared" si="32"/>
        <v>0</v>
      </c>
      <c r="N167" s="632">
        <f>SUM(N168:N169)</f>
        <v>0</v>
      </c>
      <c r="O167" s="2829">
        <f t="shared" si="33"/>
        <v>0</v>
      </c>
      <c r="P167" s="632">
        <f>SUM(P168:P169)</f>
        <v>0</v>
      </c>
      <c r="Q167" s="3319">
        <f t="shared" si="34"/>
        <v>0</v>
      </c>
      <c r="R167" s="632">
        <f>SUM(R168:R169)</f>
        <v>0</v>
      </c>
      <c r="S167" s="230">
        <f>SUM(S168:S169)</f>
        <v>0</v>
      </c>
      <c r="T167" s="344" t="e">
        <f t="shared" si="37"/>
        <v>#DIV/0!</v>
      </c>
      <c r="U167" s="236"/>
      <c r="AN167" s="231"/>
    </row>
    <row r="168" spans="1:40" ht="16.5" x14ac:dyDescent="0.25">
      <c r="A168" s="211"/>
      <c r="B168" s="333"/>
      <c r="C168" s="224" t="s">
        <v>519</v>
      </c>
      <c r="D168" s="55" t="s">
        <v>414</v>
      </c>
      <c r="E168" s="220">
        <v>2154</v>
      </c>
      <c r="F168" s="220">
        <v>2647</v>
      </c>
      <c r="G168" s="220">
        <v>2647</v>
      </c>
      <c r="H168" s="220">
        <v>3278</v>
      </c>
      <c r="I168" s="220">
        <v>0</v>
      </c>
      <c r="J168" s="220"/>
      <c r="K168" s="220"/>
      <c r="L168" s="220"/>
      <c r="M168" s="1355">
        <f t="shared" si="32"/>
        <v>0</v>
      </c>
      <c r="N168" s="344"/>
      <c r="O168" s="1347">
        <f t="shared" si="33"/>
        <v>0</v>
      </c>
      <c r="P168" s="344"/>
      <c r="Q168" s="3321">
        <f t="shared" si="34"/>
        <v>0</v>
      </c>
      <c r="R168" s="344"/>
      <c r="S168" s="220"/>
      <c r="T168" s="344" t="e">
        <f t="shared" si="37"/>
        <v>#DIV/0!</v>
      </c>
      <c r="U168" s="236"/>
      <c r="AN168" s="231"/>
    </row>
    <row r="169" spans="1:40" ht="16.5" x14ac:dyDescent="0.25">
      <c r="A169" s="211"/>
      <c r="B169" s="333"/>
      <c r="C169" s="224" t="s">
        <v>335</v>
      </c>
      <c r="D169" s="55" t="s">
        <v>340</v>
      </c>
      <c r="E169" s="220">
        <v>431</v>
      </c>
      <c r="F169" s="220">
        <v>427</v>
      </c>
      <c r="G169" s="220">
        <v>427</v>
      </c>
      <c r="H169" s="220">
        <v>656</v>
      </c>
      <c r="I169" s="220"/>
      <c r="J169" s="220"/>
      <c r="K169" s="220"/>
      <c r="L169" s="220"/>
      <c r="M169" s="1355">
        <f t="shared" si="32"/>
        <v>0</v>
      </c>
      <c r="N169" s="344"/>
      <c r="O169" s="1347">
        <f t="shared" si="33"/>
        <v>0</v>
      </c>
      <c r="P169" s="344"/>
      <c r="Q169" s="3321">
        <f t="shared" si="34"/>
        <v>0</v>
      </c>
      <c r="R169" s="344"/>
      <c r="S169" s="220"/>
      <c r="T169" s="344" t="e">
        <f t="shared" si="37"/>
        <v>#DIV/0!</v>
      </c>
      <c r="U169" s="236"/>
      <c r="AN169" s="231"/>
    </row>
    <row r="170" spans="1:40" ht="16.5" x14ac:dyDescent="0.25">
      <c r="A170" s="211"/>
      <c r="B170" s="333"/>
      <c r="C170" s="209" t="s">
        <v>154</v>
      </c>
      <c r="D170" s="2393" t="s">
        <v>501</v>
      </c>
      <c r="E170" s="220">
        <v>0</v>
      </c>
      <c r="F170" s="220">
        <v>0</v>
      </c>
      <c r="G170" s="220">
        <v>0</v>
      </c>
      <c r="H170" s="220"/>
      <c r="I170" s="220"/>
      <c r="J170" s="220"/>
      <c r="K170" s="220"/>
      <c r="L170" s="230"/>
      <c r="M170" s="2837">
        <f t="shared" si="32"/>
        <v>0</v>
      </c>
      <c r="N170" s="632"/>
      <c r="O170" s="2829">
        <f t="shared" si="33"/>
        <v>0</v>
      </c>
      <c r="P170" s="632"/>
      <c r="Q170" s="3319">
        <f t="shared" si="34"/>
        <v>0</v>
      </c>
      <c r="R170" s="632"/>
      <c r="S170" s="230"/>
      <c r="T170" s="344" t="e">
        <f t="shared" si="37"/>
        <v>#DIV/0!</v>
      </c>
      <c r="U170" s="236"/>
      <c r="AN170" s="231"/>
    </row>
    <row r="171" spans="1:40" ht="28.5" x14ac:dyDescent="0.25">
      <c r="A171" s="211"/>
      <c r="B171" s="333"/>
      <c r="C171" s="209" t="s">
        <v>156</v>
      </c>
      <c r="D171" s="2393" t="s">
        <v>353</v>
      </c>
      <c r="E171" s="220">
        <f t="shared" ref="E171:J171" si="43">SUM(E172+E176)</f>
        <v>0</v>
      </c>
      <c r="F171" s="220">
        <f t="shared" si="43"/>
        <v>0</v>
      </c>
      <c r="G171" s="220">
        <f t="shared" si="43"/>
        <v>759</v>
      </c>
      <c r="H171" s="220">
        <f t="shared" si="43"/>
        <v>0</v>
      </c>
      <c r="I171" s="220">
        <f t="shared" si="43"/>
        <v>72435</v>
      </c>
      <c r="J171" s="220">
        <f t="shared" si="43"/>
        <v>79435</v>
      </c>
      <c r="K171" s="220"/>
      <c r="L171" s="230">
        <f t="shared" ref="L171:S172" si="44">SUM(L172)</f>
        <v>58600000</v>
      </c>
      <c r="M171" s="2837">
        <f t="shared" si="32"/>
        <v>0</v>
      </c>
      <c r="N171" s="632">
        <f t="shared" si="44"/>
        <v>58600000</v>
      </c>
      <c r="O171" s="2829">
        <f t="shared" si="33"/>
        <v>4696700</v>
      </c>
      <c r="P171" s="632">
        <f t="shared" si="44"/>
        <v>63296700</v>
      </c>
      <c r="Q171" s="3319">
        <f t="shared" si="34"/>
        <v>0</v>
      </c>
      <c r="R171" s="632">
        <f t="shared" si="44"/>
        <v>63296700</v>
      </c>
      <c r="S171" s="230">
        <f t="shared" si="44"/>
        <v>63296700</v>
      </c>
      <c r="T171" s="344">
        <f t="shared" si="37"/>
        <v>108.01484641638226</v>
      </c>
      <c r="U171" s="236"/>
      <c r="AN171" s="231"/>
    </row>
    <row r="172" spans="1:40" ht="30" x14ac:dyDescent="0.25">
      <c r="A172" s="334"/>
      <c r="B172" s="335"/>
      <c r="C172" s="222" t="s">
        <v>354</v>
      </c>
      <c r="D172" s="55" t="s">
        <v>420</v>
      </c>
      <c r="E172" s="221">
        <f>SUM(E173:E175)</f>
        <v>0</v>
      </c>
      <c r="F172" s="221"/>
      <c r="G172" s="221">
        <f>SUM(G173:G175)</f>
        <v>499</v>
      </c>
      <c r="H172" s="221">
        <f>SUM(H173:H175)</f>
        <v>0</v>
      </c>
      <c r="I172" s="221">
        <f>SUM(I173:I175)</f>
        <v>72435</v>
      </c>
      <c r="J172" s="221">
        <f>SUM(J173:J175)</f>
        <v>79377</v>
      </c>
      <c r="K172" s="221"/>
      <c r="L172" s="221">
        <f t="shared" si="44"/>
        <v>58600000</v>
      </c>
      <c r="M172" s="1357">
        <f t="shared" si="32"/>
        <v>0</v>
      </c>
      <c r="N172" s="1198">
        <f t="shared" si="44"/>
        <v>58600000</v>
      </c>
      <c r="O172" s="1347">
        <f t="shared" si="33"/>
        <v>4696700</v>
      </c>
      <c r="P172" s="1198">
        <f t="shared" si="44"/>
        <v>63296700</v>
      </c>
      <c r="Q172" s="3323">
        <f t="shared" si="44"/>
        <v>0</v>
      </c>
      <c r="R172" s="1198">
        <f t="shared" si="44"/>
        <v>63296700</v>
      </c>
      <c r="S172" s="1198">
        <f t="shared" si="44"/>
        <v>63296700</v>
      </c>
      <c r="T172" s="344">
        <f t="shared" si="37"/>
        <v>108.01484641638226</v>
      </c>
      <c r="U172" s="236"/>
      <c r="AN172" s="231"/>
    </row>
    <row r="173" spans="1:40" ht="30" x14ac:dyDescent="0.25">
      <c r="A173" s="211"/>
      <c r="B173" s="333"/>
      <c r="C173" s="224" t="s">
        <v>502</v>
      </c>
      <c r="D173" s="55" t="s">
        <v>422</v>
      </c>
      <c r="E173" s="220"/>
      <c r="F173" s="220"/>
      <c r="G173" s="220"/>
      <c r="H173" s="220"/>
      <c r="I173" s="220">
        <v>65200</v>
      </c>
      <c r="J173" s="220">
        <v>65200</v>
      </c>
      <c r="K173" s="220"/>
      <c r="L173" s="220">
        <v>58600000</v>
      </c>
      <c r="M173" s="1355">
        <f t="shared" si="32"/>
        <v>0</v>
      </c>
      <c r="N173" s="344">
        <v>58600000</v>
      </c>
      <c r="O173" s="1347">
        <f t="shared" si="33"/>
        <v>4696700</v>
      </c>
      <c r="P173" s="344">
        <v>63296700</v>
      </c>
      <c r="Q173" s="3321">
        <f t="shared" si="34"/>
        <v>0</v>
      </c>
      <c r="R173" s="344">
        <v>63296700</v>
      </c>
      <c r="S173" s="220">
        <v>63296700</v>
      </c>
      <c r="T173" s="344">
        <f t="shared" si="37"/>
        <v>108.01484641638226</v>
      </c>
      <c r="U173" s="236"/>
      <c r="AN173" s="231"/>
    </row>
    <row r="174" spans="1:40" ht="16.5" x14ac:dyDescent="0.25">
      <c r="A174" s="211"/>
      <c r="B174" s="333"/>
      <c r="C174" s="213" t="s">
        <v>158</v>
      </c>
      <c r="D174" s="2393" t="s">
        <v>503</v>
      </c>
      <c r="E174" s="220"/>
      <c r="F174" s="220"/>
      <c r="G174" s="220"/>
      <c r="H174" s="220"/>
      <c r="I174" s="220"/>
      <c r="J174" s="220"/>
      <c r="K174" s="220"/>
      <c r="L174" s="230">
        <f>SUM(L175)</f>
        <v>25000000</v>
      </c>
      <c r="M174" s="2837">
        <f t="shared" si="32"/>
        <v>201168</v>
      </c>
      <c r="N174" s="632">
        <f>SUM(N175)</f>
        <v>25201168</v>
      </c>
      <c r="O174" s="2829">
        <f t="shared" si="33"/>
        <v>18270838</v>
      </c>
      <c r="P174" s="632">
        <f>SUM(P175)</f>
        <v>43472006</v>
      </c>
      <c r="Q174" s="3319">
        <f t="shared" si="34"/>
        <v>0</v>
      </c>
      <c r="R174" s="632">
        <f>SUM(R175)</f>
        <v>43472006</v>
      </c>
      <c r="S174" s="230">
        <f>SUM(S175)</f>
        <v>43472006</v>
      </c>
      <c r="T174" s="344">
        <f t="shared" si="37"/>
        <v>172.49996508098354</v>
      </c>
      <c r="U174" s="236"/>
      <c r="AN174" s="231"/>
    </row>
    <row r="175" spans="1:40" ht="16.5" x14ac:dyDescent="0.25">
      <c r="A175" s="211"/>
      <c r="B175" s="333"/>
      <c r="C175" s="224" t="s">
        <v>504</v>
      </c>
      <c r="D175" s="55" t="s">
        <v>1433</v>
      </c>
      <c r="E175" s="220"/>
      <c r="F175" s="220"/>
      <c r="G175" s="220">
        <v>499</v>
      </c>
      <c r="H175" s="220">
        <v>0</v>
      </c>
      <c r="I175" s="220">
        <v>7235</v>
      </c>
      <c r="J175" s="220">
        <v>14177</v>
      </c>
      <c r="K175" s="220"/>
      <c r="L175" s="220">
        <v>25000000</v>
      </c>
      <c r="M175" s="1355">
        <f t="shared" si="32"/>
        <v>201168</v>
      </c>
      <c r="N175" s="344">
        <v>25201168</v>
      </c>
      <c r="O175" s="1347">
        <f t="shared" si="33"/>
        <v>18270838</v>
      </c>
      <c r="P175" s="344">
        <v>43472006</v>
      </c>
      <c r="Q175" s="3321">
        <f t="shared" si="34"/>
        <v>0</v>
      </c>
      <c r="R175" s="344">
        <v>43472006</v>
      </c>
      <c r="S175" s="220">
        <v>43472006</v>
      </c>
      <c r="T175" s="344">
        <f t="shared" si="37"/>
        <v>172.49996508098354</v>
      </c>
      <c r="U175" s="236"/>
      <c r="AN175" s="231"/>
    </row>
    <row r="176" spans="1:40" ht="16.5" x14ac:dyDescent="0.25">
      <c r="A176" s="211"/>
      <c r="B176" s="333"/>
      <c r="C176" s="213" t="s">
        <v>375</v>
      </c>
      <c r="D176" s="2393" t="s">
        <v>434</v>
      </c>
      <c r="E176" s="220"/>
      <c r="F176" s="220"/>
      <c r="G176" s="220">
        <v>260</v>
      </c>
      <c r="H176" s="220">
        <v>0</v>
      </c>
      <c r="I176" s="220"/>
      <c r="J176" s="220">
        <v>58</v>
      </c>
      <c r="K176" s="220"/>
      <c r="L176" s="230"/>
      <c r="M176" s="1355">
        <f t="shared" si="32"/>
        <v>0</v>
      </c>
      <c r="N176" s="632"/>
      <c r="O176" s="2829">
        <f t="shared" si="33"/>
        <v>0</v>
      </c>
      <c r="P176" s="632"/>
      <c r="Q176" s="3319">
        <f t="shared" si="34"/>
        <v>0</v>
      </c>
      <c r="R176" s="632"/>
      <c r="S176" s="230"/>
      <c r="T176" s="344" t="e">
        <f t="shared" si="37"/>
        <v>#DIV/0!</v>
      </c>
      <c r="U176" s="236"/>
      <c r="AN176" s="231"/>
    </row>
    <row r="177" spans="1:40" ht="16.5" x14ac:dyDescent="0.25">
      <c r="A177" s="211"/>
      <c r="B177" s="333"/>
      <c r="C177" s="213" t="s">
        <v>162</v>
      </c>
      <c r="D177" s="2393" t="s">
        <v>509</v>
      </c>
      <c r="E177" s="220"/>
      <c r="F177" s="220"/>
      <c r="G177" s="220"/>
      <c r="H177" s="220"/>
      <c r="I177" s="220"/>
      <c r="J177" s="220"/>
      <c r="K177" s="220"/>
      <c r="L177" s="230"/>
      <c r="M177" s="1355">
        <f t="shared" si="32"/>
        <v>0</v>
      </c>
      <c r="N177" s="632"/>
      <c r="O177" s="2829">
        <f t="shared" si="33"/>
        <v>0</v>
      </c>
      <c r="P177" s="632"/>
      <c r="Q177" s="3319">
        <f t="shared" si="34"/>
        <v>0</v>
      </c>
      <c r="R177" s="632"/>
      <c r="S177" s="230"/>
      <c r="T177" s="344" t="e">
        <f t="shared" si="37"/>
        <v>#DIV/0!</v>
      </c>
      <c r="U177" s="236"/>
      <c r="AN177" s="231"/>
    </row>
    <row r="178" spans="1:40" ht="16.5" x14ac:dyDescent="0.25">
      <c r="A178" s="2656"/>
      <c r="B178" s="2657"/>
      <c r="C178" s="2658" t="s">
        <v>510</v>
      </c>
      <c r="D178" s="337" t="s">
        <v>299</v>
      </c>
      <c r="E178" s="338">
        <f t="shared" ref="E178:J178" si="45">SUM(E167+E171+E170)</f>
        <v>2585</v>
      </c>
      <c r="F178" s="338">
        <f t="shared" si="45"/>
        <v>3074</v>
      </c>
      <c r="G178" s="338">
        <f t="shared" si="45"/>
        <v>3833</v>
      </c>
      <c r="H178" s="338">
        <f t="shared" si="45"/>
        <v>3934</v>
      </c>
      <c r="I178" s="338">
        <f t="shared" si="45"/>
        <v>72435</v>
      </c>
      <c r="J178" s="338">
        <f t="shared" si="45"/>
        <v>79435</v>
      </c>
      <c r="K178" s="338"/>
      <c r="L178" s="338">
        <f>SUM(L167+L171+L170+L174)</f>
        <v>83600000</v>
      </c>
      <c r="M178" s="2837">
        <f t="shared" si="32"/>
        <v>201168</v>
      </c>
      <c r="N178" s="1332">
        <f>SUM(N167+N171+N170+N174)</f>
        <v>83801168</v>
      </c>
      <c r="O178" s="2837">
        <f t="shared" si="33"/>
        <v>22967538</v>
      </c>
      <c r="P178" s="1332">
        <f>SUM(P167+P171+P170+P174)</f>
        <v>106768706</v>
      </c>
      <c r="Q178" s="3324">
        <f t="shared" si="34"/>
        <v>0</v>
      </c>
      <c r="R178" s="1332">
        <f>SUM(R167+R171+R170+R174)</f>
        <v>106768706</v>
      </c>
      <c r="S178" s="338">
        <f>SUM(S167+S171+S170+S174)</f>
        <v>106768706</v>
      </c>
      <c r="T178" s="344">
        <f t="shared" si="37"/>
        <v>127.40718124597021</v>
      </c>
      <c r="U178" s="236"/>
      <c r="AN178" s="231"/>
    </row>
    <row r="179" spans="1:40" ht="16.5" customHeight="1" x14ac:dyDescent="0.25">
      <c r="A179" s="211"/>
      <c r="B179" s="330" t="s">
        <v>17</v>
      </c>
      <c r="C179" s="234"/>
      <c r="D179" s="4656" t="s">
        <v>231</v>
      </c>
      <c r="E179" s="4656"/>
      <c r="F179" s="4656"/>
      <c r="G179" s="4656"/>
      <c r="H179" s="4656"/>
      <c r="I179" s="220"/>
      <c r="J179" s="220"/>
      <c r="K179" s="220"/>
      <c r="L179" s="220"/>
      <c r="M179" s="1355"/>
      <c r="N179" s="344"/>
      <c r="O179" s="1355"/>
      <c r="P179" s="1197"/>
      <c r="Q179" s="3321"/>
      <c r="R179" s="1197"/>
      <c r="S179" s="220"/>
      <c r="T179" s="344" t="e">
        <f t="shared" si="37"/>
        <v>#DIV/0!</v>
      </c>
      <c r="U179" s="236"/>
      <c r="AN179" s="231"/>
    </row>
    <row r="180" spans="1:40" ht="16.5" customHeight="1" x14ac:dyDescent="0.25">
      <c r="A180" s="211"/>
      <c r="B180" s="330"/>
      <c r="C180" s="213" t="s">
        <v>5</v>
      </c>
      <c r="D180" s="2821" t="s">
        <v>797</v>
      </c>
      <c r="E180" s="332"/>
      <c r="F180" s="332"/>
      <c r="G180" s="332"/>
      <c r="H180" s="332"/>
      <c r="I180" s="220"/>
      <c r="J180" s="220"/>
      <c r="K180" s="220"/>
      <c r="L180" s="230">
        <f>SUM(L181:L183)</f>
        <v>83600000</v>
      </c>
      <c r="M180" s="2837">
        <f t="shared" si="32"/>
        <v>0</v>
      </c>
      <c r="N180" s="632">
        <f>SUM(N181:N183)</f>
        <v>83600000</v>
      </c>
      <c r="O180" s="2829">
        <f t="shared" si="33"/>
        <v>22967538</v>
      </c>
      <c r="P180" s="632">
        <f>SUM(P181:P183)</f>
        <v>106567538</v>
      </c>
      <c r="Q180" s="3319">
        <f t="shared" si="34"/>
        <v>0</v>
      </c>
      <c r="R180" s="632">
        <f>SUM(R181:R183)</f>
        <v>106567538</v>
      </c>
      <c r="S180" s="230">
        <f>SUM(S181:S183)</f>
        <v>106567538</v>
      </c>
      <c r="T180" s="344">
        <f t="shared" si="37"/>
        <v>127.47313157894737</v>
      </c>
      <c r="U180" s="236"/>
      <c r="AN180" s="231"/>
    </row>
    <row r="181" spans="1:40" ht="16.5" x14ac:dyDescent="0.25">
      <c r="A181" s="211"/>
      <c r="B181" s="333"/>
      <c r="C181" s="234" t="s">
        <v>5</v>
      </c>
      <c r="D181" s="219" t="s">
        <v>370</v>
      </c>
      <c r="E181" s="220">
        <v>1962</v>
      </c>
      <c r="F181" s="220">
        <v>2295</v>
      </c>
      <c r="G181" s="220">
        <v>2363</v>
      </c>
      <c r="H181" s="220">
        <v>2499</v>
      </c>
      <c r="I181" s="220">
        <v>7669</v>
      </c>
      <c r="J181" s="220">
        <v>7669</v>
      </c>
      <c r="K181" s="220"/>
      <c r="L181" s="220">
        <v>2000000</v>
      </c>
      <c r="M181" s="1355">
        <f t="shared" si="32"/>
        <v>0</v>
      </c>
      <c r="N181" s="344">
        <v>2000000</v>
      </c>
      <c r="O181" s="1347">
        <f t="shared" si="33"/>
        <v>0</v>
      </c>
      <c r="P181" s="344">
        <v>2000000</v>
      </c>
      <c r="Q181" s="3321">
        <f t="shared" si="34"/>
        <v>0</v>
      </c>
      <c r="R181" s="344">
        <v>2000000</v>
      </c>
      <c r="S181" s="220">
        <v>2000000</v>
      </c>
      <c r="T181" s="344">
        <f t="shared" si="37"/>
        <v>100</v>
      </c>
      <c r="U181" s="236"/>
      <c r="AN181" s="231"/>
    </row>
    <row r="182" spans="1:40" ht="16.5" x14ac:dyDescent="0.25">
      <c r="A182" s="211"/>
      <c r="B182" s="333"/>
      <c r="C182" s="234" t="s">
        <v>7</v>
      </c>
      <c r="D182" s="219" t="s">
        <v>408</v>
      </c>
      <c r="E182" s="220">
        <v>587</v>
      </c>
      <c r="F182" s="220">
        <v>699</v>
      </c>
      <c r="G182" s="220">
        <v>721</v>
      </c>
      <c r="H182" s="220">
        <v>719</v>
      </c>
      <c r="I182" s="220">
        <v>2094</v>
      </c>
      <c r="J182" s="220">
        <v>2094</v>
      </c>
      <c r="K182" s="220"/>
      <c r="L182" s="220">
        <v>195000</v>
      </c>
      <c r="M182" s="1355">
        <f t="shared" si="32"/>
        <v>0</v>
      </c>
      <c r="N182" s="344">
        <v>195000</v>
      </c>
      <c r="O182" s="1347">
        <f t="shared" si="33"/>
        <v>0</v>
      </c>
      <c r="P182" s="344">
        <v>195000</v>
      </c>
      <c r="Q182" s="3321">
        <f t="shared" si="34"/>
        <v>0</v>
      </c>
      <c r="R182" s="344">
        <v>195000</v>
      </c>
      <c r="S182" s="220">
        <v>195000</v>
      </c>
      <c r="T182" s="344">
        <f t="shared" si="37"/>
        <v>100</v>
      </c>
      <c r="U182" s="236"/>
      <c r="AN182" s="231"/>
    </row>
    <row r="183" spans="1:40" ht="16.5" x14ac:dyDescent="0.25">
      <c r="A183" s="211"/>
      <c r="B183" s="333"/>
      <c r="C183" s="234" t="s">
        <v>9</v>
      </c>
      <c r="D183" s="219" t="s">
        <v>240</v>
      </c>
      <c r="E183" s="220">
        <v>36</v>
      </c>
      <c r="F183" s="220">
        <v>80</v>
      </c>
      <c r="G183" s="220">
        <v>489</v>
      </c>
      <c r="H183" s="220">
        <v>716</v>
      </c>
      <c r="I183" s="220">
        <v>62672</v>
      </c>
      <c r="J183" s="220">
        <v>69614</v>
      </c>
      <c r="K183" s="220"/>
      <c r="L183" s="220">
        <v>81405000</v>
      </c>
      <c r="M183" s="1355">
        <f t="shared" si="32"/>
        <v>0</v>
      </c>
      <c r="N183" s="344">
        <v>81405000</v>
      </c>
      <c r="O183" s="1347">
        <f t="shared" si="33"/>
        <v>22967538</v>
      </c>
      <c r="P183" s="344">
        <v>104372538</v>
      </c>
      <c r="Q183" s="3321">
        <f t="shared" si="34"/>
        <v>0</v>
      </c>
      <c r="R183" s="344">
        <v>104372538</v>
      </c>
      <c r="S183" s="220">
        <v>104372538</v>
      </c>
      <c r="T183" s="344">
        <f t="shared" si="37"/>
        <v>128.21391560714943</v>
      </c>
      <c r="U183" s="236"/>
      <c r="AN183" s="231"/>
    </row>
    <row r="184" spans="1:40" ht="16.5" x14ac:dyDescent="0.25">
      <c r="A184" s="211"/>
      <c r="B184" s="333"/>
      <c r="C184" s="213" t="s">
        <v>7</v>
      </c>
      <c r="D184" s="2393" t="s">
        <v>511</v>
      </c>
      <c r="E184" s="220"/>
      <c r="F184" s="220"/>
      <c r="G184" s="220"/>
      <c r="H184" s="220"/>
      <c r="I184" s="220"/>
      <c r="J184" s="220"/>
      <c r="K184" s="220"/>
      <c r="L184" s="230">
        <f>SUM(L185:L187)</f>
        <v>0</v>
      </c>
      <c r="M184" s="2837">
        <f t="shared" si="32"/>
        <v>201168</v>
      </c>
      <c r="N184" s="632">
        <f>SUM(N185:N187)</f>
        <v>201168</v>
      </c>
      <c r="O184" s="2829">
        <f t="shared" si="33"/>
        <v>0</v>
      </c>
      <c r="P184" s="632">
        <f>SUM(P185:P187)</f>
        <v>201168</v>
      </c>
      <c r="Q184" s="3319">
        <f t="shared" si="34"/>
        <v>0</v>
      </c>
      <c r="R184" s="632">
        <f>SUM(R185:R187)</f>
        <v>201168</v>
      </c>
      <c r="S184" s="632">
        <f>SUM(S185:S187)</f>
        <v>201168</v>
      </c>
      <c r="T184" s="344">
        <f t="shared" si="37"/>
        <v>100</v>
      </c>
      <c r="U184" s="236"/>
      <c r="AN184" s="231"/>
    </row>
    <row r="185" spans="1:40" ht="16.5" x14ac:dyDescent="0.25">
      <c r="A185" s="211"/>
      <c r="B185" s="333"/>
      <c r="C185" s="234" t="s">
        <v>11</v>
      </c>
      <c r="D185" s="219" t="s">
        <v>513</v>
      </c>
      <c r="E185" s="220"/>
      <c r="F185" s="220"/>
      <c r="G185" s="220"/>
      <c r="H185" s="220"/>
      <c r="I185" s="220"/>
      <c r="J185" s="220"/>
      <c r="K185" s="220"/>
      <c r="L185" s="220"/>
      <c r="M185" s="1355">
        <f t="shared" si="32"/>
        <v>0</v>
      </c>
      <c r="N185" s="344"/>
      <c r="O185" s="1347">
        <f t="shared" si="33"/>
        <v>0</v>
      </c>
      <c r="P185" s="344"/>
      <c r="Q185" s="3321">
        <f t="shared" si="34"/>
        <v>0</v>
      </c>
      <c r="R185" s="344"/>
      <c r="S185" s="220"/>
      <c r="T185" s="344" t="e">
        <f t="shared" si="37"/>
        <v>#DIV/0!</v>
      </c>
      <c r="U185" s="236"/>
      <c r="AN185" s="231"/>
    </row>
    <row r="186" spans="1:40" ht="16.5" x14ac:dyDescent="0.25">
      <c r="A186" s="211"/>
      <c r="B186" s="333"/>
      <c r="C186" s="234" t="s">
        <v>13</v>
      </c>
      <c r="D186" s="219" t="s">
        <v>515</v>
      </c>
      <c r="E186" s="220"/>
      <c r="F186" s="220"/>
      <c r="G186" s="220">
        <v>260</v>
      </c>
      <c r="H186" s="220">
        <v>0</v>
      </c>
      <c r="I186" s="220"/>
      <c r="J186" s="220">
        <v>58</v>
      </c>
      <c r="K186" s="220"/>
      <c r="L186" s="220"/>
      <c r="M186" s="1355">
        <f t="shared" si="32"/>
        <v>201168</v>
      </c>
      <c r="N186" s="344">
        <v>201168</v>
      </c>
      <c r="O186" s="1347">
        <f t="shared" si="33"/>
        <v>0</v>
      </c>
      <c r="P186" s="344">
        <v>201168</v>
      </c>
      <c r="Q186" s="3321">
        <f t="shared" si="34"/>
        <v>0</v>
      </c>
      <c r="R186" s="344">
        <v>201168</v>
      </c>
      <c r="S186" s="220">
        <v>201168</v>
      </c>
      <c r="T186" s="344">
        <f t="shared" si="37"/>
        <v>100</v>
      </c>
      <c r="U186" s="236"/>
      <c r="AN186" s="231"/>
    </row>
    <row r="187" spans="1:40" ht="16.5" x14ac:dyDescent="0.25">
      <c r="A187" s="211"/>
      <c r="B187" s="333"/>
      <c r="C187" s="234" t="s">
        <v>15</v>
      </c>
      <c r="D187" s="219" t="s">
        <v>444</v>
      </c>
      <c r="E187" s="220"/>
      <c r="F187" s="220"/>
      <c r="G187" s="220"/>
      <c r="H187" s="220"/>
      <c r="I187" s="220"/>
      <c r="J187" s="220"/>
      <c r="K187" s="220"/>
      <c r="L187" s="220"/>
      <c r="M187" s="1355">
        <f t="shared" si="32"/>
        <v>0</v>
      </c>
      <c r="N187" s="344"/>
      <c r="O187" s="1347">
        <f t="shared" si="33"/>
        <v>0</v>
      </c>
      <c r="P187" s="344"/>
      <c r="Q187" s="3321">
        <f t="shared" si="34"/>
        <v>0</v>
      </c>
      <c r="R187" s="344"/>
      <c r="S187" s="220"/>
      <c r="T187" s="344" t="e">
        <f t="shared" si="37"/>
        <v>#DIV/0!</v>
      </c>
      <c r="U187" s="236"/>
      <c r="Y187" s="231"/>
      <c r="AN187" s="231"/>
    </row>
    <row r="188" spans="1:40" ht="16.5" x14ac:dyDescent="0.25">
      <c r="A188" s="2656"/>
      <c r="B188" s="2657"/>
      <c r="C188" s="2658"/>
      <c r="D188" s="339" t="s">
        <v>517</v>
      </c>
      <c r="E188" s="338">
        <f t="shared" ref="E188:J188" si="46">SUM(E181:E187)</f>
        <v>2585</v>
      </c>
      <c r="F188" s="338">
        <f t="shared" si="46"/>
        <v>3074</v>
      </c>
      <c r="G188" s="338">
        <f t="shared" si="46"/>
        <v>3833</v>
      </c>
      <c r="H188" s="338">
        <f t="shared" si="46"/>
        <v>3934</v>
      </c>
      <c r="I188" s="338">
        <f t="shared" si="46"/>
        <v>72435</v>
      </c>
      <c r="J188" s="338">
        <f t="shared" si="46"/>
        <v>79435</v>
      </c>
      <c r="K188" s="338"/>
      <c r="L188" s="338">
        <f>SUM(L180+L184)</f>
        <v>83600000</v>
      </c>
      <c r="M188" s="1356">
        <f t="shared" si="32"/>
        <v>201168</v>
      </c>
      <c r="N188" s="1332">
        <f>SUM(N180+N184)</f>
        <v>83801168</v>
      </c>
      <c r="O188" s="1348">
        <f t="shared" si="33"/>
        <v>22967538</v>
      </c>
      <c r="P188" s="1332">
        <f>SUM(P180+P184)</f>
        <v>106768706</v>
      </c>
      <c r="Q188" s="3324">
        <f t="shared" si="34"/>
        <v>0</v>
      </c>
      <c r="R188" s="1332">
        <f>SUM(R180+R184)</f>
        <v>106768706</v>
      </c>
      <c r="S188" s="338">
        <f>SUM(S180+S184)</f>
        <v>106768706</v>
      </c>
      <c r="T188" s="344">
        <f t="shared" si="37"/>
        <v>127.40718124597021</v>
      </c>
      <c r="U188" s="236"/>
      <c r="AN188" s="231"/>
    </row>
    <row r="189" spans="1:40" ht="16.5" x14ac:dyDescent="0.25">
      <c r="A189" s="211"/>
      <c r="B189" s="330" t="s">
        <v>31</v>
      </c>
      <c r="C189" s="210"/>
      <c r="D189" s="340" t="s">
        <v>518</v>
      </c>
      <c r="E189" s="239">
        <v>1</v>
      </c>
      <c r="F189" s="239">
        <v>1</v>
      </c>
      <c r="G189" s="239">
        <v>1</v>
      </c>
      <c r="H189" s="239">
        <v>1</v>
      </c>
      <c r="I189" s="239"/>
      <c r="J189" s="239"/>
      <c r="K189" s="239"/>
      <c r="L189" s="239"/>
      <c r="M189" s="1355">
        <f t="shared" si="32"/>
        <v>0</v>
      </c>
      <c r="N189" s="1200"/>
      <c r="O189" s="1347">
        <f t="shared" si="33"/>
        <v>0</v>
      </c>
      <c r="P189" s="1200"/>
      <c r="Q189" s="3321">
        <f t="shared" si="34"/>
        <v>0</v>
      </c>
      <c r="R189" s="1200"/>
      <c r="S189" s="239"/>
      <c r="T189" s="344" t="e">
        <f t="shared" si="37"/>
        <v>#DIV/0!</v>
      </c>
      <c r="U189" s="236"/>
      <c r="AN189" s="231"/>
    </row>
    <row r="190" spans="1:40" ht="17.25" x14ac:dyDescent="0.3">
      <c r="A190" s="329"/>
      <c r="B190" s="330"/>
      <c r="C190" s="209"/>
      <c r="D190" s="342" t="s">
        <v>855</v>
      </c>
      <c r="E190" s="343"/>
      <c r="F190" s="343"/>
      <c r="G190" s="343"/>
      <c r="H190" s="343"/>
      <c r="I190" s="344"/>
      <c r="J190" s="344"/>
      <c r="K190" s="344"/>
      <c r="L190" s="344"/>
      <c r="M190" s="1355"/>
      <c r="N190" s="344"/>
      <c r="O190" s="1355"/>
      <c r="P190" s="344"/>
      <c r="Q190" s="615"/>
      <c r="R190" s="344"/>
      <c r="S190" s="344"/>
      <c r="T190" s="344" t="e">
        <f t="shared" si="37"/>
        <v>#DIV/0!</v>
      </c>
      <c r="U190" s="236"/>
      <c r="AN190" s="231"/>
    </row>
    <row r="191" spans="1:40" ht="16.5" customHeight="1" x14ac:dyDescent="0.25">
      <c r="A191" s="211"/>
      <c r="B191" s="330" t="s">
        <v>3</v>
      </c>
      <c r="C191" s="224"/>
      <c r="D191" s="4656" t="s">
        <v>230</v>
      </c>
      <c r="E191" s="4656"/>
      <c r="F191" s="4656"/>
      <c r="G191" s="4656"/>
      <c r="H191" s="4656"/>
      <c r="I191" s="220"/>
      <c r="J191" s="220"/>
      <c r="K191" s="220"/>
      <c r="L191" s="220"/>
      <c r="M191" s="1355"/>
      <c r="N191" s="344"/>
      <c r="O191" s="1347"/>
      <c r="P191" s="344"/>
      <c r="Q191" s="3321"/>
      <c r="R191" s="344"/>
      <c r="S191" s="220"/>
      <c r="T191" s="344" t="e">
        <f t="shared" si="37"/>
        <v>#DIV/0!</v>
      </c>
      <c r="U191" s="236"/>
      <c r="AN191" s="231"/>
    </row>
    <row r="192" spans="1:40" ht="16.5" x14ac:dyDescent="0.25">
      <c r="A192" s="211"/>
      <c r="B192" s="333"/>
      <c r="C192" s="209" t="s">
        <v>152</v>
      </c>
      <c r="D192" s="2393" t="s">
        <v>46</v>
      </c>
      <c r="E192" s="220"/>
      <c r="F192" s="220"/>
      <c r="G192" s="220"/>
      <c r="H192" s="227"/>
      <c r="I192" s="220">
        <v>4700</v>
      </c>
      <c r="J192" s="220">
        <v>4700</v>
      </c>
      <c r="K192" s="220"/>
      <c r="L192" s="230">
        <f>SUM(L193:L195)</f>
        <v>4924000</v>
      </c>
      <c r="M192" s="2837">
        <f t="shared" si="32"/>
        <v>0</v>
      </c>
      <c r="N192" s="632">
        <f>SUM(N193:N195)</f>
        <v>4924000</v>
      </c>
      <c r="O192" s="2829">
        <f t="shared" si="33"/>
        <v>-64800</v>
      </c>
      <c r="P192" s="632">
        <f>SUM(P193:P195)</f>
        <v>4859200</v>
      </c>
      <c r="Q192" s="3319">
        <f t="shared" si="34"/>
        <v>0</v>
      </c>
      <c r="R192" s="632">
        <f>SUM(R193:R195)</f>
        <v>4859200</v>
      </c>
      <c r="S192" s="230">
        <f>SUM(S193:S195)</f>
        <v>4859200</v>
      </c>
      <c r="T192" s="344">
        <f t="shared" si="37"/>
        <v>98.683996750609253</v>
      </c>
      <c r="U192" s="236"/>
      <c r="AN192" s="231"/>
    </row>
    <row r="193" spans="1:40" ht="16.5" x14ac:dyDescent="0.25">
      <c r="A193" s="211"/>
      <c r="B193" s="333"/>
      <c r="C193" s="209"/>
      <c r="D193" s="55" t="s">
        <v>50</v>
      </c>
      <c r="E193" s="220"/>
      <c r="F193" s="220"/>
      <c r="G193" s="220"/>
      <c r="H193" s="227"/>
      <c r="I193" s="220"/>
      <c r="J193" s="220"/>
      <c r="K193" s="220"/>
      <c r="L193" s="220">
        <v>4564000</v>
      </c>
      <c r="M193" s="1355">
        <f t="shared" si="32"/>
        <v>252000</v>
      </c>
      <c r="N193" s="344">
        <v>4816000</v>
      </c>
      <c r="O193" s="1347">
        <f t="shared" si="33"/>
        <v>-64800</v>
      </c>
      <c r="P193" s="344">
        <v>4751200</v>
      </c>
      <c r="Q193" s="3321">
        <f t="shared" si="34"/>
        <v>0</v>
      </c>
      <c r="R193" s="344">
        <v>4751200</v>
      </c>
      <c r="S193" s="220">
        <v>4751200</v>
      </c>
      <c r="T193" s="344"/>
      <c r="U193" s="236"/>
      <c r="AN193" s="231"/>
    </row>
    <row r="194" spans="1:40" ht="16.5" x14ac:dyDescent="0.25">
      <c r="A194" s="211"/>
      <c r="B194" s="333"/>
      <c r="C194" s="209"/>
      <c r="D194" s="55" t="s">
        <v>414</v>
      </c>
      <c r="E194" s="220"/>
      <c r="F194" s="220"/>
      <c r="G194" s="220"/>
      <c r="H194" s="227"/>
      <c r="I194" s="220"/>
      <c r="J194" s="220"/>
      <c r="K194" s="220"/>
      <c r="L194" s="220">
        <v>252000</v>
      </c>
      <c r="M194" s="1355">
        <f t="shared" si="32"/>
        <v>-252000</v>
      </c>
      <c r="N194" s="344"/>
      <c r="O194" s="1347">
        <f t="shared" si="33"/>
        <v>0</v>
      </c>
      <c r="P194" s="344"/>
      <c r="Q194" s="3321">
        <f t="shared" si="34"/>
        <v>0</v>
      </c>
      <c r="R194" s="344"/>
      <c r="S194" s="220"/>
      <c r="T194" s="344"/>
      <c r="U194" s="236"/>
      <c r="AN194" s="231"/>
    </row>
    <row r="195" spans="1:40" ht="16.5" x14ac:dyDescent="0.25">
      <c r="A195" s="211"/>
      <c r="B195" s="333"/>
      <c r="C195" s="209"/>
      <c r="D195" s="55" t="s">
        <v>343</v>
      </c>
      <c r="E195" s="220"/>
      <c r="F195" s="220"/>
      <c r="G195" s="220"/>
      <c r="H195" s="227"/>
      <c r="I195" s="220"/>
      <c r="J195" s="220"/>
      <c r="K195" s="220"/>
      <c r="L195" s="220">
        <v>108000</v>
      </c>
      <c r="M195" s="1355">
        <f t="shared" si="32"/>
        <v>0</v>
      </c>
      <c r="N195" s="344">
        <v>108000</v>
      </c>
      <c r="O195" s="1347">
        <f t="shared" si="33"/>
        <v>0</v>
      </c>
      <c r="P195" s="344">
        <v>108000</v>
      </c>
      <c r="Q195" s="3321">
        <f t="shared" si="34"/>
        <v>0</v>
      </c>
      <c r="R195" s="344">
        <v>108000</v>
      </c>
      <c r="S195" s="220">
        <v>108000</v>
      </c>
      <c r="T195" s="344"/>
      <c r="U195" s="236"/>
      <c r="AN195" s="231"/>
    </row>
    <row r="196" spans="1:40" ht="16.5" x14ac:dyDescent="0.25">
      <c r="A196" s="211"/>
      <c r="B196" s="333"/>
      <c r="C196" s="209" t="s">
        <v>154</v>
      </c>
      <c r="D196" s="2393" t="s">
        <v>501</v>
      </c>
      <c r="E196" s="220">
        <v>0</v>
      </c>
      <c r="F196" s="220">
        <v>0</v>
      </c>
      <c r="G196" s="220">
        <v>0</v>
      </c>
      <c r="H196" s="227"/>
      <c r="I196" s="220">
        <v>0</v>
      </c>
      <c r="J196" s="220">
        <v>0</v>
      </c>
      <c r="K196" s="220"/>
      <c r="L196" s="230">
        <v>0</v>
      </c>
      <c r="M196" s="2837">
        <f t="shared" si="32"/>
        <v>0</v>
      </c>
      <c r="N196" s="632">
        <v>0</v>
      </c>
      <c r="O196" s="2829">
        <f t="shared" si="33"/>
        <v>0</v>
      </c>
      <c r="P196" s="632">
        <v>0</v>
      </c>
      <c r="Q196" s="3319">
        <f t="shared" si="34"/>
        <v>0</v>
      </c>
      <c r="R196" s="632">
        <v>0</v>
      </c>
      <c r="S196" s="230">
        <v>0</v>
      </c>
      <c r="T196" s="344" t="e">
        <f t="shared" si="37"/>
        <v>#DIV/0!</v>
      </c>
      <c r="U196" s="236"/>
      <c r="AN196" s="231"/>
    </row>
    <row r="197" spans="1:40" ht="28.5" x14ac:dyDescent="0.25">
      <c r="A197" s="211"/>
      <c r="B197" s="333"/>
      <c r="C197" s="209" t="s">
        <v>156</v>
      </c>
      <c r="D197" s="2393" t="s">
        <v>353</v>
      </c>
      <c r="E197" s="220">
        <f t="shared" ref="E197:J197" si="47">SUM(E198+E203)</f>
        <v>11898</v>
      </c>
      <c r="F197" s="220">
        <f t="shared" si="47"/>
        <v>13011</v>
      </c>
      <c r="G197" s="220">
        <f t="shared" si="47"/>
        <v>13387</v>
      </c>
      <c r="H197" s="227">
        <f t="shared" si="47"/>
        <v>0</v>
      </c>
      <c r="I197" s="220">
        <f t="shared" si="47"/>
        <v>0</v>
      </c>
      <c r="J197" s="220">
        <f t="shared" si="47"/>
        <v>0</v>
      </c>
      <c r="K197" s="220"/>
      <c r="L197" s="230">
        <f>SUM(L198+L203)</f>
        <v>0</v>
      </c>
      <c r="M197" s="2837">
        <f t="shared" ref="M197:M217" si="48">SUM(N197-L197)</f>
        <v>0</v>
      </c>
      <c r="N197" s="632">
        <f>SUM(N198+N203)</f>
        <v>0</v>
      </c>
      <c r="O197" s="2829">
        <f t="shared" ref="O197:O204" si="49">SUM(P197-N197)</f>
        <v>0</v>
      </c>
      <c r="P197" s="632">
        <f>SUM(P198+P203)</f>
        <v>0</v>
      </c>
      <c r="Q197" s="3319">
        <f t="shared" ref="Q197:Q204" si="50">SUM(R197-P197)</f>
        <v>0</v>
      </c>
      <c r="R197" s="632">
        <f>SUM(R198+R203)</f>
        <v>0</v>
      </c>
      <c r="S197" s="230">
        <f>SUM(S198+S203)</f>
        <v>0</v>
      </c>
      <c r="T197" s="344" t="e">
        <f t="shared" si="37"/>
        <v>#DIV/0!</v>
      </c>
      <c r="U197" s="236"/>
      <c r="AN197" s="231"/>
    </row>
    <row r="198" spans="1:40" ht="30" x14ac:dyDescent="0.25">
      <c r="A198" s="334"/>
      <c r="B198" s="335"/>
      <c r="C198" s="222" t="s">
        <v>354</v>
      </c>
      <c r="D198" s="55" t="s">
        <v>420</v>
      </c>
      <c r="E198" s="221">
        <f t="shared" ref="E198:J198" si="51">SUM(E199:E201)</f>
        <v>11898</v>
      </c>
      <c r="F198" s="221">
        <f t="shared" si="51"/>
        <v>13011</v>
      </c>
      <c r="G198" s="221">
        <f t="shared" si="51"/>
        <v>13387</v>
      </c>
      <c r="H198" s="345">
        <f t="shared" si="51"/>
        <v>0</v>
      </c>
      <c r="I198" s="221">
        <f t="shared" si="51"/>
        <v>0</v>
      </c>
      <c r="J198" s="221">
        <f t="shared" si="51"/>
        <v>0</v>
      </c>
      <c r="K198" s="221"/>
      <c r="L198" s="221">
        <f>SUM(L199:L201)</f>
        <v>0</v>
      </c>
      <c r="M198" s="1355">
        <f t="shared" si="48"/>
        <v>0</v>
      </c>
      <c r="N198" s="1198">
        <f>SUM(N199:N201)</f>
        <v>0</v>
      </c>
      <c r="O198" s="1347">
        <f t="shared" si="49"/>
        <v>0</v>
      </c>
      <c r="P198" s="1198">
        <f>SUM(P199:P201)</f>
        <v>0</v>
      </c>
      <c r="Q198" s="3321">
        <f t="shared" si="50"/>
        <v>0</v>
      </c>
      <c r="R198" s="1198">
        <f>SUM(R199:R201)</f>
        <v>0</v>
      </c>
      <c r="S198" s="221">
        <f>SUM(S199:S201)</f>
        <v>0</v>
      </c>
      <c r="T198" s="344" t="e">
        <f t="shared" si="37"/>
        <v>#DIV/0!</v>
      </c>
      <c r="U198" s="236"/>
      <c r="AN198" s="231"/>
    </row>
    <row r="199" spans="1:40" ht="30" x14ac:dyDescent="0.25">
      <c r="A199" s="211"/>
      <c r="B199" s="333"/>
      <c r="C199" s="224" t="s">
        <v>502</v>
      </c>
      <c r="D199" s="55" t="s">
        <v>422</v>
      </c>
      <c r="E199" s="220">
        <v>10776</v>
      </c>
      <c r="F199" s="220">
        <v>10236</v>
      </c>
      <c r="G199" s="220">
        <v>10236</v>
      </c>
      <c r="H199" s="227">
        <v>0</v>
      </c>
      <c r="I199" s="220"/>
      <c r="J199" s="220"/>
      <c r="K199" s="220"/>
      <c r="L199" s="220"/>
      <c r="M199" s="1355">
        <f t="shared" si="48"/>
        <v>0</v>
      </c>
      <c r="N199" s="344"/>
      <c r="O199" s="1347">
        <f t="shared" si="49"/>
        <v>0</v>
      </c>
      <c r="P199" s="344"/>
      <c r="Q199" s="3321">
        <f t="shared" si="50"/>
        <v>0</v>
      </c>
      <c r="R199" s="344"/>
      <c r="S199" s="220"/>
      <c r="T199" s="344" t="e">
        <f t="shared" si="37"/>
        <v>#DIV/0!</v>
      </c>
      <c r="U199" s="236"/>
      <c r="AN199" s="231"/>
    </row>
    <row r="200" spans="1:40" ht="16.5" x14ac:dyDescent="0.25">
      <c r="A200" s="211"/>
      <c r="B200" s="333"/>
      <c r="C200" s="213" t="s">
        <v>158</v>
      </c>
      <c r="D200" s="2393" t="s">
        <v>503</v>
      </c>
      <c r="E200" s="220"/>
      <c r="F200" s="220"/>
      <c r="G200" s="220"/>
      <c r="H200" s="227"/>
      <c r="I200" s="220"/>
      <c r="J200" s="220"/>
      <c r="K200" s="220"/>
      <c r="L200" s="230"/>
      <c r="M200" s="2837">
        <f t="shared" si="48"/>
        <v>0</v>
      </c>
      <c r="N200" s="632"/>
      <c r="O200" s="2829">
        <f t="shared" si="49"/>
        <v>0</v>
      </c>
      <c r="P200" s="632"/>
      <c r="Q200" s="3319">
        <f t="shared" si="50"/>
        <v>0</v>
      </c>
      <c r="R200" s="632"/>
      <c r="S200" s="230"/>
      <c r="T200" s="344" t="e">
        <f t="shared" si="37"/>
        <v>#DIV/0!</v>
      </c>
      <c r="U200" s="236"/>
      <c r="AN200" s="231"/>
    </row>
    <row r="201" spans="1:40" ht="16.5" x14ac:dyDescent="0.25">
      <c r="A201" s="211"/>
      <c r="B201" s="333"/>
      <c r="C201" s="224" t="s">
        <v>504</v>
      </c>
      <c r="D201" s="55" t="s">
        <v>1432</v>
      </c>
      <c r="E201" s="220">
        <v>1122</v>
      </c>
      <c r="F201" s="220">
        <v>2775</v>
      </c>
      <c r="G201" s="220">
        <v>3151</v>
      </c>
      <c r="H201" s="227">
        <v>0</v>
      </c>
      <c r="I201" s="220"/>
      <c r="J201" s="220"/>
      <c r="K201" s="220"/>
      <c r="L201" s="220"/>
      <c r="M201" s="1355">
        <f t="shared" si="48"/>
        <v>0</v>
      </c>
      <c r="N201" s="344"/>
      <c r="O201" s="1347">
        <f t="shared" si="49"/>
        <v>0</v>
      </c>
      <c r="P201" s="344"/>
      <c r="Q201" s="3321">
        <f t="shared" si="50"/>
        <v>0</v>
      </c>
      <c r="R201" s="344"/>
      <c r="S201" s="220"/>
      <c r="T201" s="344" t="e">
        <f t="shared" si="37"/>
        <v>#DIV/0!</v>
      </c>
      <c r="U201" s="236"/>
      <c r="AN201" s="231"/>
    </row>
    <row r="202" spans="1:40" ht="16.5" x14ac:dyDescent="0.25">
      <c r="A202" s="211"/>
      <c r="B202" s="333"/>
      <c r="C202" s="213" t="s">
        <v>375</v>
      </c>
      <c r="D202" s="2393" t="s">
        <v>434</v>
      </c>
      <c r="E202" s="220"/>
      <c r="F202" s="220"/>
      <c r="G202" s="220"/>
      <c r="H202" s="227"/>
      <c r="I202" s="220"/>
      <c r="J202" s="220"/>
      <c r="K202" s="220"/>
      <c r="L202" s="230"/>
      <c r="M202" s="2837">
        <f t="shared" si="48"/>
        <v>0</v>
      </c>
      <c r="N202" s="632"/>
      <c r="O202" s="2829">
        <f t="shared" si="49"/>
        <v>0</v>
      </c>
      <c r="P202" s="632"/>
      <c r="Q202" s="3319">
        <f t="shared" si="50"/>
        <v>0</v>
      </c>
      <c r="R202" s="632"/>
      <c r="S202" s="230"/>
      <c r="T202" s="344" t="e">
        <f t="shared" si="37"/>
        <v>#DIV/0!</v>
      </c>
      <c r="U202" s="236"/>
      <c r="AN202" s="231"/>
    </row>
    <row r="203" spans="1:40" ht="16.5" x14ac:dyDescent="0.25">
      <c r="A203" s="211"/>
      <c r="B203" s="333"/>
      <c r="C203" s="213" t="s">
        <v>162</v>
      </c>
      <c r="D203" s="2393" t="s">
        <v>509</v>
      </c>
      <c r="E203" s="220"/>
      <c r="F203" s="220"/>
      <c r="G203" s="220"/>
      <c r="H203" s="227"/>
      <c r="I203" s="220"/>
      <c r="J203" s="220"/>
      <c r="K203" s="220"/>
      <c r="L203" s="220"/>
      <c r="M203" s="2837">
        <f t="shared" si="48"/>
        <v>0</v>
      </c>
      <c r="N203" s="344"/>
      <c r="O203" s="2829">
        <f t="shared" si="49"/>
        <v>0</v>
      </c>
      <c r="P203" s="344"/>
      <c r="Q203" s="3319">
        <f t="shared" si="50"/>
        <v>0</v>
      </c>
      <c r="R203" s="344"/>
      <c r="S203" s="220"/>
      <c r="T203" s="344" t="e">
        <f t="shared" si="37"/>
        <v>#DIV/0!</v>
      </c>
      <c r="U203" s="236"/>
      <c r="AN203" s="231"/>
    </row>
    <row r="204" spans="1:40" ht="16.5" x14ac:dyDescent="0.25">
      <c r="A204" s="2656"/>
      <c r="B204" s="2657"/>
      <c r="C204" s="2658" t="s">
        <v>510</v>
      </c>
      <c r="D204" s="337" t="s">
        <v>299</v>
      </c>
      <c r="E204" s="338">
        <f t="shared" ref="E204:J204" si="52">SUM(E192+E197+E196)</f>
        <v>11898</v>
      </c>
      <c r="F204" s="338">
        <f t="shared" si="52"/>
        <v>13011</v>
      </c>
      <c r="G204" s="338">
        <f t="shared" si="52"/>
        <v>13387</v>
      </c>
      <c r="H204" s="346">
        <f t="shared" si="52"/>
        <v>0</v>
      </c>
      <c r="I204" s="338">
        <f t="shared" si="52"/>
        <v>4700</v>
      </c>
      <c r="J204" s="338">
        <f t="shared" si="52"/>
        <v>4700</v>
      </c>
      <c r="K204" s="338"/>
      <c r="L204" s="338">
        <f>SUM(L192+L197+L196)</f>
        <v>4924000</v>
      </c>
      <c r="M204" s="1356">
        <f t="shared" si="48"/>
        <v>0</v>
      </c>
      <c r="N204" s="1332">
        <f>SUM(N192+N197+N196)</f>
        <v>4924000</v>
      </c>
      <c r="O204" s="1356">
        <f t="shared" si="49"/>
        <v>-64800</v>
      </c>
      <c r="P204" s="1332">
        <f>SUM(P192+P197+P196)</f>
        <v>4859200</v>
      </c>
      <c r="Q204" s="3326">
        <f t="shared" si="50"/>
        <v>0</v>
      </c>
      <c r="R204" s="1332">
        <f>SUM(R192+R197+R196)</f>
        <v>4859200</v>
      </c>
      <c r="S204" s="338">
        <f>SUM(S192+S197+S196)</f>
        <v>4859200</v>
      </c>
      <c r="T204" s="344">
        <f t="shared" si="37"/>
        <v>98.683996750609253</v>
      </c>
      <c r="U204" s="236"/>
      <c r="AN204" s="231"/>
    </row>
    <row r="205" spans="1:40" ht="16.5" x14ac:dyDescent="0.25">
      <c r="A205" s="211"/>
      <c r="B205" s="330" t="s">
        <v>17</v>
      </c>
      <c r="C205" s="234"/>
      <c r="D205" s="4656" t="s">
        <v>231</v>
      </c>
      <c r="E205" s="4656"/>
      <c r="F205" s="4656"/>
      <c r="G205" s="4656"/>
      <c r="H205" s="4656"/>
      <c r="I205" s="220"/>
      <c r="J205" s="220"/>
      <c r="K205" s="220"/>
      <c r="L205" s="220"/>
      <c r="M205" s="1355"/>
      <c r="N205" s="344"/>
      <c r="O205" s="1356"/>
      <c r="P205" s="344"/>
      <c r="Q205" s="3321"/>
      <c r="R205" s="344"/>
      <c r="S205" s="220"/>
      <c r="T205" s="344" t="e">
        <f t="shared" si="37"/>
        <v>#DIV/0!</v>
      </c>
      <c r="U205" s="236"/>
      <c r="AN205" s="231"/>
    </row>
    <row r="206" spans="1:40" ht="16.5" x14ac:dyDescent="0.25">
      <c r="A206" s="211"/>
      <c r="B206" s="330"/>
      <c r="C206" s="213" t="s">
        <v>5</v>
      </c>
      <c r="D206" s="2821" t="s">
        <v>797</v>
      </c>
      <c r="E206" s="332"/>
      <c r="F206" s="332"/>
      <c r="G206" s="332"/>
      <c r="H206" s="332"/>
      <c r="I206" s="220"/>
      <c r="J206" s="220"/>
      <c r="K206" s="220"/>
      <c r="L206" s="230">
        <f>SUM(L207:L209)</f>
        <v>4924000</v>
      </c>
      <c r="M206" s="2837">
        <f t="shared" si="48"/>
        <v>0</v>
      </c>
      <c r="N206" s="632">
        <f>SUM(N207:N209)</f>
        <v>4924000</v>
      </c>
      <c r="O206" s="2829">
        <f t="shared" ref="O206:O217" si="53">SUM(P206-N206)</f>
        <v>-64800</v>
      </c>
      <c r="P206" s="632">
        <f>SUM(P207:P209)</f>
        <v>4859200</v>
      </c>
      <c r="Q206" s="3319">
        <f t="shared" ref="Q206:Q217" si="54">SUM(R206-P206)</f>
        <v>0</v>
      </c>
      <c r="R206" s="632">
        <f>SUM(R207:R209)</f>
        <v>4859200</v>
      </c>
      <c r="S206" s="230">
        <f>SUM(S207:S209)</f>
        <v>4859200</v>
      </c>
      <c r="T206" s="344">
        <f t="shared" si="37"/>
        <v>98.683996750609253</v>
      </c>
      <c r="U206" s="236"/>
      <c r="AN206" s="231"/>
    </row>
    <row r="207" spans="1:40" ht="16.5" x14ac:dyDescent="0.25">
      <c r="A207" s="211"/>
      <c r="B207" s="333"/>
      <c r="C207" s="234" t="s">
        <v>5</v>
      </c>
      <c r="D207" s="219" t="s">
        <v>370</v>
      </c>
      <c r="E207" s="220">
        <v>7165</v>
      </c>
      <c r="F207" s="220">
        <v>8560</v>
      </c>
      <c r="G207" s="220">
        <v>8845</v>
      </c>
      <c r="H207" s="227">
        <v>0</v>
      </c>
      <c r="I207" s="220">
        <v>134</v>
      </c>
      <c r="J207" s="220">
        <v>134</v>
      </c>
      <c r="K207" s="220"/>
      <c r="L207" s="220"/>
      <c r="M207" s="1355">
        <f t="shared" si="48"/>
        <v>0</v>
      </c>
      <c r="N207" s="344"/>
      <c r="O207" s="1347">
        <f t="shared" si="53"/>
        <v>0</v>
      </c>
      <c r="P207" s="344"/>
      <c r="Q207" s="3321">
        <f t="shared" si="54"/>
        <v>0</v>
      </c>
      <c r="R207" s="344"/>
      <c r="S207" s="220"/>
      <c r="T207" s="344" t="e">
        <f t="shared" si="37"/>
        <v>#DIV/0!</v>
      </c>
      <c r="U207" s="236"/>
      <c r="AN207" s="231"/>
    </row>
    <row r="208" spans="1:40" ht="16.5" x14ac:dyDescent="0.25">
      <c r="A208" s="211"/>
      <c r="B208" s="333"/>
      <c r="C208" s="234" t="s">
        <v>7</v>
      </c>
      <c r="D208" s="219" t="s">
        <v>408</v>
      </c>
      <c r="E208" s="220">
        <v>2274</v>
      </c>
      <c r="F208" s="220">
        <v>2699</v>
      </c>
      <c r="G208" s="220">
        <v>2790</v>
      </c>
      <c r="H208" s="227">
        <v>0</v>
      </c>
      <c r="I208" s="220">
        <v>36</v>
      </c>
      <c r="J208" s="220">
        <v>36</v>
      </c>
      <c r="K208" s="220"/>
      <c r="L208" s="220"/>
      <c r="M208" s="1355">
        <f t="shared" si="48"/>
        <v>0</v>
      </c>
      <c r="N208" s="344"/>
      <c r="O208" s="1347">
        <f t="shared" si="53"/>
        <v>0</v>
      </c>
      <c r="P208" s="344"/>
      <c r="Q208" s="3321">
        <f t="shared" si="54"/>
        <v>0</v>
      </c>
      <c r="R208" s="344"/>
      <c r="S208" s="220"/>
      <c r="T208" s="344" t="e">
        <f t="shared" si="37"/>
        <v>#DIV/0!</v>
      </c>
      <c r="U208" s="236"/>
      <c r="AN208" s="231"/>
    </row>
    <row r="209" spans="1:40" ht="16.5" x14ac:dyDescent="0.25">
      <c r="A209" s="211"/>
      <c r="B209" s="333"/>
      <c r="C209" s="234" t="s">
        <v>9</v>
      </c>
      <c r="D209" s="219" t="s">
        <v>240</v>
      </c>
      <c r="E209" s="220">
        <v>2459</v>
      </c>
      <c r="F209" s="220">
        <v>1752</v>
      </c>
      <c r="G209" s="220">
        <v>1752</v>
      </c>
      <c r="H209" s="227">
        <v>0</v>
      </c>
      <c r="I209" s="220">
        <v>4530</v>
      </c>
      <c r="J209" s="220">
        <v>4530</v>
      </c>
      <c r="K209" s="220"/>
      <c r="L209" s="220">
        <v>4924000</v>
      </c>
      <c r="M209" s="1355">
        <f t="shared" si="48"/>
        <v>0</v>
      </c>
      <c r="N209" s="344">
        <v>4924000</v>
      </c>
      <c r="O209" s="1347">
        <f t="shared" si="53"/>
        <v>-64800</v>
      </c>
      <c r="P209" s="344">
        <v>4859200</v>
      </c>
      <c r="Q209" s="3321">
        <f t="shared" si="54"/>
        <v>0</v>
      </c>
      <c r="R209" s="344">
        <v>4859200</v>
      </c>
      <c r="S209" s="220">
        <v>4859200</v>
      </c>
      <c r="T209" s="344">
        <f t="shared" si="37"/>
        <v>98.683996750609253</v>
      </c>
      <c r="U209" s="236"/>
      <c r="AN209" s="231"/>
    </row>
    <row r="210" spans="1:40" ht="16.5" x14ac:dyDescent="0.25">
      <c r="A210" s="211"/>
      <c r="B210" s="333"/>
      <c r="C210" s="213" t="s">
        <v>7</v>
      </c>
      <c r="D210" s="2393" t="s">
        <v>511</v>
      </c>
      <c r="E210" s="220"/>
      <c r="F210" s="220"/>
      <c r="G210" s="220"/>
      <c r="H210" s="227"/>
      <c r="I210" s="220"/>
      <c r="J210" s="220"/>
      <c r="K210" s="220"/>
      <c r="L210" s="230">
        <f>SUM(L211:L213)</f>
        <v>0</v>
      </c>
      <c r="M210" s="2837">
        <f t="shared" si="48"/>
        <v>0</v>
      </c>
      <c r="N210" s="632">
        <f>SUM(N211:N213)</f>
        <v>0</v>
      </c>
      <c r="O210" s="2829">
        <f t="shared" si="53"/>
        <v>0</v>
      </c>
      <c r="P210" s="632">
        <f>SUM(P211:P213)</f>
        <v>0</v>
      </c>
      <c r="Q210" s="3319">
        <f t="shared" si="54"/>
        <v>0</v>
      </c>
      <c r="R210" s="632">
        <f>SUM(R211:R213)</f>
        <v>0</v>
      </c>
      <c r="S210" s="230">
        <f>SUM(S211:S213)</f>
        <v>0</v>
      </c>
      <c r="T210" s="344" t="e">
        <f t="shared" si="37"/>
        <v>#DIV/0!</v>
      </c>
      <c r="U210" s="236"/>
      <c r="AN210" s="231"/>
    </row>
    <row r="211" spans="1:40" ht="16.5" x14ac:dyDescent="0.25">
      <c r="A211" s="211"/>
      <c r="B211" s="333"/>
      <c r="C211" s="234" t="s">
        <v>11</v>
      </c>
      <c r="D211" s="219" t="s">
        <v>513</v>
      </c>
      <c r="E211" s="220"/>
      <c r="F211" s="220"/>
      <c r="G211" s="220"/>
      <c r="H211" s="227"/>
      <c r="I211" s="220"/>
      <c r="J211" s="220"/>
      <c r="K211" s="220"/>
      <c r="L211" s="220"/>
      <c r="M211" s="1355">
        <f t="shared" si="48"/>
        <v>0</v>
      </c>
      <c r="N211" s="344"/>
      <c r="O211" s="1347">
        <f t="shared" si="53"/>
        <v>0</v>
      </c>
      <c r="P211" s="344"/>
      <c r="Q211" s="3321">
        <f t="shared" si="54"/>
        <v>0</v>
      </c>
      <c r="R211" s="344"/>
      <c r="S211" s="220"/>
      <c r="T211" s="344" t="e">
        <f t="shared" si="37"/>
        <v>#DIV/0!</v>
      </c>
      <c r="U211" s="236"/>
      <c r="AN211" s="231"/>
    </row>
    <row r="212" spans="1:40" ht="16.5" x14ac:dyDescent="0.25">
      <c r="A212" s="211"/>
      <c r="B212" s="333"/>
      <c r="C212" s="234" t="s">
        <v>13</v>
      </c>
      <c r="D212" s="219" t="s">
        <v>515</v>
      </c>
      <c r="E212" s="220"/>
      <c r="F212" s="220"/>
      <c r="G212" s="220"/>
      <c r="H212" s="227"/>
      <c r="I212" s="220"/>
      <c r="J212" s="220"/>
      <c r="K212" s="220"/>
      <c r="L212" s="220"/>
      <c r="M212" s="1355">
        <f t="shared" si="48"/>
        <v>0</v>
      </c>
      <c r="N212" s="344"/>
      <c r="O212" s="1347">
        <f t="shared" si="53"/>
        <v>0</v>
      </c>
      <c r="P212" s="344"/>
      <c r="Q212" s="3321">
        <f t="shared" si="54"/>
        <v>0</v>
      </c>
      <c r="R212" s="344"/>
      <c r="S212" s="220"/>
      <c r="T212" s="344" t="e">
        <f t="shared" si="37"/>
        <v>#DIV/0!</v>
      </c>
      <c r="U212" s="236"/>
      <c r="AN212" s="231"/>
    </row>
    <row r="213" spans="1:40" ht="16.5" x14ac:dyDescent="0.25">
      <c r="A213" s="211"/>
      <c r="B213" s="333"/>
      <c r="C213" s="234" t="s">
        <v>15</v>
      </c>
      <c r="D213" s="219" t="s">
        <v>444</v>
      </c>
      <c r="E213" s="220"/>
      <c r="F213" s="220"/>
      <c r="G213" s="220"/>
      <c r="H213" s="227"/>
      <c r="I213" s="220"/>
      <c r="J213" s="220"/>
      <c r="K213" s="220"/>
      <c r="L213" s="220"/>
      <c r="M213" s="1355">
        <f t="shared" si="48"/>
        <v>0</v>
      </c>
      <c r="N213" s="344"/>
      <c r="O213" s="1347">
        <f t="shared" si="53"/>
        <v>0</v>
      </c>
      <c r="P213" s="344"/>
      <c r="Q213" s="3321">
        <f t="shared" si="54"/>
        <v>0</v>
      </c>
      <c r="R213" s="344"/>
      <c r="S213" s="220"/>
      <c r="T213" s="344" t="e">
        <f t="shared" si="37"/>
        <v>#DIV/0!</v>
      </c>
      <c r="U213" s="236"/>
      <c r="AN213" s="231"/>
    </row>
    <row r="214" spans="1:40" ht="16.5" x14ac:dyDescent="0.25">
      <c r="A214" s="2656"/>
      <c r="B214" s="2657"/>
      <c r="C214" s="2658"/>
      <c r="D214" s="339" t="s">
        <v>517</v>
      </c>
      <c r="E214" s="338">
        <f t="shared" ref="E214:J214" si="55">SUM(E207:E213)</f>
        <v>11898</v>
      </c>
      <c r="F214" s="338">
        <f t="shared" si="55"/>
        <v>13011</v>
      </c>
      <c r="G214" s="338">
        <f t="shared" si="55"/>
        <v>13387</v>
      </c>
      <c r="H214" s="346">
        <f t="shared" si="55"/>
        <v>0</v>
      </c>
      <c r="I214" s="338">
        <f t="shared" si="55"/>
        <v>4700</v>
      </c>
      <c r="J214" s="338">
        <f t="shared" si="55"/>
        <v>4700</v>
      </c>
      <c r="K214" s="338"/>
      <c r="L214" s="338">
        <f>SUM(L207:L213)</f>
        <v>4924000</v>
      </c>
      <c r="M214" s="1356">
        <f t="shared" si="48"/>
        <v>0</v>
      </c>
      <c r="N214" s="1332">
        <f>SUM(N207:N213)</f>
        <v>4924000</v>
      </c>
      <c r="O214" s="1348">
        <f t="shared" si="53"/>
        <v>-64800</v>
      </c>
      <c r="P214" s="1332">
        <f>SUM(P207:P213)</f>
        <v>4859200</v>
      </c>
      <c r="Q214" s="3324">
        <f t="shared" si="54"/>
        <v>0</v>
      </c>
      <c r="R214" s="1332">
        <f>SUM(R207:R213)</f>
        <v>4859200</v>
      </c>
      <c r="S214" s="338">
        <f>SUM(S207:S213)</f>
        <v>4859200</v>
      </c>
      <c r="T214" s="344">
        <f t="shared" si="37"/>
        <v>98.683996750609253</v>
      </c>
      <c r="U214" s="236"/>
    </row>
    <row r="215" spans="1:40" ht="16.5" x14ac:dyDescent="0.25">
      <c r="A215" s="211"/>
      <c r="B215" s="330" t="s">
        <v>31</v>
      </c>
      <c r="C215" s="210"/>
      <c r="D215" s="340" t="s">
        <v>518</v>
      </c>
      <c r="E215" s="239">
        <v>3</v>
      </c>
      <c r="F215" s="239">
        <v>3</v>
      </c>
      <c r="G215" s="239">
        <v>3</v>
      </c>
      <c r="H215" s="239">
        <v>0</v>
      </c>
      <c r="I215" s="239"/>
      <c r="J215" s="239"/>
      <c r="K215" s="239"/>
      <c r="L215" s="239"/>
      <c r="M215" s="1355"/>
      <c r="N215" s="1200"/>
      <c r="O215" s="1347">
        <f t="shared" si="53"/>
        <v>0</v>
      </c>
      <c r="P215" s="1200"/>
      <c r="Q215" s="3321">
        <f t="shared" si="54"/>
        <v>0</v>
      </c>
      <c r="R215" s="1200"/>
      <c r="S215" s="239"/>
      <c r="T215" s="344" t="e">
        <f t="shared" si="37"/>
        <v>#DIV/0!</v>
      </c>
      <c r="U215" s="236"/>
    </row>
    <row r="216" spans="1:40" ht="29.25" x14ac:dyDescent="0.25">
      <c r="A216" s="355"/>
      <c r="B216" s="356"/>
      <c r="C216" s="357"/>
      <c r="D216" s="358" t="s">
        <v>537</v>
      </c>
      <c r="E216" s="359">
        <f>SUM(E100+E77+E50+E27)</f>
        <v>364216</v>
      </c>
      <c r="F216" s="359">
        <f>SUM(F100+F77+F50+F27)</f>
        <v>290806</v>
      </c>
      <c r="G216" s="359">
        <f>SUM(G100+G77+G50+G27)</f>
        <v>383119</v>
      </c>
      <c r="H216" s="359">
        <f>SUM(H100+H77+H50+H27+H123)</f>
        <v>336417</v>
      </c>
      <c r="I216" s="359" t="e">
        <f>SUM(I100+I77+I50+I27+I123+I153+I178+I204)</f>
        <v>#REF!</v>
      </c>
      <c r="J216" s="359" t="e">
        <f>SUM(J100+J77+J50+J27+J123+J153+J178+J204)</f>
        <v>#REF!</v>
      </c>
      <c r="K216" s="359"/>
      <c r="L216" s="353">
        <f>SUM(L100+L77+L50+L27+L123+L153+L178+L204)</f>
        <v>643956000</v>
      </c>
      <c r="M216" s="3262">
        <f t="shared" si="48"/>
        <v>44528790</v>
      </c>
      <c r="N216" s="3261">
        <f>SUM(N100+N77+N50+N27+N123+N153+N178+N204)</f>
        <v>688484790</v>
      </c>
      <c r="O216" s="1356">
        <f t="shared" si="53"/>
        <v>100960379</v>
      </c>
      <c r="P216" s="3261">
        <f>SUM(P100+P77+P50+P27+P123+P153+P178+P204)</f>
        <v>789445169</v>
      </c>
      <c r="Q216" s="3327">
        <f t="shared" si="54"/>
        <v>0</v>
      </c>
      <c r="R216" s="3261">
        <f>SUM(R100+R77+R50+R27+R123+R153+R178+R204)</f>
        <v>789445169</v>
      </c>
      <c r="S216" s="353">
        <f>SUM(S100+S77+S50+S27+S123+S153+S178+S204)</f>
        <v>789085262</v>
      </c>
      <c r="T216" s="344">
        <f>SUM(S216/N216)*100</f>
        <v>114.61186557222274</v>
      </c>
      <c r="U216" s="236"/>
    </row>
    <row r="217" spans="1:40" ht="29.25" x14ac:dyDescent="0.25">
      <c r="A217" s="355"/>
      <c r="B217" s="356"/>
      <c r="C217" s="357"/>
      <c r="D217" s="358" t="s">
        <v>538</v>
      </c>
      <c r="E217" s="359">
        <f>SUM(E110+E87+E60+E37)</f>
        <v>365650</v>
      </c>
      <c r="F217" s="359">
        <f>SUM(F110+F87+F60+F37)</f>
        <v>291953</v>
      </c>
      <c r="G217" s="359">
        <f>SUM(G110+G87+G60+G37)</f>
        <v>384593</v>
      </c>
      <c r="H217" s="359">
        <f>SUM(H110+H87+H60+H37+H133)</f>
        <v>337564</v>
      </c>
      <c r="I217" s="359">
        <f>SUM(I110+I87+I60+I37+I133+I163+I188+I214)</f>
        <v>543455</v>
      </c>
      <c r="J217" s="359">
        <f>SUM(J110+J87+J60+J37+J133+J163+J188+J214)</f>
        <v>601767</v>
      </c>
      <c r="K217" s="359"/>
      <c r="L217" s="353">
        <f>SUM(L110+L87+L60+L37+L133+L163+L188+L214)</f>
        <v>643956000</v>
      </c>
      <c r="M217" s="3262">
        <f t="shared" si="48"/>
        <v>44528790</v>
      </c>
      <c r="N217" s="3261">
        <f>SUM(N110+N87+N60+N37+N133+N163+N188+N214)</f>
        <v>688484790</v>
      </c>
      <c r="O217" s="1356">
        <f t="shared" si="53"/>
        <v>100960379</v>
      </c>
      <c r="P217" s="3261">
        <f>SUM(P110+P87+P60+P37+P133+P163+P188+P214)</f>
        <v>789445169</v>
      </c>
      <c r="Q217" s="3327">
        <f t="shared" si="54"/>
        <v>0</v>
      </c>
      <c r="R217" s="3261">
        <f>SUM(R110+R87+R60+R37+R133+R163+R188+R214)</f>
        <v>789445169</v>
      </c>
      <c r="S217" s="353">
        <f>SUM(S110+S87+S60+S37+S133+S163+S188+S214)</f>
        <v>744468215</v>
      </c>
      <c r="T217" s="344">
        <f>SUM(S217/N217)*100</f>
        <v>108.13139604725328</v>
      </c>
      <c r="U217" s="236"/>
    </row>
    <row r="218" spans="1:40" ht="16.5" x14ac:dyDescent="0.25">
      <c r="A218" s="355"/>
      <c r="B218" s="356"/>
      <c r="C218" s="357"/>
      <c r="D218" s="358" t="s">
        <v>539</v>
      </c>
      <c r="E218" s="359">
        <f>SUM(E111,E88,E61,E38)</f>
        <v>58.5</v>
      </c>
      <c r="F218" s="359">
        <f>SUM(F111,F88,F61,F38)</f>
        <v>62</v>
      </c>
      <c r="G218" s="359">
        <f>SUM(G111,G88,G61,G38)</f>
        <v>62</v>
      </c>
      <c r="H218" s="359">
        <f>SUM(H111,H88,H61,H38,H134)</f>
        <v>69</v>
      </c>
      <c r="I218" s="359">
        <f>SUM(I215+I189+I164+I134+I111+I88+I61+I38)</f>
        <v>73</v>
      </c>
      <c r="J218" s="359">
        <f>SUM(J215+J189+J164+J134+J111+J88+J61+J38)</f>
        <v>73</v>
      </c>
      <c r="K218" s="359"/>
      <c r="L218" s="359">
        <f>SUM(L215+L189+L164+L134+L111+L88+L61+L38)</f>
        <v>103</v>
      </c>
      <c r="M218" s="1356">
        <f>N218-L218</f>
        <v>0</v>
      </c>
      <c r="N218" s="1334">
        <f>SUM(N215+N189+N164+N134+N111+N88+N61+N38)</f>
        <v>103</v>
      </c>
      <c r="O218" s="1349"/>
      <c r="P218" s="359">
        <f>SUM(P215+P189+P164+P134+P111+P88+P61+P38)</f>
        <v>103</v>
      </c>
      <c r="Q218" s="3328">
        <f>SUM(R218-P218)</f>
        <v>0</v>
      </c>
      <c r="R218" s="359">
        <f>SUM(R215+R189+R164+R134+R111+R88+R61+R38)</f>
        <v>103</v>
      </c>
      <c r="S218" s="359">
        <f>SUM(S215+S189+S164+S134+S111+S88+S61+S38)</f>
        <v>103</v>
      </c>
      <c r="T218" s="344"/>
      <c r="U218" s="236"/>
    </row>
    <row r="219" spans="1:40" ht="16.5" x14ac:dyDescent="0.25">
      <c r="A219" s="360"/>
      <c r="B219" s="361"/>
      <c r="C219" s="362"/>
      <c r="D219" s="363"/>
      <c r="E219" s="364"/>
      <c r="F219" s="364"/>
      <c r="G219" s="364"/>
      <c r="H219" s="364"/>
      <c r="I219" s="364"/>
      <c r="J219" s="364"/>
      <c r="K219" s="364"/>
      <c r="L219" s="364"/>
      <c r="M219" s="1350"/>
      <c r="N219" s="364"/>
      <c r="O219" s="1350"/>
      <c r="P219" s="364"/>
      <c r="Q219" s="1350"/>
      <c r="R219" s="364"/>
      <c r="S219" s="364"/>
      <c r="T219" s="364"/>
      <c r="U219" s="364"/>
    </row>
    <row r="220" spans="1:40" ht="16.5" x14ac:dyDescent="0.25">
      <c r="A220" s="360"/>
      <c r="B220" s="361"/>
      <c r="C220" s="362"/>
      <c r="D220" s="363"/>
      <c r="E220" s="364"/>
      <c r="F220" s="364"/>
      <c r="G220" s="364"/>
      <c r="H220" s="364"/>
      <c r="I220" s="364"/>
      <c r="J220" s="364"/>
      <c r="K220" s="364"/>
      <c r="L220" s="364"/>
      <c r="M220" s="1350"/>
      <c r="N220" s="364"/>
      <c r="O220" s="1350"/>
      <c r="P220" s="364"/>
      <c r="Q220" s="1350"/>
      <c r="R220" s="364"/>
      <c r="S220" s="364"/>
      <c r="T220" s="364"/>
      <c r="U220" s="364"/>
    </row>
    <row r="221" spans="1:40" ht="16.5" x14ac:dyDescent="0.25">
      <c r="A221" s="360"/>
      <c r="B221" s="361"/>
      <c r="C221" s="362"/>
      <c r="D221" s="363"/>
      <c r="E221" s="364"/>
      <c r="F221" s="364"/>
      <c r="G221" s="364"/>
      <c r="H221" s="364"/>
      <c r="I221" s="364"/>
      <c r="J221" s="364"/>
      <c r="K221" s="364"/>
      <c r="L221" s="364"/>
      <c r="M221" s="1350"/>
      <c r="N221" s="364"/>
      <c r="O221" s="1350"/>
      <c r="P221" s="364"/>
      <c r="Q221" s="1350"/>
      <c r="R221" s="364"/>
      <c r="S221" s="364"/>
      <c r="T221" s="364"/>
      <c r="U221" s="364"/>
    </row>
    <row r="222" spans="1:40" ht="16.5" x14ac:dyDescent="0.25">
      <c r="A222" s="360"/>
      <c r="B222" s="361"/>
      <c r="C222" s="362"/>
      <c r="D222" s="363"/>
      <c r="E222" s="364"/>
      <c r="F222" s="364"/>
      <c r="G222" s="364"/>
      <c r="H222" s="364"/>
      <c r="I222" s="364"/>
      <c r="J222" s="364"/>
      <c r="K222" s="364"/>
      <c r="L222" s="364"/>
      <c r="M222" s="1350"/>
      <c r="N222" s="364"/>
      <c r="O222" s="1350"/>
      <c r="P222" s="364"/>
      <c r="Q222" s="1350"/>
      <c r="R222" s="364"/>
      <c r="S222" s="364"/>
      <c r="T222" s="364"/>
      <c r="U222" s="364"/>
      <c r="V222" s="231">
        <f>SUM(L217-L216)</f>
        <v>0</v>
      </c>
    </row>
    <row r="223" spans="1:40" ht="16.5" x14ac:dyDescent="0.25">
      <c r="A223" s="360"/>
      <c r="B223" s="361"/>
      <c r="C223" s="362"/>
      <c r="D223" s="363"/>
      <c r="E223" s="364"/>
      <c r="F223" s="364"/>
      <c r="G223" s="364"/>
      <c r="H223" s="364"/>
      <c r="I223" s="364"/>
      <c r="J223" s="364"/>
      <c r="K223" s="364"/>
      <c r="L223" s="364"/>
      <c r="M223" s="1350"/>
      <c r="N223" s="364"/>
      <c r="O223" s="1350"/>
      <c r="P223" s="364"/>
      <c r="Q223" s="1350"/>
      <c r="R223" s="364"/>
      <c r="S223" s="364"/>
      <c r="T223" s="364"/>
      <c r="U223" s="364"/>
    </row>
    <row r="224" spans="1:40" ht="16.5" x14ac:dyDescent="0.25">
      <c r="A224" s="360"/>
      <c r="B224" s="361"/>
      <c r="C224" s="362"/>
      <c r="D224" s="363"/>
      <c r="E224" s="364"/>
      <c r="F224" s="364"/>
      <c r="G224" s="364"/>
      <c r="H224" s="364"/>
      <c r="I224" s="364"/>
      <c r="J224" s="364"/>
      <c r="K224" s="364"/>
      <c r="L224" s="364"/>
      <c r="M224" s="1350"/>
      <c r="N224" s="364"/>
      <c r="O224" s="1350"/>
      <c r="P224" s="364"/>
      <c r="Q224" s="1350"/>
      <c r="R224" s="364"/>
      <c r="S224" s="364"/>
      <c r="T224" s="364"/>
      <c r="U224" s="364"/>
    </row>
    <row r="225" spans="1:40" ht="16.5" x14ac:dyDescent="0.25">
      <c r="A225" s="360"/>
      <c r="B225" s="361"/>
      <c r="C225" s="362"/>
      <c r="D225" s="363"/>
      <c r="E225" s="364"/>
      <c r="F225" s="364"/>
      <c r="G225" s="364"/>
      <c r="H225" s="364"/>
      <c r="I225" s="364"/>
      <c r="J225" s="364"/>
      <c r="K225" s="364"/>
      <c r="L225" s="364"/>
      <c r="M225" s="1350"/>
      <c r="N225" s="364"/>
      <c r="O225" s="1350"/>
      <c r="P225" s="364"/>
      <c r="Q225" s="1350"/>
      <c r="R225" s="364"/>
      <c r="S225" s="364"/>
      <c r="T225" s="364"/>
      <c r="U225" s="364"/>
    </row>
    <row r="226" spans="1:40" ht="16.5" x14ac:dyDescent="0.25">
      <c r="A226" s="360"/>
      <c r="B226" s="361"/>
      <c r="C226" s="362"/>
      <c r="D226" s="363"/>
      <c r="E226" s="364"/>
      <c r="F226" s="364"/>
      <c r="G226" s="364"/>
      <c r="H226" s="364"/>
      <c r="I226" s="364"/>
      <c r="J226" s="364"/>
      <c r="K226" s="364"/>
      <c r="L226" s="364"/>
      <c r="M226" s="1350"/>
      <c r="N226" s="364"/>
      <c r="O226" s="1350"/>
      <c r="P226" s="364"/>
      <c r="Q226" s="1350"/>
      <c r="R226" s="364"/>
      <c r="S226" s="364"/>
      <c r="T226" s="364"/>
      <c r="U226" s="364"/>
    </row>
    <row r="227" spans="1:40" ht="17.25" x14ac:dyDescent="0.3">
      <c r="A227" s="360"/>
      <c r="B227" s="361"/>
      <c r="C227" s="362"/>
      <c r="D227" s="365"/>
      <c r="E227" s="364"/>
      <c r="F227" s="364"/>
      <c r="G227" s="364"/>
      <c r="H227" s="364"/>
      <c r="I227" s="364"/>
      <c r="J227" s="364"/>
      <c r="K227" s="364"/>
      <c r="L227" s="364"/>
      <c r="M227" s="1350"/>
      <c r="N227" s="364"/>
      <c r="O227" s="1350"/>
      <c r="P227" s="364"/>
      <c r="Q227" s="1350"/>
      <c r="R227" s="364"/>
      <c r="S227" s="364"/>
      <c r="T227" s="364"/>
      <c r="U227" s="364"/>
    </row>
    <row r="232" spans="1:40" x14ac:dyDescent="0.2">
      <c r="AN232" s="207"/>
    </row>
    <row r="233" spans="1:40" x14ac:dyDescent="0.2">
      <c r="AN233" s="207"/>
    </row>
    <row r="234" spans="1:40" x14ac:dyDescent="0.2">
      <c r="AN234" s="207"/>
    </row>
    <row r="235" spans="1:40" x14ac:dyDescent="0.2">
      <c r="AN235" s="207"/>
    </row>
    <row r="236" spans="1:40" x14ac:dyDescent="0.2">
      <c r="E236" s="231" t="e">
        <v>#NAME?</v>
      </c>
      <c r="F236" s="231" t="e">
        <v>#NAME?</v>
      </c>
      <c r="AN236" s="207"/>
    </row>
    <row r="237" spans="1:40" x14ac:dyDescent="0.2">
      <c r="AN237" s="207"/>
    </row>
  </sheetData>
  <mergeCells count="27">
    <mergeCell ref="D51:H51"/>
    <mergeCell ref="D63:H63"/>
    <mergeCell ref="D78:H78"/>
    <mergeCell ref="A1:C1"/>
    <mergeCell ref="D4:H4"/>
    <mergeCell ref="D28:H28"/>
    <mergeCell ref="D40:H40"/>
    <mergeCell ref="D3:L3"/>
    <mergeCell ref="D2:N2"/>
    <mergeCell ref="D90:H90"/>
    <mergeCell ref="D179:H179"/>
    <mergeCell ref="D191:H191"/>
    <mergeCell ref="D205:H205"/>
    <mergeCell ref="D113:H113"/>
    <mergeCell ref="D124:H124"/>
    <mergeCell ref="D136:H136"/>
    <mergeCell ref="D154:H154"/>
    <mergeCell ref="D166:H166"/>
    <mergeCell ref="D101:H101"/>
    <mergeCell ref="AF109:AF110"/>
    <mergeCell ref="AD109:AD110"/>
    <mergeCell ref="AH109:AH110"/>
    <mergeCell ref="AJ109:AJ110"/>
    <mergeCell ref="AK109:AK110"/>
    <mergeCell ref="AE109:AE110"/>
    <mergeCell ref="AG109:AG110"/>
    <mergeCell ref="AI109:AI110"/>
  </mergeCells>
  <printOptions horizontalCentered="1"/>
  <pageMargins left="0" right="0" top="0.70866141732283472" bottom="0.39370078740157483" header="0.19685039370078741" footer="0.15748031496062992"/>
  <pageSetup paperSize="9" scale="80" firstPageNumber="93" orientation="landscape" useFirstPageNumber="1" r:id="rId1"/>
  <headerFooter>
    <oddHeader xml:space="preserve">&amp;C&amp;"Times New Roman,Félkövér"&amp;14Gazdasági szervezettel rendelkező intézmény 
2018. évi bevételei és kiadásai&amp;R&amp;"Times New Roman,Normál"&amp;12 5.10.1.  sz. melléklet
</oddHeader>
    <oddFooter>&amp;C- &amp;P -</oddFooter>
  </headerFooter>
  <rowBreaks count="7" manualBreakCount="7">
    <brk id="38" max="16383" man="1"/>
    <brk id="61" max="16383" man="1"/>
    <brk id="88" max="16383" man="1"/>
    <brk id="111" max="16383" man="1"/>
    <brk id="134" max="16383" man="1"/>
    <brk id="164" max="16383" man="1"/>
    <brk id="18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132"/>
  <sheetViews>
    <sheetView view="pageBreakPreview" topLeftCell="A108" zoomScale="90" zoomScaleNormal="100" zoomScaleSheetLayoutView="90" zoomScalePageLayoutView="60" workbookViewId="0">
      <selection activeCell="K1" sqref="K1:K2"/>
    </sheetView>
  </sheetViews>
  <sheetFormatPr defaultColWidth="9.33203125" defaultRowHeight="15.75" x14ac:dyDescent="0.2"/>
  <cols>
    <col min="1" max="1" width="6.1640625" style="114" customWidth="1"/>
    <col min="2" max="2" width="9.1640625" style="565" customWidth="1"/>
    <col min="3" max="3" width="60.5" style="115" customWidth="1"/>
    <col min="4" max="5" width="9.33203125" style="115" hidden="1" customWidth="1"/>
    <col min="6" max="6" width="16.83203125" style="115" customWidth="1"/>
    <col min="7" max="7" width="18.5" style="1390" hidden="1" customWidth="1"/>
    <col min="8" max="8" width="22.33203125" style="115" hidden="1" customWidth="1"/>
    <col min="9" max="9" width="16.1640625" style="1390" hidden="1" customWidth="1"/>
    <col min="10" max="10" width="16.5" style="115" customWidth="1"/>
    <col min="11" max="11" width="12.83203125" style="1390" customWidth="1"/>
    <col min="12" max="12" width="16" style="115" customWidth="1"/>
    <col min="13" max="13" width="18.5" style="115" customWidth="1"/>
    <col min="14" max="14" width="15.5" style="1186" customWidth="1"/>
    <col min="15" max="15" width="10.6640625" style="115" bestFit="1" customWidth="1"/>
    <col min="16" max="16" width="19" style="1877" customWidth="1"/>
    <col min="17" max="17" width="17.5" style="1877" hidden="1" customWidth="1"/>
    <col min="18" max="18" width="19.33203125" style="1991" customWidth="1"/>
    <col min="19" max="19" width="19.33203125" style="1991" hidden="1" customWidth="1"/>
    <col min="20" max="20" width="22.6640625" style="115" customWidth="1"/>
    <col min="21" max="21" width="19.33203125" style="115" hidden="1" customWidth="1"/>
    <col min="22" max="22" width="19.33203125" style="1161" customWidth="1"/>
    <col min="23" max="23" width="18.33203125" style="1892" customWidth="1"/>
    <col min="24" max="24" width="14" style="115" customWidth="1"/>
    <col min="25" max="25" width="18.6640625" style="2012" customWidth="1"/>
    <col min="26" max="26" width="18.6640625" style="2012" hidden="1" customWidth="1"/>
    <col min="27" max="27" width="20.83203125" style="2069" customWidth="1"/>
    <col min="28" max="28" width="20.83203125" style="2069" hidden="1" customWidth="1"/>
    <col min="29" max="29" width="20.6640625" style="2064" customWidth="1"/>
    <col min="30" max="30" width="20.6640625" style="115" customWidth="1"/>
    <col min="31" max="31" width="17.33203125" style="1164" customWidth="1"/>
    <col min="32" max="32" width="18.83203125" style="1904" customWidth="1"/>
    <col min="33" max="16384" width="9.33203125" style="115"/>
  </cols>
  <sheetData>
    <row r="1" spans="1:32" s="120" customFormat="1" ht="34.5" customHeight="1" thickBot="1" x14ac:dyDescent="0.25">
      <c r="A1" s="4434"/>
      <c r="B1" s="4435"/>
      <c r="C1" s="572" t="s">
        <v>281</v>
      </c>
      <c r="D1" s="4424" t="s">
        <v>282</v>
      </c>
      <c r="E1" s="118"/>
      <c r="F1" s="4415" t="s">
        <v>1080</v>
      </c>
      <c r="G1" s="4422" t="s">
        <v>1035</v>
      </c>
      <c r="H1" s="4415" t="s">
        <v>1028</v>
      </c>
      <c r="I1" s="4422" t="s">
        <v>1031</v>
      </c>
      <c r="J1" s="4415" t="s">
        <v>1028</v>
      </c>
      <c r="K1" s="4422" t="s">
        <v>1038</v>
      </c>
      <c r="L1" s="4415" t="s">
        <v>234</v>
      </c>
      <c r="M1" s="4440" t="s">
        <v>1952</v>
      </c>
      <c r="N1" s="4420" t="s">
        <v>290</v>
      </c>
      <c r="P1" s="1971"/>
      <c r="Q1" s="1971"/>
      <c r="R1" s="1988"/>
      <c r="S1" s="1988"/>
      <c r="V1" s="1955"/>
      <c r="W1" s="2035"/>
      <c r="Y1" s="1971"/>
      <c r="Z1" s="1971"/>
      <c r="AA1" s="2065"/>
      <c r="AB1" s="2065"/>
      <c r="AC1" s="2058"/>
      <c r="AE1" s="3554"/>
      <c r="AF1" s="1960"/>
    </row>
    <row r="2" spans="1:32" s="120" customFormat="1" ht="33.75" customHeight="1" thickBot="1" x14ac:dyDescent="0.25">
      <c r="A2" s="4436"/>
      <c r="B2" s="4437"/>
      <c r="C2" s="537" t="s">
        <v>477</v>
      </c>
      <c r="D2" s="4424"/>
      <c r="E2" s="121"/>
      <c r="F2" s="4417"/>
      <c r="G2" s="4423"/>
      <c r="H2" s="4432" t="s">
        <v>1028</v>
      </c>
      <c r="I2" s="4433" t="s">
        <v>1031</v>
      </c>
      <c r="J2" s="4432" t="s">
        <v>1028</v>
      </c>
      <c r="K2" s="4433" t="s">
        <v>1031</v>
      </c>
      <c r="L2" s="4416"/>
      <c r="M2" s="4441"/>
      <c r="N2" s="4421"/>
      <c r="P2" s="1971"/>
      <c r="Q2" s="1971"/>
      <c r="R2" s="1988"/>
      <c r="S2" s="1988"/>
      <c r="V2" s="1955"/>
      <c r="W2" s="2035"/>
      <c r="Y2" s="1973"/>
      <c r="Z2" s="1973"/>
      <c r="AA2" s="2066"/>
      <c r="AB2" s="2066"/>
      <c r="AC2" s="2059"/>
      <c r="AD2" s="598"/>
      <c r="AE2" s="3555"/>
      <c r="AF2" s="1964"/>
    </row>
    <row r="3" spans="1:32" s="123" customFormat="1" ht="15.95" customHeight="1" thickBot="1" x14ac:dyDescent="0.25">
      <c r="A3" s="2093"/>
      <c r="B3" s="2441"/>
      <c r="C3" s="2441"/>
      <c r="D3" s="2441"/>
      <c r="E3" s="2441"/>
      <c r="F3" s="2442"/>
      <c r="G3" s="2441"/>
      <c r="H3" s="1578"/>
      <c r="I3" s="1578"/>
      <c r="J3" s="1578"/>
      <c r="K3" s="1578"/>
      <c r="L3" s="1578"/>
      <c r="M3" s="2092"/>
      <c r="N3" s="1183"/>
      <c r="P3" s="1972"/>
      <c r="Q3" s="1972"/>
      <c r="R3" s="2006"/>
      <c r="S3" s="2006"/>
      <c r="V3" s="1957"/>
      <c r="W3" s="2049"/>
      <c r="Y3" s="1971"/>
      <c r="Z3" s="1971"/>
      <c r="AA3" s="2067"/>
      <c r="AB3" s="2067"/>
      <c r="AC3" s="2070"/>
      <c r="AE3" s="3556"/>
      <c r="AF3" s="1963"/>
    </row>
    <row r="4" spans="1:32" ht="33.75" customHeight="1" thickBot="1" x14ac:dyDescent="0.25">
      <c r="A4" s="4431" t="s">
        <v>285</v>
      </c>
      <c r="B4" s="4431"/>
      <c r="C4" s="125" t="s">
        <v>286</v>
      </c>
      <c r="D4" s="126" t="s">
        <v>287</v>
      </c>
      <c r="E4" s="126" t="s">
        <v>288</v>
      </c>
      <c r="F4" s="438"/>
      <c r="G4" s="2424"/>
      <c r="H4" s="573"/>
      <c r="I4" s="1627"/>
      <c r="J4" s="573"/>
      <c r="K4" s="1627"/>
      <c r="L4" s="573"/>
      <c r="M4" s="574"/>
      <c r="N4" s="2431"/>
      <c r="P4" s="1982"/>
      <c r="Q4" s="1982"/>
      <c r="R4" s="1884" t="s">
        <v>1056</v>
      </c>
      <c r="S4" s="2307"/>
      <c r="T4" s="4442" t="s">
        <v>1057</v>
      </c>
      <c r="U4" s="305"/>
      <c r="V4" s="4439" t="s">
        <v>1058</v>
      </c>
      <c r="W4" s="2051"/>
      <c r="X4" s="2054"/>
      <c r="Y4" s="1982"/>
      <c r="Z4" s="1982"/>
      <c r="AA4" s="1884" t="s">
        <v>1056</v>
      </c>
      <c r="AB4" s="2308"/>
      <c r="AC4" s="4414" t="s">
        <v>1057</v>
      </c>
      <c r="AD4" s="305"/>
      <c r="AE4" s="4430" t="s">
        <v>1058</v>
      </c>
      <c r="AF4" s="2355"/>
    </row>
    <row r="5" spans="1:32" s="129" customFormat="1" ht="15" customHeight="1" thickBot="1" x14ac:dyDescent="0.25">
      <c r="A5" s="124"/>
      <c r="B5" s="549"/>
      <c r="C5" s="127"/>
      <c r="D5" s="128"/>
      <c r="E5" s="128"/>
      <c r="F5" s="438"/>
      <c r="G5" s="2424"/>
      <c r="H5" s="438"/>
      <c r="I5" s="1618"/>
      <c r="J5" s="438"/>
      <c r="K5" s="1618"/>
      <c r="L5" s="438"/>
      <c r="M5" s="438"/>
      <c r="N5" s="2430"/>
      <c r="P5" s="1983" t="s">
        <v>771</v>
      </c>
      <c r="Q5" s="1983"/>
      <c r="R5" s="1884"/>
      <c r="S5" s="2307"/>
      <c r="T5" s="4442"/>
      <c r="U5" s="305"/>
      <c r="V5" s="4439"/>
      <c r="W5" s="2052" t="s">
        <v>289</v>
      </c>
      <c r="X5" s="2055"/>
      <c r="Y5" s="1983" t="s">
        <v>771</v>
      </c>
      <c r="Z5" s="1983"/>
      <c r="AA5" s="1884"/>
      <c r="AB5" s="2308"/>
      <c r="AC5" s="4414"/>
      <c r="AD5" s="305"/>
      <c r="AE5" s="4430"/>
      <c r="AF5" s="2356" t="s">
        <v>289</v>
      </c>
    </row>
    <row r="6" spans="1:32" s="129" customFormat="1" ht="21" customHeight="1" thickBot="1" x14ac:dyDescent="0.25">
      <c r="A6" s="130"/>
      <c r="B6" s="550"/>
      <c r="C6" s="132" t="s">
        <v>230</v>
      </c>
      <c r="D6" s="133"/>
      <c r="E6" s="133"/>
      <c r="F6" s="440"/>
      <c r="G6" s="1619"/>
      <c r="H6" s="133"/>
      <c r="I6" s="1588"/>
      <c r="J6" s="133"/>
      <c r="K6" s="1588"/>
      <c r="L6" s="133"/>
      <c r="M6" s="133"/>
      <c r="N6" s="1184"/>
      <c r="P6" s="1974" t="s">
        <v>767</v>
      </c>
      <c r="Q6" s="1974"/>
      <c r="R6" s="1884" t="s">
        <v>767</v>
      </c>
      <c r="S6" s="2004"/>
      <c r="T6" s="454" t="s">
        <v>767</v>
      </c>
      <c r="U6" s="454"/>
      <c r="V6" s="1956" t="s">
        <v>767</v>
      </c>
      <c r="W6" s="2053" t="s">
        <v>767</v>
      </c>
      <c r="X6" s="2055"/>
      <c r="Y6" s="1973" t="s">
        <v>770</v>
      </c>
      <c r="Z6" s="1973"/>
      <c r="AA6" s="1884" t="s">
        <v>770</v>
      </c>
      <c r="AB6" s="2066"/>
      <c r="AC6" s="2059" t="s">
        <v>770</v>
      </c>
      <c r="AD6" s="598"/>
      <c r="AE6" s="3555" t="s">
        <v>770</v>
      </c>
      <c r="AF6" s="2357" t="s">
        <v>770</v>
      </c>
    </row>
    <row r="7" spans="1:32" s="129" customFormat="1" ht="31.5" customHeight="1" thickBot="1" x14ac:dyDescent="0.25">
      <c r="A7" s="134" t="s">
        <v>3</v>
      </c>
      <c r="B7" s="551"/>
      <c r="C7" s="136" t="s">
        <v>291</v>
      </c>
      <c r="D7" s="137" t="e">
        <f>SUM(D8+D16)</f>
        <v>#REF!</v>
      </c>
      <c r="E7" s="137" t="e">
        <f>SUM(E8+E16)</f>
        <v>#REF!</v>
      </c>
      <c r="F7" s="138">
        <f>SUM(F8+F16)+F26+F27</f>
        <v>4089988150</v>
      </c>
      <c r="G7" s="2445">
        <f t="shared" ref="G7:G45" si="0">SUM(H7-F7)</f>
        <v>354675094</v>
      </c>
      <c r="H7" s="138">
        <f t="shared" ref="H7:M7" si="1">SUM(H8+H16)+H26+H27</f>
        <v>4444663244</v>
      </c>
      <c r="I7" s="2445">
        <f t="shared" si="1"/>
        <v>842060619</v>
      </c>
      <c r="J7" s="138">
        <f t="shared" si="1"/>
        <v>5286723863</v>
      </c>
      <c r="K7" s="2445">
        <f>SUM(L7-J7)</f>
        <v>0</v>
      </c>
      <c r="L7" s="138">
        <f t="shared" si="1"/>
        <v>5286723863</v>
      </c>
      <c r="M7" s="138">
        <f t="shared" si="1"/>
        <v>5297792072</v>
      </c>
      <c r="N7" s="1185">
        <f>SUM(M7/H7)*100</f>
        <v>119.19445368896433</v>
      </c>
      <c r="P7" s="2003">
        <f t="shared" ref="P7:P31" si="2">SUM(F7-Y7)</f>
        <v>0</v>
      </c>
      <c r="Q7" s="2003"/>
      <c r="R7" s="2354">
        <f t="shared" ref="R7:R31" si="3">SUM(H7-AA7)</f>
        <v>0</v>
      </c>
      <c r="S7" s="2005"/>
      <c r="T7" s="2010">
        <f t="shared" ref="T7:T31" si="4">SUM(J7-AC7)</f>
        <v>0</v>
      </c>
      <c r="U7" s="2010"/>
      <c r="V7" s="1999">
        <f t="shared" ref="V7:V31" si="5">SUM(L7-AE7)</f>
        <v>0</v>
      </c>
      <c r="W7" s="2042">
        <f t="shared" ref="W7:W31" si="6">SUM(M7-AF7)</f>
        <v>0</v>
      </c>
      <c r="X7" s="2056"/>
      <c r="Y7" s="2011">
        <f>SUM('2.a sz. mell'!F7+'2.b sz. mell'!D7+'2.c sz. mell '!F7)</f>
        <v>4089988150</v>
      </c>
      <c r="Z7" s="2011"/>
      <c r="AA7" s="2354">
        <f>SUM('2.a sz. mell'!H7+'2.b sz. mell'!F7+'2.c sz. mell '!H7)</f>
        <v>4444663244</v>
      </c>
      <c r="AB7" s="2068"/>
      <c r="AC7" s="2071">
        <f>SUM('2.a sz. mell'!J7+'2.b sz. mell'!H7+'2.c sz. mell '!J7)</f>
        <v>5286723863</v>
      </c>
      <c r="AD7" s="2071"/>
      <c r="AE7" s="1158">
        <f>SUM('2.a sz. mell'!L7+'2.b sz. mell'!J7+'2.c sz. mell '!L7)</f>
        <v>5286723863</v>
      </c>
      <c r="AF7" s="2013">
        <f>SUM('2.a sz. mell'!M7+'2.b sz. mell'!K7+'2.c sz. mell '!M7)</f>
        <v>5297792072</v>
      </c>
    </row>
    <row r="8" spans="1:32" s="141" customFormat="1" ht="19.5" customHeight="1" thickBot="1" x14ac:dyDescent="0.25">
      <c r="A8" s="134" t="s">
        <v>17</v>
      </c>
      <c r="B8" s="551"/>
      <c r="C8" s="30" t="s">
        <v>239</v>
      </c>
      <c r="D8" s="137" t="e">
        <f>SUM(D9:D14)</f>
        <v>#REF!</v>
      </c>
      <c r="E8" s="137" t="e">
        <f>SUM(E9:E14)</f>
        <v>#REF!</v>
      </c>
      <c r="F8" s="137">
        <f>SUM('3. sz. mell'!F8)</f>
        <v>2600000000</v>
      </c>
      <c r="G8" s="1382">
        <f t="shared" si="0"/>
        <v>47687737</v>
      </c>
      <c r="H8" s="137">
        <f>SUM('3. sz. mell'!H8)</f>
        <v>2647687737</v>
      </c>
      <c r="I8" s="1382">
        <f>SUM(J8-H8)</f>
        <v>947445094</v>
      </c>
      <c r="J8" s="137">
        <f>SUM('3. sz. mell'!J8)+'4. sz. mell.'!J17</f>
        <v>3595132831</v>
      </c>
      <c r="K8" s="1374">
        <f t="shared" ref="K8:K71" si="7">SUM(L8-J8)</f>
        <v>0</v>
      </c>
      <c r="L8" s="137">
        <f>SUM('3. sz. mell'!L8)+'4. sz. mell.'!L17</f>
        <v>3595132831</v>
      </c>
      <c r="M8" s="137">
        <f>SUM('3. sz. mell'!M8)+'4. sz. mell.'!M17</f>
        <v>3595132831</v>
      </c>
      <c r="N8" s="1185">
        <f t="shared" ref="N8:N75" si="8">SUM(M8/H8)*100</f>
        <v>135.78386834519677</v>
      </c>
      <c r="P8" s="2003">
        <f t="shared" si="2"/>
        <v>0</v>
      </c>
      <c r="Q8" s="2003"/>
      <c r="R8" s="2354">
        <f t="shared" si="3"/>
        <v>0</v>
      </c>
      <c r="S8" s="2005"/>
      <c r="T8" s="2010">
        <f t="shared" si="4"/>
        <v>0</v>
      </c>
      <c r="U8" s="2010"/>
      <c r="V8" s="1999">
        <f t="shared" si="5"/>
        <v>0</v>
      </c>
      <c r="W8" s="2042">
        <f t="shared" si="6"/>
        <v>0</v>
      </c>
      <c r="X8" s="2056"/>
      <c r="Y8" s="2011">
        <f>SUM('2.a sz. mell'!F8+'2.b sz. mell'!D8+'2.c sz. mell '!F8)</f>
        <v>2600000000</v>
      </c>
      <c r="Z8" s="2011"/>
      <c r="AA8" s="2354">
        <f>SUM('2.a sz. mell'!H8+'2.b sz. mell'!F8+'2.c sz. mell '!H8)</f>
        <v>2647687737</v>
      </c>
      <c r="AB8" s="2068"/>
      <c r="AC8" s="2071">
        <f>SUM('2.a sz. mell'!J8+'2.b sz. mell'!H8+'2.c sz. mell '!J8)</f>
        <v>3595132831</v>
      </c>
      <c r="AD8" s="2071"/>
      <c r="AE8" s="1158">
        <f>SUM('2.a sz. mell'!L8+'2.b sz. mell'!J8+'2.c sz. mell '!L8)</f>
        <v>3595132831</v>
      </c>
      <c r="AF8" s="2013">
        <f>SUM('2.a sz. mell'!M8+'2.b sz. mell'!K8+'2.c sz. mell '!M8)</f>
        <v>3595132831</v>
      </c>
    </row>
    <row r="9" spans="1:32" s="145" customFormat="1" ht="12.75" hidden="1" customHeight="1" x14ac:dyDescent="0.2">
      <c r="A9" s="142"/>
      <c r="B9" s="552"/>
      <c r="C9" s="27"/>
      <c r="D9" s="144" t="e">
        <f>SUM(#REF!+#REF!+#REF!)</f>
        <v>#REF!</v>
      </c>
      <c r="E9" s="144" t="e">
        <f>SUM(#REF!+#REF!+#REF!)</f>
        <v>#REF!</v>
      </c>
      <c r="F9" s="144"/>
      <c r="G9" s="2445">
        <f t="shared" si="0"/>
        <v>0</v>
      </c>
      <c r="H9" s="144"/>
      <c r="I9" s="1382">
        <f t="shared" ref="I9:I27" si="9">SUM(J9-H9)</f>
        <v>0</v>
      </c>
      <c r="J9" s="144"/>
      <c r="K9" s="1374">
        <f t="shared" si="7"/>
        <v>0</v>
      </c>
      <c r="L9" s="144"/>
      <c r="M9" s="144"/>
      <c r="N9" s="1185" t="e">
        <f t="shared" si="8"/>
        <v>#DIV/0!</v>
      </c>
      <c r="P9" s="2003">
        <f t="shared" si="2"/>
        <v>0</v>
      </c>
      <c r="Q9" s="2003"/>
      <c r="R9" s="2354">
        <f t="shared" si="3"/>
        <v>0</v>
      </c>
      <c r="S9" s="2005"/>
      <c r="T9" s="2010">
        <f t="shared" si="4"/>
        <v>0</v>
      </c>
      <c r="U9" s="2010"/>
      <c r="V9" s="1999">
        <f t="shared" si="5"/>
        <v>0</v>
      </c>
      <c r="W9" s="2042">
        <f t="shared" si="6"/>
        <v>0</v>
      </c>
      <c r="X9" s="2056"/>
      <c r="Y9" s="2011">
        <f>SUM('2.a sz. mell'!F9+'2.b sz. mell'!D9+'2.c sz. mell '!F9)</f>
        <v>0</v>
      </c>
      <c r="Z9" s="2011"/>
      <c r="AA9" s="2354">
        <f>SUM('2.a sz. mell'!H9+'2.b sz. mell'!F9+'2.c sz. mell '!H9)</f>
        <v>0</v>
      </c>
      <c r="AB9" s="2068"/>
      <c r="AC9" s="2071">
        <f>SUM('2.a sz. mell'!J9+'2.b sz. mell'!H9+'2.c sz. mell '!J9)</f>
        <v>0</v>
      </c>
      <c r="AD9" s="2071"/>
      <c r="AE9" s="1158">
        <f>SUM('2.a sz. mell'!L9+'2.b sz. mell'!J9+'2.c sz. mell '!L9)</f>
        <v>0</v>
      </c>
      <c r="AF9" s="2013">
        <f>SUM('2.a sz. mell'!M9+'2.b sz. mell'!K9+'2.c sz. mell '!M9)</f>
        <v>0</v>
      </c>
    </row>
    <row r="10" spans="1:32" s="145" customFormat="1" ht="12.75" hidden="1" customHeight="1" x14ac:dyDescent="0.2">
      <c r="A10" s="142"/>
      <c r="B10" s="552"/>
      <c r="C10" s="27"/>
      <c r="D10" s="144"/>
      <c r="E10" s="144"/>
      <c r="F10" s="144"/>
      <c r="G10" s="2445">
        <f t="shared" si="0"/>
        <v>0</v>
      </c>
      <c r="H10" s="144"/>
      <c r="I10" s="1382">
        <f t="shared" si="9"/>
        <v>0</v>
      </c>
      <c r="J10" s="144"/>
      <c r="K10" s="1374">
        <f t="shared" si="7"/>
        <v>0</v>
      </c>
      <c r="L10" s="144"/>
      <c r="M10" s="144"/>
      <c r="N10" s="1185" t="e">
        <f t="shared" si="8"/>
        <v>#DIV/0!</v>
      </c>
      <c r="P10" s="2003">
        <f t="shared" si="2"/>
        <v>0</v>
      </c>
      <c r="Q10" s="2003"/>
      <c r="R10" s="2354">
        <f t="shared" si="3"/>
        <v>0</v>
      </c>
      <c r="S10" s="2005"/>
      <c r="T10" s="2010">
        <f t="shared" si="4"/>
        <v>0</v>
      </c>
      <c r="U10" s="2010"/>
      <c r="V10" s="1999">
        <f t="shared" si="5"/>
        <v>0</v>
      </c>
      <c r="W10" s="2042">
        <f t="shared" si="6"/>
        <v>0</v>
      </c>
      <c r="X10" s="2056"/>
      <c r="Y10" s="2011">
        <f>SUM('2.a sz. mell'!F10+'2.b sz. mell'!D10+'2.c sz. mell '!F10)</f>
        <v>0</v>
      </c>
      <c r="Z10" s="2011"/>
      <c r="AA10" s="2354">
        <f>SUM('2.a sz. mell'!H10+'2.b sz. mell'!F10+'2.c sz. mell '!H10)</f>
        <v>0</v>
      </c>
      <c r="AB10" s="2068"/>
      <c r="AC10" s="2071">
        <f>SUM('2.a sz. mell'!J10+'2.b sz. mell'!H10+'2.c sz. mell '!J10)</f>
        <v>0</v>
      </c>
      <c r="AD10" s="2071"/>
      <c r="AE10" s="1158">
        <f>SUM('2.a sz. mell'!L10+'2.b sz. mell'!J10+'2.c sz. mell '!L10)</f>
        <v>0</v>
      </c>
      <c r="AF10" s="2013">
        <f>SUM('2.a sz. mell'!M10+'2.b sz. mell'!K10+'2.c sz. mell '!M10)</f>
        <v>0</v>
      </c>
    </row>
    <row r="11" spans="1:32" s="145" customFormat="1" ht="12.75" hidden="1" customHeight="1" x14ac:dyDescent="0.2">
      <c r="A11" s="142"/>
      <c r="B11" s="552"/>
      <c r="C11" s="27"/>
      <c r="D11" s="144" t="e">
        <f>SUM(#REF!)</f>
        <v>#REF!</v>
      </c>
      <c r="E11" s="144" t="e">
        <f>SUM(#REF!)</f>
        <v>#REF!</v>
      </c>
      <c r="F11" s="144" t="e">
        <f>SUM(#REF!)</f>
        <v>#REF!</v>
      </c>
      <c r="G11" s="2445" t="e">
        <f t="shared" si="0"/>
        <v>#REF!</v>
      </c>
      <c r="H11" s="144" t="e">
        <f>SUM(#REF!)</f>
        <v>#REF!</v>
      </c>
      <c r="I11" s="1382" t="e">
        <f t="shared" si="9"/>
        <v>#REF!</v>
      </c>
      <c r="J11" s="144" t="e">
        <f>SUM(#REF!)</f>
        <v>#REF!</v>
      </c>
      <c r="K11" s="1374" t="e">
        <f t="shared" si="7"/>
        <v>#REF!</v>
      </c>
      <c r="L11" s="144" t="e">
        <f>SUM(#REF!)</f>
        <v>#REF!</v>
      </c>
      <c r="M11" s="144" t="e">
        <f>SUM(#REF!)</f>
        <v>#REF!</v>
      </c>
      <c r="N11" s="1185" t="e">
        <f t="shared" si="8"/>
        <v>#REF!</v>
      </c>
      <c r="P11" s="2003" t="e">
        <f t="shared" si="2"/>
        <v>#REF!</v>
      </c>
      <c r="Q11" s="2003"/>
      <c r="R11" s="2354" t="e">
        <f t="shared" si="3"/>
        <v>#REF!</v>
      </c>
      <c r="S11" s="2005"/>
      <c r="T11" s="2010" t="e">
        <f t="shared" si="4"/>
        <v>#REF!</v>
      </c>
      <c r="U11" s="2010"/>
      <c r="V11" s="1999" t="e">
        <f t="shared" si="5"/>
        <v>#REF!</v>
      </c>
      <c r="W11" s="2042" t="e">
        <f t="shared" si="6"/>
        <v>#REF!</v>
      </c>
      <c r="X11" s="2056"/>
      <c r="Y11" s="2011">
        <f>SUM('2.a sz. mell'!F11+'2.b sz. mell'!D11+'2.c sz. mell '!F11)</f>
        <v>0</v>
      </c>
      <c r="Z11" s="2011"/>
      <c r="AA11" s="2354">
        <f>SUM('2.a sz. mell'!H11+'2.b sz. mell'!F11+'2.c sz. mell '!H11)</f>
        <v>0</v>
      </c>
      <c r="AB11" s="2068"/>
      <c r="AC11" s="2071">
        <f>SUM('2.a sz. mell'!J11+'2.b sz. mell'!H11+'2.c sz. mell '!J11)</f>
        <v>0</v>
      </c>
      <c r="AD11" s="2071"/>
      <c r="AE11" s="1158">
        <f>SUM('2.a sz. mell'!L11+'2.b sz. mell'!J11+'2.c sz. mell '!L11)</f>
        <v>0</v>
      </c>
      <c r="AF11" s="2013">
        <f>SUM('2.a sz. mell'!M11+'2.b sz. mell'!K11+'2.c sz. mell '!M11)</f>
        <v>0</v>
      </c>
    </row>
    <row r="12" spans="1:32" s="145" customFormat="1" ht="12.75" hidden="1" customHeight="1" x14ac:dyDescent="0.2">
      <c r="A12" s="142"/>
      <c r="B12" s="552"/>
      <c r="C12" s="27"/>
      <c r="D12" s="144" t="e">
        <f>SUM(#REF!)</f>
        <v>#REF!</v>
      </c>
      <c r="E12" s="144" t="e">
        <f>SUM(#REF!+#REF!)</f>
        <v>#REF!</v>
      </c>
      <c r="F12" s="144" t="e">
        <f>SUM(#REF!+#REF!)</f>
        <v>#REF!</v>
      </c>
      <c r="G12" s="2445" t="e">
        <f t="shared" si="0"/>
        <v>#REF!</v>
      </c>
      <c r="H12" s="144" t="e">
        <f>SUM(#REF!+#REF!)</f>
        <v>#REF!</v>
      </c>
      <c r="I12" s="1382" t="e">
        <f t="shared" si="9"/>
        <v>#REF!</v>
      </c>
      <c r="J12" s="144" t="e">
        <f>SUM(#REF!+#REF!)</f>
        <v>#REF!</v>
      </c>
      <c r="K12" s="1374" t="e">
        <f t="shared" si="7"/>
        <v>#REF!</v>
      </c>
      <c r="L12" s="144" t="e">
        <f>SUM(#REF!+#REF!)</f>
        <v>#REF!</v>
      </c>
      <c r="M12" s="144" t="e">
        <f>SUM(#REF!+#REF!)</f>
        <v>#REF!</v>
      </c>
      <c r="N12" s="1185" t="e">
        <f t="shared" si="8"/>
        <v>#REF!</v>
      </c>
      <c r="P12" s="2003" t="e">
        <f t="shared" si="2"/>
        <v>#REF!</v>
      </c>
      <c r="Q12" s="2003"/>
      <c r="R12" s="2354" t="e">
        <f t="shared" si="3"/>
        <v>#REF!</v>
      </c>
      <c r="S12" s="2005"/>
      <c r="T12" s="2010" t="e">
        <f t="shared" si="4"/>
        <v>#REF!</v>
      </c>
      <c r="U12" s="2010"/>
      <c r="V12" s="1999" t="e">
        <f t="shared" si="5"/>
        <v>#REF!</v>
      </c>
      <c r="W12" s="2042" t="e">
        <f t="shared" si="6"/>
        <v>#REF!</v>
      </c>
      <c r="X12" s="2056"/>
      <c r="Y12" s="2011">
        <f>SUM('2.a sz. mell'!F12+'2.b sz. mell'!D12+'2.c sz. mell '!F12)</f>
        <v>0</v>
      </c>
      <c r="Z12" s="2011"/>
      <c r="AA12" s="2354">
        <f>SUM('2.a sz. mell'!H12+'2.b sz. mell'!F12+'2.c sz. mell '!H12)</f>
        <v>0</v>
      </c>
      <c r="AB12" s="2068"/>
      <c r="AC12" s="2071">
        <f>SUM('2.a sz. mell'!J12+'2.b sz. mell'!H12+'2.c sz. mell '!J12)</f>
        <v>0</v>
      </c>
      <c r="AD12" s="2071"/>
      <c r="AE12" s="1158">
        <f>SUM('2.a sz. mell'!L12+'2.b sz. mell'!J12+'2.c sz. mell '!L12)</f>
        <v>0</v>
      </c>
      <c r="AF12" s="2013">
        <f>SUM('2.a sz. mell'!M12+'2.b sz. mell'!K12+'2.c sz. mell '!M12)</f>
        <v>0</v>
      </c>
    </row>
    <row r="13" spans="1:32" s="145" customFormat="1" ht="12.75" hidden="1" customHeight="1" x14ac:dyDescent="0.2">
      <c r="A13" s="142"/>
      <c r="B13" s="552"/>
      <c r="C13" s="27"/>
      <c r="D13" s="144"/>
      <c r="E13" s="144"/>
      <c r="F13" s="144"/>
      <c r="G13" s="2445">
        <f t="shared" si="0"/>
        <v>0</v>
      </c>
      <c r="H13" s="144"/>
      <c r="I13" s="1382">
        <f t="shared" si="9"/>
        <v>0</v>
      </c>
      <c r="J13" s="144"/>
      <c r="K13" s="1374">
        <f t="shared" si="7"/>
        <v>0</v>
      </c>
      <c r="L13" s="144"/>
      <c r="M13" s="144"/>
      <c r="N13" s="1185" t="e">
        <f t="shared" si="8"/>
        <v>#DIV/0!</v>
      </c>
      <c r="P13" s="2003">
        <f t="shared" si="2"/>
        <v>0</v>
      </c>
      <c r="Q13" s="2003"/>
      <c r="R13" s="2354">
        <f t="shared" si="3"/>
        <v>0</v>
      </c>
      <c r="S13" s="2005"/>
      <c r="T13" s="2010">
        <f t="shared" si="4"/>
        <v>0</v>
      </c>
      <c r="U13" s="2010"/>
      <c r="V13" s="1999">
        <f t="shared" si="5"/>
        <v>0</v>
      </c>
      <c r="W13" s="2042">
        <f t="shared" si="6"/>
        <v>0</v>
      </c>
      <c r="X13" s="2056"/>
      <c r="Y13" s="2011">
        <f>SUM('2.a sz. mell'!F13+'2.b sz. mell'!D13+'2.c sz. mell '!F13)</f>
        <v>0</v>
      </c>
      <c r="Z13" s="2011"/>
      <c r="AA13" s="2354">
        <f>SUM('2.a sz. mell'!H13+'2.b sz. mell'!F13+'2.c sz. mell '!H13)</f>
        <v>0</v>
      </c>
      <c r="AB13" s="2068"/>
      <c r="AC13" s="2071">
        <f>SUM('2.a sz. mell'!J13+'2.b sz. mell'!H13+'2.c sz. mell '!J13)</f>
        <v>0</v>
      </c>
      <c r="AD13" s="2071"/>
      <c r="AE13" s="1158">
        <f>SUM('2.a sz. mell'!L13+'2.b sz. mell'!J13+'2.c sz. mell '!L13)</f>
        <v>0</v>
      </c>
      <c r="AF13" s="2013">
        <f>SUM('2.a sz. mell'!M13+'2.b sz. mell'!K13+'2.c sz. mell '!M13)</f>
        <v>0</v>
      </c>
    </row>
    <row r="14" spans="1:32" s="145" customFormat="1" ht="12.75" hidden="1" customHeight="1" x14ac:dyDescent="0.2">
      <c r="A14" s="142"/>
      <c r="B14" s="552"/>
      <c r="C14" s="27"/>
      <c r="D14" s="144"/>
      <c r="E14" s="144"/>
      <c r="F14" s="144"/>
      <c r="G14" s="2445">
        <f t="shared" si="0"/>
        <v>0</v>
      </c>
      <c r="H14" s="144"/>
      <c r="I14" s="1382">
        <f t="shared" si="9"/>
        <v>0</v>
      </c>
      <c r="J14" s="144"/>
      <c r="K14" s="1374">
        <f t="shared" si="7"/>
        <v>0</v>
      </c>
      <c r="L14" s="144"/>
      <c r="M14" s="144"/>
      <c r="N14" s="1185" t="e">
        <f t="shared" si="8"/>
        <v>#DIV/0!</v>
      </c>
      <c r="P14" s="2003">
        <f t="shared" si="2"/>
        <v>0</v>
      </c>
      <c r="Q14" s="2003"/>
      <c r="R14" s="2354">
        <f t="shared" si="3"/>
        <v>0</v>
      </c>
      <c r="S14" s="2005"/>
      <c r="T14" s="2010">
        <f t="shared" si="4"/>
        <v>0</v>
      </c>
      <c r="U14" s="2010"/>
      <c r="V14" s="1999">
        <f t="shared" si="5"/>
        <v>0</v>
      </c>
      <c r="W14" s="2042">
        <f t="shared" si="6"/>
        <v>0</v>
      </c>
      <c r="X14" s="2056"/>
      <c r="Y14" s="2011">
        <f>SUM('2.a sz. mell'!F14+'2.b sz. mell'!D14+'2.c sz. mell '!F14)</f>
        <v>0</v>
      </c>
      <c r="Z14" s="2011"/>
      <c r="AA14" s="2354">
        <f>SUM('2.a sz. mell'!H14+'2.b sz. mell'!F14+'2.c sz. mell '!H14)</f>
        <v>0</v>
      </c>
      <c r="AB14" s="2068"/>
      <c r="AC14" s="2071">
        <f>SUM('2.a sz. mell'!J14+'2.b sz. mell'!H14+'2.c sz. mell '!J14)</f>
        <v>0</v>
      </c>
      <c r="AD14" s="2071"/>
      <c r="AE14" s="1158">
        <f>SUM('2.a sz. mell'!L14+'2.b sz. mell'!J14+'2.c sz. mell '!L14)</f>
        <v>0</v>
      </c>
      <c r="AF14" s="2013">
        <f>SUM('2.a sz. mell'!M14+'2.b sz. mell'!K14+'2.c sz. mell '!M14)</f>
        <v>0</v>
      </c>
    </row>
    <row r="15" spans="1:32" s="145" customFormat="1" ht="12.75" hidden="1" customHeight="1" thickBot="1" x14ac:dyDescent="0.25">
      <c r="A15" s="146"/>
      <c r="B15" s="552"/>
      <c r="C15" s="33"/>
      <c r="D15" s="147"/>
      <c r="E15" s="147"/>
      <c r="F15" s="147"/>
      <c r="G15" s="2445">
        <f t="shared" si="0"/>
        <v>0</v>
      </c>
      <c r="H15" s="147"/>
      <c r="I15" s="1382">
        <f t="shared" si="9"/>
        <v>0</v>
      </c>
      <c r="J15" s="147"/>
      <c r="K15" s="1374">
        <f t="shared" si="7"/>
        <v>0</v>
      </c>
      <c r="L15" s="147"/>
      <c r="M15" s="147"/>
      <c r="N15" s="1185" t="e">
        <f t="shared" si="8"/>
        <v>#DIV/0!</v>
      </c>
      <c r="P15" s="2003">
        <f t="shared" si="2"/>
        <v>0</v>
      </c>
      <c r="Q15" s="2003"/>
      <c r="R15" s="2354">
        <f t="shared" si="3"/>
        <v>0</v>
      </c>
      <c r="S15" s="2005"/>
      <c r="T15" s="2010">
        <f t="shared" si="4"/>
        <v>0</v>
      </c>
      <c r="U15" s="2010"/>
      <c r="V15" s="1999">
        <f t="shared" si="5"/>
        <v>0</v>
      </c>
      <c r="W15" s="2042">
        <f t="shared" si="6"/>
        <v>0</v>
      </c>
      <c r="X15" s="2056"/>
      <c r="Y15" s="2011">
        <f>SUM('2.a sz. mell'!F15+'2.b sz. mell'!D15+'2.c sz. mell '!F15)</f>
        <v>0</v>
      </c>
      <c r="Z15" s="2011"/>
      <c r="AA15" s="2354">
        <f>SUM('2.a sz. mell'!H15+'2.b sz. mell'!F15+'2.c sz. mell '!H15)</f>
        <v>0</v>
      </c>
      <c r="AB15" s="2068"/>
      <c r="AC15" s="2071">
        <f>SUM('2.a sz. mell'!J15+'2.b sz. mell'!H15+'2.c sz. mell '!J15)</f>
        <v>0</v>
      </c>
      <c r="AD15" s="2071"/>
      <c r="AE15" s="1158">
        <f>SUM('2.a sz. mell'!L15+'2.b sz. mell'!J15+'2.c sz. mell '!L15)</f>
        <v>0</v>
      </c>
      <c r="AF15" s="2013">
        <f>SUM('2.a sz. mell'!M15+'2.b sz. mell'!K15+'2.c sz. mell '!M15)</f>
        <v>0</v>
      </c>
    </row>
    <row r="16" spans="1:32" s="141" customFormat="1" ht="18.75" customHeight="1" thickBot="1" x14ac:dyDescent="0.25">
      <c r="A16" s="134" t="s">
        <v>31</v>
      </c>
      <c r="B16" s="553"/>
      <c r="C16" s="30" t="s">
        <v>292</v>
      </c>
      <c r="D16" s="137" t="e">
        <f>SUM(D17:D24)</f>
        <v>#REF!</v>
      </c>
      <c r="E16" s="137" t="e">
        <f>SUM(E17:E24)</f>
        <v>#REF!</v>
      </c>
      <c r="F16" s="137">
        <f>SUM('4. sz. mell.'!F6+'5. sz. mell. '!F8+'3. sz. mell'!F16)</f>
        <v>358172020</v>
      </c>
      <c r="G16" s="1382">
        <f t="shared" si="0"/>
        <v>254537132</v>
      </c>
      <c r="H16" s="137">
        <f>SUM('4. sz. mell.'!H6+'5. sz. mell. '!H8+'3. sz. mell'!H16)</f>
        <v>612709152</v>
      </c>
      <c r="I16" s="1382">
        <f t="shared" si="9"/>
        <v>-182578899</v>
      </c>
      <c r="J16" s="137">
        <f>SUM('4. sz. mell.'!J6+'5. sz. mell. '!J8+'3. sz. mell'!J16)</f>
        <v>430130253</v>
      </c>
      <c r="K16" s="1374">
        <f t="shared" si="7"/>
        <v>0</v>
      </c>
      <c r="L16" s="137">
        <f>SUM('4. sz. mell.'!L6+'5. sz. mell. '!L8+'3. sz. mell'!L16)</f>
        <v>430130253</v>
      </c>
      <c r="M16" s="137">
        <f>SUM('4. sz. mell.'!M6+'5. sz. mell. '!M8+'3. sz. mell'!M16)</f>
        <v>441148462</v>
      </c>
      <c r="N16" s="1185">
        <f t="shared" si="8"/>
        <v>71.999652781422796</v>
      </c>
      <c r="P16" s="2003">
        <f t="shared" si="2"/>
        <v>0</v>
      </c>
      <c r="Q16" s="2003"/>
      <c r="R16" s="2354">
        <f t="shared" si="3"/>
        <v>0</v>
      </c>
      <c r="S16" s="2005"/>
      <c r="T16" s="2010">
        <f t="shared" si="4"/>
        <v>0</v>
      </c>
      <c r="U16" s="2010"/>
      <c r="V16" s="1999">
        <f t="shared" si="5"/>
        <v>0</v>
      </c>
      <c r="W16" s="2042">
        <f t="shared" si="6"/>
        <v>0</v>
      </c>
      <c r="X16" s="2056"/>
      <c r="Y16" s="2011">
        <f>SUM('2.a sz. mell'!F16+'2.b sz. mell'!D16+'2.c sz. mell '!F16)</f>
        <v>358172020</v>
      </c>
      <c r="Z16" s="2011"/>
      <c r="AA16" s="2354">
        <f>SUM('2.a sz. mell'!H16+'2.b sz. mell'!F16+'2.c sz. mell '!H16)</f>
        <v>612709152</v>
      </c>
      <c r="AB16" s="2068"/>
      <c r="AC16" s="2071">
        <f>SUM('2.a sz. mell'!J16+'2.b sz. mell'!H16+'2.c sz. mell '!J16)</f>
        <v>430130253</v>
      </c>
      <c r="AD16" s="2071"/>
      <c r="AE16" s="1158">
        <f>SUM('2.a sz. mell'!L16+'2.b sz. mell'!J16+'2.c sz. mell '!L16)</f>
        <v>430130253</v>
      </c>
      <c r="AF16" s="2013">
        <f>SUM('2.a sz. mell'!M16+'2.b sz. mell'!K16+'2.c sz. mell '!M16)</f>
        <v>441148462</v>
      </c>
    </row>
    <row r="17" spans="1:32" s="141" customFormat="1" ht="12.75" hidden="1" customHeight="1" thickBot="1" x14ac:dyDescent="0.25">
      <c r="A17" s="149"/>
      <c r="B17" s="552"/>
      <c r="C17" s="27"/>
      <c r="D17" s="150"/>
      <c r="E17" s="150"/>
      <c r="F17" s="150"/>
      <c r="G17" s="2445">
        <f t="shared" si="0"/>
        <v>0</v>
      </c>
      <c r="H17" s="150"/>
      <c r="I17" s="1382">
        <f t="shared" si="9"/>
        <v>0</v>
      </c>
      <c r="J17" s="150"/>
      <c r="K17" s="1374">
        <f t="shared" si="7"/>
        <v>0</v>
      </c>
      <c r="L17" s="150"/>
      <c r="M17" s="150"/>
      <c r="N17" s="1185" t="e">
        <f t="shared" si="8"/>
        <v>#DIV/0!</v>
      </c>
      <c r="P17" s="2003">
        <f t="shared" si="2"/>
        <v>0</v>
      </c>
      <c r="Q17" s="2003"/>
      <c r="R17" s="2354">
        <f t="shared" si="3"/>
        <v>0</v>
      </c>
      <c r="S17" s="2005"/>
      <c r="T17" s="2010">
        <f t="shared" si="4"/>
        <v>0</v>
      </c>
      <c r="U17" s="2010"/>
      <c r="V17" s="1999">
        <f t="shared" si="5"/>
        <v>0</v>
      </c>
      <c r="W17" s="2042">
        <f t="shared" si="6"/>
        <v>0</v>
      </c>
      <c r="X17" s="2056"/>
      <c r="Y17" s="2011">
        <f>SUM('2.a sz. mell'!F17+'2.b sz. mell'!D17+'2.c sz. mell '!F17)</f>
        <v>0</v>
      </c>
      <c r="Z17" s="2011"/>
      <c r="AA17" s="2354">
        <f>SUM('2.a sz. mell'!H17+'2.b sz. mell'!F17+'2.c sz. mell '!H17)</f>
        <v>0</v>
      </c>
      <c r="AB17" s="2068"/>
      <c r="AC17" s="2071">
        <f>SUM('2.a sz. mell'!J17+'2.b sz. mell'!H17+'2.c sz. mell '!J17)</f>
        <v>0</v>
      </c>
      <c r="AD17" s="2071"/>
      <c r="AE17" s="1158">
        <f>SUM('2.a sz. mell'!M17+'2.b sz. mell'!K17+'2.c sz. mell '!M17)</f>
        <v>0</v>
      </c>
      <c r="AF17" s="2013">
        <f>SUM('2.a sz. mell'!M17+'2.b sz. mell'!K17+'2.c sz. mell '!M17)</f>
        <v>0</v>
      </c>
    </row>
    <row r="18" spans="1:32" s="141" customFormat="1" ht="12.75" hidden="1" customHeight="1" thickBot="1" x14ac:dyDescent="0.25">
      <c r="A18" s="142"/>
      <c r="B18" s="552"/>
      <c r="C18" s="27"/>
      <c r="D18" s="144" t="e">
        <f>SUM(#REF!)</f>
        <v>#REF!</v>
      </c>
      <c r="E18" s="144" t="e">
        <f>SUM(#REF!+#REF!)</f>
        <v>#REF!</v>
      </c>
      <c r="F18" s="144" t="e">
        <f>SUM(#REF!+#REF!)</f>
        <v>#REF!</v>
      </c>
      <c r="G18" s="2445" t="e">
        <f t="shared" si="0"/>
        <v>#REF!</v>
      </c>
      <c r="H18" s="144" t="e">
        <f>SUM(#REF!+#REF!)</f>
        <v>#REF!</v>
      </c>
      <c r="I18" s="1382" t="e">
        <f t="shared" si="9"/>
        <v>#REF!</v>
      </c>
      <c r="J18" s="144" t="e">
        <f>SUM(#REF!+#REF!)</f>
        <v>#REF!</v>
      </c>
      <c r="K18" s="1374" t="e">
        <f t="shared" si="7"/>
        <v>#REF!</v>
      </c>
      <c r="L18" s="144" t="e">
        <f>SUM(#REF!+#REF!)</f>
        <v>#REF!</v>
      </c>
      <c r="M18" s="144" t="e">
        <f>SUM(#REF!+#REF!)</f>
        <v>#REF!</v>
      </c>
      <c r="N18" s="1185" t="e">
        <f t="shared" si="8"/>
        <v>#REF!</v>
      </c>
      <c r="P18" s="2003" t="e">
        <f t="shared" si="2"/>
        <v>#REF!</v>
      </c>
      <c r="Q18" s="2003"/>
      <c r="R18" s="2354" t="e">
        <f t="shared" si="3"/>
        <v>#REF!</v>
      </c>
      <c r="S18" s="2005"/>
      <c r="T18" s="2010" t="e">
        <f t="shared" si="4"/>
        <v>#REF!</v>
      </c>
      <c r="U18" s="2010"/>
      <c r="V18" s="1999" t="e">
        <f t="shared" si="5"/>
        <v>#REF!</v>
      </c>
      <c r="W18" s="2042" t="e">
        <f t="shared" si="6"/>
        <v>#REF!</v>
      </c>
      <c r="X18" s="2056"/>
      <c r="Y18" s="2011">
        <f>SUM('2.a sz. mell'!F18+'2.b sz. mell'!D18+'2.c sz. mell '!F18)</f>
        <v>0</v>
      </c>
      <c r="Z18" s="2011"/>
      <c r="AA18" s="2354">
        <f>SUM('2.a sz. mell'!H18+'2.b sz. mell'!F18+'2.c sz. mell '!H18)</f>
        <v>0</v>
      </c>
      <c r="AB18" s="2068"/>
      <c r="AC18" s="2071">
        <f>SUM('2.a sz. mell'!J18+'2.b sz. mell'!H18+'2.c sz. mell '!J18)</f>
        <v>0</v>
      </c>
      <c r="AD18" s="2071"/>
      <c r="AE18" s="1158">
        <f>SUM('2.a sz. mell'!M18+'2.b sz. mell'!K18+'2.c sz. mell '!M18)</f>
        <v>0</v>
      </c>
      <c r="AF18" s="2013">
        <f>SUM('2.a sz. mell'!M18+'2.b sz. mell'!K18+'2.c sz. mell '!M18)</f>
        <v>0</v>
      </c>
    </row>
    <row r="19" spans="1:32" s="141" customFormat="1" ht="12.75" hidden="1" customHeight="1" thickBot="1" x14ac:dyDescent="0.25">
      <c r="A19" s="142"/>
      <c r="B19" s="552"/>
      <c r="C19" s="27"/>
      <c r="D19" s="144" t="e">
        <f>SUM(#REF!)</f>
        <v>#REF!</v>
      </c>
      <c r="E19" s="144" t="e">
        <f>SUM(#REF!)</f>
        <v>#REF!</v>
      </c>
      <c r="F19" s="144"/>
      <c r="G19" s="2445">
        <f t="shared" si="0"/>
        <v>0</v>
      </c>
      <c r="H19" s="144"/>
      <c r="I19" s="1382">
        <f t="shared" si="9"/>
        <v>0</v>
      </c>
      <c r="J19" s="144"/>
      <c r="K19" s="1374">
        <f t="shared" si="7"/>
        <v>0</v>
      </c>
      <c r="L19" s="144"/>
      <c r="M19" s="144"/>
      <c r="N19" s="1185" t="e">
        <f t="shared" si="8"/>
        <v>#DIV/0!</v>
      </c>
      <c r="P19" s="2003">
        <f t="shared" si="2"/>
        <v>0</v>
      </c>
      <c r="Q19" s="2003"/>
      <c r="R19" s="2354">
        <f t="shared" si="3"/>
        <v>0</v>
      </c>
      <c r="S19" s="2005"/>
      <c r="T19" s="2010">
        <f t="shared" si="4"/>
        <v>0</v>
      </c>
      <c r="U19" s="2010"/>
      <c r="V19" s="1999">
        <f t="shared" si="5"/>
        <v>0</v>
      </c>
      <c r="W19" s="2042">
        <f t="shared" si="6"/>
        <v>0</v>
      </c>
      <c r="X19" s="2056"/>
      <c r="Y19" s="2011">
        <f>SUM('2.a sz. mell'!F19+'2.b sz. mell'!D19+'2.c sz. mell '!F19)</f>
        <v>0</v>
      </c>
      <c r="Z19" s="2011"/>
      <c r="AA19" s="2354">
        <f>SUM('2.a sz. mell'!H19+'2.b sz. mell'!F19+'2.c sz. mell '!H19)</f>
        <v>0</v>
      </c>
      <c r="AB19" s="2068"/>
      <c r="AC19" s="2071">
        <f>SUM('2.a sz. mell'!J19+'2.b sz. mell'!H19+'2.c sz. mell '!J19)</f>
        <v>0</v>
      </c>
      <c r="AD19" s="2071"/>
      <c r="AE19" s="1158">
        <f>SUM('2.a sz. mell'!M19+'2.b sz. mell'!K19+'2.c sz. mell '!M19)</f>
        <v>0</v>
      </c>
      <c r="AF19" s="2013">
        <f>SUM('2.a sz. mell'!M19+'2.b sz. mell'!K19+'2.c sz. mell '!M19)</f>
        <v>0</v>
      </c>
    </row>
    <row r="20" spans="1:32" s="141" customFormat="1" ht="12.75" hidden="1" customHeight="1" thickBot="1" x14ac:dyDescent="0.25">
      <c r="A20" s="142"/>
      <c r="B20" s="552"/>
      <c r="C20" s="27"/>
      <c r="D20" s="144"/>
      <c r="E20" s="144"/>
      <c r="F20" s="144"/>
      <c r="G20" s="2445">
        <f t="shared" si="0"/>
        <v>0</v>
      </c>
      <c r="H20" s="144"/>
      <c r="I20" s="1382">
        <f t="shared" si="9"/>
        <v>0</v>
      </c>
      <c r="J20" s="144"/>
      <c r="K20" s="1374">
        <f t="shared" si="7"/>
        <v>0</v>
      </c>
      <c r="L20" s="144"/>
      <c r="M20" s="144"/>
      <c r="N20" s="1185" t="e">
        <f t="shared" si="8"/>
        <v>#DIV/0!</v>
      </c>
      <c r="P20" s="2003">
        <f t="shared" si="2"/>
        <v>0</v>
      </c>
      <c r="Q20" s="2003"/>
      <c r="R20" s="2354">
        <f t="shared" si="3"/>
        <v>0</v>
      </c>
      <c r="S20" s="2005"/>
      <c r="T20" s="2010">
        <f t="shared" si="4"/>
        <v>0</v>
      </c>
      <c r="U20" s="2010"/>
      <c r="V20" s="1999">
        <f t="shared" si="5"/>
        <v>0</v>
      </c>
      <c r="W20" s="2042">
        <f t="shared" si="6"/>
        <v>0</v>
      </c>
      <c r="X20" s="2056"/>
      <c r="Y20" s="2011">
        <f>SUM('2.a sz. mell'!F20+'2.b sz. mell'!D20+'2.c sz. mell '!F20)</f>
        <v>0</v>
      </c>
      <c r="Z20" s="2011"/>
      <c r="AA20" s="2354">
        <f>SUM('2.a sz. mell'!H20+'2.b sz. mell'!F20+'2.c sz. mell '!H20)</f>
        <v>0</v>
      </c>
      <c r="AB20" s="2068"/>
      <c r="AC20" s="2071">
        <f>SUM('2.a sz. mell'!J20+'2.b sz. mell'!H20+'2.c sz. mell '!J20)</f>
        <v>0</v>
      </c>
      <c r="AD20" s="2071"/>
      <c r="AE20" s="1158">
        <f>SUM('2.a sz. mell'!M20+'2.b sz. mell'!K20+'2.c sz. mell '!M20)</f>
        <v>0</v>
      </c>
      <c r="AF20" s="2013">
        <f>SUM('2.a sz. mell'!M20+'2.b sz. mell'!K20+'2.c sz. mell '!M20)</f>
        <v>0</v>
      </c>
    </row>
    <row r="21" spans="1:32" s="141" customFormat="1" ht="12.75" hidden="1" customHeight="1" thickBot="1" x14ac:dyDescent="0.25">
      <c r="A21" s="142"/>
      <c r="B21" s="552"/>
      <c r="C21" s="27"/>
      <c r="D21" s="144"/>
      <c r="E21" s="144"/>
      <c r="F21" s="144"/>
      <c r="G21" s="2445">
        <f t="shared" si="0"/>
        <v>0</v>
      </c>
      <c r="H21" s="144"/>
      <c r="I21" s="1382">
        <f t="shared" si="9"/>
        <v>0</v>
      </c>
      <c r="J21" s="144"/>
      <c r="K21" s="1374">
        <f t="shared" si="7"/>
        <v>0</v>
      </c>
      <c r="L21" s="144"/>
      <c r="M21" s="144"/>
      <c r="N21" s="1185" t="e">
        <f t="shared" si="8"/>
        <v>#DIV/0!</v>
      </c>
      <c r="P21" s="2003">
        <f t="shared" si="2"/>
        <v>0</v>
      </c>
      <c r="Q21" s="2003"/>
      <c r="R21" s="2354">
        <f t="shared" si="3"/>
        <v>0</v>
      </c>
      <c r="S21" s="2005"/>
      <c r="T21" s="2010">
        <f t="shared" si="4"/>
        <v>0</v>
      </c>
      <c r="U21" s="2010"/>
      <c r="V21" s="1999">
        <f t="shared" si="5"/>
        <v>0</v>
      </c>
      <c r="W21" s="2042">
        <f t="shared" si="6"/>
        <v>0</v>
      </c>
      <c r="X21" s="2056"/>
      <c r="Y21" s="2011">
        <f>SUM('2.a sz. mell'!F21+'2.b sz. mell'!D21+'2.c sz. mell '!F21)</f>
        <v>0</v>
      </c>
      <c r="Z21" s="2011"/>
      <c r="AA21" s="2354">
        <f>SUM('2.a sz. mell'!H21+'2.b sz. mell'!F21+'2.c sz. mell '!H21)</f>
        <v>0</v>
      </c>
      <c r="AB21" s="2068"/>
      <c r="AC21" s="2071">
        <f>SUM('2.a sz. mell'!J21+'2.b sz. mell'!H21+'2.c sz. mell '!J21)</f>
        <v>0</v>
      </c>
      <c r="AD21" s="2071"/>
      <c r="AE21" s="1158">
        <f>SUM('2.a sz. mell'!M21+'2.b sz. mell'!K21+'2.c sz. mell '!M21)</f>
        <v>0</v>
      </c>
      <c r="AF21" s="2013">
        <f>SUM('2.a sz. mell'!M21+'2.b sz. mell'!K21+'2.c sz. mell '!M21)</f>
        <v>0</v>
      </c>
    </row>
    <row r="22" spans="1:32" s="141" customFormat="1" ht="12.75" hidden="1" customHeight="1" thickBot="1" x14ac:dyDescent="0.25">
      <c r="A22" s="146"/>
      <c r="B22" s="552"/>
      <c r="C22" s="27"/>
      <c r="D22" s="147" t="e">
        <f>SUM(#REF!)</f>
        <v>#REF!</v>
      </c>
      <c r="E22" s="147" t="e">
        <f>SUM(#REF!)</f>
        <v>#REF!</v>
      </c>
      <c r="F22" s="147"/>
      <c r="G22" s="2445">
        <f t="shared" si="0"/>
        <v>0</v>
      </c>
      <c r="H22" s="147"/>
      <c r="I22" s="1382">
        <f t="shared" si="9"/>
        <v>0</v>
      </c>
      <c r="J22" s="147"/>
      <c r="K22" s="1374">
        <f t="shared" si="7"/>
        <v>0</v>
      </c>
      <c r="L22" s="147"/>
      <c r="M22" s="147"/>
      <c r="N22" s="1185" t="e">
        <f t="shared" si="8"/>
        <v>#DIV/0!</v>
      </c>
      <c r="P22" s="2003">
        <f t="shared" si="2"/>
        <v>0</v>
      </c>
      <c r="Q22" s="2003"/>
      <c r="R22" s="2354">
        <f t="shared" si="3"/>
        <v>0</v>
      </c>
      <c r="S22" s="2005"/>
      <c r="T22" s="2010">
        <f t="shared" si="4"/>
        <v>0</v>
      </c>
      <c r="U22" s="2010"/>
      <c r="V22" s="1999">
        <f t="shared" si="5"/>
        <v>0</v>
      </c>
      <c r="W22" s="2042">
        <f t="shared" si="6"/>
        <v>0</v>
      </c>
      <c r="X22" s="2056"/>
      <c r="Y22" s="2011">
        <f>SUM('2.a sz. mell'!F22+'2.b sz. mell'!D22+'2.c sz. mell '!F22)</f>
        <v>0</v>
      </c>
      <c r="Z22" s="2011"/>
      <c r="AA22" s="2354">
        <f>SUM('2.a sz. mell'!H22+'2.b sz. mell'!F22+'2.c sz. mell '!H22)</f>
        <v>0</v>
      </c>
      <c r="AB22" s="2068"/>
      <c r="AC22" s="2071">
        <f>SUM('2.a sz. mell'!J22+'2.b sz. mell'!H22+'2.c sz. mell '!J22)</f>
        <v>0</v>
      </c>
      <c r="AD22" s="2071"/>
      <c r="AE22" s="1158">
        <f>SUM('2.a sz. mell'!M22+'2.b sz. mell'!K22+'2.c sz. mell '!M22)</f>
        <v>0</v>
      </c>
      <c r="AF22" s="2013">
        <f>SUM('2.a sz. mell'!M22+'2.b sz. mell'!K22+'2.c sz. mell '!M22)</f>
        <v>0</v>
      </c>
    </row>
    <row r="23" spans="1:32" s="145" customFormat="1" ht="12.75" hidden="1" customHeight="1" thickBot="1" x14ac:dyDescent="0.25">
      <c r="A23" s="142"/>
      <c r="B23" s="552"/>
      <c r="C23" s="27"/>
      <c r="D23" s="144" t="e">
        <f>SUM(#REF!)</f>
        <v>#REF!</v>
      </c>
      <c r="E23" s="144" t="e">
        <f>SUM(#REF!)</f>
        <v>#REF!</v>
      </c>
      <c r="F23" s="144"/>
      <c r="G23" s="2445">
        <f t="shared" si="0"/>
        <v>0</v>
      </c>
      <c r="H23" s="144"/>
      <c r="I23" s="1382">
        <f t="shared" si="9"/>
        <v>0</v>
      </c>
      <c r="J23" s="144"/>
      <c r="K23" s="1374">
        <f t="shared" si="7"/>
        <v>0</v>
      </c>
      <c r="L23" s="144"/>
      <c r="M23" s="144"/>
      <c r="N23" s="1185" t="e">
        <f t="shared" si="8"/>
        <v>#DIV/0!</v>
      </c>
      <c r="P23" s="2003">
        <f t="shared" si="2"/>
        <v>0</v>
      </c>
      <c r="Q23" s="2003"/>
      <c r="R23" s="2354">
        <f t="shared" si="3"/>
        <v>0</v>
      </c>
      <c r="S23" s="2005"/>
      <c r="T23" s="2010">
        <f t="shared" si="4"/>
        <v>0</v>
      </c>
      <c r="U23" s="2010"/>
      <c r="V23" s="1999">
        <f t="shared" si="5"/>
        <v>0</v>
      </c>
      <c r="W23" s="2042">
        <f t="shared" si="6"/>
        <v>0</v>
      </c>
      <c r="X23" s="2056"/>
      <c r="Y23" s="2011">
        <f>SUM('2.a sz. mell'!F23+'2.b sz. mell'!D23+'2.c sz. mell '!F23)</f>
        <v>0</v>
      </c>
      <c r="Z23" s="2011"/>
      <c r="AA23" s="2354">
        <f>SUM('2.a sz. mell'!H23+'2.b sz. mell'!F23+'2.c sz. mell '!H23)</f>
        <v>0</v>
      </c>
      <c r="AB23" s="2068"/>
      <c r="AC23" s="2071">
        <f>SUM('2.a sz. mell'!J23+'2.b sz. mell'!H23+'2.c sz. mell '!J23)</f>
        <v>0</v>
      </c>
      <c r="AD23" s="2071"/>
      <c r="AE23" s="1158">
        <f>SUM('2.a sz. mell'!M23+'2.b sz. mell'!K23+'2.c sz. mell '!M23)</f>
        <v>0</v>
      </c>
      <c r="AF23" s="2013">
        <f>SUM('2.a sz. mell'!M23+'2.b sz. mell'!K23+'2.c sz. mell '!M23)</f>
        <v>0</v>
      </c>
    </row>
    <row r="24" spans="1:32" s="145" customFormat="1" ht="12.75" hidden="1" customHeight="1" thickBot="1" x14ac:dyDescent="0.25">
      <c r="A24" s="151"/>
      <c r="B24" s="554"/>
      <c r="C24" s="27"/>
      <c r="D24" s="153"/>
      <c r="E24" s="153"/>
      <c r="F24" s="153"/>
      <c r="G24" s="2445">
        <f t="shared" si="0"/>
        <v>0</v>
      </c>
      <c r="H24" s="153"/>
      <c r="I24" s="1382">
        <f t="shared" si="9"/>
        <v>0</v>
      </c>
      <c r="J24" s="153"/>
      <c r="K24" s="1374">
        <f t="shared" si="7"/>
        <v>0</v>
      </c>
      <c r="L24" s="153"/>
      <c r="M24" s="153"/>
      <c r="N24" s="1185" t="e">
        <f t="shared" si="8"/>
        <v>#DIV/0!</v>
      </c>
      <c r="P24" s="2003">
        <f t="shared" si="2"/>
        <v>0</v>
      </c>
      <c r="Q24" s="2003"/>
      <c r="R24" s="2354">
        <f t="shared" si="3"/>
        <v>0</v>
      </c>
      <c r="S24" s="2005"/>
      <c r="T24" s="2010">
        <f t="shared" si="4"/>
        <v>0</v>
      </c>
      <c r="U24" s="2010"/>
      <c r="V24" s="1999">
        <f t="shared" si="5"/>
        <v>0</v>
      </c>
      <c r="W24" s="2042">
        <f t="shared" si="6"/>
        <v>0</v>
      </c>
      <c r="X24" s="2056"/>
      <c r="Y24" s="2011">
        <f>SUM('2.a sz. mell'!F24+'2.b sz. mell'!D24+'2.c sz. mell '!F24)</f>
        <v>0</v>
      </c>
      <c r="Z24" s="2011"/>
      <c r="AA24" s="2354">
        <f>SUM('2.a sz. mell'!H24+'2.b sz. mell'!F24+'2.c sz. mell '!H24)</f>
        <v>0</v>
      </c>
      <c r="AB24" s="2068"/>
      <c r="AC24" s="2071">
        <f>SUM('2.a sz. mell'!J24+'2.b sz. mell'!H24+'2.c sz. mell '!J24)</f>
        <v>0</v>
      </c>
      <c r="AD24" s="2071"/>
      <c r="AE24" s="1158">
        <f>SUM('2.a sz. mell'!M24+'2.b sz. mell'!K24+'2.c sz. mell '!M24)</f>
        <v>0</v>
      </c>
      <c r="AF24" s="2013">
        <f>SUM('2.a sz. mell'!M24+'2.b sz. mell'!K24+'2.c sz. mell '!M24)</f>
        <v>0</v>
      </c>
    </row>
    <row r="25" spans="1:32" s="145" customFormat="1" ht="12.75" hidden="1" customHeight="1" thickBot="1" x14ac:dyDescent="0.25">
      <c r="A25" s="134"/>
      <c r="B25" s="555"/>
      <c r="C25" s="30"/>
      <c r="D25" s="155"/>
      <c r="E25" s="155"/>
      <c r="F25" s="155"/>
      <c r="G25" s="2445">
        <f t="shared" si="0"/>
        <v>0</v>
      </c>
      <c r="H25" s="155"/>
      <c r="I25" s="1382">
        <f t="shared" si="9"/>
        <v>0</v>
      </c>
      <c r="J25" s="155"/>
      <c r="K25" s="1374">
        <f t="shared" si="7"/>
        <v>0</v>
      </c>
      <c r="L25" s="155"/>
      <c r="M25" s="155"/>
      <c r="N25" s="1185" t="e">
        <f t="shared" si="8"/>
        <v>#DIV/0!</v>
      </c>
      <c r="P25" s="2003">
        <f t="shared" si="2"/>
        <v>0</v>
      </c>
      <c r="Q25" s="2003"/>
      <c r="R25" s="2354">
        <f t="shared" si="3"/>
        <v>0</v>
      </c>
      <c r="S25" s="2005"/>
      <c r="T25" s="2010">
        <f t="shared" si="4"/>
        <v>0</v>
      </c>
      <c r="U25" s="2010"/>
      <c r="V25" s="1999">
        <f t="shared" si="5"/>
        <v>0</v>
      </c>
      <c r="W25" s="2042">
        <f t="shared" si="6"/>
        <v>0</v>
      </c>
      <c r="X25" s="2056"/>
      <c r="Y25" s="2011">
        <f>SUM('2.a sz. mell'!F25+'2.b sz. mell'!D25+'2.c sz. mell '!F25)</f>
        <v>0</v>
      </c>
      <c r="Z25" s="2011"/>
      <c r="AA25" s="2354">
        <f>SUM('2.a sz. mell'!H25+'2.b sz. mell'!F25+'2.c sz. mell '!H25)</f>
        <v>0</v>
      </c>
      <c r="AB25" s="2068"/>
      <c r="AC25" s="2071">
        <f>SUM('2.a sz. mell'!J25+'2.b sz. mell'!H25+'2.c sz. mell '!J25)</f>
        <v>0</v>
      </c>
      <c r="AD25" s="2071"/>
      <c r="AE25" s="1158">
        <f>SUM('2.a sz. mell'!M25+'2.b sz. mell'!K25+'2.c sz. mell '!M25)</f>
        <v>0</v>
      </c>
      <c r="AF25" s="2013">
        <f>SUM('2.a sz. mell'!M25+'2.b sz. mell'!K25+'2.c sz. mell '!M25)</f>
        <v>0</v>
      </c>
    </row>
    <row r="26" spans="1:32" s="141" customFormat="1" ht="27.75" customHeight="1" thickBot="1" x14ac:dyDescent="0.25">
      <c r="A26" s="134" t="s">
        <v>45</v>
      </c>
      <c r="B26" s="553"/>
      <c r="C26" s="30" t="s">
        <v>237</v>
      </c>
      <c r="D26" s="137">
        <f>SUM(D28:D37)</f>
        <v>0</v>
      </c>
      <c r="E26" s="137">
        <f>SUM(E28:E37)</f>
        <v>0</v>
      </c>
      <c r="F26" s="137">
        <f>SUM('4. sz. mell.'!F19+'5. sz. mell. '!F20+'3. sz. mell'!F26)</f>
        <v>1131816130</v>
      </c>
      <c r="G26" s="1382">
        <f t="shared" si="0"/>
        <v>49947725</v>
      </c>
      <c r="H26" s="137">
        <f>SUM('4. sz. mell.'!H19+'5. sz. mell. '!H20+'3. sz. mell'!H26)</f>
        <v>1181763855</v>
      </c>
      <c r="I26" s="1382">
        <f t="shared" si="9"/>
        <v>72744424</v>
      </c>
      <c r="J26" s="137">
        <f>SUM('4. sz. mell.'!J19+'5. sz. mell. '!J20+'3. sz. mell'!J26)</f>
        <v>1254508279</v>
      </c>
      <c r="K26" s="1374">
        <f t="shared" si="7"/>
        <v>0</v>
      </c>
      <c r="L26" s="137">
        <f>SUM('4. sz. mell.'!L19+'5. sz. mell. '!L20+'3. sz. mell'!L26)</f>
        <v>1254508279</v>
      </c>
      <c r="M26" s="137">
        <f>SUM('4. sz. mell.'!M19+'5. sz. mell. '!M20+'3. sz. mell'!M26)</f>
        <v>1254508279</v>
      </c>
      <c r="N26" s="1185">
        <f t="shared" si="8"/>
        <v>106.1555803803121</v>
      </c>
      <c r="P26" s="2003">
        <f t="shared" si="2"/>
        <v>0</v>
      </c>
      <c r="Q26" s="2003"/>
      <c r="R26" s="2354">
        <f t="shared" si="3"/>
        <v>0</v>
      </c>
      <c r="S26" s="2005"/>
      <c r="T26" s="2010">
        <f t="shared" si="4"/>
        <v>0</v>
      </c>
      <c r="U26" s="2010"/>
      <c r="V26" s="1999">
        <f t="shared" si="5"/>
        <v>0</v>
      </c>
      <c r="W26" s="2042">
        <f t="shared" si="6"/>
        <v>0</v>
      </c>
      <c r="X26" s="2056"/>
      <c r="Y26" s="2011">
        <f>SUM('2.a sz. mell'!F26+'2.b sz. mell'!D26+'2.c sz. mell '!F26)</f>
        <v>1131816130</v>
      </c>
      <c r="Z26" s="2011"/>
      <c r="AA26" s="2354">
        <f>SUM('2.a sz. mell'!H26+'2.b sz. mell'!F26+'2.c sz. mell '!H26)</f>
        <v>1181763855</v>
      </c>
      <c r="AB26" s="2068"/>
      <c r="AC26" s="2071">
        <f>SUM('2.a sz. mell'!J26+'2.b sz. mell'!H26+'2.c sz. mell '!J26)</f>
        <v>1254508279</v>
      </c>
      <c r="AD26" s="2071"/>
      <c r="AE26" s="1158">
        <f>SUM('2.a sz. mell'!L26+'2.b sz. mell'!J26+'2.c sz. mell '!L26)</f>
        <v>1254508279</v>
      </c>
      <c r="AF26" s="2013">
        <f>SUM('2.a sz. mell'!M26+'2.b sz. mell'!K26+'2.c sz. mell '!M26)</f>
        <v>1254508279</v>
      </c>
    </row>
    <row r="27" spans="1:32" s="141" customFormat="1" ht="21" customHeight="1" thickBot="1" x14ac:dyDescent="0.25">
      <c r="A27" s="134" t="s">
        <v>67</v>
      </c>
      <c r="B27" s="553"/>
      <c r="C27" s="30" t="s">
        <v>293</v>
      </c>
      <c r="D27" s="156"/>
      <c r="E27" s="156"/>
      <c r="F27" s="137">
        <f>SUM('5. sz. mell. '!F27)</f>
        <v>0</v>
      </c>
      <c r="G27" s="1382">
        <f t="shared" si="0"/>
        <v>2502500</v>
      </c>
      <c r="H27" s="137">
        <f>SUM('5. sz. mell. '!H27)+'3. sz. mell'!H27</f>
        <v>2502500</v>
      </c>
      <c r="I27" s="1382">
        <f t="shared" si="9"/>
        <v>4450000</v>
      </c>
      <c r="J27" s="137">
        <f>SUM('5. sz. mell. '!J27)+'3. sz. mell'!J27</f>
        <v>6952500</v>
      </c>
      <c r="K27" s="1374">
        <f t="shared" si="7"/>
        <v>0</v>
      </c>
      <c r="L27" s="137">
        <f>SUM('5. sz. mell. '!L27)+'3. sz. mell'!L27</f>
        <v>6952500</v>
      </c>
      <c r="M27" s="137">
        <f>SUM('5. sz. mell. '!M27)+'3. sz. mell'!M27</f>
        <v>7002500</v>
      </c>
      <c r="N27" s="1185">
        <f t="shared" si="8"/>
        <v>279.82017982017982</v>
      </c>
      <c r="P27" s="2003">
        <f t="shared" si="2"/>
        <v>0</v>
      </c>
      <c r="Q27" s="2003"/>
      <c r="R27" s="2354">
        <f t="shared" si="3"/>
        <v>0</v>
      </c>
      <c r="S27" s="2005"/>
      <c r="T27" s="2010">
        <f t="shared" si="4"/>
        <v>0</v>
      </c>
      <c r="U27" s="2010"/>
      <c r="V27" s="1999">
        <f t="shared" si="5"/>
        <v>0</v>
      </c>
      <c r="W27" s="2042">
        <f t="shared" si="6"/>
        <v>0</v>
      </c>
      <c r="X27" s="2056"/>
      <c r="Y27" s="2011">
        <f>SUM('2.a sz. mell'!F27+'2.b sz. mell'!D27+'2.c sz. mell '!F27)</f>
        <v>0</v>
      </c>
      <c r="Z27" s="2011"/>
      <c r="AA27" s="2354">
        <f>SUM('2.a sz. mell'!H27+'2.b sz. mell'!F27+'2.c sz. mell '!H27)</f>
        <v>2502500</v>
      </c>
      <c r="AB27" s="2011"/>
      <c r="AC27" s="2071">
        <f>SUM('2.a sz. mell'!J27+'2.b sz. mell'!H27+'2.c sz. mell '!J27)</f>
        <v>6952500</v>
      </c>
      <c r="AD27" s="2071"/>
      <c r="AE27" s="1158">
        <f>SUM('2.a sz. mell'!L27+'2.b sz. mell'!J27+'2.c sz. mell '!L27)</f>
        <v>6952500</v>
      </c>
      <c r="AF27" s="2072">
        <f>SUM('2.a sz. mell'!M27+'2.b sz. mell'!K27+'2.c sz. mell '!M27)</f>
        <v>7002500</v>
      </c>
    </row>
    <row r="28" spans="1:32" s="145" customFormat="1" ht="30.75" customHeight="1" thickBot="1" x14ac:dyDescent="0.25">
      <c r="A28" s="134" t="s">
        <v>79</v>
      </c>
      <c r="B28" s="553"/>
      <c r="C28" s="136" t="s">
        <v>294</v>
      </c>
      <c r="D28" s="144"/>
      <c r="E28" s="144"/>
      <c r="F28" s="138">
        <f>SUM(F29:F31)</f>
        <v>200000000</v>
      </c>
      <c r="G28" s="2445">
        <f t="shared" si="0"/>
        <v>-200000000</v>
      </c>
      <c r="H28" s="138">
        <f t="shared" ref="H28:M28" si="10">SUM(H29:H31)</f>
        <v>0</v>
      </c>
      <c r="I28" s="2445">
        <f t="shared" si="10"/>
        <v>72281664</v>
      </c>
      <c r="J28" s="138">
        <f t="shared" si="10"/>
        <v>72281664</v>
      </c>
      <c r="K28" s="2445">
        <f t="shared" si="7"/>
        <v>0</v>
      </c>
      <c r="L28" s="138">
        <f t="shared" si="10"/>
        <v>72281664</v>
      </c>
      <c r="M28" s="138">
        <f t="shared" si="10"/>
        <v>72521790</v>
      </c>
      <c r="N28" s="1185" t="e">
        <f t="shared" si="8"/>
        <v>#DIV/0!</v>
      </c>
      <c r="P28" s="2003">
        <f t="shared" si="2"/>
        <v>0</v>
      </c>
      <c r="Q28" s="2003"/>
      <c r="R28" s="2354">
        <f t="shared" si="3"/>
        <v>0</v>
      </c>
      <c r="S28" s="2005"/>
      <c r="T28" s="2010">
        <f t="shared" si="4"/>
        <v>0</v>
      </c>
      <c r="U28" s="2010"/>
      <c r="V28" s="1999">
        <f t="shared" si="5"/>
        <v>0</v>
      </c>
      <c r="W28" s="2042">
        <f t="shared" si="6"/>
        <v>0</v>
      </c>
      <c r="X28" s="2056"/>
      <c r="Y28" s="2011">
        <f>SUM('2.a sz. mell'!F29+'2.b sz. mell'!D28+'2.c sz. mell '!F28)</f>
        <v>200000000</v>
      </c>
      <c r="Z28" s="2011"/>
      <c r="AA28" s="2354">
        <f>SUM('2.a sz. mell'!H29+'2.b sz. mell'!F28+'2.c sz. mell '!H28)</f>
        <v>0</v>
      </c>
      <c r="AB28" s="2068"/>
      <c r="AC28" s="2071">
        <f>SUM('2.a sz. mell'!J29+'2.b sz. mell'!H29+'2.c sz. mell '!J28)</f>
        <v>72281664</v>
      </c>
      <c r="AD28" s="2071"/>
      <c r="AE28" s="1158">
        <f>SUM('2.a sz. mell'!L29+'2.b sz. mell'!J28+'2.c sz. mell '!L28)</f>
        <v>72281664</v>
      </c>
      <c r="AF28" s="2013">
        <f>SUM('2.a sz. mell'!M29+'2.b sz. mell'!K28+'2.c sz. mell '!M28)</f>
        <v>72521790</v>
      </c>
    </row>
    <row r="29" spans="1:32" s="145" customFormat="1" ht="18.75" customHeight="1" thickBot="1" x14ac:dyDescent="0.25">
      <c r="A29" s="134" t="s">
        <v>89</v>
      </c>
      <c r="B29" s="553"/>
      <c r="C29" s="30" t="s">
        <v>271</v>
      </c>
      <c r="D29" s="144"/>
      <c r="E29" s="144"/>
      <c r="F29" s="137">
        <f>SUM('3. sz. mell'!F29)</f>
        <v>200000000</v>
      </c>
      <c r="G29" s="1382">
        <f t="shared" si="0"/>
        <v>-200000000</v>
      </c>
      <c r="H29" s="137">
        <f>SUM('3. sz. mell'!H29)</f>
        <v>0</v>
      </c>
      <c r="I29" s="1382">
        <f t="shared" ref="I29:I34" si="11">SUM(J29-H29)</f>
        <v>20000</v>
      </c>
      <c r="J29" s="137">
        <f>SUM('5. sz. mell. '!J29)</f>
        <v>20000</v>
      </c>
      <c r="K29" s="1374">
        <f t="shared" si="7"/>
        <v>0</v>
      </c>
      <c r="L29" s="137">
        <f>SUM('5. sz. mell. '!L29)</f>
        <v>20000</v>
      </c>
      <c r="M29" s="137">
        <f>SUM('5. sz. mell. '!M29)</f>
        <v>20000</v>
      </c>
      <c r="N29" s="1185"/>
      <c r="P29" s="2003">
        <f t="shared" si="2"/>
        <v>0</v>
      </c>
      <c r="Q29" s="2003"/>
      <c r="R29" s="2354">
        <f t="shared" si="3"/>
        <v>0</v>
      </c>
      <c r="S29" s="2005"/>
      <c r="T29" s="2010">
        <f t="shared" si="4"/>
        <v>0</v>
      </c>
      <c r="U29" s="2010"/>
      <c r="V29" s="1999">
        <f t="shared" si="5"/>
        <v>0</v>
      </c>
      <c r="W29" s="2042">
        <f t="shared" si="6"/>
        <v>0</v>
      </c>
      <c r="X29" s="2056"/>
      <c r="Y29" s="2011">
        <f>SUM('2.a sz. mell'!F30+'2.b sz. mell'!D29+'2.c sz. mell '!F29)</f>
        <v>200000000</v>
      </c>
      <c r="Z29" s="2011"/>
      <c r="AA29" s="2354">
        <f>SUM('2.a sz. mell'!H30+'2.b sz. mell'!F29+'2.c sz. mell '!H29)</f>
        <v>0</v>
      </c>
      <c r="AB29" s="2068"/>
      <c r="AC29" s="2071">
        <f>SUM('2.a sz. mell'!J30+'2.b sz. mell'!H30+'2.c sz. mell '!J29)</f>
        <v>20000</v>
      </c>
      <c r="AD29" s="2071"/>
      <c r="AE29" s="1158">
        <f>SUM('2.a sz. mell'!L30+'2.b sz. mell'!J29+'2.c sz. mell '!L29)</f>
        <v>20000</v>
      </c>
      <c r="AF29" s="2013">
        <f>SUM('2.a sz. mell'!M30+'2.b sz. mell'!K29+'2.c sz. mell '!M29)</f>
        <v>20000</v>
      </c>
    </row>
    <row r="30" spans="1:32" s="145" customFormat="1" ht="27" customHeight="1" thickBot="1" x14ac:dyDescent="0.25">
      <c r="A30" s="134" t="s">
        <v>99</v>
      </c>
      <c r="B30" s="553"/>
      <c r="C30" s="30" t="s">
        <v>295</v>
      </c>
      <c r="D30" s="144"/>
      <c r="E30" s="144"/>
      <c r="F30" s="137">
        <f>SUM('5. sz. mell. '!F33)</f>
        <v>0</v>
      </c>
      <c r="G30" s="1382">
        <f t="shared" si="0"/>
        <v>0</v>
      </c>
      <c r="H30" s="137">
        <f>SUM('5. sz. mell. '!H33)</f>
        <v>0</v>
      </c>
      <c r="I30" s="1382">
        <f t="shared" si="11"/>
        <v>71704828</v>
      </c>
      <c r="J30" s="137">
        <f>SUM('5. sz. mell. '!J33)+'3. sz. mell'!J30</f>
        <v>71704828</v>
      </c>
      <c r="K30" s="1374">
        <f t="shared" si="7"/>
        <v>0</v>
      </c>
      <c r="L30" s="137">
        <f>SUM('5. sz. mell. '!L33)+'3. sz. mell'!L30</f>
        <v>71704828</v>
      </c>
      <c r="M30" s="137">
        <f>SUM('5. sz. mell. '!M33)+'3. sz. mell'!M30</f>
        <v>71704828</v>
      </c>
      <c r="N30" s="1185" t="e">
        <f t="shared" si="8"/>
        <v>#DIV/0!</v>
      </c>
      <c r="P30" s="2003">
        <f t="shared" si="2"/>
        <v>0</v>
      </c>
      <c r="Q30" s="2003"/>
      <c r="R30" s="2354">
        <f t="shared" si="3"/>
        <v>0</v>
      </c>
      <c r="S30" s="2005"/>
      <c r="T30" s="2010">
        <f t="shared" si="4"/>
        <v>0</v>
      </c>
      <c r="U30" s="2010"/>
      <c r="V30" s="1999">
        <f t="shared" si="5"/>
        <v>0</v>
      </c>
      <c r="W30" s="2042">
        <f t="shared" si="6"/>
        <v>0</v>
      </c>
      <c r="X30" s="2056"/>
      <c r="Y30" s="2011">
        <f>SUM('2.a sz. mell'!F31+'2.b sz. mell'!D30+'2.c sz. mell '!F30)</f>
        <v>0</v>
      </c>
      <c r="Z30" s="2011"/>
      <c r="AA30" s="2354">
        <f>SUM('2.a sz. mell'!H31+'2.b sz. mell'!F30+'2.c sz. mell '!H30)</f>
        <v>0</v>
      </c>
      <c r="AB30" s="2068"/>
      <c r="AC30" s="2071">
        <f>SUM('2.a sz. mell'!J31+'2.b sz. mell'!H31+'2.c sz. mell '!J30)</f>
        <v>71704828</v>
      </c>
      <c r="AD30" s="2071"/>
      <c r="AE30" s="1158">
        <f>SUM('2.a sz. mell'!L31+'2.b sz. mell'!J30+'2.c sz. mell '!L30)</f>
        <v>71704828</v>
      </c>
      <c r="AF30" s="2013">
        <f>SUM('2.a sz. mell'!M31+'2.b sz. mell'!K30+'2.c sz. mell '!M30)</f>
        <v>71704828</v>
      </c>
    </row>
    <row r="31" spans="1:32" s="145" customFormat="1" ht="23.25" customHeight="1" thickBot="1" x14ac:dyDescent="0.25">
      <c r="A31" s="134" t="s">
        <v>101</v>
      </c>
      <c r="B31" s="553"/>
      <c r="C31" s="30" t="s">
        <v>296</v>
      </c>
      <c r="D31" s="144"/>
      <c r="E31" s="144"/>
      <c r="F31" s="137"/>
      <c r="G31" s="2445">
        <f t="shared" si="0"/>
        <v>0</v>
      </c>
      <c r="H31" s="137"/>
      <c r="I31" s="1382">
        <f t="shared" si="11"/>
        <v>556836</v>
      </c>
      <c r="J31" s="137">
        <f>SUM('4. sz. mell.'!J34)+'3. sz. mell'!J31</f>
        <v>556836</v>
      </c>
      <c r="K31" s="1374">
        <f t="shared" si="7"/>
        <v>0</v>
      </c>
      <c r="L31" s="137">
        <f>SUM('4. sz. mell.'!L34)+'3. sz. mell'!L31</f>
        <v>556836</v>
      </c>
      <c r="M31" s="137">
        <f>SUM('4. sz. mell.'!M34)+'3. sz. mell'!M31</f>
        <v>796962</v>
      </c>
      <c r="N31" s="1185" t="e">
        <f t="shared" si="8"/>
        <v>#DIV/0!</v>
      </c>
      <c r="P31" s="2003">
        <f t="shared" si="2"/>
        <v>0</v>
      </c>
      <c r="Q31" s="2003"/>
      <c r="R31" s="2354">
        <f t="shared" si="3"/>
        <v>0</v>
      </c>
      <c r="S31" s="2005"/>
      <c r="T31" s="2010">
        <f t="shared" si="4"/>
        <v>0</v>
      </c>
      <c r="U31" s="2010"/>
      <c r="V31" s="1999">
        <f t="shared" si="5"/>
        <v>0</v>
      </c>
      <c r="W31" s="2042">
        <f t="shared" si="6"/>
        <v>0</v>
      </c>
      <c r="X31" s="2056"/>
      <c r="Y31" s="2011">
        <f>SUM('2.a sz. mell'!F32+'2.b sz. mell'!D31+'2.c sz. mell '!F31)</f>
        <v>0</v>
      </c>
      <c r="Z31" s="2011"/>
      <c r="AA31" s="2354">
        <f>SUM('2.a sz. mell'!H32+'2.b sz. mell'!F31+'2.c sz. mell '!H31)</f>
        <v>0</v>
      </c>
      <c r="AB31" s="2068"/>
      <c r="AC31" s="2071">
        <f>SUM('2.a sz. mell'!J32+'2.b sz. mell'!H31+'2.c sz. mell '!J31)</f>
        <v>556836</v>
      </c>
      <c r="AD31" s="2013"/>
      <c r="AE31" s="1158">
        <f>SUM('2.a sz. mell'!L32+'2.b sz. mell'!J31+'2.c sz. mell '!L31)</f>
        <v>556836</v>
      </c>
      <c r="AF31" s="2013">
        <f>SUM('2.a sz. mell'!M32+'2.b sz. mell'!K31+'2.c sz. mell '!M31)</f>
        <v>796962</v>
      </c>
    </row>
    <row r="32" spans="1:32" s="145" customFormat="1" ht="23.25" customHeight="1" thickBot="1" x14ac:dyDescent="0.25">
      <c r="A32" s="134"/>
      <c r="B32" s="553"/>
      <c r="C32" s="30" t="s">
        <v>242</v>
      </c>
      <c r="D32" s="144"/>
      <c r="E32" s="144"/>
      <c r="F32" s="137">
        <f>F7+F28</f>
        <v>4289988150</v>
      </c>
      <c r="G32" s="1382">
        <f t="shared" si="0"/>
        <v>154675094</v>
      </c>
      <c r="H32" s="137">
        <f t="shared" ref="H32:M32" si="12">H7+H28</f>
        <v>4444663244</v>
      </c>
      <c r="I32" s="1382">
        <f t="shared" si="11"/>
        <v>914342283</v>
      </c>
      <c r="J32" s="137">
        <f t="shared" si="12"/>
        <v>5359005527</v>
      </c>
      <c r="K32" s="1374">
        <f t="shared" si="7"/>
        <v>0</v>
      </c>
      <c r="L32" s="137">
        <f t="shared" si="12"/>
        <v>5359005527</v>
      </c>
      <c r="M32" s="137">
        <f t="shared" si="12"/>
        <v>5370313862</v>
      </c>
      <c r="N32" s="1185"/>
      <c r="P32" s="2003"/>
      <c r="Q32" s="2003"/>
      <c r="R32" s="2354"/>
      <c r="S32" s="2005"/>
      <c r="T32" s="2010"/>
      <c r="U32" s="2010"/>
      <c r="V32" s="1999"/>
      <c r="W32" s="2042"/>
      <c r="X32" s="2056"/>
      <c r="Y32" s="2011"/>
      <c r="Z32" s="2011"/>
      <c r="AA32" s="2354"/>
      <c r="AB32" s="2068"/>
      <c r="AC32" s="2071"/>
      <c r="AD32" s="2071"/>
      <c r="AE32" s="1158"/>
      <c r="AF32" s="2013"/>
    </row>
    <row r="33" spans="1:32" s="145" customFormat="1" ht="21.75" customHeight="1" thickBot="1" x14ac:dyDescent="0.25">
      <c r="A33" s="134" t="s">
        <v>109</v>
      </c>
      <c r="B33" s="567"/>
      <c r="C33" s="136" t="s">
        <v>297</v>
      </c>
      <c r="D33" s="144"/>
      <c r="E33" s="144"/>
      <c r="F33" s="138">
        <f>SUM(F34)</f>
        <v>2835468961</v>
      </c>
      <c r="G33" s="2445">
        <f t="shared" si="0"/>
        <v>2961178328</v>
      </c>
      <c r="H33" s="138">
        <f>SUM(H34)</f>
        <v>5796647289</v>
      </c>
      <c r="I33" s="1589">
        <f t="shared" si="11"/>
        <v>-680597515</v>
      </c>
      <c r="J33" s="138">
        <f>SUM(J34)</f>
        <v>5116049774</v>
      </c>
      <c r="K33" s="1374">
        <f t="shared" si="7"/>
        <v>1747959</v>
      </c>
      <c r="L33" s="138">
        <f>SUM(L34)</f>
        <v>5117797733</v>
      </c>
      <c r="M33" s="138">
        <f>SUM(M34)</f>
        <v>5116049774</v>
      </c>
      <c r="N33" s="1185">
        <f t="shared" si="8"/>
        <v>88.258773027444064</v>
      </c>
      <c r="P33" s="2003">
        <f t="shared" ref="P33:P45" si="13">SUM(F33-Y33)</f>
        <v>0</v>
      </c>
      <c r="Q33" s="2003"/>
      <c r="R33" s="2354">
        <f t="shared" ref="R33:R45" si="14">SUM(H33-AA33)</f>
        <v>0</v>
      </c>
      <c r="S33" s="2005"/>
      <c r="T33" s="2010">
        <f t="shared" ref="T33:T45" si="15">SUM(J33-AC33)</f>
        <v>0</v>
      </c>
      <c r="U33" s="2010"/>
      <c r="V33" s="1999">
        <f t="shared" ref="V33:V45" si="16">SUM(L33-AE33)</f>
        <v>0</v>
      </c>
      <c r="W33" s="2042">
        <f t="shared" ref="W33:W42" si="17">SUM(M33-AF33)</f>
        <v>0</v>
      </c>
      <c r="X33" s="2056"/>
      <c r="Y33" s="2011">
        <f>SUM('2.a sz. mell'!F33+'2.b sz. mell'!D32+'2.c sz. mell '!F32)</f>
        <v>2835468961</v>
      </c>
      <c r="Z33" s="2011"/>
      <c r="AA33" s="2354">
        <f>SUM('2.a sz. mell'!H33+'2.b sz. mell'!F32+'2.c sz. mell '!H32)</f>
        <v>5796647289</v>
      </c>
      <c r="AB33" s="2068"/>
      <c r="AC33" s="2071">
        <f>SUM('2.a sz. mell'!J33+'2.b sz. mell'!H33+'2.c sz. mell '!J33)</f>
        <v>5116049774</v>
      </c>
      <c r="AD33" s="2071"/>
      <c r="AE33" s="1158">
        <f>SUM('2.a sz. mell'!L33+'2.b sz. mell'!J32+'2.c sz. mell '!L32)</f>
        <v>5117797733</v>
      </c>
      <c r="AF33" s="2013">
        <f>SUM('2.a sz. mell'!M33+'2.b sz. mell'!K32+'2.c sz. mell '!M32)</f>
        <v>5116049774</v>
      </c>
    </row>
    <row r="34" spans="1:32" s="145" customFormat="1" ht="16.5" customHeight="1" thickBot="1" x14ac:dyDescent="0.25">
      <c r="A34" s="134" t="s">
        <v>119</v>
      </c>
      <c r="B34" s="567"/>
      <c r="C34" s="30" t="s">
        <v>298</v>
      </c>
      <c r="D34" s="144"/>
      <c r="E34" s="144"/>
      <c r="F34" s="137">
        <f>SUM(F35:F42)-F38</f>
        <v>2835468961</v>
      </c>
      <c r="G34" s="1382">
        <f t="shared" si="0"/>
        <v>2961178328</v>
      </c>
      <c r="H34" s="137">
        <f>SUM(H35:H42)-H38</f>
        <v>5796647289</v>
      </c>
      <c r="I34" s="1374">
        <f t="shared" si="11"/>
        <v>-680597515</v>
      </c>
      <c r="J34" s="137">
        <f>SUM(J35:J42)-J38</f>
        <v>5116049774</v>
      </c>
      <c r="K34" s="1374">
        <f t="shared" si="7"/>
        <v>1747959</v>
      </c>
      <c r="L34" s="137">
        <f>SUM(L35:L42)-L38</f>
        <v>5117797733</v>
      </c>
      <c r="M34" s="137">
        <f>SUM(M35:M42)-M38</f>
        <v>5116049774</v>
      </c>
      <c r="N34" s="1185">
        <f t="shared" si="8"/>
        <v>88.258773027444064</v>
      </c>
      <c r="P34" s="2003">
        <f t="shared" si="13"/>
        <v>0</v>
      </c>
      <c r="Q34" s="2003"/>
      <c r="R34" s="2354">
        <f t="shared" si="14"/>
        <v>0</v>
      </c>
      <c r="S34" s="2005"/>
      <c r="T34" s="2010">
        <f t="shared" si="15"/>
        <v>0</v>
      </c>
      <c r="U34" s="2010"/>
      <c r="V34" s="1999">
        <f t="shared" si="16"/>
        <v>0</v>
      </c>
      <c r="W34" s="2042">
        <f t="shared" si="17"/>
        <v>0</v>
      </c>
      <c r="X34" s="2056"/>
      <c r="Y34" s="2011">
        <f>SUM('2.a sz. mell'!F34+'2.b sz. mell'!D33+'2.c sz. mell '!F33)</f>
        <v>2835468961</v>
      </c>
      <c r="Z34" s="2011"/>
      <c r="AA34" s="2354">
        <f>SUM('2.a sz. mell'!H34+'2.b sz. mell'!F33+'2.c sz. mell '!H33)</f>
        <v>5796647289</v>
      </c>
      <c r="AB34" s="2068"/>
      <c r="AC34" s="2071">
        <f>SUM('2.a sz. mell'!J34+'2.b sz. mell'!H33+'2.c sz. mell '!J33)</f>
        <v>5116049774</v>
      </c>
      <c r="AD34" s="2071"/>
      <c r="AE34" s="1158">
        <f>SUM('2.a sz. mell'!L34+'2.b sz. mell'!J33+'2.c sz. mell '!L33)</f>
        <v>5117797733</v>
      </c>
      <c r="AF34" s="2013">
        <f>SUM('2.a sz. mell'!M34+'2.b sz. mell'!K33+'2.c sz. mell '!M33)</f>
        <v>5116049774</v>
      </c>
    </row>
    <row r="35" spans="1:32" s="145" customFormat="1" ht="16.5" customHeight="1" thickBot="1" x14ac:dyDescent="0.25">
      <c r="A35" s="570"/>
      <c r="B35" s="571" t="s">
        <v>598</v>
      </c>
      <c r="C35" s="546" t="s">
        <v>102</v>
      </c>
      <c r="D35" s="547"/>
      <c r="E35" s="547"/>
      <c r="F35" s="548"/>
      <c r="G35" s="2446">
        <f t="shared" si="0"/>
        <v>200000000</v>
      </c>
      <c r="H35" s="548">
        <f>SUM('3.1. Cofog'!N109)</f>
        <v>200000000</v>
      </c>
      <c r="I35" s="2446"/>
      <c r="J35" s="548">
        <f>SUM('3.1. Cofog'!P109)</f>
        <v>0</v>
      </c>
      <c r="K35" s="2446">
        <f t="shared" si="7"/>
        <v>0</v>
      </c>
      <c r="L35" s="548">
        <f>SUM('3.1. Cofog'!R109)</f>
        <v>0</v>
      </c>
      <c r="M35" s="548">
        <f>SUM('3.1. Cofog'!S109)</f>
        <v>0</v>
      </c>
      <c r="N35" s="1185">
        <f t="shared" si="8"/>
        <v>0</v>
      </c>
      <c r="P35" s="2003">
        <f t="shared" si="13"/>
        <v>0</v>
      </c>
      <c r="Q35" s="2003"/>
      <c r="R35" s="2354"/>
      <c r="S35" s="2005"/>
      <c r="T35" s="2010"/>
      <c r="U35" s="2010"/>
      <c r="V35" s="1999"/>
      <c r="W35" s="2042"/>
      <c r="X35" s="2056"/>
      <c r="Y35" s="2011"/>
      <c r="Z35" s="2011"/>
      <c r="AA35" s="2354"/>
      <c r="AB35" s="2068"/>
      <c r="AC35" s="2071"/>
      <c r="AD35" s="2071"/>
      <c r="AE35" s="1158">
        <f>SUM('2.a sz. mell'!L35+'2.b sz. mell'!J34+'2.c sz. mell '!L34)</f>
        <v>0</v>
      </c>
      <c r="AF35" s="2013">
        <f>SUM('2.a sz. mell'!M35+'2.b sz. mell'!K34+'2.c sz. mell '!M34)</f>
        <v>0</v>
      </c>
    </row>
    <row r="36" spans="1:32" s="145" customFormat="1" ht="16.5" customHeight="1" thickBot="1" x14ac:dyDescent="0.25">
      <c r="A36" s="570"/>
      <c r="B36" s="571" t="s">
        <v>599</v>
      </c>
      <c r="C36" s="546" t="s">
        <v>110</v>
      </c>
      <c r="D36" s="547"/>
      <c r="E36" s="547"/>
      <c r="F36" s="548">
        <f>SUM('3.1. Cofog'!L107)</f>
        <v>1361850000</v>
      </c>
      <c r="G36" s="2446">
        <f t="shared" si="0"/>
        <v>1096200000</v>
      </c>
      <c r="H36" s="548">
        <f>SUM('3.1. Cofog'!N108)</f>
        <v>2458050000</v>
      </c>
      <c r="I36" s="2446">
        <f>SUM('3.1. Cofog'!O107)</f>
        <v>-1000000000</v>
      </c>
      <c r="J36" s="548">
        <f>SUM('3.1. Cofog'!P108)</f>
        <v>1658050000</v>
      </c>
      <c r="K36" s="2446">
        <f t="shared" si="7"/>
        <v>0</v>
      </c>
      <c r="L36" s="548">
        <f>SUM('3.1. Cofog'!R107)</f>
        <v>1658050000</v>
      </c>
      <c r="M36" s="548">
        <f>SUM('3.1. Cofog'!S107)</f>
        <v>1658050000</v>
      </c>
      <c r="N36" s="1185">
        <f t="shared" si="8"/>
        <v>67.453876039950373</v>
      </c>
      <c r="P36" s="2003"/>
      <c r="Q36" s="2003"/>
      <c r="R36" s="2354"/>
      <c r="S36" s="2005"/>
      <c r="T36" s="2010"/>
      <c r="U36" s="2010"/>
      <c r="V36" s="1999"/>
      <c r="W36" s="2042"/>
      <c r="X36" s="2056"/>
      <c r="Y36" s="2011"/>
      <c r="Z36" s="2011"/>
      <c r="AA36" s="2354"/>
      <c r="AB36" s="2068"/>
      <c r="AC36" s="2071"/>
      <c r="AD36" s="2071"/>
      <c r="AE36" s="1158"/>
      <c r="AF36" s="2013"/>
    </row>
    <row r="37" spans="1:32" s="145" customFormat="1" ht="16.5" customHeight="1" thickBot="1" x14ac:dyDescent="0.25">
      <c r="A37" s="570"/>
      <c r="B37" s="571" t="s">
        <v>600</v>
      </c>
      <c r="C37" s="546" t="s">
        <v>120</v>
      </c>
      <c r="D37" s="547"/>
      <c r="E37" s="547"/>
      <c r="F37" s="548">
        <f>SUM(F38:F39)</f>
        <v>0</v>
      </c>
      <c r="G37" s="2446">
        <f t="shared" si="0"/>
        <v>1311873610</v>
      </c>
      <c r="H37" s="548">
        <f t="shared" ref="H37:M37" si="18">SUM(H38:H39)</f>
        <v>1311873610</v>
      </c>
      <c r="I37" s="2446">
        <f t="shared" si="18"/>
        <v>0</v>
      </c>
      <c r="J37" s="548">
        <f t="shared" si="18"/>
        <v>1311873610</v>
      </c>
      <c r="K37" s="2446">
        <f t="shared" si="7"/>
        <v>0</v>
      </c>
      <c r="L37" s="548">
        <f t="shared" si="18"/>
        <v>1311873610</v>
      </c>
      <c r="M37" s="548">
        <f t="shared" si="18"/>
        <v>1311873610</v>
      </c>
      <c r="N37" s="1185">
        <f t="shared" si="8"/>
        <v>100</v>
      </c>
      <c r="P37" s="2003"/>
      <c r="Q37" s="2003"/>
      <c r="R37" s="2354"/>
      <c r="S37" s="2005"/>
      <c r="T37" s="2010"/>
      <c r="U37" s="2010"/>
      <c r="V37" s="1999"/>
      <c r="W37" s="2042"/>
      <c r="X37" s="2056"/>
      <c r="Y37" s="2011"/>
      <c r="Z37" s="2011"/>
      <c r="AA37" s="2354"/>
      <c r="AB37" s="2068"/>
      <c r="AC37" s="2071"/>
      <c r="AD37" s="2071"/>
      <c r="AE37" s="1158"/>
      <c r="AF37" s="2013"/>
    </row>
    <row r="38" spans="1:32" s="145" customFormat="1" ht="16.5" customHeight="1" thickBot="1" x14ac:dyDescent="0.25">
      <c r="A38" s="570"/>
      <c r="B38" s="571" t="s">
        <v>822</v>
      </c>
      <c r="C38" s="511" t="s">
        <v>803</v>
      </c>
      <c r="D38" s="547"/>
      <c r="E38" s="547"/>
      <c r="F38" s="548"/>
      <c r="G38" s="2446">
        <f t="shared" si="0"/>
        <v>1311873610</v>
      </c>
      <c r="H38" s="548">
        <f>SUM('4. sz. mell.'!H37+'5. sz. mell. '!H38)+'3.1. Cofog'!N38</f>
        <v>1311873610</v>
      </c>
      <c r="I38" s="2446">
        <f>SUM('4. sz. mell.'!I37+'5. sz. mell. '!I38)+'3.1. Cofog'!O38</f>
        <v>0</v>
      </c>
      <c r="J38" s="548">
        <f>SUM('4. sz. mell.'!J37+'5. sz. mell. '!J38)+'3.1. Cofog'!P38</f>
        <v>1311873610</v>
      </c>
      <c r="K38" s="2446">
        <f t="shared" si="7"/>
        <v>0</v>
      </c>
      <c r="L38" s="548">
        <f>SUM('4. sz. mell.'!L37+'5. sz. mell. '!L38)+'3.1. Cofog'!R38</f>
        <v>1311873610</v>
      </c>
      <c r="M38" s="548">
        <f>SUM('4. sz. mell.'!M37+'5. sz. mell. '!M38)+'3.1. Cofog'!S38</f>
        <v>1311873610</v>
      </c>
      <c r="N38" s="1185">
        <f t="shared" si="8"/>
        <v>100</v>
      </c>
      <c r="P38" s="2003"/>
      <c r="Q38" s="2003"/>
      <c r="R38" s="2354"/>
      <c r="S38" s="2005"/>
      <c r="T38" s="2010"/>
      <c r="U38" s="2010"/>
      <c r="V38" s="1999"/>
      <c r="W38" s="2042"/>
      <c r="X38" s="2056"/>
      <c r="Y38" s="2011"/>
      <c r="Z38" s="2011"/>
      <c r="AA38" s="2354"/>
      <c r="AB38" s="2068"/>
      <c r="AC38" s="2071"/>
      <c r="AD38" s="2071"/>
      <c r="AE38" s="1158"/>
      <c r="AF38" s="2013"/>
    </row>
    <row r="39" spans="1:32" s="145" customFormat="1" ht="16.5" customHeight="1" thickBot="1" x14ac:dyDescent="0.25">
      <c r="A39" s="570"/>
      <c r="B39" s="571" t="s">
        <v>823</v>
      </c>
      <c r="C39" s="511" t="s">
        <v>804</v>
      </c>
      <c r="D39" s="547"/>
      <c r="E39" s="547"/>
      <c r="F39" s="548"/>
      <c r="G39" s="2447">
        <f t="shared" si="0"/>
        <v>0</v>
      </c>
      <c r="H39" s="548"/>
      <c r="I39" s="2447"/>
      <c r="J39" s="548"/>
      <c r="K39" s="2446">
        <f t="shared" si="7"/>
        <v>0</v>
      </c>
      <c r="L39" s="548"/>
      <c r="M39" s="548"/>
      <c r="N39" s="1185" t="e">
        <f t="shared" si="8"/>
        <v>#DIV/0!</v>
      </c>
      <c r="P39" s="2003">
        <f t="shared" si="13"/>
        <v>0</v>
      </c>
      <c r="Q39" s="2003"/>
      <c r="R39" s="2354">
        <f t="shared" si="14"/>
        <v>0</v>
      </c>
      <c r="S39" s="2005"/>
      <c r="T39" s="2010">
        <f t="shared" si="15"/>
        <v>0</v>
      </c>
      <c r="U39" s="2010"/>
      <c r="V39" s="1999">
        <f t="shared" si="16"/>
        <v>0</v>
      </c>
      <c r="W39" s="2042">
        <f t="shared" si="17"/>
        <v>0</v>
      </c>
      <c r="X39" s="2056"/>
      <c r="Y39" s="2011">
        <f>SUM('2.a sz. mell'!F39+'2.b sz. mell'!D38+'2.c sz. mell '!F38)</f>
        <v>0</v>
      </c>
      <c r="Z39" s="2011"/>
      <c r="AA39" s="2354">
        <f>SUM('2.a sz. mell'!H39+'2.b sz. mell'!F38+'2.c sz. mell '!H38)</f>
        <v>0</v>
      </c>
      <c r="AB39" s="2068"/>
      <c r="AC39" s="2071">
        <f>SUM('2.a sz. mell'!J39+'2.b sz. mell'!H39+'2.c sz. mell '!J39)</f>
        <v>0</v>
      </c>
      <c r="AD39" s="2071"/>
      <c r="AE39" s="1158">
        <f>SUM('2.a sz. mell'!L39+'2.b sz. mell'!J38+'2.c sz. mell '!L38)</f>
        <v>0</v>
      </c>
      <c r="AF39" s="2013">
        <f>SUM('2.a sz. mell'!M39+'2.b sz. mell'!K38+'2.c sz. mell '!M38)</f>
        <v>0</v>
      </c>
    </row>
    <row r="40" spans="1:32" s="145" customFormat="1" ht="16.5" customHeight="1" thickBot="1" x14ac:dyDescent="0.25">
      <c r="A40" s="570"/>
      <c r="B40" s="571" t="s">
        <v>601</v>
      </c>
      <c r="C40" s="546" t="s">
        <v>1024</v>
      </c>
      <c r="D40" s="547"/>
      <c r="E40" s="547"/>
      <c r="F40" s="548"/>
      <c r="G40" s="2446">
        <f t="shared" si="0"/>
        <v>0</v>
      </c>
      <c r="H40" s="548"/>
      <c r="I40" s="2447"/>
      <c r="J40" s="548"/>
      <c r="K40" s="2446">
        <f t="shared" si="7"/>
        <v>0</v>
      </c>
      <c r="L40" s="548"/>
      <c r="M40" s="548"/>
      <c r="N40" s="1185" t="e">
        <f t="shared" si="8"/>
        <v>#DIV/0!</v>
      </c>
      <c r="O40" s="205"/>
      <c r="P40" s="2003">
        <f t="shared" si="13"/>
        <v>0</v>
      </c>
      <c r="Q40" s="2003"/>
      <c r="R40" s="2354">
        <f t="shared" si="14"/>
        <v>0</v>
      </c>
      <c r="S40" s="2005"/>
      <c r="T40" s="2010">
        <f t="shared" si="15"/>
        <v>0</v>
      </c>
      <c r="U40" s="2010"/>
      <c r="V40" s="1999">
        <f t="shared" si="16"/>
        <v>0</v>
      </c>
      <c r="W40" s="2042">
        <f t="shared" si="17"/>
        <v>0</v>
      </c>
      <c r="X40" s="2056"/>
      <c r="Y40" s="2011">
        <f>SUM('2.b sz. mell'!D39)</f>
        <v>0</v>
      </c>
      <c r="Z40" s="2011"/>
      <c r="AA40" s="2354"/>
      <c r="AB40" s="2068"/>
      <c r="AC40" s="2071"/>
      <c r="AD40" s="2071"/>
      <c r="AE40" s="1158"/>
      <c r="AF40" s="2013"/>
    </row>
    <row r="41" spans="1:32" s="145" customFormat="1" ht="16.5" customHeight="1" thickBot="1" x14ac:dyDescent="0.25">
      <c r="A41" s="570"/>
      <c r="B41" s="571" t="s">
        <v>602</v>
      </c>
      <c r="C41" s="546" t="s">
        <v>245</v>
      </c>
      <c r="D41" s="547"/>
      <c r="E41" s="547"/>
      <c r="F41" s="548">
        <f>SUM('5. sz. mell. '!F40+'4. sz. mell.'!F39)</f>
        <v>1473618961</v>
      </c>
      <c r="G41" s="2446">
        <f t="shared" si="0"/>
        <v>145582651</v>
      </c>
      <c r="H41" s="548">
        <f>SUM('5. sz. mell. '!H40+'4. sz. mell.'!H39)</f>
        <v>1619201612</v>
      </c>
      <c r="I41" s="2446">
        <f>SUM('5. sz. mell. '!I40+'4. sz. mell.'!I39)</f>
        <v>45592258</v>
      </c>
      <c r="J41" s="548">
        <f>SUM('5. sz. mell. '!J40+'4. sz. mell.'!J39)</f>
        <v>1664793870</v>
      </c>
      <c r="K41" s="2446">
        <f t="shared" si="7"/>
        <v>0</v>
      </c>
      <c r="L41" s="548">
        <f>SUM('5. sz. mell. '!L40+'4. sz. mell.'!L39)</f>
        <v>1664793870</v>
      </c>
      <c r="M41" s="548">
        <f>SUM('5. sz. mell. '!M40+'4. sz. mell.'!M39)</f>
        <v>1664793870</v>
      </c>
      <c r="N41" s="1185">
        <f t="shared" si="8"/>
        <v>102.81572459304098</v>
      </c>
      <c r="P41" s="2003">
        <f t="shared" si="13"/>
        <v>0</v>
      </c>
      <c r="Q41" s="2003"/>
      <c r="R41" s="2354">
        <f t="shared" si="14"/>
        <v>0</v>
      </c>
      <c r="S41" s="2005"/>
      <c r="T41" s="2010">
        <f t="shared" si="15"/>
        <v>0</v>
      </c>
      <c r="U41" s="2010"/>
      <c r="V41" s="1999">
        <f t="shared" si="16"/>
        <v>0</v>
      </c>
      <c r="W41" s="2042">
        <f t="shared" si="17"/>
        <v>0</v>
      </c>
      <c r="X41" s="2056"/>
      <c r="Y41" s="2011">
        <f>SUM('2.a sz. mell'!F41+'2.b sz. mell'!D40+'2.c sz. mell '!F40)</f>
        <v>1473618961</v>
      </c>
      <c r="Z41" s="2011"/>
      <c r="AA41" s="2354">
        <f>SUM('2.a sz. mell'!H41+'2.b sz. mell'!F40+'2.c sz. mell '!H40)</f>
        <v>1619201612</v>
      </c>
      <c r="AB41" s="2068"/>
      <c r="AC41" s="2071">
        <f>SUM('2.a sz. mell'!J41+'2.b sz. mell'!H40+'2.c sz. mell '!J40)</f>
        <v>1664793870</v>
      </c>
      <c r="AD41" s="2071"/>
      <c r="AE41" s="1158">
        <f>SUM('2.a sz. mell'!L41+'2.b sz. mell'!J40+'2.c sz. mell '!L40)</f>
        <v>1664793870</v>
      </c>
      <c r="AF41" s="2013">
        <f>SUM('2.a sz. mell'!M41+'2.b sz. mell'!K40+'2.c sz. mell '!M40)</f>
        <v>1664793870</v>
      </c>
    </row>
    <row r="42" spans="1:32" s="145" customFormat="1" ht="16.5" customHeight="1" thickBot="1" x14ac:dyDescent="0.25">
      <c r="A42" s="570"/>
      <c r="B42" s="571" t="s">
        <v>603</v>
      </c>
      <c r="C42" s="546" t="s">
        <v>1730</v>
      </c>
      <c r="D42" s="547"/>
      <c r="E42" s="547"/>
      <c r="F42" s="548"/>
      <c r="G42" s="2446">
        <f t="shared" si="0"/>
        <v>207522067</v>
      </c>
      <c r="H42" s="548">
        <f>SUM('3.1. Cofog'!N25)</f>
        <v>207522067</v>
      </c>
      <c r="I42" s="2446">
        <f>SUM('3.1. Cofog'!O25)</f>
        <v>273810227</v>
      </c>
      <c r="J42" s="548">
        <f>SUM('3.1. Cofog'!P25)</f>
        <v>481332294</v>
      </c>
      <c r="K42" s="2446">
        <f t="shared" si="7"/>
        <v>1747959</v>
      </c>
      <c r="L42" s="548">
        <f>SUM('3.1. Cofog'!R25)</f>
        <v>483080253</v>
      </c>
      <c r="M42" s="548">
        <f>SUM('3.1. Cofog'!S25)</f>
        <v>481332294</v>
      </c>
      <c r="N42" s="1185"/>
      <c r="P42" s="2003">
        <f t="shared" si="13"/>
        <v>0</v>
      </c>
      <c r="Q42" s="2010"/>
      <c r="R42" s="2354">
        <f t="shared" si="14"/>
        <v>0</v>
      </c>
      <c r="S42" s="2010"/>
      <c r="T42" s="2010">
        <f t="shared" si="15"/>
        <v>0</v>
      </c>
      <c r="U42" s="2010"/>
      <c r="V42" s="1999">
        <f t="shared" si="16"/>
        <v>0</v>
      </c>
      <c r="W42" s="2042">
        <f t="shared" si="17"/>
        <v>0</v>
      </c>
      <c r="X42" s="2056"/>
      <c r="Y42" s="2071"/>
      <c r="Z42" s="2071"/>
      <c r="AA42" s="2354">
        <f>SUM('2.a sz. mell'!H42)</f>
        <v>207522067</v>
      </c>
      <c r="AB42" s="2354">
        <f>SUM('2.a sz. mell'!I42)</f>
        <v>273810227</v>
      </c>
      <c r="AC42" s="2354">
        <f>SUM('2.a sz. mell'!J42)</f>
        <v>481332294</v>
      </c>
      <c r="AD42" s="2354">
        <f>SUM('2.a sz. mell'!K42)</f>
        <v>1747959</v>
      </c>
      <c r="AE42" s="1158">
        <f>SUM('2.a sz. mell'!L42)</f>
        <v>483080253</v>
      </c>
      <c r="AF42" s="2013">
        <f>SUM('2.a sz. mell'!M42)</f>
        <v>481332294</v>
      </c>
    </row>
    <row r="43" spans="1:32" s="145" customFormat="1" ht="16.5" customHeight="1" thickBot="1" x14ac:dyDescent="0.25">
      <c r="A43" s="134" t="s">
        <v>125</v>
      </c>
      <c r="B43" s="567"/>
      <c r="C43" s="30" t="s">
        <v>134</v>
      </c>
      <c r="D43" s="144"/>
      <c r="E43" s="144"/>
      <c r="F43" s="548"/>
      <c r="G43" s="1382">
        <f t="shared" si="0"/>
        <v>0</v>
      </c>
      <c r="H43" s="548"/>
      <c r="I43" s="2446"/>
      <c r="J43" s="548"/>
      <c r="K43" s="2445"/>
      <c r="L43" s="548"/>
      <c r="M43" s="548"/>
      <c r="N43" s="1185"/>
      <c r="P43" s="2003">
        <f t="shared" si="13"/>
        <v>0</v>
      </c>
      <c r="Q43" s="2003"/>
      <c r="R43" s="2354">
        <f t="shared" si="14"/>
        <v>0</v>
      </c>
      <c r="S43" s="2005"/>
      <c r="T43" s="2010">
        <f t="shared" si="15"/>
        <v>0</v>
      </c>
      <c r="U43" s="2010"/>
      <c r="V43" s="1999">
        <f t="shared" si="16"/>
        <v>0</v>
      </c>
      <c r="W43" s="2042">
        <f>SUM(M43-AF43)</f>
        <v>0</v>
      </c>
      <c r="X43" s="2056"/>
      <c r="Y43" s="2011"/>
      <c r="Z43" s="2011"/>
      <c r="AA43" s="2354"/>
      <c r="AB43" s="2068"/>
      <c r="AC43" s="2071"/>
      <c r="AD43" s="2071"/>
      <c r="AE43" s="1158"/>
      <c r="AF43" s="2013"/>
    </row>
    <row r="44" spans="1:32" s="145" customFormat="1" ht="33.75" customHeight="1" thickBot="1" x14ac:dyDescent="0.25">
      <c r="A44" s="134" t="s">
        <v>133</v>
      </c>
      <c r="B44" s="567"/>
      <c r="C44" s="30" t="s">
        <v>144</v>
      </c>
      <c r="D44" s="144"/>
      <c r="E44" s="144"/>
      <c r="F44" s="548"/>
      <c r="G44" s="1382">
        <f t="shared" si="0"/>
        <v>0</v>
      </c>
      <c r="H44" s="548"/>
      <c r="I44" s="1374"/>
      <c r="J44" s="548"/>
      <c r="K44" s="2445"/>
      <c r="L44" s="548"/>
      <c r="M44" s="548"/>
      <c r="N44" s="1185"/>
      <c r="P44" s="2003">
        <f t="shared" si="13"/>
        <v>0</v>
      </c>
      <c r="Q44" s="2003"/>
      <c r="R44" s="2354">
        <f t="shared" si="14"/>
        <v>0</v>
      </c>
      <c r="S44" s="2005"/>
      <c r="T44" s="2010">
        <f t="shared" si="15"/>
        <v>0</v>
      </c>
      <c r="U44" s="2010"/>
      <c r="V44" s="1999">
        <f t="shared" si="16"/>
        <v>0</v>
      </c>
      <c r="W44" s="2042">
        <f>SUM(M44-AF44)</f>
        <v>0</v>
      </c>
      <c r="X44" s="2056"/>
      <c r="Y44" s="2011"/>
      <c r="Z44" s="2011"/>
      <c r="AA44" s="2354"/>
      <c r="AB44" s="2068"/>
      <c r="AC44" s="140"/>
      <c r="AD44" s="140"/>
      <c r="AE44" s="1158"/>
      <c r="AF44" s="2013"/>
    </row>
    <row r="45" spans="1:32" s="145" customFormat="1" ht="16.5" customHeight="1" thickBot="1" x14ac:dyDescent="0.25">
      <c r="A45" s="2806" t="s">
        <v>143</v>
      </c>
      <c r="B45" s="2807"/>
      <c r="C45" s="2808" t="s">
        <v>299</v>
      </c>
      <c r="D45" s="2809"/>
      <c r="E45" s="2809"/>
      <c r="F45" s="2810">
        <f>SUM(F7+F28+F33)</f>
        <v>7125457111</v>
      </c>
      <c r="G45" s="2445">
        <f t="shared" si="0"/>
        <v>3115853422</v>
      </c>
      <c r="H45" s="2810">
        <f>SUM(H7+H28+H33)</f>
        <v>10241310533</v>
      </c>
      <c r="I45" s="1589">
        <f>SUM(J45-H45)</f>
        <v>233744768</v>
      </c>
      <c r="J45" s="159">
        <f>SUM(J7+J28+J33)</f>
        <v>10475055301</v>
      </c>
      <c r="K45" s="2445">
        <f t="shared" si="7"/>
        <v>1747959</v>
      </c>
      <c r="L45" s="159">
        <f>SUM(L7+L28+L33)</f>
        <v>10476803260</v>
      </c>
      <c r="M45" s="2810">
        <f>SUM(M7+M28+M33)</f>
        <v>10486363636</v>
      </c>
      <c r="N45" s="1185">
        <f t="shared" si="8"/>
        <v>102.39279047549998</v>
      </c>
      <c r="P45" s="2003">
        <f t="shared" si="13"/>
        <v>0</v>
      </c>
      <c r="Q45" s="2003"/>
      <c r="R45" s="2354">
        <f t="shared" si="14"/>
        <v>0</v>
      </c>
      <c r="S45" s="2005"/>
      <c r="T45" s="2010">
        <f t="shared" si="15"/>
        <v>0</v>
      </c>
      <c r="U45" s="2010"/>
      <c r="V45" s="1999">
        <f t="shared" si="16"/>
        <v>0</v>
      </c>
      <c r="W45" s="2042">
        <f>SUM(M45-AF45)</f>
        <v>0</v>
      </c>
      <c r="X45" s="2056"/>
      <c r="Y45" s="2011">
        <f>SUM('2.a sz. mell'!F43+'2.b sz. mell'!D41+'2.c sz. mell '!F41)</f>
        <v>7125457111</v>
      </c>
      <c r="Z45" s="2011"/>
      <c r="AA45" s="2354">
        <f>SUM('2.a sz. mell'!H43+'2.b sz. mell'!F41+'2.c sz. mell '!H41)</f>
        <v>10241310533</v>
      </c>
      <c r="AB45" s="2068"/>
      <c r="AC45" s="203">
        <f>SUM('2.a sz. mell'!J43+'2.b sz. mell'!H41+'2.c sz. mell '!J41)</f>
        <v>10475055301</v>
      </c>
      <c r="AD45" s="203"/>
      <c r="AE45" s="1158">
        <f>SUM('2.a sz. mell'!L43+'2.b sz. mell'!J41+'2.c sz. mell '!L41)</f>
        <v>10476803260</v>
      </c>
      <c r="AF45" s="2013">
        <f>SUM('2.a sz. mell'!M43+'2.b sz. mell'!K41+'2.c sz. mell '!M41)</f>
        <v>10486363636</v>
      </c>
    </row>
    <row r="46" spans="1:32" s="145" customFormat="1" ht="16.5" customHeight="1" thickBot="1" x14ac:dyDescent="0.25">
      <c r="A46" s="134" t="s">
        <v>145</v>
      </c>
      <c r="B46" s="567"/>
      <c r="C46" s="30" t="s">
        <v>300</v>
      </c>
      <c r="D46" s="147"/>
      <c r="E46" s="147"/>
      <c r="F46" s="137">
        <f>SUM(F41)</f>
        <v>1473618961</v>
      </c>
      <c r="G46" s="2445"/>
      <c r="H46" s="137">
        <f t="shared" ref="H46:M46" si="19">SUM(H41)</f>
        <v>1619201612</v>
      </c>
      <c r="I46" s="2445">
        <f t="shared" si="19"/>
        <v>45592258</v>
      </c>
      <c r="J46" s="137">
        <f t="shared" si="19"/>
        <v>1664793870</v>
      </c>
      <c r="K46" s="2445">
        <f t="shared" si="7"/>
        <v>0</v>
      </c>
      <c r="L46" s="137">
        <f t="shared" si="19"/>
        <v>1664793870</v>
      </c>
      <c r="M46" s="137">
        <f t="shared" si="19"/>
        <v>1664793870</v>
      </c>
      <c r="N46" s="1185">
        <f t="shared" si="8"/>
        <v>102.81572459304098</v>
      </c>
      <c r="P46" s="2003"/>
      <c r="Q46" s="2003"/>
      <c r="R46" s="2354"/>
      <c r="S46" s="2005"/>
      <c r="T46" s="2010"/>
      <c r="U46" s="2010"/>
      <c r="V46" s="1999"/>
      <c r="W46" s="2042"/>
      <c r="X46" s="2056"/>
      <c r="Y46" s="2011">
        <f>SUM('2.a sz. mell'!F44+'2.b sz. mell'!D42+'2.c sz. mell '!F42)</f>
        <v>1473618961</v>
      </c>
      <c r="Z46" s="2011"/>
      <c r="AA46" s="2354">
        <f>SUM('2.a sz. mell'!H44+'2.b sz. mell'!F42+'2.c sz. mell '!H42)</f>
        <v>1619201612</v>
      </c>
      <c r="AB46" s="2068"/>
      <c r="AC46" s="203">
        <f>SUM('2.a sz. mell'!J44+'2.b sz. mell'!H42+'2.c sz. mell '!J42)</f>
        <v>1664793870</v>
      </c>
      <c r="AD46" s="203"/>
      <c r="AE46" s="1158">
        <f>SUM('2.a sz. mell'!L44+'2.b sz. mell'!J42+'2.c sz. mell '!L42)</f>
        <v>1664793870</v>
      </c>
      <c r="AF46" s="2013">
        <f>SUM('2.a sz. mell'!M44+'2.b sz. mell'!K42+'2.c sz. mell '!M42)</f>
        <v>1664793870</v>
      </c>
    </row>
    <row r="47" spans="1:32" s="145" customFormat="1" ht="16.5" customHeight="1" thickBot="1" x14ac:dyDescent="0.25">
      <c r="A47" s="134" t="s">
        <v>147</v>
      </c>
      <c r="B47" s="567"/>
      <c r="C47" s="30" t="s">
        <v>813</v>
      </c>
      <c r="D47" s="147"/>
      <c r="E47" s="147"/>
      <c r="F47" s="137"/>
      <c r="G47" s="2445"/>
      <c r="H47" s="137"/>
      <c r="I47" s="1589"/>
      <c r="J47" s="137"/>
      <c r="K47" s="2445"/>
      <c r="L47" s="137"/>
      <c r="M47" s="137"/>
      <c r="N47" s="1185"/>
      <c r="P47" s="2003"/>
      <c r="Q47" s="2003"/>
      <c r="R47" s="2354"/>
      <c r="S47" s="2005"/>
      <c r="T47" s="2010">
        <f>SUM(J47-AC47)</f>
        <v>0</v>
      </c>
      <c r="U47" s="2010"/>
      <c r="V47" s="1999">
        <f>SUM(L47-AE47)</f>
        <v>0</v>
      </c>
      <c r="W47" s="2042"/>
      <c r="X47" s="2056"/>
      <c r="Y47" s="2011"/>
      <c r="Z47" s="2011"/>
      <c r="AA47" s="2354"/>
      <c r="AB47" s="2068"/>
      <c r="AC47" s="203"/>
      <c r="AD47" s="203"/>
      <c r="AE47" s="1158"/>
      <c r="AF47" s="2013"/>
    </row>
    <row r="48" spans="1:32" s="145" customFormat="1" ht="30.75" customHeight="1" thickTop="1" thickBot="1" x14ac:dyDescent="0.25">
      <c r="A48" s="2432" t="s">
        <v>246</v>
      </c>
      <c r="B48" s="556"/>
      <c r="C48" s="543" t="s">
        <v>301</v>
      </c>
      <c r="D48" s="162" t="e">
        <f>+#REF!+#REF!+#REF!</f>
        <v>#REF!</v>
      </c>
      <c r="E48" s="162" t="e">
        <f>+#REF!+#REF!+#REF!</f>
        <v>#REF!</v>
      </c>
      <c r="F48" s="544">
        <f>SUM(F7+F28+F33-F46)</f>
        <v>5651838150</v>
      </c>
      <c r="G48" s="2448">
        <f>SUM(H48-F48)</f>
        <v>2970270771</v>
      </c>
      <c r="H48" s="544">
        <f>SUM(H7+H28+H33-H46)</f>
        <v>8622108921</v>
      </c>
      <c r="I48" s="1617">
        <f>SUM(J48-H48)</f>
        <v>188152510</v>
      </c>
      <c r="J48" s="544">
        <f>SUM(J7+J28+J33-J46)-J47</f>
        <v>8810261431</v>
      </c>
      <c r="K48" s="2445">
        <f t="shared" si="7"/>
        <v>1747959</v>
      </c>
      <c r="L48" s="544">
        <f>SUM(L7+L28+L33-L46)-L47</f>
        <v>8812009390</v>
      </c>
      <c r="M48" s="544">
        <f>SUM(M7+M28+M33-M46)-M47</f>
        <v>8821569766</v>
      </c>
      <c r="N48" s="1185">
        <f t="shared" si="8"/>
        <v>102.31336494154223</v>
      </c>
      <c r="P48" s="2003"/>
      <c r="Q48" s="2003"/>
      <c r="R48" s="2354"/>
      <c r="S48" s="2005"/>
      <c r="T48" s="2010"/>
      <c r="U48" s="2010"/>
      <c r="V48" s="1999"/>
      <c r="W48" s="2042"/>
      <c r="X48" s="2056"/>
      <c r="Y48" s="2011"/>
      <c r="Z48" s="2011"/>
      <c r="AA48" s="2354"/>
      <c r="AB48" s="2068"/>
      <c r="AC48" s="203"/>
      <c r="AD48" s="203"/>
      <c r="AE48" s="1158"/>
      <c r="AF48" s="2013"/>
    </row>
    <row r="49" spans="1:32" s="145" customFormat="1" ht="15" hidden="1" customHeight="1" thickTop="1" thickBot="1" x14ac:dyDescent="0.25">
      <c r="A49" s="880"/>
      <c r="B49" s="557"/>
      <c r="C49" s="164"/>
      <c r="D49" s="165"/>
      <c r="E49" s="165"/>
      <c r="F49" s="2452"/>
      <c r="G49" s="1532"/>
      <c r="H49" s="1532"/>
      <c r="I49" s="1532"/>
      <c r="J49" s="1532"/>
      <c r="K49" s="2445">
        <f t="shared" si="7"/>
        <v>0</v>
      </c>
      <c r="L49" s="1532"/>
      <c r="M49" s="881"/>
      <c r="N49" s="1185"/>
      <c r="P49" s="2003">
        <f t="shared" ref="P49:P80" si="20">SUM(F49-Y49)</f>
        <v>0</v>
      </c>
      <c r="Q49" s="2003"/>
      <c r="R49" s="2354">
        <f t="shared" ref="R49:R80" si="21">SUM(H49-AA49)</f>
        <v>0</v>
      </c>
      <c r="S49" s="2005"/>
      <c r="T49" s="2010">
        <f t="shared" ref="T49:T99" si="22">SUM(J49-AC49)</f>
        <v>0</v>
      </c>
      <c r="U49" s="2010"/>
      <c r="V49" s="1999">
        <f t="shared" ref="V49:V58" si="23">SUM(L49-AE49)</f>
        <v>0</v>
      </c>
      <c r="W49" s="2042">
        <f t="shared" ref="W49:W58" si="24">SUM(M49-AF49)</f>
        <v>0</v>
      </c>
      <c r="X49" s="2056"/>
      <c r="Y49" s="2011">
        <f>SUM('2.a sz. mell'!F46+'2.b sz. mell'!D44+'2.c sz. mell '!F44)</f>
        <v>0</v>
      </c>
      <c r="Z49" s="2011"/>
      <c r="AA49" s="2354">
        <f>SUM('2.a sz. mell'!H46+'2.b sz. mell'!F44+'2.c sz. mell '!H44)</f>
        <v>0</v>
      </c>
      <c r="AB49" s="2068"/>
      <c r="AC49" s="203">
        <f>SUM('2.a sz. mell'!J46+'2.b sz. mell'!H44+'2.c sz. mell '!J44)</f>
        <v>0</v>
      </c>
      <c r="AD49" s="203"/>
      <c r="AE49" s="1158">
        <f>SUM('2.a sz. mell'!L46+'2.b sz. mell'!J44+'2.c sz. mell '!L44)</f>
        <v>0</v>
      </c>
      <c r="AF49" s="2013">
        <f>SUM('2.a sz. mell'!M46+'2.b sz. mell'!K44+'2.c sz. mell '!M44)</f>
        <v>0</v>
      </c>
    </row>
    <row r="50" spans="1:32" s="129" customFormat="1" ht="20.25" customHeight="1" thickTop="1" thickBot="1" x14ac:dyDescent="0.25">
      <c r="A50" s="4427" t="s">
        <v>231</v>
      </c>
      <c r="B50" s="4428"/>
      <c r="C50" s="4428"/>
      <c r="D50" s="4428"/>
      <c r="E50" s="4428"/>
      <c r="F50" s="4429"/>
      <c r="G50" s="2443"/>
      <c r="H50" s="2443"/>
      <c r="I50" s="2443"/>
      <c r="J50" s="2443"/>
      <c r="K50" s="2445">
        <f t="shared" si="7"/>
        <v>0</v>
      </c>
      <c r="L50" s="2443"/>
      <c r="M50" s="2444"/>
      <c r="N50" s="1185"/>
      <c r="P50" s="2003">
        <f t="shared" si="20"/>
        <v>0</v>
      </c>
      <c r="Q50" s="2003"/>
      <c r="R50" s="2354">
        <f t="shared" si="21"/>
        <v>0</v>
      </c>
      <c r="S50" s="2005"/>
      <c r="T50" s="2010">
        <f t="shared" si="22"/>
        <v>0</v>
      </c>
      <c r="U50" s="2010"/>
      <c r="V50" s="1999">
        <f t="shared" si="23"/>
        <v>0</v>
      </c>
      <c r="W50" s="2042">
        <f t="shared" si="24"/>
        <v>0</v>
      </c>
      <c r="X50" s="2056"/>
      <c r="Y50" s="2011">
        <f>SUM('2.a sz. mell'!F47+'2.b sz. mell'!D45+'2.c sz. mell '!F45)</f>
        <v>0</v>
      </c>
      <c r="Z50" s="2011"/>
      <c r="AA50" s="2354">
        <f>SUM('2.a sz. mell'!H47+'2.b sz. mell'!F45+'2.c sz. mell '!H45)</f>
        <v>0</v>
      </c>
      <c r="AB50" s="2068"/>
      <c r="AC50" s="203">
        <f>SUM('2.a sz. mell'!J47+'2.b sz. mell'!H45+'2.c sz. mell '!J45)</f>
        <v>0</v>
      </c>
      <c r="AD50" s="203"/>
      <c r="AE50" s="1158">
        <f>SUM('2.a sz. mell'!L47+'2.b sz. mell'!J45+'2.c sz. mell '!L45)</f>
        <v>0</v>
      </c>
      <c r="AF50" s="2013">
        <f>SUM('2.a sz. mell'!M47+'2.b sz. mell'!K45+'2.c sz. mell '!M45)</f>
        <v>0</v>
      </c>
    </row>
    <row r="51" spans="1:32" s="172" customFormat="1" ht="15" customHeight="1" thickBot="1" x14ac:dyDescent="0.25">
      <c r="A51" s="134" t="s">
        <v>3</v>
      </c>
      <c r="B51" s="558"/>
      <c r="C51" s="171" t="s">
        <v>1161</v>
      </c>
      <c r="D51" s="137" t="e">
        <f>SUM(D52:D56)+D66</f>
        <v>#REF!</v>
      </c>
      <c r="E51" s="137" t="e">
        <f>SUM(E52:E56)+E66</f>
        <v>#REF!</v>
      </c>
      <c r="F51" s="137">
        <f>SUM(F52:F56)</f>
        <v>3569233750</v>
      </c>
      <c r="G51" s="1382">
        <f t="shared" ref="G51:G91" si="25">SUM(H51-F51)</f>
        <v>803289098</v>
      </c>
      <c r="H51" s="137">
        <f>SUM(H52:H56)</f>
        <v>4372522848</v>
      </c>
      <c r="I51" s="1374">
        <f>SUM(J51-H51)</f>
        <v>175265210</v>
      </c>
      <c r="J51" s="137">
        <f>SUM(J52:J56)</f>
        <v>4547788058</v>
      </c>
      <c r="K51" s="1374">
        <f t="shared" si="7"/>
        <v>1747959</v>
      </c>
      <c r="L51" s="137">
        <f>SUM(L52:L56)</f>
        <v>4549536017</v>
      </c>
      <c r="M51" s="137">
        <f>SUM(M52:M56)</f>
        <v>4093179073</v>
      </c>
      <c r="N51" s="1185">
        <f t="shared" si="8"/>
        <v>93.611382153719973</v>
      </c>
      <c r="P51" s="2003">
        <f t="shared" si="20"/>
        <v>0</v>
      </c>
      <c r="Q51" s="2003"/>
      <c r="R51" s="2354">
        <f t="shared" si="21"/>
        <v>0</v>
      </c>
      <c r="S51" s="2005"/>
      <c r="T51" s="2010">
        <f t="shared" si="22"/>
        <v>0</v>
      </c>
      <c r="U51" s="2010"/>
      <c r="V51" s="1999">
        <f t="shared" si="23"/>
        <v>0</v>
      </c>
      <c r="W51" s="2042">
        <f t="shared" si="24"/>
        <v>0</v>
      </c>
      <c r="X51" s="2056"/>
      <c r="Y51" s="2011">
        <f>SUM('2.a sz. mell'!F48+'2.b sz. mell'!D46+'2.c sz. mell '!F46)</f>
        <v>3569233750</v>
      </c>
      <c r="Z51" s="2011"/>
      <c r="AA51" s="2354">
        <f>SUM('2.a sz. mell'!H48+'2.b sz. mell'!F46+'2.c sz. mell '!H46)</f>
        <v>4372522848</v>
      </c>
      <c r="AB51" s="2068"/>
      <c r="AC51" s="203">
        <f>SUM('2.a sz. mell'!J48+'2.b sz. mell'!H46+'2.c sz. mell '!J46)</f>
        <v>4547788058</v>
      </c>
      <c r="AD51" s="203"/>
      <c r="AE51" s="1158">
        <f>SUM('2.a sz. mell'!L48+'2.b sz. mell'!J46+'2.c sz. mell '!L46)</f>
        <v>4549536017</v>
      </c>
      <c r="AF51" s="2013">
        <f>SUM('2.a sz. mell'!M48+'2.b sz. mell'!K46+'2.c sz. mell '!M46)</f>
        <v>4093179073</v>
      </c>
    </row>
    <row r="52" spans="1:32" ht="15.6" customHeight="1" thickBot="1" x14ac:dyDescent="0.25">
      <c r="A52" s="173"/>
      <c r="B52" s="559" t="s">
        <v>152</v>
      </c>
      <c r="C52" s="55" t="s">
        <v>153</v>
      </c>
      <c r="D52" s="175" t="e">
        <f>SUM(#REF!+#REF!+#REF!+#REF!)</f>
        <v>#REF!</v>
      </c>
      <c r="E52" s="175" t="e">
        <f>SUM(#REF!+#REF!+#REF!+#REF!)</f>
        <v>#REF!</v>
      </c>
      <c r="F52" s="175">
        <f>SUM('4. sz. mell.'!F46+'5. sz. mell. '!F48+'3. sz. mell'!F38)</f>
        <v>1289676310</v>
      </c>
      <c r="G52" s="1432">
        <f t="shared" si="25"/>
        <v>92506879</v>
      </c>
      <c r="H52" s="175">
        <f>SUM('4. sz. mell.'!H46+'5. sz. mell. '!H48+'3. sz. mell'!H38)</f>
        <v>1382183189</v>
      </c>
      <c r="I52" s="1432">
        <f t="shared" ref="I52:I61" si="26">SUM(J52-H52)</f>
        <v>61462683</v>
      </c>
      <c r="J52" s="175">
        <f>SUM('4. sz. mell.'!J46+'5. sz. mell. '!J48+'3. sz. mell'!J38)</f>
        <v>1443645872</v>
      </c>
      <c r="K52" s="1432">
        <f t="shared" si="7"/>
        <v>0</v>
      </c>
      <c r="L52" s="175">
        <f>SUM('4. sz. mell.'!L46+'5. sz. mell. '!L48+'3. sz. mell'!L38)</f>
        <v>1443645872</v>
      </c>
      <c r="M52" s="175">
        <f>SUM('4. sz. mell.'!M46+'5. sz. mell. '!M48+'3. sz. mell'!M38)</f>
        <v>1413046734</v>
      </c>
      <c r="N52" s="1185">
        <f t="shared" si="8"/>
        <v>102.2329561845076</v>
      </c>
      <c r="P52" s="2003">
        <f t="shared" si="20"/>
        <v>0</v>
      </c>
      <c r="Q52" s="2003"/>
      <c r="R52" s="2354">
        <f t="shared" si="21"/>
        <v>0</v>
      </c>
      <c r="S52" s="2005"/>
      <c r="T52" s="2010">
        <f t="shared" si="22"/>
        <v>0</v>
      </c>
      <c r="U52" s="2010"/>
      <c r="V52" s="1999">
        <f t="shared" si="23"/>
        <v>0</v>
      </c>
      <c r="W52" s="2042">
        <f t="shared" si="24"/>
        <v>0</v>
      </c>
      <c r="X52" s="2056"/>
      <c r="Y52" s="2011">
        <f>SUM('2.a sz. mell'!F49+'2.b sz. mell'!D47+'2.c sz. mell '!F47)</f>
        <v>1289676310</v>
      </c>
      <c r="Z52" s="2011"/>
      <c r="AA52" s="2354">
        <f>SUM('2.a sz. mell'!H49+'2.b sz. mell'!F47+'2.c sz. mell '!H47)</f>
        <v>1382183189</v>
      </c>
      <c r="AB52" s="2068"/>
      <c r="AC52" s="203">
        <f>SUM('2.a sz. mell'!J49+'2.b sz. mell'!H47+'2.c sz. mell '!J47)</f>
        <v>1443645872</v>
      </c>
      <c r="AD52" s="203"/>
      <c r="AE52" s="1158">
        <f>SUM('2.a sz. mell'!L49+'2.b sz. mell'!J47+'2.c sz. mell '!L47)</f>
        <v>1443645872</v>
      </c>
      <c r="AF52" s="2013">
        <f>SUM('2.a sz. mell'!M49+'2.b sz. mell'!K47+'2.c sz. mell '!M47)</f>
        <v>1413046734</v>
      </c>
    </row>
    <row r="53" spans="1:32" ht="15" customHeight="1" thickBot="1" x14ac:dyDescent="0.25">
      <c r="A53" s="142"/>
      <c r="B53" s="560" t="s">
        <v>154</v>
      </c>
      <c r="C53" s="55" t="s">
        <v>155</v>
      </c>
      <c r="D53" s="144" t="e">
        <f>SUM(#REF!+#REF!+#REF!+#REF!+#REF!)</f>
        <v>#REF!</v>
      </c>
      <c r="E53" s="144" t="e">
        <f>SUM(#REF!+#REF!+#REF!+#REF!+#REF!)</f>
        <v>#REF!</v>
      </c>
      <c r="F53" s="175">
        <f>SUM('4. sz. mell.'!F47+'5. sz. mell. '!F49+'3. sz. mell'!F39)</f>
        <v>264842559</v>
      </c>
      <c r="G53" s="1432">
        <f t="shared" si="25"/>
        <v>18072831</v>
      </c>
      <c r="H53" s="175">
        <f>SUM('4. sz. mell.'!H47+'5. sz. mell. '!H49+'3. sz. mell'!H39)</f>
        <v>282915390</v>
      </c>
      <c r="I53" s="1432">
        <f t="shared" si="26"/>
        <v>5492349</v>
      </c>
      <c r="J53" s="175">
        <f>SUM('4. sz. mell.'!J47+'5. sz. mell. '!J49+'3. sz. mell'!J39)</f>
        <v>288407739</v>
      </c>
      <c r="K53" s="1432">
        <f t="shared" si="7"/>
        <v>0</v>
      </c>
      <c r="L53" s="175">
        <f>SUM('4. sz. mell.'!L47+'5. sz. mell. '!L49+'3. sz. mell'!L39)</f>
        <v>288407739</v>
      </c>
      <c r="M53" s="175">
        <f>SUM('4. sz. mell.'!M47+'5. sz. mell. '!M49+'3. sz. mell'!M39)</f>
        <v>279451575</v>
      </c>
      <c r="N53" s="1185">
        <f t="shared" si="8"/>
        <v>98.775671058403717</v>
      </c>
      <c r="P53" s="2003">
        <f t="shared" si="20"/>
        <v>0</v>
      </c>
      <c r="Q53" s="2003"/>
      <c r="R53" s="2354">
        <f t="shared" si="21"/>
        <v>0</v>
      </c>
      <c r="S53" s="2005"/>
      <c r="T53" s="2010">
        <f t="shared" si="22"/>
        <v>0</v>
      </c>
      <c r="U53" s="2010"/>
      <c r="V53" s="1999">
        <f t="shared" si="23"/>
        <v>0</v>
      </c>
      <c r="W53" s="2042">
        <f t="shared" si="24"/>
        <v>0</v>
      </c>
      <c r="X53" s="2056"/>
      <c r="Y53" s="2011">
        <f>SUM('2.a sz. mell'!F50+'2.b sz. mell'!D48+'2.c sz. mell '!F48)</f>
        <v>264842559</v>
      </c>
      <c r="Z53" s="2011"/>
      <c r="AA53" s="2354">
        <f>SUM('2.a sz. mell'!H50+'2.b sz. mell'!F48+'2.c sz. mell '!H48)</f>
        <v>282915390</v>
      </c>
      <c r="AB53" s="2068"/>
      <c r="AC53" s="203">
        <f>SUM('2.a sz. mell'!J50+'2.b sz. mell'!H48+'2.c sz. mell '!J48)</f>
        <v>288407739</v>
      </c>
      <c r="AD53" s="203"/>
      <c r="AE53" s="1158">
        <f>SUM('2.a sz. mell'!L50+'2.b sz. mell'!J48+'2.c sz. mell '!L48)</f>
        <v>288407739</v>
      </c>
      <c r="AF53" s="2013">
        <f>SUM('2.a sz. mell'!M50+'2.b sz. mell'!K48+'2.c sz. mell '!M48)</f>
        <v>279451575</v>
      </c>
    </row>
    <row r="54" spans="1:32" ht="15" customHeight="1" thickBot="1" x14ac:dyDescent="0.25">
      <c r="A54" s="142"/>
      <c r="B54" s="560" t="s">
        <v>156</v>
      </c>
      <c r="C54" s="55" t="s">
        <v>157</v>
      </c>
      <c r="D54" s="144" t="e">
        <f>SUM(#REF!+#REF!+#REF!+#REF!+#REF!+#REF!+#REF!+#REF!+#REF!+#REF!+#REF!+#REF!+#REF!)</f>
        <v>#REF!</v>
      </c>
      <c r="E54" s="144" t="e">
        <f>SUM(#REF!+#REF!+#REF!+#REF!+#REF!+#REF!+#REF!+#REF!+#REF!+#REF!+#REF!+#REF!+#REF!)</f>
        <v>#REF!</v>
      </c>
      <c r="F54" s="175">
        <f>SUM('4. sz. mell.'!F48+'5. sz. mell. '!F50+'3. sz. mell'!F40)</f>
        <v>1331218223</v>
      </c>
      <c r="G54" s="1432">
        <f t="shared" si="25"/>
        <v>549615148</v>
      </c>
      <c r="H54" s="175">
        <f>SUM('4. sz. mell.'!H48+'5. sz. mell. '!H50+'3. sz. mell'!H40)</f>
        <v>1880833371</v>
      </c>
      <c r="I54" s="1432">
        <f t="shared" si="26"/>
        <v>97480811</v>
      </c>
      <c r="J54" s="175">
        <f>SUM('4. sz. mell.'!J48+'5. sz. mell. '!J50+'3. sz. mell'!J40)</f>
        <v>1978314182</v>
      </c>
      <c r="K54" s="1432">
        <f t="shared" si="7"/>
        <v>0</v>
      </c>
      <c r="L54" s="175">
        <f>SUM('4. sz. mell.'!L48+'5. sz. mell. '!L50+'3. sz. mell'!L40)</f>
        <v>1978314182</v>
      </c>
      <c r="M54" s="175">
        <f>SUM('4. sz. mell.'!M48+'5. sz. mell. '!M50+'3. sz. mell'!M40)</f>
        <v>1698476351</v>
      </c>
      <c r="N54" s="1185">
        <f t="shared" si="8"/>
        <v>90.304456374939562</v>
      </c>
      <c r="P54" s="2003">
        <f t="shared" si="20"/>
        <v>0</v>
      </c>
      <c r="Q54" s="2003"/>
      <c r="R54" s="2354">
        <f t="shared" si="21"/>
        <v>0</v>
      </c>
      <c r="S54" s="2005"/>
      <c r="T54" s="2010">
        <f t="shared" si="22"/>
        <v>0</v>
      </c>
      <c r="U54" s="2010"/>
      <c r="V54" s="1999">
        <f t="shared" si="23"/>
        <v>0</v>
      </c>
      <c r="W54" s="2042">
        <f t="shared" si="24"/>
        <v>0</v>
      </c>
      <c r="X54" s="2056"/>
      <c r="Y54" s="2011">
        <f>SUM('2.a sz. mell'!F51+'2.b sz. mell'!D49+'2.c sz. mell '!F49)</f>
        <v>1331218223</v>
      </c>
      <c r="Z54" s="2011"/>
      <c r="AA54" s="2354">
        <f>SUM('2.a sz. mell'!H51+'2.b sz. mell'!F49+'2.c sz. mell '!H49)</f>
        <v>1880833371</v>
      </c>
      <c r="AB54" s="2068"/>
      <c r="AC54" s="203">
        <f>SUM('2.a sz. mell'!J51+'2.b sz. mell'!H49+'2.c sz. mell '!J49)</f>
        <v>1978314182</v>
      </c>
      <c r="AD54" s="203"/>
      <c r="AE54" s="1158">
        <f>SUM('2.a sz. mell'!L51+'2.b sz. mell'!J49+'2.c sz. mell '!L49)</f>
        <v>1978314182</v>
      </c>
      <c r="AF54" s="2013">
        <f>SUM('2.a sz. mell'!M51+'2.b sz. mell'!K49+'2.c sz. mell '!M49)</f>
        <v>1698476351</v>
      </c>
    </row>
    <row r="55" spans="1:32" ht="15" customHeight="1" thickBot="1" x14ac:dyDescent="0.25">
      <c r="A55" s="142"/>
      <c r="B55" s="560" t="s">
        <v>158</v>
      </c>
      <c r="C55" s="55" t="s">
        <v>159</v>
      </c>
      <c r="D55" s="144" t="e">
        <f>SUM(#REF!)</f>
        <v>#REF!</v>
      </c>
      <c r="E55" s="144" t="e">
        <f>SUM(#REF!)</f>
        <v>#REF!</v>
      </c>
      <c r="F55" s="144">
        <f>SUM('4. sz. mell.'!F49+'3. sz. mell'!F41)</f>
        <v>32000000</v>
      </c>
      <c r="G55" s="1432">
        <f t="shared" si="25"/>
        <v>22465500</v>
      </c>
      <c r="H55" s="144">
        <f>SUM('4. sz. mell.'!H49+'3. sz. mell'!H41)</f>
        <v>54465500</v>
      </c>
      <c r="I55" s="1432">
        <f t="shared" si="26"/>
        <v>3165000</v>
      </c>
      <c r="J55" s="144">
        <f>SUM('4. sz. mell.'!J49+'3. sz. mell'!J41)</f>
        <v>57630500</v>
      </c>
      <c r="K55" s="1432">
        <f t="shared" si="7"/>
        <v>0</v>
      </c>
      <c r="L55" s="144">
        <f>SUM('4. sz. mell.'!L49+'3. sz. mell'!L41)</f>
        <v>57630500</v>
      </c>
      <c r="M55" s="144">
        <f>SUM('4. sz. mell.'!M49+'3. sz. mell'!M41)</f>
        <v>54870140</v>
      </c>
      <c r="N55" s="1185">
        <f t="shared" si="8"/>
        <v>100.7429290101073</v>
      </c>
      <c r="P55" s="2003">
        <f t="shared" si="20"/>
        <v>0</v>
      </c>
      <c r="Q55" s="2003"/>
      <c r="R55" s="2354">
        <f t="shared" si="21"/>
        <v>0</v>
      </c>
      <c r="S55" s="2005"/>
      <c r="T55" s="2010">
        <f t="shared" si="22"/>
        <v>0</v>
      </c>
      <c r="U55" s="2010"/>
      <c r="V55" s="1999">
        <f t="shared" si="23"/>
        <v>0</v>
      </c>
      <c r="W55" s="2042">
        <f t="shared" si="24"/>
        <v>0</v>
      </c>
      <c r="X55" s="2056"/>
      <c r="Y55" s="2011">
        <f>SUM('2.a sz. mell'!F52+'2.b sz. mell'!D50+'2.c sz. mell '!F50)</f>
        <v>32000000</v>
      </c>
      <c r="Z55" s="2011"/>
      <c r="AA55" s="2354">
        <f>SUM('2.a sz. mell'!H52+'2.b sz. mell'!F50+'2.c sz. mell '!H50)</f>
        <v>54465500</v>
      </c>
      <c r="AB55" s="2068"/>
      <c r="AC55" s="203">
        <f>SUM('2.a sz. mell'!J52+'2.b sz. mell'!H50+'2.c sz. mell '!J50)</f>
        <v>57630500</v>
      </c>
      <c r="AD55" s="203"/>
      <c r="AE55" s="1158">
        <f>SUM('2.a sz. mell'!L52+'2.b sz. mell'!J50+'2.c sz. mell '!L50)</f>
        <v>57630500</v>
      </c>
      <c r="AF55" s="2013">
        <f>SUM('2.a sz. mell'!M52+'2.b sz. mell'!K50+'2.c sz. mell '!M50)</f>
        <v>54870140</v>
      </c>
    </row>
    <row r="56" spans="1:32" ht="15" customHeight="1" thickBot="1" x14ac:dyDescent="0.25">
      <c r="A56" s="142"/>
      <c r="B56" s="560" t="s">
        <v>160</v>
      </c>
      <c r="C56" s="55" t="s">
        <v>161</v>
      </c>
      <c r="D56" s="144" t="e">
        <f>SUM(D57:D65)</f>
        <v>#REF!</v>
      </c>
      <c r="E56" s="144" t="e">
        <f>SUM(E57:E65)</f>
        <v>#REF!</v>
      </c>
      <c r="F56" s="610">
        <f>SUM(F57:F65)</f>
        <v>651496658</v>
      </c>
      <c r="G56" s="1432">
        <f t="shared" si="25"/>
        <v>120628740</v>
      </c>
      <c r="H56" s="610">
        <f t="shared" ref="H56:M56" si="27">SUM(H57:H65)</f>
        <v>772125398</v>
      </c>
      <c r="I56" s="1432">
        <f t="shared" si="26"/>
        <v>7664367</v>
      </c>
      <c r="J56" s="610">
        <f t="shared" si="27"/>
        <v>779789765</v>
      </c>
      <c r="K56" s="1432">
        <f t="shared" si="7"/>
        <v>1747959</v>
      </c>
      <c r="L56" s="610">
        <f>SUM(L57:L65)</f>
        <v>781537724</v>
      </c>
      <c r="M56" s="610">
        <f t="shared" si="27"/>
        <v>647334273</v>
      </c>
      <c r="N56" s="1185">
        <f t="shared" si="8"/>
        <v>83.837971743548323</v>
      </c>
      <c r="P56" s="2003">
        <f t="shared" si="20"/>
        <v>0</v>
      </c>
      <c r="Q56" s="2003"/>
      <c r="R56" s="2354">
        <f t="shared" si="21"/>
        <v>0</v>
      </c>
      <c r="S56" s="2005"/>
      <c r="T56" s="2010">
        <f t="shared" si="22"/>
        <v>0</v>
      </c>
      <c r="U56" s="2010"/>
      <c r="V56" s="1999">
        <f t="shared" si="23"/>
        <v>0</v>
      </c>
      <c r="W56" s="2042">
        <f t="shared" si="24"/>
        <v>0</v>
      </c>
      <c r="X56" s="2056"/>
      <c r="Y56" s="2011">
        <f>SUM('2.a sz. mell'!F53+'2.b sz. mell'!D51+'2.c sz. mell '!F51)</f>
        <v>651496658</v>
      </c>
      <c r="Z56" s="2011"/>
      <c r="AA56" s="2354">
        <f>SUM('2.a sz. mell'!H53+'2.b sz. mell'!F51+'2.c sz. mell '!H51)</f>
        <v>772125398</v>
      </c>
      <c r="AB56" s="2068"/>
      <c r="AC56" s="203">
        <f>SUM('2.a sz. mell'!J53+'2.b sz. mell'!H51+'2.c sz. mell '!J51)</f>
        <v>779789765</v>
      </c>
      <c r="AD56" s="203"/>
      <c r="AE56" s="1158">
        <f>SUM('2.a sz. mell'!L53+'2.b sz. mell'!J51+'2.c sz. mell '!L51)</f>
        <v>781537724</v>
      </c>
      <c r="AF56" s="2013">
        <f>SUM('2.a sz. mell'!M53+'2.b sz. mell'!K51+'2.c sz. mell '!M51)</f>
        <v>647334273</v>
      </c>
    </row>
    <row r="57" spans="1:32" ht="15" customHeight="1" thickBot="1" x14ac:dyDescent="0.25">
      <c r="A57" s="142"/>
      <c r="B57" s="560" t="s">
        <v>302</v>
      </c>
      <c r="C57" s="177" t="s">
        <v>763</v>
      </c>
      <c r="D57" s="144"/>
      <c r="E57" s="144"/>
      <c r="F57" s="144">
        <f>SUM('3. sz. mell'!F43)</f>
        <v>102173234</v>
      </c>
      <c r="G57" s="1432">
        <f t="shared" si="25"/>
        <v>13018278</v>
      </c>
      <c r="H57" s="144">
        <f>SUM('3. sz. mell'!H43)</f>
        <v>115191512</v>
      </c>
      <c r="I57" s="1432">
        <f t="shared" si="26"/>
        <v>16333100</v>
      </c>
      <c r="J57" s="144">
        <f>SUM('3. sz. mell'!J43)</f>
        <v>131524612</v>
      </c>
      <c r="K57" s="1432">
        <f t="shared" si="7"/>
        <v>0</v>
      </c>
      <c r="L57" s="144">
        <f>SUM('3. sz. mell'!L43)</f>
        <v>131524612</v>
      </c>
      <c r="M57" s="144">
        <f>SUM('3. sz. mell'!M43)</f>
        <v>125251032</v>
      </c>
      <c r="N57" s="1185">
        <f t="shared" si="8"/>
        <v>108.73286566461597</v>
      </c>
      <c r="P57" s="2003">
        <f t="shared" si="20"/>
        <v>0</v>
      </c>
      <c r="Q57" s="2003"/>
      <c r="R57" s="2354">
        <f t="shared" si="21"/>
        <v>0</v>
      </c>
      <c r="S57" s="2005"/>
      <c r="T57" s="2010">
        <f t="shared" si="22"/>
        <v>0</v>
      </c>
      <c r="U57" s="2010"/>
      <c r="V57" s="1999">
        <f t="shared" si="23"/>
        <v>0</v>
      </c>
      <c r="W57" s="2042">
        <f t="shared" si="24"/>
        <v>0</v>
      </c>
      <c r="X57" s="2056"/>
      <c r="Y57" s="2011">
        <f>SUM('2.a sz. mell'!F54+'2.b sz. mell'!D52+'2.c sz. mell '!F52)</f>
        <v>102173234</v>
      </c>
      <c r="Z57" s="2011"/>
      <c r="AA57" s="2354">
        <f>SUM('2.a sz. mell'!H54+'2.b sz. mell'!F52+'2.c sz. mell '!H52)</f>
        <v>115191512</v>
      </c>
      <c r="AB57" s="2068"/>
      <c r="AC57" s="203">
        <f>SUM('2.a sz. mell'!J54+'2.b sz. mell'!H52+'2.c sz. mell '!J52)</f>
        <v>131524612</v>
      </c>
      <c r="AD57" s="203"/>
      <c r="AE57" s="1158">
        <f>SUM('2.a sz. mell'!L54+'2.b sz. mell'!J52+'2.c sz. mell '!L52)</f>
        <v>131524612</v>
      </c>
      <c r="AF57" s="2013">
        <f>SUM('2.a sz. mell'!M54+'2.b sz. mell'!K52+'2.c sz. mell '!M52)</f>
        <v>125251032</v>
      </c>
    </row>
    <row r="58" spans="1:32" ht="30.75" thickBot="1" x14ac:dyDescent="0.25">
      <c r="A58" s="142"/>
      <c r="B58" s="560" t="s">
        <v>304</v>
      </c>
      <c r="C58" s="177" t="s">
        <v>305</v>
      </c>
      <c r="D58" s="144"/>
      <c r="E58" s="144"/>
      <c r="F58" s="144">
        <f>SUM('3. sz. mell'!F44)</f>
        <v>75887000</v>
      </c>
      <c r="G58" s="1432">
        <f t="shared" si="25"/>
        <v>90320773</v>
      </c>
      <c r="H58" s="144">
        <f>SUM('3. sz. mell'!H44)</f>
        <v>166207773</v>
      </c>
      <c r="I58" s="1432">
        <f t="shared" si="26"/>
        <v>58856050</v>
      </c>
      <c r="J58" s="144">
        <f>SUM('3. sz. mell'!J44)</f>
        <v>225063823</v>
      </c>
      <c r="K58" s="1432">
        <f t="shared" si="7"/>
        <v>0</v>
      </c>
      <c r="L58" s="144">
        <f>SUM('3. sz. mell'!L44)</f>
        <v>225063823</v>
      </c>
      <c r="M58" s="144">
        <f>SUM('3. sz. mell'!M44)</f>
        <v>166102019</v>
      </c>
      <c r="N58" s="1185">
        <f t="shared" si="8"/>
        <v>99.93637241021213</v>
      </c>
      <c r="P58" s="2003">
        <f t="shared" si="20"/>
        <v>0</v>
      </c>
      <c r="Q58" s="2003"/>
      <c r="R58" s="2354">
        <f t="shared" si="21"/>
        <v>0</v>
      </c>
      <c r="S58" s="2005"/>
      <c r="T58" s="2010">
        <f t="shared" si="22"/>
        <v>0</v>
      </c>
      <c r="U58" s="2010"/>
      <c r="V58" s="1999">
        <f t="shared" si="23"/>
        <v>0</v>
      </c>
      <c r="W58" s="2042">
        <f t="shared" si="24"/>
        <v>0</v>
      </c>
      <c r="X58" s="2056"/>
      <c r="Y58" s="2011">
        <f>SUM('2.a sz. mell'!F55+'2.b sz. mell'!D53+'2.c sz. mell '!F53)</f>
        <v>75887000</v>
      </c>
      <c r="Z58" s="2011"/>
      <c r="AA58" s="2354">
        <f>SUM('2.a sz. mell'!H55+'2.b sz. mell'!F53+'2.c sz. mell '!H53)</f>
        <v>166207773</v>
      </c>
      <c r="AB58" s="2068"/>
      <c r="AC58" s="203">
        <f>SUM('2.a sz. mell'!J55+'2.b sz. mell'!H53+'2.c sz. mell '!J53)</f>
        <v>225063823</v>
      </c>
      <c r="AD58" s="203"/>
      <c r="AE58" s="1158">
        <f>SUM('2.a sz. mell'!L55+'2.b sz. mell'!J53+'2.c sz. mell '!L53)</f>
        <v>225063823</v>
      </c>
      <c r="AF58" s="2013">
        <f>SUM('2.a sz. mell'!M55+'2.b sz. mell'!K53+'2.c sz. mell '!M53)</f>
        <v>166102019</v>
      </c>
    </row>
    <row r="59" spans="1:32" ht="16.5" thickBot="1" x14ac:dyDescent="0.25">
      <c r="A59" s="142"/>
      <c r="B59" s="560" t="s">
        <v>306</v>
      </c>
      <c r="C59" s="177" t="s">
        <v>307</v>
      </c>
      <c r="D59" s="144"/>
      <c r="E59" s="144"/>
      <c r="F59" s="144">
        <f>SUM('3. sz. mell'!F46)</f>
        <v>128973000</v>
      </c>
      <c r="G59" s="1432">
        <f t="shared" si="25"/>
        <v>15771891</v>
      </c>
      <c r="H59" s="144">
        <f>SUM('3. sz. mell'!H46)</f>
        <v>144744891</v>
      </c>
      <c r="I59" s="1432">
        <f t="shared" si="26"/>
        <v>-77524783</v>
      </c>
      <c r="J59" s="144">
        <f>SUM('3. sz. mell'!J46)</f>
        <v>67220108</v>
      </c>
      <c r="K59" s="1432">
        <f t="shared" si="7"/>
        <v>0</v>
      </c>
      <c r="L59" s="144">
        <f>SUM('3. sz. mell'!L46)</f>
        <v>67220108</v>
      </c>
      <c r="M59" s="144">
        <f>SUM('3. sz. mell'!M46)</f>
        <v>0</v>
      </c>
      <c r="N59" s="1185">
        <f t="shared" si="8"/>
        <v>0</v>
      </c>
      <c r="P59" s="2003">
        <f t="shared" si="20"/>
        <v>0</v>
      </c>
      <c r="Q59" s="2003"/>
      <c r="R59" s="2354">
        <f t="shared" si="21"/>
        <v>0</v>
      </c>
      <c r="S59" s="2005"/>
      <c r="T59" s="2010">
        <f t="shared" si="22"/>
        <v>0</v>
      </c>
      <c r="U59" s="2010"/>
      <c r="V59" s="1999">
        <f t="shared" ref="V59:V100" si="28">SUM(L59-AE59)</f>
        <v>0</v>
      </c>
      <c r="W59" s="2042">
        <f t="shared" ref="W59:W100" si="29">SUM(M59-AF59)</f>
        <v>0</v>
      </c>
      <c r="X59" s="2056"/>
      <c r="Y59" s="2011">
        <f>SUM('2.a sz. mell'!F56+'2.b sz. mell'!D55+'2.c sz. mell '!F54)</f>
        <v>128973000</v>
      </c>
      <c r="Z59" s="2011"/>
      <c r="AA59" s="2354">
        <f>SUM('2.a sz. mell'!H56+'2.b sz. mell'!F55+'2.c sz. mell '!H54)</f>
        <v>144744891</v>
      </c>
      <c r="AB59" s="2068"/>
      <c r="AC59" s="203">
        <f>SUM('2.a sz. mell'!J56+'2.b sz. mell'!H55+'2.c sz. mell '!J54)</f>
        <v>67220108</v>
      </c>
      <c r="AD59" s="203"/>
      <c r="AE59" s="1158">
        <f>SUM('2.a sz. mell'!L56+'2.b sz. mell'!J55+'2.c sz. mell '!L54)</f>
        <v>67220108</v>
      </c>
      <c r="AF59" s="2013">
        <f>SUM('2.a sz. mell'!M56+'2.b sz. mell'!K55+'2.c sz. mell '!M54)</f>
        <v>0</v>
      </c>
    </row>
    <row r="60" spans="1:32" ht="30.75" thickBot="1" x14ac:dyDescent="0.25">
      <c r="A60" s="142"/>
      <c r="B60" s="560" t="s">
        <v>829</v>
      </c>
      <c r="C60" s="177" t="s">
        <v>2012</v>
      </c>
      <c r="D60" s="144"/>
      <c r="E60" s="144"/>
      <c r="F60" s="144"/>
      <c r="G60" s="1432"/>
      <c r="H60" s="144"/>
      <c r="I60" s="1432"/>
      <c r="J60" s="144">
        <f>SUM('3. sz. mell'!J47)</f>
        <v>10000000</v>
      </c>
      <c r="K60" s="1432">
        <f t="shared" si="7"/>
        <v>0</v>
      </c>
      <c r="L60" s="144">
        <f>SUM('3. sz. mell'!L47)</f>
        <v>10000000</v>
      </c>
      <c r="M60" s="144">
        <f>SUM('3. sz. mell'!M47)</f>
        <v>10000000</v>
      </c>
      <c r="N60" s="1185"/>
      <c r="P60" s="2003"/>
      <c r="Q60" s="2003"/>
      <c r="R60" s="2354"/>
      <c r="S60" s="2005"/>
      <c r="T60" s="2010"/>
      <c r="U60" s="2010"/>
      <c r="V60" s="1999">
        <f t="shared" ref="V60" si="30">SUM(L60-AE60)</f>
        <v>0</v>
      </c>
      <c r="W60" s="2042">
        <f t="shared" ref="W60" si="31">SUM(M60-AF60)</f>
        <v>0</v>
      </c>
      <c r="X60" s="2056"/>
      <c r="Y60" s="2011"/>
      <c r="Z60" s="2011"/>
      <c r="AA60" s="2354"/>
      <c r="AB60" s="2068"/>
      <c r="AC60" s="203"/>
      <c r="AD60" s="203"/>
      <c r="AE60" s="1158">
        <f>SUM('2.b sz. mell'!J56)</f>
        <v>10000000</v>
      </c>
      <c r="AF60" s="2013">
        <f>SUM('2.b sz. mell'!K56)</f>
        <v>10000000</v>
      </c>
    </row>
    <row r="61" spans="1:32" ht="12.75" customHeight="1" thickBot="1" x14ac:dyDescent="0.25">
      <c r="A61" s="142"/>
      <c r="B61" s="560" t="s">
        <v>937</v>
      </c>
      <c r="C61" s="177" t="s">
        <v>876</v>
      </c>
      <c r="D61" s="144" t="e">
        <f>SUM(#REF!)</f>
        <v>#REF!</v>
      </c>
      <c r="E61" s="144" t="e">
        <f>SUM(#REF!)-#REF!-#REF!</f>
        <v>#REF!</v>
      </c>
      <c r="F61" s="144">
        <f>SUM('3. sz. mell'!F53)</f>
        <v>344463424</v>
      </c>
      <c r="G61" s="1432">
        <f t="shared" si="25"/>
        <v>1517798</v>
      </c>
      <c r="H61" s="144">
        <f>SUM('3. sz. mell'!H53)</f>
        <v>345981222</v>
      </c>
      <c r="I61" s="1432">
        <f t="shared" si="26"/>
        <v>0</v>
      </c>
      <c r="J61" s="144">
        <f>SUM('3. sz. mell'!J53)</f>
        <v>345981222</v>
      </c>
      <c r="K61" s="1432">
        <f t="shared" si="7"/>
        <v>1747959</v>
      </c>
      <c r="L61" s="144">
        <f>SUM('3. sz. mell'!L53)</f>
        <v>347729181</v>
      </c>
      <c r="M61" s="144">
        <f>SUM('3. sz. mell'!M53)</f>
        <v>345981222</v>
      </c>
      <c r="N61" s="1185">
        <f t="shared" si="8"/>
        <v>100</v>
      </c>
      <c r="P61" s="2003">
        <f t="shared" si="20"/>
        <v>0</v>
      </c>
      <c r="Q61" s="2003"/>
      <c r="R61" s="2354">
        <f t="shared" si="21"/>
        <v>0</v>
      </c>
      <c r="S61" s="2005"/>
      <c r="T61" s="2010">
        <f t="shared" si="22"/>
        <v>-10000000</v>
      </c>
      <c r="U61" s="2010"/>
      <c r="V61" s="1999">
        <f t="shared" si="28"/>
        <v>0</v>
      </c>
      <c r="W61" s="2042">
        <f t="shared" si="29"/>
        <v>0</v>
      </c>
      <c r="X61" s="2056"/>
      <c r="Y61" s="2011">
        <f>SUM('2.a sz. mell'!F57+'2.b sz. mell'!D56+'2.c sz. mell '!F55)</f>
        <v>344463424</v>
      </c>
      <c r="Z61" s="2011"/>
      <c r="AA61" s="2354">
        <f>SUM('2.a sz. mell'!H57+'2.b sz. mell'!F56+'2.c sz. mell '!H55)</f>
        <v>345981222</v>
      </c>
      <c r="AB61" s="2068"/>
      <c r="AC61" s="203">
        <f>SUM('2.a sz. mell'!J57+'2.b sz. mell'!H56+'2.c sz. mell '!J55)</f>
        <v>355981222</v>
      </c>
      <c r="AD61" s="203"/>
      <c r="AE61" s="1158">
        <f>SUM('2.a sz. mell'!L57)</f>
        <v>347729181</v>
      </c>
      <c r="AF61" s="2013">
        <f>SUM('2.a sz. mell'!M57)</f>
        <v>345981222</v>
      </c>
    </row>
    <row r="62" spans="1:32" ht="12.75" hidden="1" customHeight="1" thickBot="1" x14ac:dyDescent="0.25">
      <c r="A62" s="142"/>
      <c r="B62" s="560"/>
      <c r="C62" s="177"/>
      <c r="D62" s="144"/>
      <c r="E62" s="144" t="e">
        <f>#REF!+#REF!+#REF!</f>
        <v>#REF!</v>
      </c>
      <c r="F62" s="144"/>
      <c r="G62" s="1432">
        <f t="shared" si="25"/>
        <v>0</v>
      </c>
      <c r="H62" s="144"/>
      <c r="I62" s="1386">
        <f t="shared" ref="I62:I67" si="32">SUM(J62-H62)</f>
        <v>0</v>
      </c>
      <c r="J62" s="144"/>
      <c r="K62" s="2445">
        <f t="shared" si="7"/>
        <v>0</v>
      </c>
      <c r="L62" s="144"/>
      <c r="M62" s="144"/>
      <c r="N62" s="1185" t="e">
        <f t="shared" si="8"/>
        <v>#DIV/0!</v>
      </c>
      <c r="P62" s="2003">
        <f t="shared" si="20"/>
        <v>0</v>
      </c>
      <c r="Q62" s="2003"/>
      <c r="R62" s="2354">
        <f t="shared" si="21"/>
        <v>0</v>
      </c>
      <c r="S62" s="2005"/>
      <c r="T62" s="2010">
        <f t="shared" si="22"/>
        <v>0</v>
      </c>
      <c r="U62" s="2010"/>
      <c r="V62" s="1999">
        <f t="shared" si="28"/>
        <v>0</v>
      </c>
      <c r="W62" s="2042">
        <f t="shared" si="29"/>
        <v>0</v>
      </c>
      <c r="X62" s="2056"/>
      <c r="Y62" s="2011">
        <f>SUM('2.a sz. mell'!F58+'2.b sz. mell'!D57+'2.c sz. mell '!F56)</f>
        <v>0</v>
      </c>
      <c r="Z62" s="2011"/>
      <c r="AA62" s="2354">
        <f>SUM('2.a sz. mell'!H58+'2.b sz. mell'!F57+'2.c sz. mell '!H56)</f>
        <v>0</v>
      </c>
      <c r="AB62" s="2068"/>
      <c r="AC62" s="203">
        <f>SUM('2.a sz. mell'!J58+'2.b sz. mell'!H57+'2.c sz. mell '!J56)</f>
        <v>0</v>
      </c>
      <c r="AD62" s="203"/>
      <c r="AE62" s="1158">
        <f>SUM('2.a sz. mell'!L58+'2.b sz. mell'!J57+'2.c sz. mell '!L56)</f>
        <v>0</v>
      </c>
      <c r="AF62" s="2013">
        <f>SUM('2.a sz. mell'!M58+'2.b sz. mell'!K57+'2.c sz. mell '!M56)</f>
        <v>0</v>
      </c>
    </row>
    <row r="63" spans="1:32" ht="12.75" hidden="1" customHeight="1" thickBot="1" x14ac:dyDescent="0.25">
      <c r="A63" s="142"/>
      <c r="B63" s="560"/>
      <c r="C63" s="177"/>
      <c r="D63" s="144"/>
      <c r="E63" s="144"/>
      <c r="F63" s="144"/>
      <c r="G63" s="1432">
        <f t="shared" si="25"/>
        <v>0</v>
      </c>
      <c r="H63" s="144"/>
      <c r="I63" s="1386">
        <f t="shared" si="32"/>
        <v>0</v>
      </c>
      <c r="J63" s="144"/>
      <c r="K63" s="2445">
        <f t="shared" si="7"/>
        <v>0</v>
      </c>
      <c r="L63" s="144"/>
      <c r="M63" s="144"/>
      <c r="N63" s="1185" t="e">
        <f t="shared" si="8"/>
        <v>#DIV/0!</v>
      </c>
      <c r="P63" s="2003">
        <f t="shared" si="20"/>
        <v>0</v>
      </c>
      <c r="Q63" s="2003"/>
      <c r="R63" s="2354">
        <f t="shared" si="21"/>
        <v>0</v>
      </c>
      <c r="S63" s="2005"/>
      <c r="T63" s="2010">
        <f t="shared" si="22"/>
        <v>0</v>
      </c>
      <c r="U63" s="2010"/>
      <c r="V63" s="1999">
        <f t="shared" si="28"/>
        <v>0</v>
      </c>
      <c r="W63" s="2042">
        <f t="shared" si="29"/>
        <v>0</v>
      </c>
      <c r="X63" s="2056"/>
      <c r="Y63" s="2011">
        <f>SUM('2.a sz. mell'!F59+'2.b sz. mell'!D58+'2.c sz. mell '!F57)</f>
        <v>0</v>
      </c>
      <c r="Z63" s="2011"/>
      <c r="AA63" s="2354">
        <f>SUM('2.a sz. mell'!H59+'2.b sz. mell'!F58+'2.c sz. mell '!H57)</f>
        <v>0</v>
      </c>
      <c r="AB63" s="2068"/>
      <c r="AC63" s="203">
        <f>SUM('2.a sz. mell'!J59+'2.b sz. mell'!H58+'2.c sz. mell '!J57)</f>
        <v>0</v>
      </c>
      <c r="AD63" s="203"/>
      <c r="AE63" s="1158">
        <f>SUM('2.a sz. mell'!L59+'2.b sz. mell'!J58+'2.c sz. mell '!L57)</f>
        <v>0</v>
      </c>
      <c r="AF63" s="2013">
        <f>SUM('2.a sz. mell'!M59+'2.b sz. mell'!K58+'2.c sz. mell '!M57)</f>
        <v>0</v>
      </c>
    </row>
    <row r="64" spans="1:32" ht="12.75" hidden="1" customHeight="1" thickBot="1" x14ac:dyDescent="0.25">
      <c r="A64" s="142"/>
      <c r="B64" s="560"/>
      <c r="C64" s="177"/>
      <c r="D64" s="144" t="e">
        <f>SUM(#REF!)</f>
        <v>#REF!</v>
      </c>
      <c r="E64" s="144" t="e">
        <f>SUM(#REF!)</f>
        <v>#REF!</v>
      </c>
      <c r="F64" s="144"/>
      <c r="G64" s="1432">
        <f t="shared" si="25"/>
        <v>0</v>
      </c>
      <c r="H64" s="144"/>
      <c r="I64" s="1386">
        <f t="shared" si="32"/>
        <v>0</v>
      </c>
      <c r="J64" s="144"/>
      <c r="K64" s="2445">
        <f t="shared" si="7"/>
        <v>0</v>
      </c>
      <c r="L64" s="144"/>
      <c r="M64" s="144"/>
      <c r="N64" s="1185" t="e">
        <f t="shared" si="8"/>
        <v>#DIV/0!</v>
      </c>
      <c r="P64" s="2003">
        <f t="shared" si="20"/>
        <v>0</v>
      </c>
      <c r="Q64" s="2003"/>
      <c r="R64" s="2354">
        <f t="shared" si="21"/>
        <v>0</v>
      </c>
      <c r="S64" s="2005"/>
      <c r="T64" s="2010">
        <f t="shared" si="22"/>
        <v>0</v>
      </c>
      <c r="U64" s="2010"/>
      <c r="V64" s="1999">
        <f t="shared" si="28"/>
        <v>0</v>
      </c>
      <c r="W64" s="2042">
        <f t="shared" si="29"/>
        <v>0</v>
      </c>
      <c r="X64" s="2056"/>
      <c r="Y64" s="2011">
        <f>SUM('2.a sz. mell'!F60+'2.b sz. mell'!D59+'2.c sz. mell '!F58)</f>
        <v>0</v>
      </c>
      <c r="Z64" s="2011"/>
      <c r="AA64" s="2354">
        <f>SUM('2.a sz. mell'!H60+'2.b sz. mell'!F59+'2.c sz. mell '!H58)</f>
        <v>0</v>
      </c>
      <c r="AB64" s="2068"/>
      <c r="AC64" s="203">
        <f>SUM('2.a sz. mell'!J60+'2.b sz. mell'!H59+'2.c sz. mell '!J58)</f>
        <v>0</v>
      </c>
      <c r="AD64" s="203"/>
      <c r="AE64" s="1158">
        <f>SUM('2.a sz. mell'!L60+'2.b sz. mell'!J59+'2.c sz. mell '!L58)</f>
        <v>0</v>
      </c>
      <c r="AF64" s="2013">
        <f>SUM('2.a sz. mell'!M60+'2.b sz. mell'!K59+'2.c sz. mell '!M58)</f>
        <v>0</v>
      </c>
    </row>
    <row r="65" spans="1:34" ht="12.75" hidden="1" customHeight="1" thickBot="1" x14ac:dyDescent="0.25">
      <c r="A65" s="151"/>
      <c r="B65" s="560"/>
      <c r="C65" s="177"/>
      <c r="D65" s="153"/>
      <c r="E65" s="153"/>
      <c r="F65" s="153"/>
      <c r="G65" s="1432">
        <f t="shared" si="25"/>
        <v>0</v>
      </c>
      <c r="H65" s="153"/>
      <c r="I65" s="1386">
        <f t="shared" si="32"/>
        <v>0</v>
      </c>
      <c r="J65" s="153"/>
      <c r="K65" s="2445">
        <f t="shared" si="7"/>
        <v>0</v>
      </c>
      <c r="L65" s="153"/>
      <c r="M65" s="153"/>
      <c r="N65" s="1185" t="e">
        <f t="shared" si="8"/>
        <v>#DIV/0!</v>
      </c>
      <c r="P65" s="2003">
        <f t="shared" si="20"/>
        <v>0</v>
      </c>
      <c r="Q65" s="2003"/>
      <c r="R65" s="2354">
        <f t="shared" si="21"/>
        <v>0</v>
      </c>
      <c r="S65" s="2005"/>
      <c r="T65" s="2010">
        <f t="shared" si="22"/>
        <v>0</v>
      </c>
      <c r="U65" s="2010"/>
      <c r="V65" s="1999">
        <f t="shared" si="28"/>
        <v>0</v>
      </c>
      <c r="W65" s="2042">
        <f t="shared" si="29"/>
        <v>0</v>
      </c>
      <c r="X65" s="2056"/>
      <c r="Y65" s="2011">
        <f>SUM('2.a sz. mell'!F61+'2.b sz. mell'!D60+'2.c sz. mell '!F59)</f>
        <v>0</v>
      </c>
      <c r="Z65" s="2011"/>
      <c r="AA65" s="2354">
        <f>SUM('2.a sz. mell'!H61+'2.b sz. mell'!F60+'2.c sz. mell '!H59)</f>
        <v>0</v>
      </c>
      <c r="AB65" s="2068"/>
      <c r="AC65" s="203">
        <f>SUM('2.a sz. mell'!J61+'2.b sz. mell'!H60+'2.c sz. mell '!J59)</f>
        <v>0</v>
      </c>
      <c r="AD65" s="203"/>
      <c r="AE65" s="1158">
        <f>SUM('2.a sz. mell'!L61+'2.b sz. mell'!J60+'2.c sz. mell '!L59)</f>
        <v>0</v>
      </c>
      <c r="AF65" s="2013">
        <f>SUM('2.a sz. mell'!M61+'2.b sz. mell'!K60+'2.c sz. mell '!M59)</f>
        <v>0</v>
      </c>
    </row>
    <row r="66" spans="1:34" ht="12.75" hidden="1" customHeight="1" thickBot="1" x14ac:dyDescent="0.25">
      <c r="A66" s="178"/>
      <c r="B66" s="561"/>
      <c r="C66" s="180"/>
      <c r="D66" s="181" t="e">
        <f>SUM(#REF!)</f>
        <v>#REF!</v>
      </c>
      <c r="E66" s="181" t="e">
        <f>#REF!</f>
        <v>#REF!</v>
      </c>
      <c r="F66" s="181"/>
      <c r="G66" s="1432">
        <f t="shared" si="25"/>
        <v>0</v>
      </c>
      <c r="H66" s="181"/>
      <c r="I66" s="1386">
        <f t="shared" si="32"/>
        <v>0</v>
      </c>
      <c r="J66" s="181"/>
      <c r="K66" s="2445">
        <f t="shared" si="7"/>
        <v>0</v>
      </c>
      <c r="L66" s="181"/>
      <c r="M66" s="181"/>
      <c r="N66" s="1185" t="e">
        <f t="shared" si="8"/>
        <v>#DIV/0!</v>
      </c>
      <c r="P66" s="2003">
        <f t="shared" si="20"/>
        <v>0</v>
      </c>
      <c r="Q66" s="2003"/>
      <c r="R66" s="2354">
        <f t="shared" si="21"/>
        <v>0</v>
      </c>
      <c r="S66" s="2005"/>
      <c r="T66" s="2010">
        <f t="shared" si="22"/>
        <v>0</v>
      </c>
      <c r="U66" s="2010"/>
      <c r="V66" s="1999">
        <f t="shared" si="28"/>
        <v>0</v>
      </c>
      <c r="W66" s="2042">
        <f t="shared" si="29"/>
        <v>0</v>
      </c>
      <c r="X66" s="2056"/>
      <c r="Y66" s="2011">
        <f>SUM('2.a sz. mell'!F62+'2.b sz. mell'!D61+'2.c sz. mell '!F60)</f>
        <v>0</v>
      </c>
      <c r="Z66" s="2011"/>
      <c r="AA66" s="2354">
        <f>SUM('2.a sz. mell'!H62+'2.b sz. mell'!F61+'2.c sz. mell '!H60)</f>
        <v>0</v>
      </c>
      <c r="AB66" s="2068"/>
      <c r="AC66" s="203">
        <f>SUM('2.a sz. mell'!J62+'2.b sz. mell'!H61+'2.c sz. mell '!J60)</f>
        <v>0</v>
      </c>
      <c r="AD66" s="203"/>
      <c r="AE66" s="1158">
        <f>SUM('2.a sz. mell'!L62+'2.b sz. mell'!J61+'2.c sz. mell '!L60)</f>
        <v>0</v>
      </c>
      <c r="AF66" s="2013">
        <f>SUM('2.a sz. mell'!M62+'2.b sz. mell'!K61+'2.c sz. mell '!M60)</f>
        <v>0</v>
      </c>
    </row>
    <row r="67" spans="1:34" ht="15" customHeight="1" thickBot="1" x14ac:dyDescent="0.25">
      <c r="A67" s="134" t="s">
        <v>17</v>
      </c>
      <c r="B67" s="558"/>
      <c r="C67" s="171" t="s">
        <v>308</v>
      </c>
      <c r="D67" s="137" t="e">
        <f>SUM(D68:D70)</f>
        <v>#REF!</v>
      </c>
      <c r="E67" s="137" t="e">
        <f>SUM(E68:E70)</f>
        <v>#REF!</v>
      </c>
      <c r="F67" s="137">
        <f>SUM(F68:F70)</f>
        <v>1501283400</v>
      </c>
      <c r="G67" s="1382">
        <f t="shared" si="25"/>
        <v>845874212</v>
      </c>
      <c r="H67" s="137">
        <f>SUM(H68:H70)</f>
        <v>2347157612</v>
      </c>
      <c r="I67" s="1374">
        <f t="shared" si="32"/>
        <v>-81819741</v>
      </c>
      <c r="J67" s="137">
        <f>SUM(J68:J70)</f>
        <v>2265337871</v>
      </c>
      <c r="K67" s="1374">
        <f t="shared" si="7"/>
        <v>0</v>
      </c>
      <c r="L67" s="137">
        <f>SUM(L68:L70)</f>
        <v>2265337871</v>
      </c>
      <c r="M67" s="137">
        <f>SUM(M68:M70)</f>
        <v>1277925554</v>
      </c>
      <c r="N67" s="1185">
        <f t="shared" si="8"/>
        <v>54.445664299087561</v>
      </c>
      <c r="P67" s="2003">
        <f t="shared" si="20"/>
        <v>0</v>
      </c>
      <c r="Q67" s="2003"/>
      <c r="R67" s="2354">
        <f t="shared" si="21"/>
        <v>0</v>
      </c>
      <c r="S67" s="2005"/>
      <c r="T67" s="2010">
        <f t="shared" si="22"/>
        <v>0</v>
      </c>
      <c r="U67" s="2010"/>
      <c r="V67" s="1999">
        <f t="shared" si="28"/>
        <v>0</v>
      </c>
      <c r="W67" s="2042">
        <f t="shared" si="29"/>
        <v>0</v>
      </c>
      <c r="X67" s="2056"/>
      <c r="Y67" s="2011">
        <f>SUM('2.a sz. mell'!F63+'2.b sz. mell'!D62+'2.c sz. mell '!F61)</f>
        <v>1501283400</v>
      </c>
      <c r="Z67" s="2011"/>
      <c r="AA67" s="2354">
        <f>SUM('2.a sz. mell'!H63+'2.b sz. mell'!F62+'2.c sz. mell '!H61)</f>
        <v>2347157612</v>
      </c>
      <c r="AB67" s="2068"/>
      <c r="AC67" s="203">
        <f>SUM('2.a sz. mell'!J63+'2.b sz. mell'!H62+'2.c sz. mell '!J61)</f>
        <v>2265337871</v>
      </c>
      <c r="AD67" s="203"/>
      <c r="AE67" s="1158">
        <f>SUM('2.a sz. mell'!L63+'2.b sz. mell'!J62+'2.c sz. mell '!L61)</f>
        <v>2265337871</v>
      </c>
      <c r="AF67" s="2013">
        <f>SUM('2.a sz. mell'!M63+'2.b sz. mell'!K62+'2.c sz. mell '!M61)</f>
        <v>1277925554</v>
      </c>
    </row>
    <row r="68" spans="1:34" s="172" customFormat="1" ht="15" customHeight="1" thickBot="1" x14ac:dyDescent="0.25">
      <c r="A68" s="173"/>
      <c r="B68" s="560" t="s">
        <v>309</v>
      </c>
      <c r="C68" s="55" t="s">
        <v>270</v>
      </c>
      <c r="D68" s="175" t="e">
        <f>SUM(#REF!)</f>
        <v>#REF!</v>
      </c>
      <c r="E68" s="175" t="e">
        <f>SUM(#REF!)</f>
        <v>#REF!</v>
      </c>
      <c r="F68" s="175">
        <f>SUM('4. sz. mell.'!F54+'5. sz. mell. '!F54+'3. sz. mell'!F55)</f>
        <v>1179484400</v>
      </c>
      <c r="G68" s="1432">
        <f t="shared" si="25"/>
        <v>336502970</v>
      </c>
      <c r="H68" s="175">
        <f>SUM('4. sz. mell.'!H54+'5. sz. mell. '!H54+'3. sz. mell'!H55)</f>
        <v>1515987370</v>
      </c>
      <c r="I68" s="1432">
        <f t="shared" ref="I68:I73" si="33">SUM(J68-H68)</f>
        <v>283707718</v>
      </c>
      <c r="J68" s="175">
        <f>SUM('4. sz. mell.'!J54+'5. sz. mell. '!J54+'3. sz. mell'!J55)</f>
        <v>1799695088</v>
      </c>
      <c r="K68" s="1432">
        <f t="shared" si="7"/>
        <v>0</v>
      </c>
      <c r="L68" s="175">
        <f>SUM('4. sz. mell.'!L54+'5. sz. mell. '!L54+'3. sz. mell'!L55)</f>
        <v>1799695088</v>
      </c>
      <c r="M68" s="175">
        <f>SUM('4. sz. mell.'!M54+'5. sz. mell. '!M54+'3. sz. mell'!M55)</f>
        <v>970156969</v>
      </c>
      <c r="N68" s="1185">
        <f t="shared" si="8"/>
        <v>63.995056172532628</v>
      </c>
      <c r="P68" s="2003">
        <f t="shared" si="20"/>
        <v>0</v>
      </c>
      <c r="Q68" s="2003"/>
      <c r="R68" s="2354">
        <f t="shared" si="21"/>
        <v>0</v>
      </c>
      <c r="S68" s="2005"/>
      <c r="T68" s="2010">
        <f t="shared" si="22"/>
        <v>0</v>
      </c>
      <c r="U68" s="2010"/>
      <c r="V68" s="1999">
        <f t="shared" si="28"/>
        <v>0</v>
      </c>
      <c r="W68" s="2042">
        <f t="shared" si="29"/>
        <v>0</v>
      </c>
      <c r="X68" s="2056"/>
      <c r="Y68" s="2011">
        <f>SUM('2.a sz. mell'!F64+'2.b sz. mell'!D63+'2.c sz. mell '!F62)</f>
        <v>1179484400</v>
      </c>
      <c r="Z68" s="2011"/>
      <c r="AA68" s="2354">
        <f>SUM('2.a sz. mell'!H64+'2.b sz. mell'!F63+'2.c sz. mell '!H62)</f>
        <v>1515987370</v>
      </c>
      <c r="AB68" s="2068"/>
      <c r="AC68" s="203">
        <f>SUM('2.a sz. mell'!J64+'2.b sz. mell'!H63+'2.c sz. mell '!J62)</f>
        <v>1799695088</v>
      </c>
      <c r="AD68" s="203"/>
      <c r="AE68" s="1158">
        <f>SUM('2.a sz. mell'!L64+'2.b sz. mell'!J63+'2.c sz. mell '!L62)</f>
        <v>1799695088</v>
      </c>
      <c r="AF68" s="2013">
        <f>SUM('2.a sz. mell'!M64+'2.b sz. mell'!K63+'2.c sz. mell '!M62)</f>
        <v>970156969</v>
      </c>
    </row>
    <row r="69" spans="1:34" ht="15" customHeight="1" thickBot="1" x14ac:dyDescent="0.25">
      <c r="A69" s="142"/>
      <c r="B69" s="560" t="s">
        <v>311</v>
      </c>
      <c r="C69" s="55" t="s">
        <v>185</v>
      </c>
      <c r="D69" s="144" t="e">
        <f>SUM(#REF!)</f>
        <v>#REF!</v>
      </c>
      <c r="E69" s="144" t="e">
        <f>SUM(#REF!)</f>
        <v>#REF!</v>
      </c>
      <c r="F69" s="175">
        <f>SUM('4. sz. mell.'!F55+'5. sz. mell. '!F55+'3. sz. mell'!F56)</f>
        <v>29310000</v>
      </c>
      <c r="G69" s="1432">
        <f t="shared" si="25"/>
        <v>194727217</v>
      </c>
      <c r="H69" s="175">
        <f>SUM('4. sz. mell.'!H55+'5. sz. mell. '!H55+'3. sz. mell'!H56)</f>
        <v>224037217</v>
      </c>
      <c r="I69" s="1432">
        <f t="shared" si="33"/>
        <v>164346230</v>
      </c>
      <c r="J69" s="175">
        <f>SUM('4. sz. mell.'!J55+'5. sz. mell. '!J55+'3. sz. mell'!J56)</f>
        <v>388383447</v>
      </c>
      <c r="K69" s="1432">
        <f t="shared" si="7"/>
        <v>0</v>
      </c>
      <c r="L69" s="175">
        <f>SUM('4. sz. mell.'!L55+'5. sz. mell. '!L55+'3. sz. mell'!L56)</f>
        <v>388383447</v>
      </c>
      <c r="M69" s="175">
        <f>SUM('4. sz. mell.'!M55+'5. sz. mell. '!M55+'3. sz. mell'!M56)</f>
        <v>292212821</v>
      </c>
      <c r="N69" s="1185">
        <f t="shared" si="8"/>
        <v>130.43048155699952</v>
      </c>
      <c r="P69" s="2003">
        <f t="shared" si="20"/>
        <v>0</v>
      </c>
      <c r="Q69" s="2003"/>
      <c r="R69" s="2354">
        <f t="shared" si="21"/>
        <v>0</v>
      </c>
      <c r="S69" s="2005"/>
      <c r="T69" s="2010">
        <f t="shared" si="22"/>
        <v>0</v>
      </c>
      <c r="U69" s="2010"/>
      <c r="V69" s="1999">
        <f t="shared" si="28"/>
        <v>0</v>
      </c>
      <c r="W69" s="2042">
        <f t="shared" si="29"/>
        <v>0</v>
      </c>
      <c r="X69" s="2056"/>
      <c r="Y69" s="2011">
        <f>SUM('2.a sz. mell'!F65+'2.b sz. mell'!D64+'2.c sz. mell '!F63)</f>
        <v>29310000</v>
      </c>
      <c r="Z69" s="2011"/>
      <c r="AA69" s="2354">
        <f>SUM('2.a sz. mell'!H65+'2.b sz. mell'!F64+'2.c sz. mell '!H63)</f>
        <v>224037217</v>
      </c>
      <c r="AB69" s="2068"/>
      <c r="AC69" s="203">
        <f>SUM('2.a sz. mell'!J65+'2.b sz. mell'!H64+'2.c sz. mell '!J63)</f>
        <v>388383447</v>
      </c>
      <c r="AD69" s="203"/>
      <c r="AE69" s="1158">
        <f>SUM('2.a sz. mell'!L65+'2.b sz. mell'!J64+'2.c sz. mell '!L63)</f>
        <v>388383447</v>
      </c>
      <c r="AF69" s="2013">
        <f>SUM('2.a sz. mell'!M65+'2.b sz. mell'!K64+'2.c sz. mell '!M63)</f>
        <v>292212821</v>
      </c>
    </row>
    <row r="70" spans="1:34" ht="15" customHeight="1" thickBot="1" x14ac:dyDescent="0.25">
      <c r="A70" s="142"/>
      <c r="B70" s="560" t="s">
        <v>312</v>
      </c>
      <c r="C70" s="55" t="s">
        <v>273</v>
      </c>
      <c r="D70" s="144" t="e">
        <f>SUM(D73+D72)</f>
        <v>#REF!</v>
      </c>
      <c r="E70" s="144" t="e">
        <f>SUM(E73+E72)</f>
        <v>#REF!</v>
      </c>
      <c r="F70" s="144">
        <f>SUM(F71:F73)</f>
        <v>292489000</v>
      </c>
      <c r="G70" s="1432">
        <f t="shared" si="25"/>
        <v>314644025</v>
      </c>
      <c r="H70" s="144">
        <f>SUM(H71:H73)</f>
        <v>607133025</v>
      </c>
      <c r="I70" s="1432">
        <f t="shared" si="33"/>
        <v>-529873689</v>
      </c>
      <c r="J70" s="144">
        <f>SUM(J71:J74)</f>
        <v>77259336</v>
      </c>
      <c r="K70" s="1432">
        <f t="shared" si="7"/>
        <v>0</v>
      </c>
      <c r="L70" s="144">
        <f>SUM(L71:L74)</f>
        <v>77259336</v>
      </c>
      <c r="M70" s="144">
        <f>SUM(M71:M74)</f>
        <v>15555764</v>
      </c>
      <c r="N70" s="1185">
        <f t="shared" si="8"/>
        <v>2.5621673273332481</v>
      </c>
      <c r="P70" s="2003">
        <f t="shared" si="20"/>
        <v>0</v>
      </c>
      <c r="Q70" s="2003"/>
      <c r="R70" s="2354">
        <f t="shared" si="21"/>
        <v>0</v>
      </c>
      <c r="S70" s="2005"/>
      <c r="T70" s="2010">
        <f t="shared" si="22"/>
        <v>0</v>
      </c>
      <c r="U70" s="2010"/>
      <c r="V70" s="1999">
        <f t="shared" si="28"/>
        <v>0</v>
      </c>
      <c r="W70" s="2042">
        <f t="shared" si="29"/>
        <v>0</v>
      </c>
      <c r="X70" s="2056"/>
      <c r="Y70" s="2011">
        <f>SUM('2.a sz. mell'!F66+'2.b sz. mell'!D65+'2.c sz. mell '!F64)</f>
        <v>292489000</v>
      </c>
      <c r="Z70" s="2011"/>
      <c r="AA70" s="2354">
        <f>SUM('2.a sz. mell'!H66+'2.b sz. mell'!F65+'2.c sz. mell '!H64)</f>
        <v>607133025</v>
      </c>
      <c r="AB70" s="2068"/>
      <c r="AC70" s="203">
        <f>SUM('2.a sz. mell'!J66+'2.b sz. mell'!H65+'2.c sz. mell '!J64)</f>
        <v>77259336</v>
      </c>
      <c r="AD70" s="203"/>
      <c r="AE70" s="1158">
        <f>SUM('2.a sz. mell'!L66+'2.b sz. mell'!J65+'2.c sz. mell '!L64)</f>
        <v>77259336</v>
      </c>
      <c r="AF70" s="2013">
        <f>SUM('2.a sz. mell'!M66+'2.b sz. mell'!K65+'2.c sz. mell '!M64)</f>
        <v>15555764</v>
      </c>
    </row>
    <row r="71" spans="1:34" ht="33.75" customHeight="1" thickBot="1" x14ac:dyDescent="0.25">
      <c r="A71" s="142"/>
      <c r="B71" s="560" t="s">
        <v>313</v>
      </c>
      <c r="C71" s="177" t="s">
        <v>405</v>
      </c>
      <c r="D71" s="144"/>
      <c r="E71" s="144"/>
      <c r="F71" s="144">
        <f>SUM('3. sz. mell'!F58)</f>
        <v>73914000</v>
      </c>
      <c r="G71" s="1432">
        <f t="shared" si="25"/>
        <v>-21749448</v>
      </c>
      <c r="H71" s="144">
        <f>SUM('3. sz. mell'!H58)</f>
        <v>52164552</v>
      </c>
      <c r="I71" s="1432">
        <f t="shared" si="33"/>
        <v>-42164552</v>
      </c>
      <c r="J71" s="144">
        <f>SUM('3. sz. mell'!J58)</f>
        <v>10000000</v>
      </c>
      <c r="K71" s="1432">
        <f t="shared" si="7"/>
        <v>0</v>
      </c>
      <c r="L71" s="144">
        <f>SUM('3. sz. mell'!L58)</f>
        <v>10000000</v>
      </c>
      <c r="M71" s="144">
        <f>SUM('3. sz. mell'!M58)</f>
        <v>10000000</v>
      </c>
      <c r="N71" s="1185">
        <f t="shared" si="8"/>
        <v>19.170106167115168</v>
      </c>
      <c r="P71" s="2003">
        <f t="shared" si="20"/>
        <v>0</v>
      </c>
      <c r="Q71" s="2003"/>
      <c r="R71" s="2354">
        <f t="shared" si="21"/>
        <v>0</v>
      </c>
      <c r="S71" s="2005"/>
      <c r="T71" s="2010">
        <f t="shared" si="22"/>
        <v>-5555764</v>
      </c>
      <c r="U71" s="2010"/>
      <c r="V71" s="1999">
        <f t="shared" si="28"/>
        <v>0</v>
      </c>
      <c r="W71" s="2042">
        <f t="shared" si="29"/>
        <v>0</v>
      </c>
      <c r="X71" s="2056"/>
      <c r="Y71" s="2011">
        <f>SUM('2.a sz. mell'!F67+'2.b sz. mell'!D66+'2.c sz. mell '!F65)</f>
        <v>73914000</v>
      </c>
      <c r="Z71" s="2011"/>
      <c r="AA71" s="2354">
        <f>SUM('2.a sz. mell'!H66+'2.b sz. mell'!F66+'2.c sz. mell '!H65)</f>
        <v>52164552</v>
      </c>
      <c r="AB71" s="2068"/>
      <c r="AC71" s="203">
        <f>SUM('2.a sz. mell'!J66+'2.b sz. mell'!H66+'2.c sz. mell '!J65)</f>
        <v>15555764</v>
      </c>
      <c r="AD71" s="203"/>
      <c r="AE71" s="1158">
        <f>SUM('2.a sz. mell'!L67+'2.b sz. mell'!J66+'2.c sz. mell '!L65)</f>
        <v>10000000</v>
      </c>
      <c r="AF71" s="2013">
        <f>SUM('2.a sz. mell'!M67+'2.b sz. mell'!K66+'2.c sz. mell '!M65)</f>
        <v>10000000</v>
      </c>
    </row>
    <row r="72" spans="1:34" ht="15" customHeight="1" thickBot="1" x14ac:dyDescent="0.25">
      <c r="A72" s="142"/>
      <c r="B72" s="560" t="s">
        <v>315</v>
      </c>
      <c r="C72" s="177" t="s">
        <v>316</v>
      </c>
      <c r="D72" s="144" t="e">
        <f>SUM(#REF!+#REF!)</f>
        <v>#REF!</v>
      </c>
      <c r="E72" s="144" t="e">
        <f>SUM(#REF!+#REF!)</f>
        <v>#REF!</v>
      </c>
      <c r="F72" s="144"/>
      <c r="G72" s="1432">
        <f t="shared" si="25"/>
        <v>0</v>
      </c>
      <c r="H72" s="144"/>
      <c r="I72" s="1432">
        <f t="shared" si="33"/>
        <v>0</v>
      </c>
      <c r="J72" s="144"/>
      <c r="K72" s="1432"/>
      <c r="L72" s="144"/>
      <c r="M72" s="144"/>
      <c r="N72" s="1185"/>
      <c r="P72" s="2003">
        <f t="shared" si="20"/>
        <v>0</v>
      </c>
      <c r="Q72" s="2003"/>
      <c r="R72" s="2354">
        <f t="shared" si="21"/>
        <v>0</v>
      </c>
      <c r="S72" s="2005"/>
      <c r="T72" s="2010">
        <f t="shared" si="22"/>
        <v>0</v>
      </c>
      <c r="U72" s="2010"/>
      <c r="V72" s="1999">
        <f t="shared" si="28"/>
        <v>0</v>
      </c>
      <c r="W72" s="2042">
        <f t="shared" si="29"/>
        <v>0</v>
      </c>
      <c r="X72" s="2056"/>
      <c r="Y72" s="2011">
        <f>SUM('2.a sz. mell'!F68+'2.b sz. mell'!D67+'2.c sz. mell '!F66)</f>
        <v>0</v>
      </c>
      <c r="Z72" s="2011"/>
      <c r="AA72" s="2354">
        <f>SUM('2.a sz. mell'!H68+'2.b sz. mell'!F67+'2.c sz. mell '!H66)</f>
        <v>0</v>
      </c>
      <c r="AB72" s="2068"/>
      <c r="AC72" s="203">
        <f>SUM('2.a sz. mell'!J68+'2.b sz. mell'!H67+'2.c sz. mell '!J66)</f>
        <v>0</v>
      </c>
      <c r="AD72" s="203"/>
      <c r="AE72" s="1158">
        <f>SUM('2.a sz. mell'!L68+'2.b sz. mell'!J67+'2.c sz. mell '!L66)</f>
        <v>0</v>
      </c>
      <c r="AF72" s="2013">
        <f>SUM('2.a sz. mell'!M68+'2.b sz. mell'!K67+'2.c sz. mell '!M66)</f>
        <v>0</v>
      </c>
    </row>
    <row r="73" spans="1:34" s="172" customFormat="1" ht="15" customHeight="1" thickBot="1" x14ac:dyDescent="0.25">
      <c r="A73" s="142"/>
      <c r="B73" s="560" t="s">
        <v>317</v>
      </c>
      <c r="C73" s="177" t="s">
        <v>307</v>
      </c>
      <c r="D73" s="144" t="e">
        <f>SUM(D74:D76)</f>
        <v>#REF!</v>
      </c>
      <c r="E73" s="144" t="e">
        <f>SUM(E74:E76)</f>
        <v>#REF!</v>
      </c>
      <c r="F73" s="144">
        <f>SUM('3. sz. mell'!F60)</f>
        <v>218575000</v>
      </c>
      <c r="G73" s="1432">
        <f t="shared" si="25"/>
        <v>336393473</v>
      </c>
      <c r="H73" s="144">
        <f>SUM('3. sz. mell'!H60)</f>
        <v>554968473</v>
      </c>
      <c r="I73" s="1432">
        <f t="shared" si="33"/>
        <v>-493264901</v>
      </c>
      <c r="J73" s="144">
        <f>SUM('3. sz. mell'!J60)</f>
        <v>61703572</v>
      </c>
      <c r="K73" s="1432">
        <f t="shared" ref="K73:K100" si="34">SUM(L73-J73)</f>
        <v>0</v>
      </c>
      <c r="L73" s="144">
        <f>SUM('3. sz. mell'!L60)</f>
        <v>61703572</v>
      </c>
      <c r="M73" s="144">
        <f>SUM('3. sz. mell'!M60)</f>
        <v>0</v>
      </c>
      <c r="N73" s="1185">
        <f t="shared" si="8"/>
        <v>0</v>
      </c>
      <c r="P73" s="2003">
        <f t="shared" si="20"/>
        <v>0</v>
      </c>
      <c r="Q73" s="2003"/>
      <c r="R73" s="2354">
        <f t="shared" si="21"/>
        <v>0</v>
      </c>
      <c r="S73" s="2005"/>
      <c r="T73" s="2010">
        <f t="shared" si="22"/>
        <v>0</v>
      </c>
      <c r="U73" s="2010"/>
      <c r="V73" s="1999">
        <f t="shared" si="28"/>
        <v>0</v>
      </c>
      <c r="W73" s="2042">
        <f t="shared" si="29"/>
        <v>0</v>
      </c>
      <c r="X73" s="2056"/>
      <c r="Y73" s="2011">
        <f>SUM('3. sz. mell'!F60)</f>
        <v>218575000</v>
      </c>
      <c r="Z73" s="2011"/>
      <c r="AA73" s="2354">
        <f>SUM('3. sz. mell'!H60)</f>
        <v>554968473</v>
      </c>
      <c r="AB73" s="2011"/>
      <c r="AC73" s="203">
        <f>SUM('3. sz. mell'!J60)</f>
        <v>61703572</v>
      </c>
      <c r="AD73" s="203"/>
      <c r="AE73" s="1158">
        <f>SUM('3. sz. mell'!L60)</f>
        <v>61703572</v>
      </c>
      <c r="AF73" s="2073">
        <f>SUM('3. sz. mell'!M60)</f>
        <v>0</v>
      </c>
    </row>
    <row r="74" spans="1:34" ht="28.5" customHeight="1" thickBot="1" x14ac:dyDescent="0.25">
      <c r="A74" s="142"/>
      <c r="B74" s="560" t="s">
        <v>2017</v>
      </c>
      <c r="C74" s="177" t="s">
        <v>2001</v>
      </c>
      <c r="D74" s="183" t="e">
        <f>SUM(#REF!)</f>
        <v>#REF!</v>
      </c>
      <c r="E74" s="183" t="e">
        <f>SUM(#REF!)</f>
        <v>#REF!</v>
      </c>
      <c r="F74" s="183"/>
      <c r="G74" s="1432">
        <f t="shared" si="25"/>
        <v>0</v>
      </c>
      <c r="H74" s="183"/>
      <c r="I74" s="1386">
        <f t="shared" ref="I74:I85" si="35">SUM(J74-H74)</f>
        <v>5555764</v>
      </c>
      <c r="J74" s="183">
        <f>SUM('3. sz. mell'!J61)</f>
        <v>5555764</v>
      </c>
      <c r="K74" s="1386">
        <f t="shared" si="34"/>
        <v>0</v>
      </c>
      <c r="L74" s="183">
        <f>SUM('3. sz. mell'!L61)</f>
        <v>5555764</v>
      </c>
      <c r="M74" s="183">
        <f>SUM('3. sz. mell'!M61)</f>
        <v>5555764</v>
      </c>
      <c r="N74" s="1185" t="e">
        <f t="shared" si="8"/>
        <v>#DIV/0!</v>
      </c>
      <c r="P74" s="2003">
        <f t="shared" si="20"/>
        <v>0</v>
      </c>
      <c r="Q74" s="2003"/>
      <c r="R74" s="2354">
        <f t="shared" si="21"/>
        <v>0</v>
      </c>
      <c r="S74" s="2005"/>
      <c r="T74" s="2010">
        <f t="shared" si="22"/>
        <v>5555764</v>
      </c>
      <c r="U74" s="2010"/>
      <c r="V74" s="1999">
        <f t="shared" si="28"/>
        <v>0</v>
      </c>
      <c r="W74" s="2042">
        <f t="shared" si="29"/>
        <v>0</v>
      </c>
      <c r="X74" s="2056"/>
      <c r="Y74" s="2011">
        <f>SUM('2.a sz. mell'!F71)</f>
        <v>0</v>
      </c>
      <c r="Z74" s="1158">
        <f>SUM('2.a sz. mell'!G71)</f>
        <v>0</v>
      </c>
      <c r="AA74" s="2354">
        <f>SUM('2.a sz. mell'!H71)</f>
        <v>0</v>
      </c>
      <c r="AB74" s="1158">
        <f>SUM('2.a sz. mell'!I71)</f>
        <v>0</v>
      </c>
      <c r="AC74" s="203">
        <f>SUM('2.a sz. mell'!J71)</f>
        <v>0</v>
      </c>
      <c r="AD74" s="1158"/>
      <c r="AE74" s="1158">
        <f>SUM('2.a sz. mell'!L71)</f>
        <v>5555764</v>
      </c>
      <c r="AF74" s="2013">
        <f>SUM('2.a sz. mell'!M71)</f>
        <v>5555764</v>
      </c>
      <c r="AH74" s="184"/>
    </row>
    <row r="75" spans="1:34" ht="12.75" hidden="1" customHeight="1" thickBot="1" x14ac:dyDescent="0.3">
      <c r="A75" s="142"/>
      <c r="B75" s="560"/>
      <c r="C75" s="182"/>
      <c r="D75" s="183"/>
      <c r="E75" s="183"/>
      <c r="F75" s="183"/>
      <c r="G75" s="1432">
        <f t="shared" si="25"/>
        <v>0</v>
      </c>
      <c r="H75" s="183"/>
      <c r="I75" s="1386">
        <f t="shared" si="35"/>
        <v>0</v>
      </c>
      <c r="J75" s="183"/>
      <c r="K75" s="2445">
        <f t="shared" si="34"/>
        <v>0</v>
      </c>
      <c r="L75" s="183"/>
      <c r="M75" s="183"/>
      <c r="N75" s="1185" t="e">
        <f t="shared" si="8"/>
        <v>#DIV/0!</v>
      </c>
      <c r="P75" s="2003">
        <f t="shared" si="20"/>
        <v>0</v>
      </c>
      <c r="Q75" s="2003"/>
      <c r="R75" s="2354">
        <f t="shared" si="21"/>
        <v>0</v>
      </c>
      <c r="S75" s="2005"/>
      <c r="T75" s="2010">
        <f t="shared" si="22"/>
        <v>0</v>
      </c>
      <c r="U75" s="2010"/>
      <c r="V75" s="1999">
        <f t="shared" si="28"/>
        <v>-5555764</v>
      </c>
      <c r="W75" s="2042">
        <f t="shared" si="29"/>
        <v>-5555764</v>
      </c>
      <c r="X75" s="2056"/>
      <c r="Y75" s="2011">
        <f>SUM('2.a sz. mell'!F71+'2.b sz. mell'!D70+'2.c sz. mell '!F69)</f>
        <v>0</v>
      </c>
      <c r="Z75" s="2011"/>
      <c r="AA75" s="2354">
        <f>SUM('2.a sz. mell'!H71+'2.b sz. mell'!F70+'2.c sz. mell '!H69)</f>
        <v>0</v>
      </c>
      <c r="AB75" s="2068"/>
      <c r="AC75" s="203">
        <f>SUM('2.a sz. mell'!J71+'2.b sz. mell'!H70+'2.c sz. mell '!J69)</f>
        <v>0</v>
      </c>
      <c r="AD75" s="203"/>
      <c r="AE75" s="1158">
        <f>SUM('2.a sz. mell'!L71+'2.b sz. mell'!J70+'2.c sz. mell '!L69)</f>
        <v>5555764</v>
      </c>
      <c r="AF75" s="2013">
        <f>SUM('2.a sz. mell'!M71+'2.b sz. mell'!K70+'2.c sz. mell '!M69)</f>
        <v>5555764</v>
      </c>
    </row>
    <row r="76" spans="1:34" ht="12.75" hidden="1" customHeight="1" thickBot="1" x14ac:dyDescent="0.3">
      <c r="A76" s="151"/>
      <c r="B76" s="560"/>
      <c r="C76" s="185"/>
      <c r="D76" s="186"/>
      <c r="E76" s="186"/>
      <c r="F76" s="186"/>
      <c r="G76" s="1432"/>
      <c r="H76" s="186"/>
      <c r="I76" s="1386"/>
      <c r="J76" s="186"/>
      <c r="K76" s="2445">
        <f t="shared" si="34"/>
        <v>0</v>
      </c>
      <c r="L76" s="186"/>
      <c r="M76" s="186"/>
      <c r="N76" s="1185" t="e">
        <f t="shared" ref="N76:N102" si="36">SUM(M76/H76)*100</f>
        <v>#DIV/0!</v>
      </c>
      <c r="P76" s="2003" t="e">
        <f t="shared" si="20"/>
        <v>#REF!</v>
      </c>
      <c r="Q76" s="2003"/>
      <c r="R76" s="2354" t="e">
        <f t="shared" si="21"/>
        <v>#REF!</v>
      </c>
      <c r="S76" s="2005"/>
      <c r="T76" s="2010" t="e">
        <f t="shared" si="22"/>
        <v>#REF!</v>
      </c>
      <c r="U76" s="2010"/>
      <c r="V76" s="1999" t="e">
        <f t="shared" si="28"/>
        <v>#REF!</v>
      </c>
      <c r="W76" s="2042" t="e">
        <f t="shared" si="29"/>
        <v>#REF!</v>
      </c>
      <c r="X76" s="2056"/>
      <c r="Y76" s="2011" t="e">
        <f>SUM('2.a sz. mell'!F72+'2.b sz. mell'!D71+'2.c sz. mell '!F70)</f>
        <v>#REF!</v>
      </c>
      <c r="Z76" s="2011"/>
      <c r="AA76" s="2354" t="e">
        <f>SUM('2.a sz. mell'!H72+'2.b sz. mell'!F71+'2.c sz. mell '!H70)</f>
        <v>#REF!</v>
      </c>
      <c r="AB76" s="2068"/>
      <c r="AC76" s="203" t="e">
        <f>SUM('2.a sz. mell'!J72+'2.b sz. mell'!H71+'2.c sz. mell '!J70)</f>
        <v>#REF!</v>
      </c>
      <c r="AD76" s="203"/>
      <c r="AE76" s="1158" t="e">
        <f>SUM('2.a sz. mell'!L72+'2.b sz. mell'!J71+'2.c sz. mell '!L70)</f>
        <v>#REF!</v>
      </c>
      <c r="AF76" s="2013" t="e">
        <f>SUM('2.a sz. mell'!M72+'2.b sz. mell'!K71+'2.c sz. mell '!M70)</f>
        <v>#REF!</v>
      </c>
    </row>
    <row r="77" spans="1:34" ht="12.75" hidden="1" customHeight="1" thickBot="1" x14ac:dyDescent="0.25">
      <c r="A77" s="134"/>
      <c r="B77" s="558"/>
      <c r="C77" s="171"/>
      <c r="D77" s="155"/>
      <c r="E77" s="155" t="e">
        <f>#REF!</f>
        <v>#REF!</v>
      </c>
      <c r="F77" s="155"/>
      <c r="G77" s="1432"/>
      <c r="H77" s="155"/>
      <c r="I77" s="1386"/>
      <c r="J77" s="155"/>
      <c r="K77" s="2445">
        <f t="shared" si="34"/>
        <v>0</v>
      </c>
      <c r="L77" s="155"/>
      <c r="M77" s="155"/>
      <c r="N77" s="1185" t="e">
        <f t="shared" si="36"/>
        <v>#DIV/0!</v>
      </c>
      <c r="P77" s="2003">
        <f t="shared" si="20"/>
        <v>0</v>
      </c>
      <c r="Q77" s="2003"/>
      <c r="R77" s="2354">
        <f t="shared" si="21"/>
        <v>0</v>
      </c>
      <c r="S77" s="2005"/>
      <c r="T77" s="2010">
        <f t="shared" si="22"/>
        <v>0</v>
      </c>
      <c r="U77" s="2010"/>
      <c r="V77" s="1999">
        <f t="shared" si="28"/>
        <v>0</v>
      </c>
      <c r="W77" s="2042">
        <f t="shared" si="29"/>
        <v>0</v>
      </c>
      <c r="X77" s="2056"/>
      <c r="Y77" s="2011">
        <f>SUM('2.a sz. mell'!F73+'2.b sz. mell'!D72+'2.c sz. mell '!F71)</f>
        <v>0</v>
      </c>
      <c r="Z77" s="2011"/>
      <c r="AA77" s="2354">
        <f>SUM('2.a sz. mell'!H73+'2.b sz. mell'!F72+'2.c sz. mell '!H71)</f>
        <v>0</v>
      </c>
      <c r="AB77" s="2068"/>
      <c r="AC77" s="203">
        <f>SUM('2.a sz. mell'!J73+'2.b sz. mell'!H72+'2.c sz. mell '!J71)</f>
        <v>0</v>
      </c>
      <c r="AD77" s="203"/>
      <c r="AE77" s="1158">
        <f>SUM('2.a sz. mell'!L73+'2.b sz. mell'!J72+'2.c sz. mell '!L71)</f>
        <v>0</v>
      </c>
      <c r="AF77" s="2013">
        <f>SUM('2.a sz. mell'!M73+'2.b sz. mell'!K72+'2.c sz. mell '!M71)</f>
        <v>0</v>
      </c>
    </row>
    <row r="78" spans="1:34" s="172" customFormat="1" ht="12.75" hidden="1" customHeight="1" thickBot="1" x14ac:dyDescent="0.25">
      <c r="A78" s="134"/>
      <c r="B78" s="558"/>
      <c r="C78" s="171"/>
      <c r="D78" s="137" t="e">
        <f>+D79+D81</f>
        <v>#REF!</v>
      </c>
      <c r="E78" s="137" t="e">
        <f>+E79+E81</f>
        <v>#REF!</v>
      </c>
      <c r="F78" s="137"/>
      <c r="G78" s="1432"/>
      <c r="H78" s="137"/>
      <c r="I78" s="1386"/>
      <c r="J78" s="137"/>
      <c r="K78" s="2445">
        <f t="shared" si="34"/>
        <v>0</v>
      </c>
      <c r="L78" s="137"/>
      <c r="M78" s="137"/>
      <c r="N78" s="1185" t="e">
        <f t="shared" si="36"/>
        <v>#DIV/0!</v>
      </c>
      <c r="P78" s="2003" t="e">
        <f t="shared" si="20"/>
        <v>#REF!</v>
      </c>
      <c r="Q78" s="2003"/>
      <c r="R78" s="2354" t="e">
        <f t="shared" si="21"/>
        <v>#REF!</v>
      </c>
      <c r="S78" s="2005"/>
      <c r="T78" s="2010" t="e">
        <f t="shared" si="22"/>
        <v>#REF!</v>
      </c>
      <c r="U78" s="2010"/>
      <c r="V78" s="1999" t="e">
        <f t="shared" si="28"/>
        <v>#REF!</v>
      </c>
      <c r="W78" s="2042" t="e">
        <f t="shared" si="29"/>
        <v>#REF!</v>
      </c>
      <c r="X78" s="2056"/>
      <c r="Y78" s="2011" t="e">
        <f>SUM('2.a sz. mell'!F74+'2.b sz. mell'!D73+'2.c sz. mell '!F72)</f>
        <v>#REF!</v>
      </c>
      <c r="Z78" s="2011"/>
      <c r="AA78" s="2354" t="e">
        <f>SUM('2.a sz. mell'!H74+'2.b sz. mell'!F73+'2.c sz. mell '!H72)</f>
        <v>#REF!</v>
      </c>
      <c r="AB78" s="2068"/>
      <c r="AC78" s="203" t="e">
        <f>SUM('2.a sz. mell'!J74+'2.b sz. mell'!H73+'2.c sz. mell '!J72)</f>
        <v>#REF!</v>
      </c>
      <c r="AD78" s="203"/>
      <c r="AE78" s="1158" t="e">
        <f>SUM('2.a sz. mell'!L74+'2.b sz. mell'!J73+'2.c sz. mell '!L72)</f>
        <v>#REF!</v>
      </c>
      <c r="AF78" s="2013" t="e">
        <f>SUM('2.a sz. mell'!M74+'2.b sz. mell'!K73+'2.c sz. mell '!M72)</f>
        <v>#REF!</v>
      </c>
    </row>
    <row r="79" spans="1:34" s="172" customFormat="1" ht="12.75" hidden="1" customHeight="1" thickBot="1" x14ac:dyDescent="0.25">
      <c r="A79" s="173"/>
      <c r="B79" s="559"/>
      <c r="C79" s="55"/>
      <c r="D79" s="175" t="e">
        <f>SUM(#REF!)</f>
        <v>#REF!</v>
      </c>
      <c r="E79" s="175"/>
      <c r="F79" s="175"/>
      <c r="G79" s="1432"/>
      <c r="H79" s="175"/>
      <c r="I79" s="1386"/>
      <c r="J79" s="175"/>
      <c r="K79" s="2445">
        <f t="shared" si="34"/>
        <v>0</v>
      </c>
      <c r="L79" s="175"/>
      <c r="M79" s="175"/>
      <c r="N79" s="1185" t="e">
        <f t="shared" si="36"/>
        <v>#DIV/0!</v>
      </c>
      <c r="P79" s="2003" t="e">
        <f t="shared" si="20"/>
        <v>#REF!</v>
      </c>
      <c r="Q79" s="2003"/>
      <c r="R79" s="2354" t="e">
        <f t="shared" si="21"/>
        <v>#REF!</v>
      </c>
      <c r="S79" s="2005"/>
      <c r="T79" s="2010" t="e">
        <f t="shared" si="22"/>
        <v>#REF!</v>
      </c>
      <c r="U79" s="2010"/>
      <c r="V79" s="1999" t="e">
        <f t="shared" si="28"/>
        <v>#REF!</v>
      </c>
      <c r="W79" s="2042" t="e">
        <f t="shared" si="29"/>
        <v>#REF!</v>
      </c>
      <c r="X79" s="2056"/>
      <c r="Y79" s="2011" t="e">
        <f>SUM('2.a sz. mell'!F75+'2.b sz. mell'!D74+'2.c sz. mell '!F73)</f>
        <v>#REF!</v>
      </c>
      <c r="Z79" s="2011"/>
      <c r="AA79" s="2354" t="e">
        <f>SUM('2.a sz. mell'!H75+'2.b sz. mell'!F74+'2.c sz. mell '!H73)</f>
        <v>#REF!</v>
      </c>
      <c r="AB79" s="2068"/>
      <c r="AC79" s="203" t="e">
        <f>SUM('2.a sz. mell'!J75+'2.b sz. mell'!H74+'2.c sz. mell '!J73)</f>
        <v>#REF!</v>
      </c>
      <c r="AD79" s="203"/>
      <c r="AE79" s="1158" t="e">
        <f>SUM('2.a sz. mell'!L75+'2.b sz. mell'!J74+'2.c sz. mell '!L73)</f>
        <v>#REF!</v>
      </c>
      <c r="AF79" s="2013" t="e">
        <f>SUM('2.a sz. mell'!M75+'2.b sz. mell'!K74+'2.c sz. mell '!M73)</f>
        <v>#REF!</v>
      </c>
    </row>
    <row r="80" spans="1:34" s="172" customFormat="1" ht="12.75" hidden="1" customHeight="1" thickBot="1" x14ac:dyDescent="0.25">
      <c r="A80" s="146"/>
      <c r="B80" s="562"/>
      <c r="C80" s="55"/>
      <c r="D80" s="147"/>
      <c r="E80" s="175"/>
      <c r="F80" s="147"/>
      <c r="G80" s="1432"/>
      <c r="H80" s="147"/>
      <c r="I80" s="1386"/>
      <c r="J80" s="147"/>
      <c r="K80" s="2445">
        <f t="shared" si="34"/>
        <v>0</v>
      </c>
      <c r="L80" s="147"/>
      <c r="M80" s="147"/>
      <c r="N80" s="1185" t="e">
        <f t="shared" si="36"/>
        <v>#DIV/0!</v>
      </c>
      <c r="P80" s="2003">
        <f t="shared" si="20"/>
        <v>0</v>
      </c>
      <c r="Q80" s="2003"/>
      <c r="R80" s="2354">
        <f t="shared" si="21"/>
        <v>0</v>
      </c>
      <c r="S80" s="2005"/>
      <c r="T80" s="2010">
        <f t="shared" si="22"/>
        <v>0</v>
      </c>
      <c r="U80" s="2010"/>
      <c r="V80" s="1999">
        <f t="shared" si="28"/>
        <v>0</v>
      </c>
      <c r="W80" s="2042">
        <f t="shared" si="29"/>
        <v>0</v>
      </c>
      <c r="X80" s="2056"/>
      <c r="Y80" s="2011">
        <f>SUM('2.a sz. mell'!F76+'2.b sz. mell'!D75+'2.c sz. mell '!F74)</f>
        <v>0</v>
      </c>
      <c r="Z80" s="2011"/>
      <c r="AA80" s="2354">
        <f>SUM('2.a sz. mell'!H76+'2.b sz. mell'!F75+'2.c sz. mell '!H74)</f>
        <v>0</v>
      </c>
      <c r="AB80" s="2068"/>
      <c r="AC80" s="203">
        <f>SUM('2.a sz. mell'!J76+'2.b sz. mell'!H75+'2.c sz. mell '!J74)</f>
        <v>0</v>
      </c>
      <c r="AD80" s="203"/>
      <c r="AE80" s="1158">
        <f>SUM('2.a sz. mell'!L76+'2.b sz. mell'!J75+'2.c sz. mell '!L74)</f>
        <v>0</v>
      </c>
      <c r="AF80" s="2013">
        <f>SUM('2.a sz. mell'!M76+'2.b sz. mell'!K75+'2.c sz. mell '!M74)</f>
        <v>0</v>
      </c>
    </row>
    <row r="81" spans="1:32" s="172" customFormat="1" ht="12.75" hidden="1" customHeight="1" thickBot="1" x14ac:dyDescent="0.25">
      <c r="A81" s="151"/>
      <c r="B81" s="563"/>
      <c r="C81" s="55"/>
      <c r="D81" s="153" t="e">
        <f>SUM(#REF!)</f>
        <v>#REF!</v>
      </c>
      <c r="E81" s="153" t="e">
        <f>SUM(#REF!)</f>
        <v>#REF!</v>
      </c>
      <c r="F81" s="153"/>
      <c r="G81" s="1432">
        <f t="shared" si="25"/>
        <v>0</v>
      </c>
      <c r="H81" s="153"/>
      <c r="I81" s="1386">
        <f t="shared" si="35"/>
        <v>0</v>
      </c>
      <c r="J81" s="153"/>
      <c r="K81" s="2445">
        <f t="shared" si="34"/>
        <v>0</v>
      </c>
      <c r="L81" s="153"/>
      <c r="M81" s="153"/>
      <c r="N81" s="1185" t="e">
        <f t="shared" si="36"/>
        <v>#DIV/0!</v>
      </c>
      <c r="P81" s="2003">
        <f t="shared" ref="P81:P100" si="37">SUM(F81-Y81)</f>
        <v>0</v>
      </c>
      <c r="Q81" s="2003"/>
      <c r="R81" s="2354">
        <f t="shared" ref="R81:R100" si="38">SUM(H81-AA81)</f>
        <v>0</v>
      </c>
      <c r="S81" s="2005"/>
      <c r="T81" s="2010">
        <f t="shared" si="22"/>
        <v>0</v>
      </c>
      <c r="U81" s="2010"/>
      <c r="V81" s="1999">
        <f t="shared" si="28"/>
        <v>0</v>
      </c>
      <c r="W81" s="2042">
        <f t="shared" si="29"/>
        <v>0</v>
      </c>
      <c r="X81" s="2056"/>
      <c r="Y81" s="2011">
        <f>SUM('2.a sz. mell'!F77+'2.b sz. mell'!D76+'2.c sz. mell '!F75)</f>
        <v>0</v>
      </c>
      <c r="Z81" s="2011"/>
      <c r="AA81" s="2354">
        <f>SUM('2.a sz. mell'!H77+'2.b sz. mell'!F76+'2.c sz. mell '!H75)</f>
        <v>0</v>
      </c>
      <c r="AB81" s="2068"/>
      <c r="AC81" s="203">
        <f>SUM('2.a sz. mell'!J77+'2.b sz. mell'!H76+'2.c sz. mell '!J75)</f>
        <v>0</v>
      </c>
      <c r="AD81" s="203"/>
      <c r="AE81" s="1158">
        <f>SUM('2.a sz. mell'!L77+'2.b sz. mell'!J76+'2.c sz. mell '!L75)</f>
        <v>0</v>
      </c>
      <c r="AF81" s="2013">
        <f>SUM('2.a sz. mell'!M77+'2.b sz. mell'!K76+'2.c sz. mell '!M75)</f>
        <v>0</v>
      </c>
    </row>
    <row r="82" spans="1:32" s="172" customFormat="1" ht="12.75" hidden="1" customHeight="1" thickBot="1" x14ac:dyDescent="0.25">
      <c r="A82" s="134"/>
      <c r="B82" s="564"/>
      <c r="C82" s="171"/>
      <c r="D82" s="155" t="e">
        <f>SUM(#REF!)</f>
        <v>#REF!</v>
      </c>
      <c r="E82" s="155" t="e">
        <f>SUM(#REF!)</f>
        <v>#REF!</v>
      </c>
      <c r="F82" s="155"/>
      <c r="G82" s="1432">
        <f t="shared" si="25"/>
        <v>0</v>
      </c>
      <c r="H82" s="155"/>
      <c r="I82" s="1386">
        <f t="shared" si="35"/>
        <v>0</v>
      </c>
      <c r="J82" s="155"/>
      <c r="K82" s="2445">
        <f t="shared" si="34"/>
        <v>0</v>
      </c>
      <c r="L82" s="155"/>
      <c r="M82" s="155"/>
      <c r="N82" s="1185" t="e">
        <f t="shared" si="36"/>
        <v>#DIV/0!</v>
      </c>
      <c r="P82" s="2003">
        <f t="shared" si="37"/>
        <v>0</v>
      </c>
      <c r="Q82" s="2003"/>
      <c r="R82" s="2354">
        <f t="shared" si="38"/>
        <v>0</v>
      </c>
      <c r="S82" s="2005"/>
      <c r="T82" s="2010">
        <f t="shared" si="22"/>
        <v>0</v>
      </c>
      <c r="U82" s="2010"/>
      <c r="V82" s="1999">
        <f t="shared" si="28"/>
        <v>0</v>
      </c>
      <c r="W82" s="2042">
        <f t="shared" si="29"/>
        <v>0</v>
      </c>
      <c r="X82" s="2056"/>
      <c r="Y82" s="2011">
        <f>SUM('2.a sz. mell'!F78+'2.b sz. mell'!D77+'2.c sz. mell '!F76)</f>
        <v>0</v>
      </c>
      <c r="Z82" s="2011"/>
      <c r="AA82" s="2354">
        <f>SUM('2.a sz. mell'!H78+'2.b sz. mell'!F77+'2.c sz. mell '!H76)</f>
        <v>0</v>
      </c>
      <c r="AB82" s="2068"/>
      <c r="AC82" s="203">
        <f>SUM('2.a sz. mell'!J78+'2.b sz. mell'!H77+'2.c sz. mell '!J76)</f>
        <v>0</v>
      </c>
      <c r="AD82" s="203"/>
      <c r="AE82" s="1158">
        <f>SUM('2.a sz. mell'!L78+'2.b sz. mell'!J77+'2.c sz. mell '!L76)</f>
        <v>0</v>
      </c>
      <c r="AF82" s="2013">
        <f>SUM('2.a sz. mell'!M78+'2.b sz. mell'!K77+'2.c sz. mell '!M76)</f>
        <v>0</v>
      </c>
    </row>
    <row r="83" spans="1:32" s="172" customFormat="1" ht="10.5" hidden="1" customHeight="1" thickBot="1" x14ac:dyDescent="0.25">
      <c r="A83" s="134"/>
      <c r="B83" s="558"/>
      <c r="C83" s="190"/>
      <c r="D83" s="191" t="e">
        <f>+D51+D67+D77+D78+D82</f>
        <v>#REF!</v>
      </c>
      <c r="E83" s="191" t="e">
        <f>+E51+E67+E77+E78+E82</f>
        <v>#REF!</v>
      </c>
      <c r="F83" s="191"/>
      <c r="G83" s="1432">
        <f t="shared" si="25"/>
        <v>0</v>
      </c>
      <c r="H83" s="191"/>
      <c r="I83" s="1386">
        <f t="shared" si="35"/>
        <v>0</v>
      </c>
      <c r="J83" s="191"/>
      <c r="K83" s="2445">
        <f t="shared" si="34"/>
        <v>0</v>
      </c>
      <c r="L83" s="191"/>
      <c r="M83" s="191"/>
      <c r="N83" s="1185"/>
      <c r="P83" s="2003" t="e">
        <f t="shared" si="37"/>
        <v>#REF!</v>
      </c>
      <c r="Q83" s="2003"/>
      <c r="R83" s="2354" t="e">
        <f t="shared" si="38"/>
        <v>#REF!</v>
      </c>
      <c r="S83" s="2005"/>
      <c r="T83" s="2010" t="e">
        <f t="shared" si="22"/>
        <v>#REF!</v>
      </c>
      <c r="U83" s="2010"/>
      <c r="V83" s="1999" t="e">
        <f t="shared" si="28"/>
        <v>#REF!</v>
      </c>
      <c r="W83" s="2042" t="e">
        <f t="shared" si="29"/>
        <v>#REF!</v>
      </c>
      <c r="X83" s="2056"/>
      <c r="Y83" s="2011" t="e">
        <f>SUM('2.a sz. mell'!F79+'2.b sz. mell'!#REF!+'2.c sz. mell '!F77)</f>
        <v>#REF!</v>
      </c>
      <c r="Z83" s="2011"/>
      <c r="AA83" s="2354" t="e">
        <f>SUM('2.a sz. mell'!H79+'2.b sz. mell'!#REF!+'2.c sz. mell '!H77)</f>
        <v>#REF!</v>
      </c>
      <c r="AB83" s="2068"/>
      <c r="AC83" s="203" t="e">
        <f>SUM('2.a sz. mell'!J79+'2.b sz. mell'!#REF!+'2.c sz. mell '!J77)</f>
        <v>#REF!</v>
      </c>
      <c r="AD83" s="203"/>
      <c r="AE83" s="1158" t="e">
        <f>SUM('2.a sz. mell'!L79+'2.b sz. mell'!#REF!+'2.c sz. mell '!L77)</f>
        <v>#REF!</v>
      </c>
      <c r="AF83" s="2013" t="e">
        <f>SUM('2.a sz. mell'!M79+'2.b sz. mell'!#REF!+'2.c sz. mell '!M77)</f>
        <v>#REF!</v>
      </c>
    </row>
    <row r="84" spans="1:32" s="172" customFormat="1" ht="16.5" customHeight="1" thickBot="1" x14ac:dyDescent="0.25">
      <c r="A84" s="134"/>
      <c r="B84" s="558"/>
      <c r="C84" s="30" t="s">
        <v>243</v>
      </c>
      <c r="D84" s="191"/>
      <c r="E84" s="191"/>
      <c r="F84" s="191">
        <f>SUM(F51+F67)</f>
        <v>5070517150</v>
      </c>
      <c r="G84" s="1382">
        <f t="shared" si="25"/>
        <v>1649163310</v>
      </c>
      <c r="H84" s="191">
        <f>SUM(H51+H67)</f>
        <v>6719680460</v>
      </c>
      <c r="I84" s="1382">
        <f>SUM(I51+I67)</f>
        <v>93445469</v>
      </c>
      <c r="J84" s="191">
        <f>SUM(J51+J67)</f>
        <v>6813125929</v>
      </c>
      <c r="K84" s="1382">
        <f t="shared" si="34"/>
        <v>1747959</v>
      </c>
      <c r="L84" s="191">
        <f>SUM(L51+L67)</f>
        <v>6814873888</v>
      </c>
      <c r="M84" s="191">
        <f>SUM(M51+M67)</f>
        <v>5371104627</v>
      </c>
      <c r="N84" s="1185"/>
      <c r="P84" s="2003"/>
      <c r="Q84" s="2003"/>
      <c r="R84" s="2354"/>
      <c r="S84" s="2005"/>
      <c r="T84" s="2010"/>
      <c r="U84" s="2010"/>
      <c r="V84" s="1999"/>
      <c r="W84" s="2042"/>
      <c r="X84" s="2056"/>
      <c r="Y84" s="2011"/>
      <c r="Z84" s="2011"/>
      <c r="AA84" s="2354"/>
      <c r="AB84" s="2068"/>
      <c r="AC84" s="203"/>
      <c r="AD84" s="203"/>
      <c r="AE84" s="1158"/>
      <c r="AF84" s="2013"/>
    </row>
    <row r="85" spans="1:32" s="172" customFormat="1" ht="15" customHeight="1" thickBot="1" x14ac:dyDescent="0.25">
      <c r="A85" s="134" t="s">
        <v>31</v>
      </c>
      <c r="B85" s="558"/>
      <c r="C85" s="171" t="s">
        <v>318</v>
      </c>
      <c r="D85" s="137" t="e">
        <f>+D91+D94</f>
        <v>#REF!</v>
      </c>
      <c r="E85" s="137" t="e">
        <f>+E91+E94</f>
        <v>#REF!</v>
      </c>
      <c r="F85" s="137">
        <f>F86+F92+F93</f>
        <v>2054939961</v>
      </c>
      <c r="G85" s="1382">
        <f t="shared" si="25"/>
        <v>1466690112</v>
      </c>
      <c r="H85" s="137">
        <f>H86+H92+H93</f>
        <v>3521630073</v>
      </c>
      <c r="I85" s="1382">
        <f t="shared" si="35"/>
        <v>140299299</v>
      </c>
      <c r="J85" s="137">
        <f>J86+J92+J93</f>
        <v>3661929372</v>
      </c>
      <c r="K85" s="1382">
        <f t="shared" si="34"/>
        <v>0</v>
      </c>
      <c r="L85" s="137">
        <f>L86+L92+L93</f>
        <v>3661929372</v>
      </c>
      <c r="M85" s="137">
        <f>M86+M92+M93</f>
        <v>3500805617</v>
      </c>
      <c r="N85" s="1185">
        <f t="shared" si="36"/>
        <v>99.408669974746672</v>
      </c>
      <c r="P85" s="2003">
        <f>SUM(F85-Y85)</f>
        <v>0</v>
      </c>
      <c r="Q85" s="2003"/>
      <c r="R85" s="2354">
        <f t="shared" si="38"/>
        <v>0</v>
      </c>
      <c r="S85" s="2005"/>
      <c r="T85" s="2010">
        <f t="shared" si="22"/>
        <v>0</v>
      </c>
      <c r="U85" s="2010"/>
      <c r="V85" s="1999">
        <f t="shared" si="28"/>
        <v>0</v>
      </c>
      <c r="W85" s="2042">
        <f t="shared" si="29"/>
        <v>0</v>
      </c>
      <c r="X85" s="2056"/>
      <c r="Y85" s="2011">
        <f>SUM('2.a sz. mell'!F80+'2.b sz. mell'!D78+'2.c sz. mell '!F78)</f>
        <v>2054939961</v>
      </c>
      <c r="Z85" s="2011"/>
      <c r="AA85" s="2354">
        <f>SUM('2.a sz. mell'!H80+'2.b sz. mell'!F78+'2.c sz. mell '!H78)</f>
        <v>3521630073</v>
      </c>
      <c r="AB85" s="2068"/>
      <c r="AC85" s="203">
        <f>SUM('2.a sz. mell'!J80+'2.b sz. mell'!H78+'2.c sz. mell '!J78)</f>
        <v>3661929372</v>
      </c>
      <c r="AD85" s="203"/>
      <c r="AE85" s="1158">
        <f>SUM('2.a sz. mell'!L80+'2.b sz. mell'!J78+'2.c sz. mell '!L78)</f>
        <v>3661929372</v>
      </c>
      <c r="AF85" s="2013">
        <f>SUM('2.a sz. mell'!M80+'2.b sz. mell'!K78+'2.c sz. mell '!M78)</f>
        <v>3500805617</v>
      </c>
    </row>
    <row r="86" spans="1:32" s="145" customFormat="1" ht="16.5" customHeight="1" thickBot="1" x14ac:dyDescent="0.25">
      <c r="A86" s="173"/>
      <c r="B86" s="560" t="s">
        <v>319</v>
      </c>
      <c r="C86" s="30" t="s">
        <v>214</v>
      </c>
      <c r="D86" s="144"/>
      <c r="E86" s="144"/>
      <c r="F86" s="137">
        <f>SUM(F87:F91)</f>
        <v>2054939961</v>
      </c>
      <c r="G86" s="1382">
        <f t="shared" si="25"/>
        <v>1466690112</v>
      </c>
      <c r="H86" s="137">
        <f t="shared" ref="H86:M86" si="39">SUM(H87:H91)</f>
        <v>3521630073</v>
      </c>
      <c r="I86" s="1382">
        <f t="shared" si="39"/>
        <v>140299299</v>
      </c>
      <c r="J86" s="137">
        <f t="shared" si="39"/>
        <v>3661929372</v>
      </c>
      <c r="K86" s="1382">
        <f t="shared" si="34"/>
        <v>0</v>
      </c>
      <c r="L86" s="137">
        <f t="shared" si="39"/>
        <v>3661929372</v>
      </c>
      <c r="M86" s="137">
        <f t="shared" si="39"/>
        <v>3500805617</v>
      </c>
      <c r="N86" s="1185">
        <f t="shared" si="36"/>
        <v>99.408669974746672</v>
      </c>
      <c r="P86" s="2003">
        <f t="shared" si="37"/>
        <v>0</v>
      </c>
      <c r="Q86" s="2003"/>
      <c r="R86" s="2354">
        <f t="shared" si="38"/>
        <v>0</v>
      </c>
      <c r="S86" s="2005"/>
      <c r="T86" s="2010">
        <f t="shared" si="22"/>
        <v>0</v>
      </c>
      <c r="U86" s="2010"/>
      <c r="V86" s="1999">
        <f t="shared" si="28"/>
        <v>0</v>
      </c>
      <c r="W86" s="2042">
        <f t="shared" si="29"/>
        <v>0</v>
      </c>
      <c r="X86" s="2056"/>
      <c r="Y86" s="2011">
        <f>SUM('2.a sz. mell'!F81+'2.b sz. mell'!D79+'2.c sz. mell '!F79)</f>
        <v>2054939961</v>
      </c>
      <c r="Z86" s="2011"/>
      <c r="AA86" s="2354">
        <f>SUM('2.a sz. mell'!H81+'2.b sz. mell'!F79+'2.c sz. mell '!H79)</f>
        <v>3521630073</v>
      </c>
      <c r="AB86" s="2068"/>
      <c r="AC86" s="203">
        <f>SUM('2.a sz. mell'!J81+'2.b sz. mell'!H79+'2.c sz. mell '!J79)</f>
        <v>3661929372</v>
      </c>
      <c r="AD86" s="203"/>
      <c r="AE86" s="1158">
        <f>SUM('2.a sz. mell'!L81+'2.b sz. mell'!J79+'2.c sz. mell '!L79)</f>
        <v>3661929372</v>
      </c>
      <c r="AF86" s="2013">
        <f>SUM('2.a sz. mell'!M81+'2.b sz. mell'!K79+'2.c sz. mell '!M79)</f>
        <v>3500805617</v>
      </c>
    </row>
    <row r="87" spans="1:32" s="145" customFormat="1" ht="34.5" customHeight="1" thickBot="1" x14ac:dyDescent="0.25">
      <c r="A87" s="142"/>
      <c r="B87" s="560" t="s">
        <v>820</v>
      </c>
      <c r="C87" s="158" t="s">
        <v>1824</v>
      </c>
      <c r="D87" s="147"/>
      <c r="E87" s="147"/>
      <c r="F87" s="137"/>
      <c r="G87" s="1432">
        <f t="shared" si="25"/>
        <v>0</v>
      </c>
      <c r="H87" s="548">
        <f>SUM('3.2 Cofogos'!G287)</f>
        <v>0</v>
      </c>
      <c r="I87" s="1386">
        <f>SUM(J87-H87)</f>
        <v>0</v>
      </c>
      <c r="J87" s="548">
        <f>SUM('3.2 Cofogos'!I287)</f>
        <v>0</v>
      </c>
      <c r="K87" s="2446">
        <f t="shared" si="34"/>
        <v>0</v>
      </c>
      <c r="L87" s="548">
        <f>SUM('3.2 Cofogos'!K287)</f>
        <v>0</v>
      </c>
      <c r="M87" s="548">
        <f>SUM('3.2 Cofogos'!L287)</f>
        <v>0</v>
      </c>
      <c r="N87" s="1185" t="e">
        <f t="shared" si="36"/>
        <v>#DIV/0!</v>
      </c>
      <c r="P87" s="2003">
        <f t="shared" si="37"/>
        <v>0</v>
      </c>
      <c r="Q87" s="2003"/>
      <c r="R87" s="2354">
        <f t="shared" si="38"/>
        <v>0</v>
      </c>
      <c r="S87" s="2005"/>
      <c r="T87" s="2010">
        <f t="shared" si="22"/>
        <v>0</v>
      </c>
      <c r="U87" s="2010"/>
      <c r="V87" s="1999">
        <f t="shared" si="28"/>
        <v>0</v>
      </c>
      <c r="W87" s="2042">
        <f t="shared" si="29"/>
        <v>0</v>
      </c>
      <c r="X87" s="2056"/>
      <c r="Y87" s="2011">
        <f>SUM('2.a sz. mell'!F82+'2.b sz. mell'!D80+'2.c sz. mell '!F80)</f>
        <v>0</v>
      </c>
      <c r="Z87" s="2011"/>
      <c r="AA87" s="2354">
        <f>SUM('2.a sz. mell'!H82+'2.b sz. mell'!F80+'2.c sz. mell '!H80)</f>
        <v>0</v>
      </c>
      <c r="AB87" s="2068"/>
      <c r="AC87" s="203">
        <f>SUM('2.a sz. mell'!J82+'2.b sz. mell'!H80+'2.c sz. mell '!J80)</f>
        <v>0</v>
      </c>
      <c r="AD87" s="203"/>
      <c r="AE87" s="1158">
        <f>SUM('2.a sz. mell'!L82+'2.b sz. mell'!J80+'2.c sz. mell '!L80)</f>
        <v>0</v>
      </c>
      <c r="AF87" s="2013">
        <f>SUM('2.a sz. mell'!M82+'2.b sz. mell'!K80+'2.c sz. mell '!M80)</f>
        <v>0</v>
      </c>
    </row>
    <row r="88" spans="1:32" s="145" customFormat="1" ht="16.5" customHeight="1" thickBot="1" x14ac:dyDescent="0.25">
      <c r="A88" s="142"/>
      <c r="B88" s="560" t="s">
        <v>821</v>
      </c>
      <c r="C88" s="158" t="s">
        <v>209</v>
      </c>
      <c r="D88" s="147"/>
      <c r="E88" s="147"/>
      <c r="F88" s="548">
        <f>SUM('3. sz. mell'!F73)</f>
        <v>581321000</v>
      </c>
      <c r="G88" s="2446">
        <f t="shared" si="25"/>
        <v>1096200000</v>
      </c>
      <c r="H88" s="2862">
        <f>SUM('3.2 Cofogos'!G285)</f>
        <v>1677521000</v>
      </c>
      <c r="I88" s="2446">
        <f>SUM('3.2 Cofogos'!H285)</f>
        <v>-180851145</v>
      </c>
      <c r="J88" s="2862">
        <f>SUM('3.2 Cofogos'!I285)</f>
        <v>1496669855</v>
      </c>
      <c r="K88" s="2446">
        <f t="shared" si="34"/>
        <v>0</v>
      </c>
      <c r="L88" s="2862">
        <f>SUM('3.2 Cofogos'!K285)</f>
        <v>1496669855</v>
      </c>
      <c r="M88" s="2862">
        <f>SUM('3.2 Cofogos'!L285)</f>
        <v>1357269500</v>
      </c>
      <c r="N88" s="1185">
        <f t="shared" si="36"/>
        <v>80.909240480447039</v>
      </c>
      <c r="P88" s="2003">
        <f t="shared" si="37"/>
        <v>0</v>
      </c>
      <c r="Q88" s="2003"/>
      <c r="R88" s="2354">
        <f t="shared" si="38"/>
        <v>0</v>
      </c>
      <c r="S88" s="2005"/>
      <c r="T88" s="2010">
        <f t="shared" si="22"/>
        <v>0</v>
      </c>
      <c r="U88" s="2010"/>
      <c r="V88" s="1999">
        <f t="shared" si="28"/>
        <v>0</v>
      </c>
      <c r="W88" s="2042">
        <f t="shared" si="29"/>
        <v>0</v>
      </c>
      <c r="X88" s="2056"/>
      <c r="Y88" s="2011">
        <f>SUM('2.a sz. mell'!F87+'2.b sz. mell'!D81+'2.c sz. mell '!F81)</f>
        <v>581321000</v>
      </c>
      <c r="Z88" s="2011"/>
      <c r="AA88" s="2354">
        <f>SUM('2.a sz. mell'!H87+'2.b sz. mell'!F81+'2.c sz. mell '!H81)</f>
        <v>1677521000</v>
      </c>
      <c r="AB88" s="2068"/>
      <c r="AC88" s="203">
        <f>SUM('2.a sz. mell'!J87+'2.b sz. mell'!H81+'2.c sz. mell '!J81)</f>
        <v>1496669855</v>
      </c>
      <c r="AD88" s="203"/>
      <c r="AE88" s="1158">
        <f>SUM('2.a sz. mell'!L87+'2.b sz. mell'!J81+'2.c sz. mell '!L81)</f>
        <v>1496669855</v>
      </c>
      <c r="AF88" s="2013">
        <f>SUM('2.a sz. mell'!M87+'2.b sz. mell'!K81+'2.c sz. mell '!M81)</f>
        <v>1357269500</v>
      </c>
    </row>
    <row r="89" spans="1:32" s="145" customFormat="1" ht="36" customHeight="1" thickBot="1" x14ac:dyDescent="0.25">
      <c r="A89" s="142"/>
      <c r="B89" s="560" t="s">
        <v>367</v>
      </c>
      <c r="C89" s="158" t="s">
        <v>216</v>
      </c>
      <c r="D89" s="147"/>
      <c r="E89" s="147"/>
      <c r="F89" s="548"/>
      <c r="G89" s="2446">
        <f t="shared" si="25"/>
        <v>224907461</v>
      </c>
      <c r="H89" s="2862">
        <f>SUM('3.2 Cofogos'!G31)</f>
        <v>224907461</v>
      </c>
      <c r="I89" s="2446">
        <f>SUM('3.2 Cofogos'!H31)</f>
        <v>275558186</v>
      </c>
      <c r="J89" s="2862">
        <f>SUM('3.2 Cofogos'!I31)</f>
        <v>500465647</v>
      </c>
      <c r="K89" s="2446">
        <f t="shared" si="34"/>
        <v>0</v>
      </c>
      <c r="L89" s="2862">
        <f>SUM('3.2 Cofogos'!K31)</f>
        <v>500465647</v>
      </c>
      <c r="M89" s="2862">
        <f>SUM('3.2 Cofogos'!L31)</f>
        <v>478742247</v>
      </c>
      <c r="N89" s="1185">
        <f t="shared" si="36"/>
        <v>212.86187877955726</v>
      </c>
      <c r="P89" s="2003">
        <f t="shared" si="37"/>
        <v>0</v>
      </c>
      <c r="Q89" s="2003"/>
      <c r="R89" s="2354">
        <f t="shared" si="38"/>
        <v>0</v>
      </c>
      <c r="S89" s="2005"/>
      <c r="T89" s="2010">
        <f t="shared" si="22"/>
        <v>0</v>
      </c>
      <c r="U89" s="2010"/>
      <c r="V89" s="1999">
        <f t="shared" si="28"/>
        <v>0</v>
      </c>
      <c r="W89" s="2042">
        <f t="shared" si="29"/>
        <v>0</v>
      </c>
      <c r="X89" s="2056"/>
      <c r="Y89" s="2011"/>
      <c r="Z89" s="2011"/>
      <c r="AA89" s="2354">
        <f>SUM('2.b sz. mell'!F82)</f>
        <v>224907461</v>
      </c>
      <c r="AB89" s="2068"/>
      <c r="AC89" s="203">
        <f>SUM('2.b sz. mell'!H82)</f>
        <v>500465647</v>
      </c>
      <c r="AD89" s="203"/>
      <c r="AE89" s="1158">
        <f>SUM('2.b sz. mell'!J82)</f>
        <v>500465647</v>
      </c>
      <c r="AF89" s="2013">
        <f>SUM('2.b sz. mell'!K82)</f>
        <v>478742247</v>
      </c>
    </row>
    <row r="90" spans="1:32" s="145" customFormat="1" ht="16.5" customHeight="1" thickBot="1" x14ac:dyDescent="0.25">
      <c r="A90" s="142"/>
      <c r="B90" s="176" t="s">
        <v>368</v>
      </c>
      <c r="C90" s="158" t="s">
        <v>1162</v>
      </c>
      <c r="D90" s="147"/>
      <c r="E90" s="147"/>
      <c r="F90" s="548"/>
      <c r="G90" s="2446">
        <f t="shared" si="25"/>
        <v>0</v>
      </c>
      <c r="H90" s="2862"/>
      <c r="I90" s="2446"/>
      <c r="J90" s="548"/>
      <c r="K90" s="2446"/>
      <c r="L90" s="548"/>
      <c r="M90" s="548"/>
      <c r="N90" s="1185" t="e">
        <f>SUM(M90/H90)*100</f>
        <v>#DIV/0!</v>
      </c>
      <c r="P90" s="2003">
        <f t="shared" si="37"/>
        <v>0</v>
      </c>
      <c r="Q90" s="2003"/>
      <c r="R90" s="2354">
        <f t="shared" si="38"/>
        <v>0</v>
      </c>
      <c r="S90" s="2005"/>
      <c r="T90" s="2010">
        <f t="shared" si="22"/>
        <v>0</v>
      </c>
      <c r="U90" s="2010"/>
      <c r="V90" s="1999">
        <f t="shared" si="28"/>
        <v>0</v>
      </c>
      <c r="W90" s="2042">
        <f t="shared" si="29"/>
        <v>0</v>
      </c>
      <c r="X90" s="2056"/>
      <c r="Y90" s="2011"/>
      <c r="Z90" s="2011"/>
      <c r="AA90" s="2354">
        <f>SUM('2.b sz. mell'!F84)</f>
        <v>0</v>
      </c>
      <c r="AB90" s="2068"/>
      <c r="AC90" s="203">
        <f>SUM('2.b sz. mell'!H84)</f>
        <v>0</v>
      </c>
      <c r="AD90" s="203"/>
      <c r="AE90" s="1158">
        <f>SUM('2.b sz. mell'!J84)</f>
        <v>0</v>
      </c>
      <c r="AF90" s="2013">
        <f>SUM('2.b sz. mell'!K84)</f>
        <v>0</v>
      </c>
    </row>
    <row r="91" spans="1:32" s="145" customFormat="1" ht="16.5" customHeight="1" thickBot="1" x14ac:dyDescent="0.25">
      <c r="A91" s="142"/>
      <c r="B91" s="176" t="s">
        <v>878</v>
      </c>
      <c r="C91" s="158" t="s">
        <v>320</v>
      </c>
      <c r="D91" s="147"/>
      <c r="E91" s="147"/>
      <c r="F91" s="548">
        <f>SUM('3. sz. mell'!F72)</f>
        <v>1473618961</v>
      </c>
      <c r="G91" s="2446">
        <f t="shared" si="25"/>
        <v>145582651</v>
      </c>
      <c r="H91" s="548">
        <f>SUM('3. sz. mell'!H72)</f>
        <v>1619201612</v>
      </c>
      <c r="I91" s="2446">
        <f>SUM('3. sz. mell'!I72)</f>
        <v>45592258</v>
      </c>
      <c r="J91" s="548">
        <f>SUM('3. sz. mell'!J72)</f>
        <v>1664793870</v>
      </c>
      <c r="K91" s="2446">
        <f t="shared" si="34"/>
        <v>0</v>
      </c>
      <c r="L91" s="548">
        <f>SUM('3. sz. mell'!L72)</f>
        <v>1664793870</v>
      </c>
      <c r="M91" s="548">
        <f>SUM('3. sz. mell'!M72)</f>
        <v>1664793870</v>
      </c>
      <c r="N91" s="1185">
        <f t="shared" si="36"/>
        <v>102.81572459304098</v>
      </c>
      <c r="P91" s="2003">
        <f t="shared" si="37"/>
        <v>0</v>
      </c>
      <c r="Q91" s="2003"/>
      <c r="R91" s="2354">
        <f t="shared" si="38"/>
        <v>0</v>
      </c>
      <c r="S91" s="2005"/>
      <c r="T91" s="2010">
        <f t="shared" si="22"/>
        <v>0</v>
      </c>
      <c r="U91" s="2010"/>
      <c r="V91" s="1999">
        <f t="shared" si="28"/>
        <v>0</v>
      </c>
      <c r="W91" s="2042">
        <f t="shared" si="29"/>
        <v>0</v>
      </c>
      <c r="X91" s="2056"/>
      <c r="Y91" s="2011">
        <f>SUM('2.a sz. mell'!F89+'2.b sz. mell'!D83+'2.c sz. mell '!F83)</f>
        <v>1473618961</v>
      </c>
      <c r="Z91" s="2011"/>
      <c r="AA91" s="2354">
        <f>SUM('2.a sz. mell'!H89+'2.b sz. mell'!F83+'2.c sz. mell '!H83)</f>
        <v>1619201612</v>
      </c>
      <c r="AB91" s="2011"/>
      <c r="AC91" s="203">
        <f>SUM('2.a sz. mell'!J89+'2.b sz. mell'!H83+'2.c sz. mell '!J83)</f>
        <v>1664793870</v>
      </c>
      <c r="AD91" s="2011"/>
      <c r="AE91" s="1158">
        <f>SUM('2.a sz. mell'!L89+'2.b sz. mell'!J83+'2.c sz. mell '!L83)</f>
        <v>1664793870</v>
      </c>
      <c r="AF91" s="2013">
        <f>SUM('2.a sz. mell'!M89+'2.b sz. mell'!K83+'2.c sz. mell '!M83)</f>
        <v>1664793870</v>
      </c>
    </row>
    <row r="92" spans="1:32" s="145" customFormat="1" ht="16.5" customHeight="1" thickBot="1" x14ac:dyDescent="0.25">
      <c r="A92" s="142"/>
      <c r="B92" s="560" t="s">
        <v>321</v>
      </c>
      <c r="C92" s="30" t="s">
        <v>219</v>
      </c>
      <c r="D92" s="144"/>
      <c r="E92" s="144"/>
      <c r="F92" s="137"/>
      <c r="G92" s="1382"/>
      <c r="H92" s="137"/>
      <c r="I92" s="1374"/>
      <c r="J92" s="137"/>
      <c r="K92" s="2445"/>
      <c r="L92" s="137"/>
      <c r="M92" s="137"/>
      <c r="N92" s="1185"/>
      <c r="P92" s="2003">
        <f t="shared" si="37"/>
        <v>0</v>
      </c>
      <c r="Q92" s="2003"/>
      <c r="R92" s="2354">
        <f t="shared" si="38"/>
        <v>0</v>
      </c>
      <c r="S92" s="2005"/>
      <c r="T92" s="2010">
        <f t="shared" si="22"/>
        <v>0</v>
      </c>
      <c r="U92" s="2010"/>
      <c r="V92" s="1999">
        <f t="shared" si="28"/>
        <v>0</v>
      </c>
      <c r="W92" s="2042">
        <f t="shared" si="29"/>
        <v>0</v>
      </c>
      <c r="X92" s="2056"/>
      <c r="Y92" s="2011">
        <f>SUM('2.a sz. mell'!F90+'2.b sz. mell'!D85+'2.c sz. mell '!F84)</f>
        <v>0</v>
      </c>
      <c r="Z92" s="2011"/>
      <c r="AA92" s="2354">
        <f>SUM('2.a sz. mell'!H90+'2.b sz. mell'!F85+'2.c sz. mell '!H84)</f>
        <v>0</v>
      </c>
      <c r="AB92" s="2011"/>
      <c r="AC92" s="203">
        <f>SUM('2.a sz. mell'!J90+'2.b sz. mell'!H85+'2.c sz. mell '!J84)</f>
        <v>0</v>
      </c>
      <c r="AD92" s="2011"/>
      <c r="AE92" s="1158">
        <f>SUM('2.a sz. mell'!L90+'2.b sz. mell'!J85+'2.c sz. mell '!L84)</f>
        <v>0</v>
      </c>
      <c r="AF92" s="2013">
        <f>SUM('2.a sz. mell'!M90+'2.b sz. mell'!K85+'2.c sz. mell '!M84)</f>
        <v>0</v>
      </c>
    </row>
    <row r="93" spans="1:32" s="145" customFormat="1" ht="30" customHeight="1" thickBot="1" x14ac:dyDescent="0.25">
      <c r="A93" s="142"/>
      <c r="B93" s="560" t="s">
        <v>586</v>
      </c>
      <c r="C93" s="30" t="s">
        <v>764</v>
      </c>
      <c r="D93" s="144"/>
      <c r="E93" s="144"/>
      <c r="F93" s="137"/>
      <c r="G93" s="1382"/>
      <c r="H93" s="137"/>
      <c r="I93" s="1374"/>
      <c r="J93" s="137"/>
      <c r="K93" s="2445"/>
      <c r="L93" s="137"/>
      <c r="M93" s="137"/>
      <c r="N93" s="1185"/>
      <c r="P93" s="2003">
        <f t="shared" si="37"/>
        <v>0</v>
      </c>
      <c r="Q93" s="2003"/>
      <c r="R93" s="2354">
        <f t="shared" si="38"/>
        <v>0</v>
      </c>
      <c r="S93" s="2005"/>
      <c r="T93" s="2010">
        <f t="shared" si="22"/>
        <v>0</v>
      </c>
      <c r="U93" s="2010"/>
      <c r="V93" s="1999">
        <f t="shared" si="28"/>
        <v>0</v>
      </c>
      <c r="W93" s="2042">
        <f t="shared" si="29"/>
        <v>0</v>
      </c>
      <c r="X93" s="2056"/>
      <c r="Y93" s="2011">
        <f>SUM('2.a sz. mell'!F91+'2.b sz. mell'!D86+'2.c sz. mell '!F85)</f>
        <v>0</v>
      </c>
      <c r="Z93" s="2011"/>
      <c r="AA93" s="2354">
        <f>SUM('2.a sz. mell'!H91+'2.b sz. mell'!F86+'2.c sz. mell '!H85)</f>
        <v>0</v>
      </c>
      <c r="AB93" s="2011"/>
      <c r="AC93" s="203">
        <f>SUM('2.a sz. mell'!J91+'2.b sz. mell'!H86+'2.c sz. mell '!J85)</f>
        <v>0</v>
      </c>
      <c r="AD93" s="2011"/>
      <c r="AE93" s="1158">
        <f>SUM('2.a sz. mell'!L91+'2.b sz. mell'!J86+'2.c sz. mell '!L85)</f>
        <v>0</v>
      </c>
      <c r="AF93" s="2013">
        <f>SUM('2.a sz. mell'!M91+'2.b sz. mell'!K86+'2.c sz. mell '!M85)</f>
        <v>0</v>
      </c>
    </row>
    <row r="94" spans="1:32" ht="15" hidden="1" customHeight="1" x14ac:dyDescent="0.2">
      <c r="A94" s="146"/>
      <c r="B94" s="563" t="s">
        <v>321</v>
      </c>
      <c r="C94" s="55" t="s">
        <v>214</v>
      </c>
      <c r="D94" s="153" t="e">
        <f>SUM(#REF!)</f>
        <v>#REF!</v>
      </c>
      <c r="E94" s="153" t="e">
        <f>SUM(#REF!)</f>
        <v>#REF!</v>
      </c>
      <c r="F94" s="153"/>
      <c r="G94" s="1432">
        <f>SUM(H94-F94)</f>
        <v>0</v>
      </c>
      <c r="H94" s="153"/>
      <c r="I94" s="1386">
        <f>SUM(J94-H94)</f>
        <v>0</v>
      </c>
      <c r="J94" s="153"/>
      <c r="K94" s="2445"/>
      <c r="L94" s="153"/>
      <c r="M94" s="153"/>
      <c r="N94" s="1185" t="e">
        <f t="shared" si="36"/>
        <v>#DIV/0!</v>
      </c>
      <c r="P94" s="2003" t="e">
        <f t="shared" si="37"/>
        <v>#REF!</v>
      </c>
      <c r="Q94" s="2003"/>
      <c r="R94" s="2354" t="e">
        <f t="shared" si="38"/>
        <v>#REF!</v>
      </c>
      <c r="S94" s="2005"/>
      <c r="T94" s="2010" t="e">
        <f t="shared" si="22"/>
        <v>#REF!</v>
      </c>
      <c r="U94" s="2010"/>
      <c r="V94" s="1999" t="e">
        <f t="shared" si="28"/>
        <v>#REF!</v>
      </c>
      <c r="W94" s="2042" t="e">
        <f t="shared" si="29"/>
        <v>#REF!</v>
      </c>
      <c r="X94" s="2056"/>
      <c r="Y94" s="2011" t="e">
        <f>SUM('2.a sz. mell'!F92+'2.b sz. mell'!#REF!+'2.c sz. mell '!F86)</f>
        <v>#REF!</v>
      </c>
      <c r="Z94" s="2011"/>
      <c r="AA94" s="2354" t="e">
        <f>SUM('2.a sz. mell'!H92+'2.b sz. mell'!#REF!+'2.c sz. mell '!H86)</f>
        <v>#REF!</v>
      </c>
      <c r="AB94" s="2011"/>
      <c r="AC94" s="203" t="e">
        <f>SUM('2.a sz. mell'!J92+'2.b sz. mell'!#REF!+'2.c sz. mell '!J86)</f>
        <v>#REF!</v>
      </c>
      <c r="AD94" s="2011"/>
      <c r="AE94" s="1158" t="e">
        <f>SUM('2.a sz. mell'!L92+'2.b sz. mell'!#REF!+'2.c sz. mell '!L86)</f>
        <v>#REF!</v>
      </c>
      <c r="AF94" s="2013" t="e">
        <f>SUM('2.a sz. mell'!M92+'2.b sz. mell'!#REF!+'2.c sz. mell '!M86)</f>
        <v>#REF!</v>
      </c>
    </row>
    <row r="95" spans="1:32" ht="17.25" hidden="1" thickBot="1" x14ac:dyDescent="0.25">
      <c r="A95" s="2433"/>
      <c r="B95" s="2434"/>
      <c r="C95" s="1398"/>
      <c r="D95" s="1398"/>
      <c r="E95" s="1398"/>
      <c r="F95" s="784"/>
      <c r="G95" s="1432">
        <f>SUM(H95-F95)</f>
        <v>0</v>
      </c>
      <c r="H95" s="784"/>
      <c r="I95" s="1386">
        <f>SUM(J95-H95)</f>
        <v>0</v>
      </c>
      <c r="J95" s="1398"/>
      <c r="K95" s="2445"/>
      <c r="L95" s="1398"/>
      <c r="M95" s="784"/>
      <c r="N95" s="1185" t="e">
        <f t="shared" si="36"/>
        <v>#DIV/0!</v>
      </c>
      <c r="P95" s="2003">
        <f t="shared" si="37"/>
        <v>-7125457111</v>
      </c>
      <c r="Q95" s="2003"/>
      <c r="R95" s="2354">
        <f t="shared" si="38"/>
        <v>-10241310533</v>
      </c>
      <c r="S95" s="2005"/>
      <c r="T95" s="2010">
        <f t="shared" si="22"/>
        <v>-10475055301</v>
      </c>
      <c r="U95" s="2010"/>
      <c r="V95" s="1999">
        <f t="shared" si="28"/>
        <v>-10476803260</v>
      </c>
      <c r="W95" s="2042">
        <f t="shared" si="29"/>
        <v>-8871910244</v>
      </c>
      <c r="X95" s="2054"/>
      <c r="Y95" s="2011">
        <f>SUM('2.a sz. mell'!F93+'2.b sz. mell'!D87+'2.c sz. mell '!F87)</f>
        <v>7125457111</v>
      </c>
      <c r="Z95" s="2011"/>
      <c r="AA95" s="2354">
        <f>SUM('2.a sz. mell'!H93+'2.b sz. mell'!F87+'2.c sz. mell '!H87)</f>
        <v>10241310533</v>
      </c>
      <c r="AB95" s="2011"/>
      <c r="AC95" s="203">
        <f>SUM('2.a sz. mell'!J93+'2.b sz. mell'!H87+'2.c sz. mell '!J87)</f>
        <v>10475055301</v>
      </c>
      <c r="AD95" s="2011"/>
      <c r="AE95" s="1158">
        <f>SUM('2.a sz. mell'!L93+'2.b sz. mell'!J87+'2.c sz. mell '!L87)</f>
        <v>10476803260</v>
      </c>
      <c r="AF95" s="2013">
        <f>SUM('2.a sz. mell'!M93+'2.b sz. mell'!K87+'2.c sz. mell '!M87)</f>
        <v>8871910244</v>
      </c>
    </row>
    <row r="96" spans="1:32" s="145" customFormat="1" ht="15" customHeight="1" thickBot="1" x14ac:dyDescent="0.25">
      <c r="A96" s="134"/>
      <c r="B96" s="558"/>
      <c r="C96" s="171"/>
      <c r="D96" s="155"/>
      <c r="E96" s="155"/>
      <c r="F96" s="155"/>
      <c r="G96" s="1381"/>
      <c r="H96" s="155"/>
      <c r="I96" s="1380"/>
      <c r="J96" s="155"/>
      <c r="K96" s="2445"/>
      <c r="L96" s="155"/>
      <c r="M96" s="155"/>
      <c r="N96" s="1185"/>
      <c r="P96" s="2003">
        <f t="shared" si="37"/>
        <v>0</v>
      </c>
      <c r="Q96" s="2003"/>
      <c r="R96" s="2354">
        <f t="shared" si="38"/>
        <v>0</v>
      </c>
      <c r="S96" s="2005"/>
      <c r="T96" s="2010">
        <f t="shared" si="22"/>
        <v>0</v>
      </c>
      <c r="U96" s="2010"/>
      <c r="V96" s="1999">
        <f t="shared" si="28"/>
        <v>0</v>
      </c>
      <c r="W96" s="2042">
        <f t="shared" si="29"/>
        <v>0</v>
      </c>
      <c r="X96" s="2056"/>
      <c r="Y96" s="2011"/>
      <c r="Z96" s="2011"/>
      <c r="AA96" s="2354"/>
      <c r="AB96" s="2011"/>
      <c r="AC96" s="203"/>
      <c r="AD96" s="2011"/>
      <c r="AE96" s="1158"/>
      <c r="AF96" s="2013"/>
    </row>
    <row r="97" spans="1:32" ht="15" customHeight="1" thickBot="1" x14ac:dyDescent="0.25">
      <c r="A97" s="192" t="s">
        <v>45</v>
      </c>
      <c r="B97" s="566"/>
      <c r="C97" s="161" t="s">
        <v>322</v>
      </c>
      <c r="D97" s="162" t="e">
        <f>+D83+D85</f>
        <v>#REF!</v>
      </c>
      <c r="E97" s="162" t="e">
        <f>+E83+E85</f>
        <v>#REF!</v>
      </c>
      <c r="F97" s="162">
        <f>SUM(F51+F67+F85)</f>
        <v>7125457111</v>
      </c>
      <c r="G97" s="1437">
        <f>SUM(H97-F97)</f>
        <v>3115853422</v>
      </c>
      <c r="H97" s="162">
        <f>SUM(H51+H67+H85)</f>
        <v>10241310533</v>
      </c>
      <c r="I97" s="1437">
        <f>SUM(I51+I67+I85)</f>
        <v>233744768</v>
      </c>
      <c r="J97" s="162">
        <f>SUM(J51+J67+J85)</f>
        <v>10475055301</v>
      </c>
      <c r="K97" s="1437">
        <f t="shared" si="34"/>
        <v>1747959</v>
      </c>
      <c r="L97" s="162">
        <f>SUM(L51+L67+L85)</f>
        <v>10476803260</v>
      </c>
      <c r="M97" s="162">
        <f>SUM(M51+M67+M85)</f>
        <v>8871910244</v>
      </c>
      <c r="N97" s="1185">
        <f t="shared" si="36"/>
        <v>86.628661589867249</v>
      </c>
      <c r="P97" s="2003">
        <f t="shared" si="37"/>
        <v>0</v>
      </c>
      <c r="Q97" s="2003"/>
      <c r="R97" s="2354">
        <f t="shared" si="38"/>
        <v>0</v>
      </c>
      <c r="S97" s="2005"/>
      <c r="T97" s="2010">
        <f t="shared" si="22"/>
        <v>0</v>
      </c>
      <c r="U97" s="2010"/>
      <c r="V97" s="1999">
        <f t="shared" si="28"/>
        <v>0</v>
      </c>
      <c r="W97" s="2042">
        <f t="shared" si="29"/>
        <v>0</v>
      </c>
      <c r="X97" s="2056"/>
      <c r="Y97" s="2011">
        <f>SUM('2.a sz. mell'!F93+'2.b sz. mell'!D87+'2.c sz. mell '!F87)</f>
        <v>7125457111</v>
      </c>
      <c r="Z97" s="2011"/>
      <c r="AA97" s="2354">
        <f>SUM('2.a sz. mell'!H93+'2.b sz. mell'!F87+'2.c sz. mell '!H87)</f>
        <v>10241310533</v>
      </c>
      <c r="AB97" s="2011"/>
      <c r="AC97" s="203">
        <f>SUM('2.a sz. mell'!J93+'2.b sz. mell'!H87+'2.c sz. mell '!J87)</f>
        <v>10475055301</v>
      </c>
      <c r="AD97" s="2011"/>
      <c r="AE97" s="1158">
        <f>SUM('2.a sz. mell'!L93+'2.b sz. mell'!J87+'2.c sz. mell '!L87)</f>
        <v>10476803260</v>
      </c>
      <c r="AF97" s="2013">
        <f>SUM('2.a sz. mell'!M93+'2.b sz. mell'!K87+'2.c sz. mell '!M87)</f>
        <v>8871910244</v>
      </c>
    </row>
    <row r="98" spans="1:32" ht="21.75" customHeight="1" thickBot="1" x14ac:dyDescent="0.25">
      <c r="A98" s="244" t="s">
        <v>67</v>
      </c>
      <c r="B98" s="566"/>
      <c r="C98" s="768" t="s">
        <v>300</v>
      </c>
      <c r="D98" s="766"/>
      <c r="E98" s="764"/>
      <c r="F98" s="162">
        <f>SUM(F91)</f>
        <v>1473618961</v>
      </c>
      <c r="G98" s="1382">
        <f t="shared" ref="G98:M98" si="40">SUM(G91)</f>
        <v>145582651</v>
      </c>
      <c r="H98" s="162">
        <f t="shared" si="40"/>
        <v>1619201612</v>
      </c>
      <c r="I98" s="1437">
        <f t="shared" si="40"/>
        <v>45592258</v>
      </c>
      <c r="J98" s="162">
        <f t="shared" si="40"/>
        <v>1664793870</v>
      </c>
      <c r="K98" s="1437">
        <f t="shared" si="34"/>
        <v>0</v>
      </c>
      <c r="L98" s="162">
        <f t="shared" si="40"/>
        <v>1664793870</v>
      </c>
      <c r="M98" s="162">
        <f t="shared" si="40"/>
        <v>1664793870</v>
      </c>
      <c r="N98" s="1185">
        <f t="shared" si="36"/>
        <v>102.81572459304098</v>
      </c>
      <c r="P98" s="2003">
        <f t="shared" si="37"/>
        <v>0</v>
      </c>
      <c r="Q98" s="2003"/>
      <c r="R98" s="2354">
        <f t="shared" si="38"/>
        <v>0</v>
      </c>
      <c r="S98" s="2354"/>
      <c r="T98" s="2010">
        <f t="shared" si="22"/>
        <v>0</v>
      </c>
      <c r="U98" s="2354"/>
      <c r="V98" s="1999">
        <f t="shared" si="28"/>
        <v>0</v>
      </c>
      <c r="W98" s="2042">
        <f t="shared" si="29"/>
        <v>0</v>
      </c>
      <c r="X98" s="2056"/>
      <c r="Y98" s="2011">
        <f>SUM('2.a sz. mell'!F94+'2.b sz. mell'!D88+'2.c sz. mell '!F88)</f>
        <v>1473618961</v>
      </c>
      <c r="Z98" s="2011">
        <f>SUM('2.a sz. mell'!G94+'2.b sz. mell'!E88+'2.c sz. mell '!G88)</f>
        <v>145582651</v>
      </c>
      <c r="AA98" s="2354">
        <f>SUM('2.a sz. mell'!H94+'2.b sz. mell'!F88+'2.c sz. mell '!H88)</f>
        <v>1619201612</v>
      </c>
      <c r="AB98" s="2011">
        <f>SUM('2.a sz. mell'!I94+'2.b sz. mell'!G88+'2.c sz. mell '!I88)</f>
        <v>45592258</v>
      </c>
      <c r="AC98" s="203">
        <f>SUM('2.a sz. mell'!J94+'2.b sz. mell'!H88+'2.c sz. mell '!J88)</f>
        <v>1664793870</v>
      </c>
      <c r="AD98" s="2011">
        <f>SUM('2.a sz. mell'!K94+'2.b sz. mell'!I88+'2.c sz. mell '!K88)</f>
        <v>0</v>
      </c>
      <c r="AE98" s="1158">
        <f>SUM('2.a sz. mell'!L94+'2.b sz. mell'!J88+'2.c sz. mell '!L88)</f>
        <v>1664793870</v>
      </c>
      <c r="AF98" s="2013">
        <f>SUM('2.a sz. mell'!M94+'2.b sz. mell'!K88+'2.c sz. mell '!M88)</f>
        <v>1664793870</v>
      </c>
    </row>
    <row r="99" spans="1:32" ht="21.75" customHeight="1" thickBot="1" x14ac:dyDescent="0.25">
      <c r="A99" s="762" t="s">
        <v>79</v>
      </c>
      <c r="B99" s="763"/>
      <c r="C99" s="769" t="s">
        <v>814</v>
      </c>
      <c r="D99" s="767"/>
      <c r="E99" s="765"/>
      <c r="F99" s="2453"/>
      <c r="G99" s="2449"/>
      <c r="H99" s="767"/>
      <c r="I99" s="1620"/>
      <c r="J99" s="767"/>
      <c r="K99" s="2445"/>
      <c r="L99" s="767"/>
      <c r="M99" s="767"/>
      <c r="N99" s="1185" t="e">
        <f t="shared" si="36"/>
        <v>#DIV/0!</v>
      </c>
      <c r="P99" s="2003">
        <f t="shared" si="37"/>
        <v>0</v>
      </c>
      <c r="Q99" s="2003"/>
      <c r="R99" s="2354">
        <f t="shared" si="38"/>
        <v>0</v>
      </c>
      <c r="S99" s="2354"/>
      <c r="T99" s="2010">
        <f t="shared" si="22"/>
        <v>0</v>
      </c>
      <c r="U99" s="2354"/>
      <c r="V99" s="1999">
        <f t="shared" si="28"/>
        <v>0</v>
      </c>
      <c r="W99" s="2042">
        <f t="shared" si="29"/>
        <v>0</v>
      </c>
      <c r="X99" s="2056"/>
      <c r="Y99" s="2011"/>
      <c r="Z99" s="2011"/>
      <c r="AA99" s="2354"/>
      <c r="AB99" s="2011"/>
      <c r="AC99" s="203"/>
      <c r="AD99" s="2011"/>
      <c r="AE99" s="1158"/>
      <c r="AF99" s="2013"/>
    </row>
    <row r="100" spans="1:32" ht="20.25" customHeight="1" thickTop="1" thickBot="1" x14ac:dyDescent="0.25">
      <c r="A100" s="2432" t="s">
        <v>89</v>
      </c>
      <c r="B100" s="556"/>
      <c r="C100" s="543" t="s">
        <v>819</v>
      </c>
      <c r="D100" s="542"/>
      <c r="E100" s="542"/>
      <c r="F100" s="544">
        <f>SUM(F97-F98)</f>
        <v>5651838150</v>
      </c>
      <c r="G100" s="2448">
        <f>SUM(H100-F100)</f>
        <v>2970270771</v>
      </c>
      <c r="H100" s="544">
        <f>SUM(H97-H98)</f>
        <v>8622108921</v>
      </c>
      <c r="I100" s="2448">
        <f>SUM(I97-I98)-I99</f>
        <v>188152510</v>
      </c>
      <c r="J100" s="544">
        <f>SUM(J97-J98)-J99</f>
        <v>8810261431</v>
      </c>
      <c r="K100" s="2448">
        <f t="shared" si="34"/>
        <v>1747959</v>
      </c>
      <c r="L100" s="544">
        <f>SUM(L97-L98)-L99</f>
        <v>8812009390</v>
      </c>
      <c r="M100" s="544">
        <f>SUM(M97-M98)-M99</f>
        <v>7207116374</v>
      </c>
      <c r="N100" s="1185">
        <f t="shared" si="36"/>
        <v>83.588788311944825</v>
      </c>
      <c r="P100" s="2003">
        <f t="shared" si="37"/>
        <v>0</v>
      </c>
      <c r="Q100" s="2003"/>
      <c r="R100" s="2354">
        <f t="shared" si="38"/>
        <v>0</v>
      </c>
      <c r="S100" s="2354"/>
      <c r="T100" s="2010">
        <f>SUM(J100-AC100)</f>
        <v>0</v>
      </c>
      <c r="U100" s="2354"/>
      <c r="V100" s="1999">
        <f t="shared" si="28"/>
        <v>0</v>
      </c>
      <c r="W100" s="2042">
        <f t="shared" si="29"/>
        <v>0</v>
      </c>
      <c r="X100" s="2056"/>
      <c r="Y100" s="2011">
        <f>SUM('2.a sz. mell'!F95+'2.b sz. mell'!D89+'2.c sz. mell '!F89)</f>
        <v>5651838150</v>
      </c>
      <c r="Z100" s="2011"/>
      <c r="AA100" s="2354">
        <f>SUM('2.a sz. mell'!H95+'2.b sz. mell'!F89+'2.c sz. mell '!H89)</f>
        <v>8622108921</v>
      </c>
      <c r="AB100" s="2011"/>
      <c r="AC100" s="203">
        <f>SUM('2.a sz. mell'!J95+'2.b sz. mell'!H89+'2.c sz. mell '!J89)</f>
        <v>8810261431</v>
      </c>
      <c r="AD100" s="2011"/>
      <c r="AE100" s="1158">
        <f>SUM('2.a sz. mell'!L95+'2.b sz. mell'!J89+'2.c sz. mell '!L89)</f>
        <v>8812009390</v>
      </c>
      <c r="AF100" s="2013">
        <f>SUM('2.a sz. mell'!M95+'2.b sz. mell'!K89+'2.c sz. mell '!M89)</f>
        <v>7207116374</v>
      </c>
    </row>
    <row r="101" spans="1:32" ht="20.25" customHeight="1" thickTop="1" thickBot="1" x14ac:dyDescent="0.25">
      <c r="A101" s="4425" t="s">
        <v>324</v>
      </c>
      <c r="B101" s="4426"/>
      <c r="C101" s="4426"/>
      <c r="D101" s="541" t="e">
        <f>SUM(#REF!+#REF!)</f>
        <v>#REF!</v>
      </c>
      <c r="E101" s="541" t="e">
        <f>SUM(#REF!+#REF!)</f>
        <v>#REF!</v>
      </c>
      <c r="F101" s="541">
        <f>SUM('3. sz. mell'!F78+'4. sz. mell.'!F61+'5. sz. mell. '!F60)</f>
        <v>382.25</v>
      </c>
      <c r="G101" s="2450"/>
      <c r="H101" s="541">
        <f>SUM('3. sz. mell'!H78+'4. sz. mell.'!H61+'5. sz. mell. '!H60)</f>
        <v>382.25</v>
      </c>
      <c r="I101" s="1621"/>
      <c r="J101" s="541">
        <f>SUM('3. sz. mell'!J78+'4. sz. mell.'!J61+'5. sz. mell. '!J60)</f>
        <v>390.25</v>
      </c>
      <c r="K101" s="1621"/>
      <c r="L101" s="541">
        <f>SUM('3. sz. mell'!L78+'4. sz. mell.'!L61+'5. sz. mell. '!L60)</f>
        <v>390.25</v>
      </c>
      <c r="M101" s="541">
        <f>SUM('3. sz. mell'!M78+'4. sz. mell.'!M61+'5. sz. mell. '!M60)</f>
        <v>390.25</v>
      </c>
      <c r="N101" s="1185">
        <f t="shared" si="36"/>
        <v>102.09287115761936</v>
      </c>
      <c r="P101" s="2003"/>
      <c r="Q101" s="2003"/>
      <c r="R101" s="2005"/>
      <c r="S101" s="2005"/>
      <c r="T101" s="2010"/>
      <c r="U101" s="2010"/>
      <c r="V101" s="1999"/>
      <c r="W101" s="2042"/>
      <c r="X101" s="2057"/>
      <c r="Y101" s="2011"/>
      <c r="Z101" s="2011"/>
      <c r="AA101" s="2354"/>
      <c r="AC101" s="203"/>
      <c r="AD101" s="2027"/>
      <c r="AE101" s="1158"/>
      <c r="AF101" s="2013"/>
    </row>
    <row r="102" spans="1:32" ht="16.5" customHeight="1" thickBot="1" x14ac:dyDescent="0.25">
      <c r="A102" s="4418" t="s">
        <v>325</v>
      </c>
      <c r="B102" s="4419"/>
      <c r="C102" s="4419"/>
      <c r="D102" s="202">
        <v>13.5</v>
      </c>
      <c r="E102" s="202">
        <v>13.5</v>
      </c>
      <c r="F102" s="202">
        <f>SUM('3. sz. mell'!F79)</f>
        <v>30</v>
      </c>
      <c r="G102" s="2451"/>
      <c r="H102" s="202">
        <f>SUM('3. sz. mell'!H79)</f>
        <v>30</v>
      </c>
      <c r="I102" s="202">
        <f>SUM('3. sz. mell'!I79)</f>
        <v>0</v>
      </c>
      <c r="J102" s="202">
        <f>SUM('3. sz. mell'!J79)</f>
        <v>24</v>
      </c>
      <c r="K102" s="202"/>
      <c r="L102" s="202">
        <f>SUM('3. sz. mell'!L79)</f>
        <v>24</v>
      </c>
      <c r="M102" s="202">
        <f>SUM('3. sz. mell'!M79)</f>
        <v>24</v>
      </c>
      <c r="N102" s="1185">
        <f t="shared" si="36"/>
        <v>80</v>
      </c>
      <c r="P102" s="2008"/>
      <c r="Q102" s="2008"/>
      <c r="R102" s="2007"/>
      <c r="S102" s="2007"/>
      <c r="T102" s="2010"/>
      <c r="U102" s="2010"/>
      <c r="V102" s="2009"/>
      <c r="W102" s="2050"/>
      <c r="X102" s="201"/>
      <c r="Y102" s="2011"/>
      <c r="Z102" s="2011"/>
      <c r="AC102" s="203">
        <f>SUM('2.a sz. mell'!J101+'2.b sz. mell'!H99+'2.c sz. mell '!J101)</f>
        <v>0</v>
      </c>
      <c r="AD102" s="2071"/>
      <c r="AE102" s="3557"/>
      <c r="AF102" s="2013"/>
    </row>
    <row r="103" spans="1:32" ht="15" customHeight="1" thickBot="1" x14ac:dyDescent="0.25">
      <c r="A103" s="2435"/>
      <c r="B103" s="2436"/>
      <c r="C103" s="2437"/>
      <c r="D103" s="2437"/>
      <c r="E103" s="2437"/>
      <c r="F103" s="2440">
        <f>SUM(F101:F102)</f>
        <v>412.25</v>
      </c>
      <c r="G103" s="2439"/>
      <c r="H103" s="2440">
        <f t="shared" ref="H103:M103" si="41">SUM(H101:H102)</f>
        <v>412.25</v>
      </c>
      <c r="I103" s="2438">
        <f t="shared" si="41"/>
        <v>0</v>
      </c>
      <c r="J103" s="2438">
        <f t="shared" si="41"/>
        <v>414.25</v>
      </c>
      <c r="K103" s="2438"/>
      <c r="L103" s="2438">
        <f t="shared" si="41"/>
        <v>414.25</v>
      </c>
      <c r="M103" s="2440">
        <f t="shared" si="41"/>
        <v>414.25</v>
      </c>
      <c r="Y103" s="2011"/>
      <c r="Z103" s="2011"/>
      <c r="AE103" s="1158"/>
      <c r="AF103" s="2013"/>
    </row>
    <row r="104" spans="1:32" ht="29.25" customHeight="1" x14ac:dyDescent="0.2">
      <c r="A104" s="4413" t="s">
        <v>833</v>
      </c>
      <c r="B104" s="4413"/>
      <c r="C104" s="4411">
        <f>SUM(F48-F100)</f>
        <v>0</v>
      </c>
      <c r="D104" s="4412"/>
      <c r="E104" s="4412"/>
      <c r="F104" s="4412"/>
      <c r="G104" s="1622"/>
      <c r="H104" s="2856">
        <f>SUM(H48-H100)</f>
        <v>0</v>
      </c>
      <c r="I104" s="1294"/>
      <c r="J104" s="1294">
        <f>SUM(J48-J100)</f>
        <v>0</v>
      </c>
      <c r="K104" s="1294"/>
      <c r="L104" s="1294">
        <f>SUM(L48-L100)</f>
        <v>0</v>
      </c>
      <c r="M104" s="1711">
        <f>SUM(M48-M100)</f>
        <v>1614453392</v>
      </c>
      <c r="N104" s="1711"/>
      <c r="Y104" s="2011"/>
      <c r="Z104" s="2011"/>
    </row>
    <row r="105" spans="1:32" ht="15" customHeight="1" x14ac:dyDescent="0.2">
      <c r="H105" s="1147"/>
      <c r="I105" s="1628"/>
      <c r="J105" s="1147"/>
      <c r="K105" s="1628"/>
      <c r="L105" s="1147"/>
      <c r="M105" s="536"/>
      <c r="P105" s="2927">
        <f>SUM('2.a sz. mell'!H94+'2.b sz. mell'!F88+'2.c sz. mell '!H88)</f>
        <v>1619201612</v>
      </c>
      <c r="Y105" s="2011"/>
      <c r="Z105" s="2011"/>
    </row>
    <row r="106" spans="1:32" ht="15" customHeight="1" x14ac:dyDescent="0.2"/>
    <row r="107" spans="1:32" ht="16.5" thickBot="1" x14ac:dyDescent="0.25"/>
    <row r="108" spans="1:32" ht="16.5" thickBot="1" x14ac:dyDescent="0.25">
      <c r="E108" s="162">
        <v>4969009</v>
      </c>
      <c r="F108" s="162"/>
      <c r="G108" s="1373"/>
      <c r="H108" s="162"/>
      <c r="I108" s="1373"/>
      <c r="J108" s="162"/>
      <c r="K108" s="1373"/>
      <c r="L108" s="162"/>
      <c r="M108" s="162"/>
      <c r="N108" s="1187"/>
    </row>
    <row r="110" spans="1:32" ht="18.75" x14ac:dyDescent="0.2">
      <c r="C110" s="471" t="s">
        <v>773</v>
      </c>
      <c r="F110" s="203">
        <v>5070517150</v>
      </c>
      <c r="G110" s="1470"/>
      <c r="H110" s="203">
        <v>6519680460</v>
      </c>
      <c r="I110" s="1470"/>
      <c r="J110" s="203">
        <v>6813125929</v>
      </c>
      <c r="K110" s="1470"/>
      <c r="L110" s="203">
        <v>6814873888</v>
      </c>
      <c r="M110" s="203">
        <v>5371104627</v>
      </c>
      <c r="N110" s="1188"/>
    </row>
    <row r="111" spans="1:32" ht="18.75" x14ac:dyDescent="0.2">
      <c r="C111" s="471" t="s">
        <v>774</v>
      </c>
      <c r="E111" s="203" t="e">
        <f>SUM(E108-E97)</f>
        <v>#REF!</v>
      </c>
      <c r="F111" s="203">
        <v>2054939961</v>
      </c>
      <c r="G111" s="1470"/>
      <c r="H111" s="203">
        <v>3721630073</v>
      </c>
      <c r="I111" s="1470"/>
      <c r="J111" s="203">
        <v>3661929372</v>
      </c>
      <c r="K111" s="1470"/>
      <c r="L111" s="203">
        <v>3661929372</v>
      </c>
      <c r="M111" s="203">
        <v>3500805617</v>
      </c>
      <c r="N111" s="1188"/>
    </row>
    <row r="112" spans="1:32" ht="18.75" x14ac:dyDescent="0.2">
      <c r="C112" s="472" t="s">
        <v>712</v>
      </c>
      <c r="D112" s="475"/>
      <c r="E112" s="475"/>
      <c r="F112" s="474">
        <f>SUM(F110:F111)</f>
        <v>7125457111</v>
      </c>
      <c r="G112" s="1623"/>
      <c r="H112" s="474">
        <f>SUM(H110:H111)</f>
        <v>10241310533</v>
      </c>
      <c r="I112" s="474"/>
      <c r="J112" s="474">
        <f>SUM(J110:J111)</f>
        <v>10475055301</v>
      </c>
      <c r="K112" s="1623"/>
      <c r="L112" s="474">
        <f>SUM(L110:L111)</f>
        <v>10476803260</v>
      </c>
      <c r="M112" s="474">
        <f>SUM(M110:M111)</f>
        <v>8871910244</v>
      </c>
      <c r="N112" s="1189"/>
    </row>
    <row r="113" spans="3:22" ht="18.75" x14ac:dyDescent="0.2">
      <c r="C113" s="1160" t="s">
        <v>772</v>
      </c>
      <c r="D113" s="1161"/>
      <c r="E113" s="1161"/>
      <c r="F113" s="1162">
        <f>SUM(F97-F112)</f>
        <v>0</v>
      </c>
      <c r="G113" s="1162"/>
      <c r="H113" s="1162">
        <f t="shared" ref="H113:M113" si="42">SUM(H97-H112)</f>
        <v>0</v>
      </c>
      <c r="I113" s="1162"/>
      <c r="J113" s="1162">
        <f t="shared" si="42"/>
        <v>0</v>
      </c>
      <c r="K113" s="1162"/>
      <c r="L113" s="1162">
        <f t="shared" si="42"/>
        <v>0</v>
      </c>
      <c r="M113" s="1162">
        <f t="shared" si="42"/>
        <v>0</v>
      </c>
      <c r="N113" s="1188"/>
    </row>
    <row r="114" spans="3:22" ht="18.75" x14ac:dyDescent="0.2">
      <c r="C114" s="471"/>
    </row>
    <row r="115" spans="3:22" ht="18.75" x14ac:dyDescent="0.2">
      <c r="C115" s="471" t="s">
        <v>775</v>
      </c>
      <c r="F115" s="203">
        <v>4289988150</v>
      </c>
      <c r="G115" s="1470"/>
      <c r="H115" s="203">
        <v>4444663244</v>
      </c>
      <c r="I115" s="1470"/>
      <c r="J115" s="203">
        <v>5359005527</v>
      </c>
      <c r="K115" s="1470"/>
      <c r="L115" s="203">
        <v>5359005527</v>
      </c>
      <c r="M115" s="203">
        <v>5370313862</v>
      </c>
      <c r="N115" s="1188"/>
    </row>
    <row r="116" spans="3:22" ht="18.75" x14ac:dyDescent="0.2">
      <c r="C116" s="471" t="s">
        <v>776</v>
      </c>
      <c r="F116" s="203">
        <v>2835468961</v>
      </c>
      <c r="G116" s="1470"/>
      <c r="H116" s="203">
        <v>5796647289</v>
      </c>
      <c r="I116" s="1470"/>
      <c r="J116" s="203">
        <v>5116049774</v>
      </c>
      <c r="K116" s="1470"/>
      <c r="L116" s="203">
        <v>5117797733</v>
      </c>
      <c r="M116" s="203">
        <v>5116049774</v>
      </c>
      <c r="N116" s="1188"/>
    </row>
    <row r="117" spans="3:22" ht="18.75" x14ac:dyDescent="0.2">
      <c r="C117" s="472" t="s">
        <v>712</v>
      </c>
      <c r="D117" s="473"/>
      <c r="E117" s="473"/>
      <c r="F117" s="474">
        <f>SUM(F115:F116)</f>
        <v>7125457111</v>
      </c>
      <c r="G117" s="1623"/>
      <c r="H117" s="474">
        <f>SUM(H115:H116)</f>
        <v>10241310533</v>
      </c>
      <c r="I117" s="474"/>
      <c r="J117" s="474">
        <f>SUM(J115:J116)</f>
        <v>10475055301</v>
      </c>
      <c r="K117" s="1623"/>
      <c r="L117" s="474">
        <f>SUM(L115:L116)</f>
        <v>10476803260</v>
      </c>
      <c r="M117" s="474">
        <f>SUM(M115:M116)</f>
        <v>10486363636</v>
      </c>
      <c r="N117" s="1189"/>
    </row>
    <row r="118" spans="3:22" ht="27" customHeight="1" x14ac:dyDescent="0.2">
      <c r="C118" s="471" t="s">
        <v>772</v>
      </c>
      <c r="F118" s="203">
        <f>SUM(F48-F117)</f>
        <v>-1473618961</v>
      </c>
      <c r="G118" s="1470"/>
      <c r="H118" s="203">
        <f>SUM(H48-H117)</f>
        <v>-1619201612</v>
      </c>
      <c r="I118" s="203"/>
      <c r="J118" s="203">
        <f>SUM(J48-J117)</f>
        <v>-1664793870</v>
      </c>
      <c r="K118" s="203"/>
      <c r="L118" s="203">
        <f>SUM(L48-L117)</f>
        <v>-1664793870</v>
      </c>
      <c r="M118" s="203">
        <f>SUM(M48-M117)</f>
        <v>-1664793870</v>
      </c>
      <c r="N118" s="1188"/>
      <c r="P118" s="4438"/>
      <c r="Q118" s="4438"/>
      <c r="R118" s="4438"/>
      <c r="S118" s="470"/>
      <c r="T118" s="470"/>
      <c r="U118" s="470"/>
      <c r="V118" s="1910"/>
    </row>
    <row r="119" spans="3:22" ht="19.5" thickBot="1" x14ac:dyDescent="0.25">
      <c r="C119" s="479" t="s">
        <v>798</v>
      </c>
      <c r="D119" s="480"/>
      <c r="E119" s="480"/>
      <c r="F119" s="481">
        <f>SUM(F46)+F47</f>
        <v>1473618961</v>
      </c>
      <c r="G119" s="1624"/>
      <c r="H119" s="481">
        <f>SUM(H46)+H47</f>
        <v>1619201612</v>
      </c>
      <c r="I119" s="481"/>
      <c r="J119" s="481">
        <f>SUM(J46)+J47</f>
        <v>1664793870</v>
      </c>
      <c r="K119" s="1624"/>
      <c r="L119" s="481">
        <f>SUM(L46)+L47</f>
        <v>1664793870</v>
      </c>
      <c r="M119" s="481">
        <f>SUM(M46)+M47</f>
        <v>1664793870</v>
      </c>
      <c r="N119" s="1190"/>
    </row>
    <row r="120" spans="3:22" ht="19.5" thickTop="1" x14ac:dyDescent="0.2">
      <c r="C120" s="1163" t="s">
        <v>279</v>
      </c>
      <c r="D120" s="1164"/>
      <c r="E120" s="1164"/>
      <c r="F120" s="1158">
        <f>SUM(F119+F118)</f>
        <v>0</v>
      </c>
      <c r="G120" s="1625"/>
      <c r="H120" s="1158">
        <f>SUM(H119+H118)</f>
        <v>0</v>
      </c>
      <c r="I120" s="1158"/>
      <c r="J120" s="1158">
        <f>SUM(J119+J118)</f>
        <v>0</v>
      </c>
      <c r="K120" s="1625"/>
      <c r="L120" s="1158">
        <f>SUM(L119+L118)</f>
        <v>0</v>
      </c>
      <c r="M120" s="1158">
        <f>SUM(M119+M118)</f>
        <v>0</v>
      </c>
      <c r="N120" s="1191"/>
    </row>
    <row r="121" spans="3:22" ht="18.75" x14ac:dyDescent="0.2">
      <c r="C121" s="471"/>
    </row>
    <row r="122" spans="3:22" ht="18.75" x14ac:dyDescent="0.2">
      <c r="C122" s="471" t="s">
        <v>786</v>
      </c>
      <c r="F122" s="203">
        <f>SUM(F7)</f>
        <v>4089988150</v>
      </c>
      <c r="G122" s="1470"/>
      <c r="H122" s="203">
        <f>SUM(H7)</f>
        <v>4444663244</v>
      </c>
      <c r="I122" s="1470"/>
      <c r="J122" s="203">
        <f>SUM(J7)</f>
        <v>5286723863</v>
      </c>
      <c r="K122" s="1470"/>
      <c r="L122" s="203">
        <f>SUM(L7)</f>
        <v>5286723863</v>
      </c>
      <c r="M122" s="203">
        <f>SUM(M7)</f>
        <v>5297792072</v>
      </c>
      <c r="N122" s="1188"/>
    </row>
    <row r="123" spans="3:22" ht="18.75" x14ac:dyDescent="0.2">
      <c r="C123" s="471" t="s">
        <v>787</v>
      </c>
      <c r="F123" s="203">
        <f>SUM(F28)</f>
        <v>200000000</v>
      </c>
      <c r="G123" s="1470"/>
      <c r="H123" s="203">
        <f>SUM(H28)</f>
        <v>0</v>
      </c>
      <c r="I123" s="1470"/>
      <c r="J123" s="203">
        <f>SUM(J28)</f>
        <v>72281664</v>
      </c>
      <c r="K123" s="1470"/>
      <c r="L123" s="203">
        <f>SUM(L28)</f>
        <v>72281664</v>
      </c>
      <c r="M123" s="203">
        <f>SUM(M28)</f>
        <v>72521790</v>
      </c>
      <c r="N123" s="1188"/>
    </row>
    <row r="124" spans="3:22" ht="18.75" x14ac:dyDescent="0.2">
      <c r="C124" s="472" t="s">
        <v>712</v>
      </c>
      <c r="F124" s="474">
        <f>SUM(F122:F123)</f>
        <v>4289988150</v>
      </c>
      <c r="G124" s="1623"/>
      <c r="H124" s="474">
        <f>SUM(H122:H123)</f>
        <v>4444663244</v>
      </c>
      <c r="I124" s="1623"/>
      <c r="J124" s="474">
        <f>SUM(J122:J123)</f>
        <v>5359005527</v>
      </c>
      <c r="K124" s="1623"/>
      <c r="L124" s="474">
        <f>SUM(L122:L123)</f>
        <v>5359005527</v>
      </c>
      <c r="M124" s="474">
        <f>SUM(M122:M123)</f>
        <v>5370313862</v>
      </c>
      <c r="N124" s="1189"/>
    </row>
    <row r="126" spans="3:22" ht="18.75" x14ac:dyDescent="0.2">
      <c r="C126" s="471" t="s">
        <v>775</v>
      </c>
      <c r="F126" s="203">
        <f>SUM(F115)</f>
        <v>4289988150</v>
      </c>
      <c r="G126" s="1470"/>
      <c r="H126" s="203">
        <f>SUM(H115)</f>
        <v>4444663244</v>
      </c>
      <c r="I126" s="1470"/>
      <c r="J126" s="203">
        <f>SUM(J115)</f>
        <v>5359005527</v>
      </c>
      <c r="K126" s="1470"/>
      <c r="L126" s="203">
        <f>SUM(L115)</f>
        <v>5359005527</v>
      </c>
      <c r="M126" s="203">
        <f>SUM(M115)</f>
        <v>5370313862</v>
      </c>
      <c r="N126" s="1188"/>
    </row>
    <row r="127" spans="3:22" ht="18.75" x14ac:dyDescent="0.2">
      <c r="C127" s="1165" t="s">
        <v>788</v>
      </c>
      <c r="D127" s="1159"/>
      <c r="E127" s="1159"/>
      <c r="F127" s="1166">
        <f>SUM(F124-F126)</f>
        <v>0</v>
      </c>
      <c r="G127" s="1626"/>
      <c r="H127" s="1166">
        <f>SUM(H124-H126)</f>
        <v>0</v>
      </c>
      <c r="I127" s="1626"/>
      <c r="J127" s="1166">
        <f>SUM(J124-J126)</f>
        <v>0</v>
      </c>
      <c r="K127" s="1626"/>
      <c r="L127" s="1166">
        <f>SUM(L124-L126)</f>
        <v>0</v>
      </c>
      <c r="M127" s="1166">
        <f>SUM(M124-M126)</f>
        <v>0</v>
      </c>
      <c r="N127" s="1189"/>
    </row>
    <row r="130" spans="3:14" ht="18.75" x14ac:dyDescent="0.2">
      <c r="C130" s="471" t="s">
        <v>789</v>
      </c>
      <c r="F130" s="203">
        <f>SUM(F33)</f>
        <v>2835468961</v>
      </c>
      <c r="G130" s="1470"/>
      <c r="H130" s="203">
        <f>SUM(H33)</f>
        <v>5796647289</v>
      </c>
      <c r="I130" s="1470"/>
      <c r="J130" s="203">
        <f>SUM(J33)</f>
        <v>5116049774</v>
      </c>
      <c r="K130" s="1470"/>
      <c r="L130" s="203">
        <f>SUM(L33)</f>
        <v>5117797733</v>
      </c>
      <c r="M130" s="203">
        <f>SUM(M33)</f>
        <v>5116049774</v>
      </c>
      <c r="N130" s="1188"/>
    </row>
    <row r="131" spans="3:14" ht="18.75" x14ac:dyDescent="0.2">
      <c r="C131" s="471" t="s">
        <v>776</v>
      </c>
      <c r="F131" s="203">
        <f>SUM(F116)</f>
        <v>2835468961</v>
      </c>
      <c r="G131" s="1470"/>
      <c r="H131" s="203">
        <f>SUM(H116)</f>
        <v>5796647289</v>
      </c>
      <c r="I131" s="1470"/>
      <c r="J131" s="203">
        <f>SUM(J116)</f>
        <v>5116049774</v>
      </c>
      <c r="K131" s="1470"/>
      <c r="L131" s="203">
        <f>SUM(L116)</f>
        <v>5117797733</v>
      </c>
      <c r="M131" s="203">
        <f>SUM(M116)</f>
        <v>5116049774</v>
      </c>
      <c r="N131" s="1188"/>
    </row>
    <row r="132" spans="3:14" ht="18.75" x14ac:dyDescent="0.2">
      <c r="C132" s="1165" t="s">
        <v>788</v>
      </c>
      <c r="D132" s="1159"/>
      <c r="E132" s="1159"/>
      <c r="F132" s="1166">
        <f>SUM(F130-F131)</f>
        <v>0</v>
      </c>
      <c r="G132" s="1626"/>
      <c r="H132" s="1166">
        <f>SUM(H130-H131)</f>
        <v>0</v>
      </c>
      <c r="I132" s="1626"/>
      <c r="J132" s="1166">
        <f>SUM(J130-J131)</f>
        <v>0</v>
      </c>
      <c r="K132" s="1626"/>
      <c r="L132" s="1166">
        <f>SUM(L130-L131)</f>
        <v>0</v>
      </c>
      <c r="M132" s="1166">
        <f>SUM(M130-M131)</f>
        <v>0</v>
      </c>
      <c r="N132" s="1189"/>
    </row>
  </sheetData>
  <mergeCells count="22">
    <mergeCell ref="P118:R118"/>
    <mergeCell ref="H1:H2"/>
    <mergeCell ref="V4:V5"/>
    <mergeCell ref="M1:M2"/>
    <mergeCell ref="T4:T5"/>
    <mergeCell ref="K1:K2"/>
    <mergeCell ref="AE4:AE5"/>
    <mergeCell ref="A4:B4"/>
    <mergeCell ref="J1:J2"/>
    <mergeCell ref="I1:I2"/>
    <mergeCell ref="A1:B2"/>
    <mergeCell ref="C104:F104"/>
    <mergeCell ref="A104:B104"/>
    <mergeCell ref="AC4:AC5"/>
    <mergeCell ref="L1:L2"/>
    <mergeCell ref="F1:F2"/>
    <mergeCell ref="A102:C102"/>
    <mergeCell ref="N1:N2"/>
    <mergeCell ref="G1:G2"/>
    <mergeCell ref="D1:D2"/>
    <mergeCell ref="A101:C101"/>
    <mergeCell ref="A50:F50"/>
  </mergeCells>
  <printOptions horizontalCentered="1"/>
  <pageMargins left="0.23622047244094491" right="0.23622047244094491" top="0.82677165354330717" bottom="0.47244094488188981" header="0.27559055118110237" footer="0.27559055118110237"/>
  <pageSetup paperSize="9" scale="63" firstPageNumber="16" orientation="portrait" useFirstPageNumber="1" r:id="rId1"/>
  <headerFooter>
    <oddHeader>&amp;C&amp;"Times New Roman CE,Félkövér"&amp;14Vecsés Város Önkormányzat és intézményei  
2018. évi bevételei és kiadásai&amp;R&amp;"Times New Roman,Normál"&amp;11 &amp;12 2. sz. melléklet
Forint</oddHeader>
    <oddFooter>&amp;C- &amp;P -</oddFooter>
  </headerFooter>
  <rowBreaks count="1" manualBreakCount="1">
    <brk id="48" max="12" man="1"/>
  </rowBreaks>
  <colBreaks count="1" manualBreakCount="1">
    <brk id="14" max="104857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Y117"/>
  <sheetViews>
    <sheetView view="pageBreakPreview" zoomScale="92" zoomScaleNormal="100" zoomScaleSheetLayoutView="92" zoomScalePageLayoutView="60" workbookViewId="0">
      <selection activeCell="M3" sqref="M3"/>
    </sheetView>
  </sheetViews>
  <sheetFormatPr defaultColWidth="9.33203125" defaultRowHeight="12.75" x14ac:dyDescent="0.2"/>
  <cols>
    <col min="1" max="1" width="3.83203125" style="38" customWidth="1"/>
    <col min="2" max="2" width="5" style="38" customWidth="1"/>
    <col min="3" max="3" width="3" style="38" customWidth="1"/>
    <col min="4" max="4" width="53.1640625" style="39" bestFit="1" customWidth="1"/>
    <col min="5" max="5" width="10.1640625" style="38" hidden="1" customWidth="1"/>
    <col min="6" max="6" width="12.1640625" style="38" customWidth="1"/>
    <col min="7" max="7" width="11.1640625" style="38" hidden="1" customWidth="1"/>
    <col min="8" max="8" width="16.6640625" style="38" customWidth="1"/>
    <col min="9" max="9" width="17.83203125" style="1370" hidden="1" customWidth="1"/>
    <col min="10" max="10" width="17" style="38" hidden="1" customWidth="1"/>
    <col min="11" max="11" width="15.1640625" style="1370" hidden="1" customWidth="1"/>
    <col min="12" max="12" width="17.83203125" style="38" customWidth="1"/>
    <col min="13" max="13" width="16.83203125" style="1370" customWidth="1"/>
    <col min="14" max="14" width="19.33203125" style="38" customWidth="1"/>
    <col min="15" max="15" width="18" style="38" customWidth="1"/>
    <col min="16" max="16" width="11.1640625" style="366" customWidth="1"/>
    <col min="17" max="19" width="9.33203125" style="38" hidden="1" customWidth="1"/>
    <col min="20" max="21" width="12.83203125" style="38" customWidth="1"/>
    <col min="22" max="22" width="13.83203125" style="38" customWidth="1"/>
    <col min="23" max="16384" width="9.33203125" style="38"/>
  </cols>
  <sheetData>
    <row r="1" spans="1:19" ht="14.25" thickBot="1" x14ac:dyDescent="0.3">
      <c r="D1" s="367"/>
      <c r="E1" s="366"/>
      <c r="F1" s="366"/>
      <c r="G1" s="366"/>
      <c r="H1" s="1146"/>
      <c r="I1" s="1146"/>
      <c r="J1" s="1146"/>
      <c r="K1" s="1146"/>
      <c r="L1" s="1146"/>
      <c r="M1" s="1146"/>
      <c r="N1" s="1146"/>
      <c r="O1" s="366"/>
      <c r="P1" s="368"/>
      <c r="Q1" s="366"/>
      <c r="R1" s="366"/>
      <c r="S1" s="366"/>
    </row>
    <row r="2" spans="1:19" s="44" customFormat="1" ht="76.5" customHeight="1" x14ac:dyDescent="0.2">
      <c r="A2" s="4661" t="s">
        <v>540</v>
      </c>
      <c r="B2" s="4662"/>
      <c r="C2" s="4662"/>
      <c r="D2" s="369" t="s">
        <v>541</v>
      </c>
      <c r="E2" s="369" t="s">
        <v>542</v>
      </c>
      <c r="F2" s="369" t="s">
        <v>543</v>
      </c>
      <c r="G2" s="369" t="s">
        <v>1163</v>
      </c>
      <c r="H2" s="369" t="s">
        <v>1084</v>
      </c>
      <c r="I2" s="1344" t="s">
        <v>1033</v>
      </c>
      <c r="J2" s="786" t="s">
        <v>1028</v>
      </c>
      <c r="K2" s="1344" t="s">
        <v>1034</v>
      </c>
      <c r="L2" s="786" t="s">
        <v>1028</v>
      </c>
      <c r="M2" s="3312" t="s">
        <v>2625</v>
      </c>
      <c r="N2" s="786" t="s">
        <v>234</v>
      </c>
      <c r="O2" s="443" t="s">
        <v>1953</v>
      </c>
      <c r="P2" s="370" t="s">
        <v>1152</v>
      </c>
      <c r="Q2" s="387" t="s">
        <v>369</v>
      </c>
      <c r="R2" s="369" t="s">
        <v>544</v>
      </c>
      <c r="S2" s="369" t="s">
        <v>290</v>
      </c>
    </row>
    <row r="3" spans="1:19" s="366" customFormat="1" ht="12" customHeight="1" x14ac:dyDescent="0.2">
      <c r="A3" s="388"/>
      <c r="B3" s="389"/>
      <c r="C3" s="2652"/>
      <c r="D3" s="371"/>
      <c r="E3" s="371"/>
      <c r="F3" s="371"/>
      <c r="G3" s="371"/>
      <c r="H3" s="340"/>
      <c r="I3" s="1580"/>
      <c r="J3" s="418"/>
      <c r="K3" s="1587"/>
      <c r="L3" s="418"/>
      <c r="M3" s="3313"/>
      <c r="N3" s="418"/>
      <c r="O3" s="418"/>
      <c r="P3" s="791"/>
      <c r="Q3" s="792">
        <v>7</v>
      </c>
      <c r="R3" s="371">
        <v>8</v>
      </c>
      <c r="S3" s="371">
        <v>9</v>
      </c>
    </row>
    <row r="4" spans="1:19" s="366" customFormat="1" ht="19.5" customHeight="1" x14ac:dyDescent="0.2">
      <c r="A4" s="2653" t="s">
        <v>3</v>
      </c>
      <c r="B4" s="2654"/>
      <c r="C4" s="2655"/>
      <c r="D4" s="382" t="s">
        <v>545</v>
      </c>
      <c r="E4" s="794"/>
      <c r="F4" s="794"/>
      <c r="G4" s="794"/>
      <c r="H4" s="795">
        <f>SUM(H5:H8)</f>
        <v>29310000</v>
      </c>
      <c r="I4" s="1581">
        <f t="shared" ref="I4:I64" si="0">SUM(J4-H4)</f>
        <v>183049717</v>
      </c>
      <c r="J4" s="795">
        <f t="shared" ref="J4:O4" si="1">SUM(J5:J70)</f>
        <v>212359717</v>
      </c>
      <c r="K4" s="1581">
        <f t="shared" si="1"/>
        <v>166872746</v>
      </c>
      <c r="L4" s="795">
        <f t="shared" ref="L4" si="2">SUM(L5:L70)</f>
        <v>379232463</v>
      </c>
      <c r="M4" s="3314">
        <f>SUM(N4-L4)</f>
        <v>0</v>
      </c>
      <c r="N4" s="795">
        <f t="shared" si="1"/>
        <v>379232463</v>
      </c>
      <c r="O4" s="795">
        <f t="shared" si="1"/>
        <v>283061837</v>
      </c>
      <c r="P4" s="796">
        <f>SUM(P5:P48)</f>
        <v>0</v>
      </c>
      <c r="Q4" s="392" t="e">
        <f>SUM(#REF!)</f>
        <v>#REF!</v>
      </c>
      <c r="R4" s="373" t="e">
        <f>SUM(#REF!)</f>
        <v>#REF!</v>
      </c>
      <c r="S4" s="374" t="e">
        <f>R4/Q4*100</f>
        <v>#REF!</v>
      </c>
    </row>
    <row r="5" spans="1:19" ht="15.95" customHeight="1" x14ac:dyDescent="0.25">
      <c r="A5" s="395"/>
      <c r="B5" s="396" t="s">
        <v>546</v>
      </c>
      <c r="C5" s="2651"/>
      <c r="D5" s="375" t="s">
        <v>1098</v>
      </c>
      <c r="E5" s="607"/>
      <c r="F5" s="1144">
        <v>2018</v>
      </c>
      <c r="G5" s="606"/>
      <c r="H5" s="1145">
        <v>25000000</v>
      </c>
      <c r="I5" s="1582">
        <f t="shared" si="0"/>
        <v>2000000</v>
      </c>
      <c r="J5" s="1145">
        <v>27000000</v>
      </c>
      <c r="K5" s="1582">
        <f t="shared" ref="K5:K15" si="3">SUM(L5-J5)</f>
        <v>-25000000</v>
      </c>
      <c r="L5" s="1145">
        <v>2000000</v>
      </c>
      <c r="M5" s="3315">
        <f t="shared" ref="M5:M68" si="4">SUM(N5-L5)</f>
        <v>0</v>
      </c>
      <c r="N5" s="1145">
        <v>2000000</v>
      </c>
      <c r="O5" s="1145">
        <v>0</v>
      </c>
      <c r="P5" s="2646"/>
      <c r="Q5" s="683"/>
      <c r="R5" s="377"/>
      <c r="S5" s="378"/>
    </row>
    <row r="6" spans="1:19" ht="15.95" customHeight="1" x14ac:dyDescent="0.25">
      <c r="A6" s="395"/>
      <c r="B6" s="396" t="s">
        <v>553</v>
      </c>
      <c r="C6" s="2651"/>
      <c r="D6" s="606" t="s">
        <v>1099</v>
      </c>
      <c r="E6" s="607"/>
      <c r="F6" s="1144">
        <v>2018</v>
      </c>
      <c r="G6" s="606"/>
      <c r="H6" s="1145">
        <v>0</v>
      </c>
      <c r="I6" s="1582">
        <f t="shared" si="0"/>
        <v>0</v>
      </c>
      <c r="J6" s="1145"/>
      <c r="K6" s="1582">
        <f t="shared" si="3"/>
        <v>154819</v>
      </c>
      <c r="L6" s="1145">
        <v>154819</v>
      </c>
      <c r="M6" s="3315">
        <f t="shared" si="4"/>
        <v>0</v>
      </c>
      <c r="N6" s="1145">
        <v>154819</v>
      </c>
      <c r="O6" s="1145">
        <v>0</v>
      </c>
      <c r="P6" s="2646"/>
      <c r="Q6" s="683"/>
      <c r="R6" s="377"/>
      <c r="S6" s="378"/>
    </row>
    <row r="7" spans="1:19" ht="33.75" customHeight="1" x14ac:dyDescent="0.25">
      <c r="A7" s="395"/>
      <c r="B7" s="396" t="s">
        <v>554</v>
      </c>
      <c r="C7" s="2651"/>
      <c r="D7" s="606" t="s">
        <v>1100</v>
      </c>
      <c r="E7" s="607"/>
      <c r="F7" s="1144">
        <v>2018</v>
      </c>
      <c r="G7" s="606"/>
      <c r="H7" s="1145">
        <v>1310000</v>
      </c>
      <c r="I7" s="1582">
        <f t="shared" si="0"/>
        <v>3438626</v>
      </c>
      <c r="J7" s="1145">
        <v>4748626</v>
      </c>
      <c r="K7" s="1582">
        <f t="shared" si="3"/>
        <v>252823</v>
      </c>
      <c r="L7" s="1145">
        <v>5001449</v>
      </c>
      <c r="M7" s="3315">
        <f t="shared" si="4"/>
        <v>0</v>
      </c>
      <c r="N7" s="1145">
        <v>5001449</v>
      </c>
      <c r="O7" s="1145">
        <v>4251768</v>
      </c>
      <c r="P7" s="2646"/>
      <c r="Q7" s="683"/>
      <c r="R7" s="377"/>
      <c r="S7" s="378"/>
    </row>
    <row r="8" spans="1:19" ht="15.95" customHeight="1" x14ac:dyDescent="0.25">
      <c r="A8" s="395"/>
      <c r="B8" s="396" t="s">
        <v>555</v>
      </c>
      <c r="C8" s="2651"/>
      <c r="D8" s="606" t="s">
        <v>1101</v>
      </c>
      <c r="E8" s="607"/>
      <c r="F8" s="1144">
        <v>2018</v>
      </c>
      <c r="G8" s="606"/>
      <c r="H8" s="1145">
        <v>3000000</v>
      </c>
      <c r="I8" s="1582">
        <f t="shared" si="0"/>
        <v>0</v>
      </c>
      <c r="J8" s="1145">
        <v>3000000</v>
      </c>
      <c r="K8" s="1582">
        <f t="shared" si="3"/>
        <v>-3000000</v>
      </c>
      <c r="L8" s="1145"/>
      <c r="M8" s="3315">
        <f t="shared" si="4"/>
        <v>0</v>
      </c>
      <c r="N8" s="1145"/>
      <c r="O8" s="1145">
        <v>0</v>
      </c>
      <c r="P8" s="2646"/>
      <c r="Q8" s="683"/>
      <c r="R8" s="377"/>
      <c r="S8" s="378"/>
    </row>
    <row r="9" spans="1:19" ht="15.95" customHeight="1" x14ac:dyDescent="0.25">
      <c r="A9" s="395"/>
      <c r="B9" s="396" t="s">
        <v>510</v>
      </c>
      <c r="C9" s="2651"/>
      <c r="D9" s="606" t="s">
        <v>1102</v>
      </c>
      <c r="E9" s="607"/>
      <c r="F9" s="1144">
        <v>2018</v>
      </c>
      <c r="G9" s="606"/>
      <c r="H9" s="1145">
        <v>0</v>
      </c>
      <c r="I9" s="1582">
        <f t="shared" si="0"/>
        <v>0</v>
      </c>
      <c r="J9" s="1145"/>
      <c r="K9" s="1582">
        <f t="shared" si="3"/>
        <v>0</v>
      </c>
      <c r="L9" s="1145"/>
      <c r="M9" s="3315">
        <f t="shared" si="4"/>
        <v>0</v>
      </c>
      <c r="N9" s="1145"/>
      <c r="O9" s="1145">
        <v>0</v>
      </c>
      <c r="P9" s="2646"/>
      <c r="Q9" s="683"/>
      <c r="R9" s="377"/>
      <c r="S9" s="378"/>
    </row>
    <row r="10" spans="1:19" ht="15.95" customHeight="1" x14ac:dyDescent="0.25">
      <c r="A10" s="395"/>
      <c r="B10" s="396" t="s">
        <v>556</v>
      </c>
      <c r="C10" s="2651"/>
      <c r="D10" s="606" t="s">
        <v>1500</v>
      </c>
      <c r="E10" s="607"/>
      <c r="F10" s="1144">
        <v>2018</v>
      </c>
      <c r="G10" s="606"/>
      <c r="H10" s="1145"/>
      <c r="I10" s="1582">
        <f t="shared" si="0"/>
        <v>96123686</v>
      </c>
      <c r="J10" s="1145">
        <v>96123686</v>
      </c>
      <c r="K10" s="1582">
        <f t="shared" si="3"/>
        <v>24003000</v>
      </c>
      <c r="L10" s="1145">
        <v>120126686</v>
      </c>
      <c r="M10" s="3315">
        <f t="shared" si="4"/>
        <v>0</v>
      </c>
      <c r="N10" s="1145">
        <v>120126686</v>
      </c>
      <c r="O10" s="1145">
        <v>119816806</v>
      </c>
      <c r="P10" s="2646"/>
      <c r="Q10" s="683"/>
      <c r="R10" s="377"/>
      <c r="S10" s="378"/>
    </row>
    <row r="11" spans="1:19" ht="15.95" customHeight="1" x14ac:dyDescent="0.25">
      <c r="A11" s="395"/>
      <c r="B11" s="396" t="s">
        <v>557</v>
      </c>
      <c r="C11" s="2651"/>
      <c r="D11" s="606" t="s">
        <v>1501</v>
      </c>
      <c r="E11" s="607"/>
      <c r="F11" s="1144"/>
      <c r="G11" s="606"/>
      <c r="H11" s="1145"/>
      <c r="I11" s="1582">
        <f t="shared" si="0"/>
        <v>3216575</v>
      </c>
      <c r="J11" s="1145">
        <v>3216575</v>
      </c>
      <c r="K11" s="1582">
        <f>SUM(L11-J11)</f>
        <v>0</v>
      </c>
      <c r="L11" s="1145">
        <v>3216575</v>
      </c>
      <c r="M11" s="3315">
        <f t="shared" si="4"/>
        <v>0</v>
      </c>
      <c r="N11" s="1145">
        <v>3216575</v>
      </c>
      <c r="O11" s="1145">
        <v>3216575</v>
      </c>
      <c r="P11" s="2646"/>
      <c r="Q11" s="683"/>
      <c r="R11" s="377"/>
      <c r="S11" s="378"/>
    </row>
    <row r="12" spans="1:19" ht="15.75" x14ac:dyDescent="0.25">
      <c r="A12" s="395"/>
      <c r="B12" s="396" t="s">
        <v>558</v>
      </c>
      <c r="C12" s="2651"/>
      <c r="D12" s="699" t="s">
        <v>1502</v>
      </c>
      <c r="E12" s="607"/>
      <c r="F12" s="1144">
        <v>2018</v>
      </c>
      <c r="G12" s="606"/>
      <c r="H12" s="789">
        <v>0</v>
      </c>
      <c r="I12" s="1582">
        <f t="shared" si="0"/>
        <v>1686281</v>
      </c>
      <c r="J12" s="2647">
        <v>1686281</v>
      </c>
      <c r="K12" s="1582">
        <f t="shared" si="3"/>
        <v>0</v>
      </c>
      <c r="L12" s="2647">
        <v>1686281</v>
      </c>
      <c r="M12" s="3315">
        <f t="shared" si="4"/>
        <v>0</v>
      </c>
      <c r="N12" s="2647">
        <v>1686281</v>
      </c>
      <c r="O12" s="1145">
        <v>1686281</v>
      </c>
      <c r="P12" s="2646"/>
      <c r="Q12" s="683"/>
      <c r="R12" s="377"/>
      <c r="S12" s="378"/>
    </row>
    <row r="13" spans="1:19" ht="15.75" x14ac:dyDescent="0.25">
      <c r="A13" s="395"/>
      <c r="B13" s="396" t="s">
        <v>559</v>
      </c>
      <c r="C13" s="2651"/>
      <c r="D13" s="699" t="s">
        <v>1503</v>
      </c>
      <c r="E13" s="607"/>
      <c r="F13" s="1144">
        <v>2018</v>
      </c>
      <c r="G13" s="606"/>
      <c r="H13" s="789">
        <v>0</v>
      </c>
      <c r="I13" s="1582">
        <f t="shared" si="0"/>
        <v>546259</v>
      </c>
      <c r="J13" s="2647">
        <v>546259</v>
      </c>
      <c r="K13" s="1582">
        <f t="shared" si="3"/>
        <v>0</v>
      </c>
      <c r="L13" s="2647">
        <v>546259</v>
      </c>
      <c r="M13" s="3315">
        <f t="shared" si="4"/>
        <v>0</v>
      </c>
      <c r="N13" s="2647">
        <v>546259</v>
      </c>
      <c r="O13" s="1145">
        <v>0</v>
      </c>
      <c r="P13" s="2646"/>
      <c r="Q13" s="683"/>
      <c r="R13" s="377"/>
      <c r="S13" s="378"/>
    </row>
    <row r="14" spans="1:19" ht="15.75" x14ac:dyDescent="0.25">
      <c r="A14" s="395"/>
      <c r="B14" s="396" t="s">
        <v>560</v>
      </c>
      <c r="C14" s="2651"/>
      <c r="D14" s="699" t="s">
        <v>1504</v>
      </c>
      <c r="E14" s="607"/>
      <c r="F14" s="1144">
        <v>2018</v>
      </c>
      <c r="G14" s="606"/>
      <c r="H14" s="789">
        <v>0</v>
      </c>
      <c r="I14" s="1582">
        <f t="shared" si="0"/>
        <v>571119</v>
      </c>
      <c r="J14" s="2647">
        <v>571119</v>
      </c>
      <c r="K14" s="1582">
        <f t="shared" si="3"/>
        <v>0</v>
      </c>
      <c r="L14" s="2647">
        <v>571119</v>
      </c>
      <c r="M14" s="3315">
        <f t="shared" si="4"/>
        <v>0</v>
      </c>
      <c r="N14" s="2647">
        <v>571119</v>
      </c>
      <c r="O14" s="1145">
        <v>571119</v>
      </c>
      <c r="P14" s="2646"/>
      <c r="Q14" s="683"/>
      <c r="R14" s="377"/>
      <c r="S14" s="378"/>
    </row>
    <row r="15" spans="1:19" ht="15.75" x14ac:dyDescent="0.25">
      <c r="A15" s="395"/>
      <c r="B15" s="396" t="s">
        <v>561</v>
      </c>
      <c r="C15" s="2651"/>
      <c r="D15" s="699" t="s">
        <v>1505</v>
      </c>
      <c r="E15" s="607"/>
      <c r="F15" s="1144">
        <v>2018</v>
      </c>
      <c r="G15" s="606"/>
      <c r="H15" s="789">
        <v>0</v>
      </c>
      <c r="I15" s="1582">
        <f t="shared" si="0"/>
        <v>1010336</v>
      </c>
      <c r="J15" s="2647">
        <v>1010336</v>
      </c>
      <c r="K15" s="1582">
        <f t="shared" si="3"/>
        <v>0</v>
      </c>
      <c r="L15" s="2647">
        <v>1010336</v>
      </c>
      <c r="M15" s="3315">
        <f t="shared" si="4"/>
        <v>0</v>
      </c>
      <c r="N15" s="2647">
        <v>1010336</v>
      </c>
      <c r="O15" s="1145">
        <v>1010336</v>
      </c>
      <c r="P15" s="2646"/>
      <c r="Q15" s="683"/>
      <c r="R15" s="377"/>
      <c r="S15" s="378"/>
    </row>
    <row r="16" spans="1:19" ht="15.75" x14ac:dyDescent="0.25">
      <c r="A16" s="395"/>
      <c r="B16" s="396" t="s">
        <v>562</v>
      </c>
      <c r="C16" s="2651"/>
      <c r="D16" s="699" t="s">
        <v>1506</v>
      </c>
      <c r="E16" s="607"/>
      <c r="F16" s="1144">
        <v>2018</v>
      </c>
      <c r="G16" s="606"/>
      <c r="H16" s="1145"/>
      <c r="I16" s="1582">
        <f t="shared" si="0"/>
        <v>391649</v>
      </c>
      <c r="J16" s="1145">
        <v>391649</v>
      </c>
      <c r="K16" s="1582">
        <f>SUM(L16-J16)</f>
        <v>0</v>
      </c>
      <c r="L16" s="1145">
        <v>391649</v>
      </c>
      <c r="M16" s="3315">
        <f t="shared" si="4"/>
        <v>0</v>
      </c>
      <c r="N16" s="1145">
        <v>391649</v>
      </c>
      <c r="O16" s="1145">
        <v>391649</v>
      </c>
      <c r="P16" s="2646"/>
      <c r="Q16" s="683"/>
      <c r="R16" s="377"/>
      <c r="S16" s="378"/>
    </row>
    <row r="17" spans="1:19" ht="15.75" x14ac:dyDescent="0.25">
      <c r="A17" s="395"/>
      <c r="B17" s="396" t="s">
        <v>988</v>
      </c>
      <c r="C17" s="2651"/>
      <c r="D17" s="699" t="s">
        <v>1508</v>
      </c>
      <c r="E17" s="607"/>
      <c r="F17" s="1144">
        <v>2018</v>
      </c>
      <c r="G17" s="606"/>
      <c r="H17" s="789">
        <v>0</v>
      </c>
      <c r="I17" s="1582">
        <f t="shared" si="0"/>
        <v>1298295</v>
      </c>
      <c r="J17" s="2647">
        <v>1298295</v>
      </c>
      <c r="K17" s="1582">
        <f>SUM(L17-J17)</f>
        <v>0</v>
      </c>
      <c r="L17" s="2647">
        <v>1298295</v>
      </c>
      <c r="M17" s="3315">
        <f t="shared" si="4"/>
        <v>0</v>
      </c>
      <c r="N17" s="2647">
        <v>1298295</v>
      </c>
      <c r="O17" s="1145">
        <v>1298295</v>
      </c>
      <c r="P17" s="2646"/>
      <c r="Q17" s="683"/>
      <c r="R17" s="377"/>
      <c r="S17" s="378"/>
    </row>
    <row r="18" spans="1:19" ht="15.75" x14ac:dyDescent="0.25">
      <c r="A18" s="395"/>
      <c r="B18" s="396" t="s">
        <v>989</v>
      </c>
      <c r="C18" s="2651"/>
      <c r="D18" s="699" t="s">
        <v>1509</v>
      </c>
      <c r="E18" s="607"/>
      <c r="F18" s="1144">
        <v>2018</v>
      </c>
      <c r="G18" s="606"/>
      <c r="H18" s="789">
        <v>0</v>
      </c>
      <c r="I18" s="1582">
        <f t="shared" si="0"/>
        <v>441770</v>
      </c>
      <c r="J18" s="2647">
        <v>441770</v>
      </c>
      <c r="K18" s="1582">
        <f>SUM(L18-J18)</f>
        <v>0</v>
      </c>
      <c r="L18" s="2647">
        <v>441770</v>
      </c>
      <c r="M18" s="3315">
        <f t="shared" si="4"/>
        <v>0</v>
      </c>
      <c r="N18" s="2647">
        <v>441770</v>
      </c>
      <c r="O18" s="1145">
        <v>441770</v>
      </c>
      <c r="P18" s="2646"/>
      <c r="Q18" s="683"/>
      <c r="R18" s="377"/>
      <c r="S18" s="378"/>
    </row>
    <row r="19" spans="1:19" ht="15.75" x14ac:dyDescent="0.25">
      <c r="A19" s="395"/>
      <c r="B19" s="396" t="s">
        <v>1410</v>
      </c>
      <c r="C19" s="2651"/>
      <c r="D19" s="699" t="s">
        <v>1510</v>
      </c>
      <c r="E19" s="607"/>
      <c r="F19" s="1144">
        <v>2018</v>
      </c>
      <c r="G19" s="606"/>
      <c r="H19" s="789">
        <v>0</v>
      </c>
      <c r="I19" s="1582">
        <f t="shared" si="0"/>
        <v>3740132</v>
      </c>
      <c r="J19" s="2647">
        <v>3740132</v>
      </c>
      <c r="K19" s="1582">
        <f>SUM(L19-J19)</f>
        <v>0</v>
      </c>
      <c r="L19" s="2647">
        <v>3740132</v>
      </c>
      <c r="M19" s="3315">
        <f t="shared" si="4"/>
        <v>0</v>
      </c>
      <c r="N19" s="2647">
        <v>3740132</v>
      </c>
      <c r="O19" s="1145">
        <v>3740132</v>
      </c>
      <c r="P19" s="2646"/>
      <c r="Q19" s="683"/>
      <c r="R19" s="377"/>
      <c r="S19" s="378"/>
    </row>
    <row r="20" spans="1:19" ht="15.75" x14ac:dyDescent="0.25">
      <c r="A20" s="395"/>
      <c r="B20" s="396" t="s">
        <v>1507</v>
      </c>
      <c r="C20" s="2651"/>
      <c r="D20" s="699" t="s">
        <v>1511</v>
      </c>
      <c r="E20" s="607"/>
      <c r="F20" s="1144">
        <v>2018</v>
      </c>
      <c r="G20" s="606"/>
      <c r="H20" s="1145"/>
      <c r="I20" s="1582">
        <f t="shared" si="0"/>
        <v>2960283</v>
      </c>
      <c r="J20" s="1145">
        <v>2960283</v>
      </c>
      <c r="K20" s="1582">
        <f>SUM(L20-J20)</f>
        <v>0</v>
      </c>
      <c r="L20" s="1145">
        <v>2960283</v>
      </c>
      <c r="M20" s="3315">
        <f t="shared" si="4"/>
        <v>0</v>
      </c>
      <c r="N20" s="1145">
        <v>2960283</v>
      </c>
      <c r="O20" s="1145">
        <v>2960282</v>
      </c>
      <c r="P20" s="2646"/>
      <c r="Q20" s="683"/>
      <c r="R20" s="377"/>
      <c r="S20" s="378"/>
    </row>
    <row r="21" spans="1:19" ht="15.75" x14ac:dyDescent="0.25">
      <c r="A21" s="395"/>
      <c r="B21" s="396" t="s">
        <v>1512</v>
      </c>
      <c r="C21" s="2651"/>
      <c r="D21" s="699" t="s">
        <v>1518</v>
      </c>
      <c r="E21" s="607"/>
      <c r="F21" s="1144">
        <v>2018</v>
      </c>
      <c r="G21" s="606"/>
      <c r="H21" s="789">
        <v>0</v>
      </c>
      <c r="I21" s="1582">
        <f t="shared" si="0"/>
        <v>1630237</v>
      </c>
      <c r="J21" s="2647">
        <v>1630237</v>
      </c>
      <c r="K21" s="1582">
        <f t="shared" ref="K21:K67" si="5">SUM(L21-J21)</f>
        <v>0</v>
      </c>
      <c r="L21" s="2647">
        <v>1630237</v>
      </c>
      <c r="M21" s="3315">
        <f t="shared" si="4"/>
        <v>0</v>
      </c>
      <c r="N21" s="2647">
        <v>1630237</v>
      </c>
      <c r="O21" s="1145">
        <v>1630237</v>
      </c>
      <c r="P21" s="2646"/>
      <c r="Q21" s="683"/>
      <c r="R21" s="377"/>
      <c r="S21" s="378"/>
    </row>
    <row r="22" spans="1:19" ht="15.75" x14ac:dyDescent="0.25">
      <c r="A22" s="395"/>
      <c r="B22" s="396" t="s">
        <v>1513</v>
      </c>
      <c r="C22" s="2651"/>
      <c r="D22" s="699" t="s">
        <v>1519</v>
      </c>
      <c r="E22" s="607"/>
      <c r="F22" s="1144">
        <v>2018</v>
      </c>
      <c r="G22" s="606"/>
      <c r="H22" s="1145"/>
      <c r="I22" s="1582">
        <f t="shared" si="0"/>
        <v>1680432</v>
      </c>
      <c r="J22" s="1145">
        <v>1680432</v>
      </c>
      <c r="K22" s="1582">
        <f t="shared" si="5"/>
        <v>0</v>
      </c>
      <c r="L22" s="1145">
        <v>1680432</v>
      </c>
      <c r="M22" s="3315">
        <f t="shared" si="4"/>
        <v>0</v>
      </c>
      <c r="N22" s="1145">
        <v>1680432</v>
      </c>
      <c r="O22" s="1145">
        <v>1015981</v>
      </c>
      <c r="P22" s="2646"/>
      <c r="Q22" s="683"/>
      <c r="R22" s="377"/>
      <c r="S22" s="378"/>
    </row>
    <row r="23" spans="1:19" ht="15.75" x14ac:dyDescent="0.25">
      <c r="A23" s="395"/>
      <c r="B23" s="396" t="s">
        <v>1514</v>
      </c>
      <c r="C23" s="2651"/>
      <c r="D23" s="699" t="s">
        <v>1520</v>
      </c>
      <c r="E23" s="607"/>
      <c r="F23" s="1144">
        <v>2018</v>
      </c>
      <c r="G23" s="606"/>
      <c r="H23" s="789">
        <v>0</v>
      </c>
      <c r="I23" s="1582">
        <f t="shared" si="0"/>
        <v>313969</v>
      </c>
      <c r="J23" s="2647">
        <v>313969</v>
      </c>
      <c r="K23" s="1582">
        <f t="shared" si="5"/>
        <v>0</v>
      </c>
      <c r="L23" s="2647">
        <v>313969</v>
      </c>
      <c r="M23" s="3315">
        <f t="shared" si="4"/>
        <v>0</v>
      </c>
      <c r="N23" s="2647">
        <v>313969</v>
      </c>
      <c r="O23" s="1145">
        <v>313969</v>
      </c>
      <c r="P23" s="2646"/>
      <c r="Q23" s="683"/>
      <c r="R23" s="377"/>
      <c r="S23" s="378"/>
    </row>
    <row r="24" spans="1:19" ht="15.75" x14ac:dyDescent="0.25">
      <c r="A24" s="395"/>
      <c r="B24" s="396" t="s">
        <v>1515</v>
      </c>
      <c r="C24" s="2651"/>
      <c r="D24" s="699" t="s">
        <v>1521</v>
      </c>
      <c r="E24" s="607"/>
      <c r="F24" s="1144">
        <v>2018</v>
      </c>
      <c r="G24" s="606"/>
      <c r="H24" s="789">
        <v>0</v>
      </c>
      <c r="I24" s="1582">
        <f t="shared" si="0"/>
        <v>193040</v>
      </c>
      <c r="J24" s="2647">
        <v>193040</v>
      </c>
      <c r="K24" s="1582">
        <f t="shared" si="5"/>
        <v>0</v>
      </c>
      <c r="L24" s="2647">
        <v>193040</v>
      </c>
      <c r="M24" s="3315">
        <f t="shared" si="4"/>
        <v>0</v>
      </c>
      <c r="N24" s="2647">
        <v>193040</v>
      </c>
      <c r="O24" s="1145">
        <v>193040</v>
      </c>
      <c r="P24" s="2646"/>
      <c r="Q24" s="683"/>
      <c r="R24" s="377"/>
      <c r="S24" s="378"/>
    </row>
    <row r="25" spans="1:19" ht="15.75" x14ac:dyDescent="0.25">
      <c r="A25" s="395"/>
      <c r="B25" s="396" t="s">
        <v>1516</v>
      </c>
      <c r="C25" s="2651"/>
      <c r="D25" s="606" t="s">
        <v>1522</v>
      </c>
      <c r="E25" s="607"/>
      <c r="F25" s="1144">
        <v>2018</v>
      </c>
      <c r="G25" s="606"/>
      <c r="H25" s="789">
        <v>0</v>
      </c>
      <c r="I25" s="1582">
        <f t="shared" si="0"/>
        <v>417907</v>
      </c>
      <c r="J25" s="2647">
        <v>417907</v>
      </c>
      <c r="K25" s="1582">
        <f t="shared" si="5"/>
        <v>0</v>
      </c>
      <c r="L25" s="2647">
        <v>417907</v>
      </c>
      <c r="M25" s="3315">
        <f t="shared" si="4"/>
        <v>0</v>
      </c>
      <c r="N25" s="2647">
        <v>417907</v>
      </c>
      <c r="O25" s="1145">
        <v>417907</v>
      </c>
      <c r="P25" s="2646"/>
      <c r="Q25" s="683"/>
      <c r="R25" s="377"/>
      <c r="S25" s="378"/>
    </row>
    <row r="26" spans="1:19" ht="15.75" x14ac:dyDescent="0.25">
      <c r="A26" s="395"/>
      <c r="B26" s="396" t="s">
        <v>1517</v>
      </c>
      <c r="C26" s="2651"/>
      <c r="D26" s="699" t="s">
        <v>1523</v>
      </c>
      <c r="E26" s="607"/>
      <c r="F26" s="1144">
        <v>2018</v>
      </c>
      <c r="G26" s="606"/>
      <c r="H26" s="1145"/>
      <c r="I26" s="1582">
        <f t="shared" si="0"/>
        <v>109000</v>
      </c>
      <c r="J26" s="1145">
        <v>109000</v>
      </c>
      <c r="K26" s="1582">
        <f t="shared" si="5"/>
        <v>0</v>
      </c>
      <c r="L26" s="1145">
        <v>109000</v>
      </c>
      <c r="M26" s="3315">
        <f t="shared" si="4"/>
        <v>0</v>
      </c>
      <c r="N26" s="1145">
        <v>109000</v>
      </c>
      <c r="O26" s="1145">
        <v>109000</v>
      </c>
      <c r="P26" s="2646"/>
      <c r="Q26" s="683"/>
      <c r="R26" s="377"/>
      <c r="S26" s="378"/>
    </row>
    <row r="27" spans="1:19" ht="15.75" x14ac:dyDescent="0.25">
      <c r="A27" s="395"/>
      <c r="B27" s="396" t="s">
        <v>1524</v>
      </c>
      <c r="C27" s="2651"/>
      <c r="D27" s="699" t="s">
        <v>1529</v>
      </c>
      <c r="E27" s="607"/>
      <c r="F27" s="1144">
        <v>2018</v>
      </c>
      <c r="G27" s="606"/>
      <c r="H27" s="1145"/>
      <c r="I27" s="1582">
        <f t="shared" si="0"/>
        <v>499361</v>
      </c>
      <c r="J27" s="1145">
        <v>499361</v>
      </c>
      <c r="K27" s="1582">
        <f t="shared" si="5"/>
        <v>0</v>
      </c>
      <c r="L27" s="1145">
        <v>499361</v>
      </c>
      <c r="M27" s="3315">
        <f t="shared" si="4"/>
        <v>0</v>
      </c>
      <c r="N27" s="1145">
        <v>499361</v>
      </c>
      <c r="O27" s="1145">
        <v>499361</v>
      </c>
      <c r="P27" s="2646"/>
      <c r="Q27" s="683"/>
      <c r="R27" s="377"/>
      <c r="S27" s="378"/>
    </row>
    <row r="28" spans="1:19" ht="15.75" x14ac:dyDescent="0.25">
      <c r="A28" s="395"/>
      <c r="B28" s="396" t="s">
        <v>1525</v>
      </c>
      <c r="C28" s="2651"/>
      <c r="D28" s="699" t="s">
        <v>1530</v>
      </c>
      <c r="E28" s="607"/>
      <c r="F28" s="1144">
        <v>2018</v>
      </c>
      <c r="G28" s="606"/>
      <c r="H28" s="789">
        <v>0</v>
      </c>
      <c r="I28" s="1582">
        <f t="shared" si="0"/>
        <v>5000000</v>
      </c>
      <c r="J28" s="2647">
        <v>5000000</v>
      </c>
      <c r="K28" s="1582">
        <f t="shared" si="5"/>
        <v>0</v>
      </c>
      <c r="L28" s="2647">
        <v>5000000</v>
      </c>
      <c r="M28" s="3315">
        <f t="shared" si="4"/>
        <v>0</v>
      </c>
      <c r="N28" s="2647">
        <v>5000000</v>
      </c>
      <c r="O28" s="1145">
        <v>0</v>
      </c>
      <c r="P28" s="2646"/>
      <c r="Q28" s="683"/>
      <c r="R28" s="377"/>
      <c r="S28" s="378"/>
    </row>
    <row r="29" spans="1:19" ht="15.75" x14ac:dyDescent="0.25">
      <c r="A29" s="395"/>
      <c r="B29" s="396" t="s">
        <v>1526</v>
      </c>
      <c r="C29" s="2651"/>
      <c r="D29" s="699" t="s">
        <v>1531</v>
      </c>
      <c r="E29" s="607"/>
      <c r="F29" s="1144">
        <v>2018</v>
      </c>
      <c r="G29" s="606"/>
      <c r="H29" s="789">
        <v>0</v>
      </c>
      <c r="I29" s="1582">
        <f t="shared" si="0"/>
        <v>1500000</v>
      </c>
      <c r="J29" s="2647">
        <v>1500000</v>
      </c>
      <c r="K29" s="1582">
        <f t="shared" si="5"/>
        <v>0</v>
      </c>
      <c r="L29" s="2647">
        <v>1500000</v>
      </c>
      <c r="M29" s="3315">
        <f t="shared" si="4"/>
        <v>0</v>
      </c>
      <c r="N29" s="2647">
        <v>1500000</v>
      </c>
      <c r="O29" s="1145">
        <v>794385</v>
      </c>
      <c r="P29" s="2646"/>
      <c r="Q29" s="683"/>
      <c r="R29" s="377"/>
      <c r="S29" s="378"/>
    </row>
    <row r="30" spans="1:19" ht="15.75" x14ac:dyDescent="0.25">
      <c r="A30" s="395"/>
      <c r="B30" s="396" t="s">
        <v>1527</v>
      </c>
      <c r="C30" s="2651"/>
      <c r="D30" s="606" t="s">
        <v>1532</v>
      </c>
      <c r="E30" s="607"/>
      <c r="F30" s="1144">
        <v>2018</v>
      </c>
      <c r="G30" s="606"/>
      <c r="H30" s="789">
        <v>0</v>
      </c>
      <c r="I30" s="1582">
        <f t="shared" si="0"/>
        <v>274598</v>
      </c>
      <c r="J30" s="2647">
        <v>274598</v>
      </c>
      <c r="K30" s="1582">
        <f t="shared" si="5"/>
        <v>0</v>
      </c>
      <c r="L30" s="2647">
        <v>274598</v>
      </c>
      <c r="M30" s="3315">
        <f t="shared" si="4"/>
        <v>0</v>
      </c>
      <c r="N30" s="2647">
        <v>274598</v>
      </c>
      <c r="O30" s="1145">
        <v>131489</v>
      </c>
      <c r="P30" s="2646"/>
      <c r="Q30" s="683"/>
      <c r="R30" s="377"/>
      <c r="S30" s="378"/>
    </row>
    <row r="31" spans="1:19" ht="15.75" x14ac:dyDescent="0.25">
      <c r="A31" s="395"/>
      <c r="B31" s="396" t="s">
        <v>1528</v>
      </c>
      <c r="C31" s="2651"/>
      <c r="D31" s="699" t="s">
        <v>1533</v>
      </c>
      <c r="E31" s="607"/>
      <c r="F31" s="1144">
        <v>2018</v>
      </c>
      <c r="G31" s="606"/>
      <c r="H31" s="1145"/>
      <c r="I31" s="1582">
        <f t="shared" si="0"/>
        <v>1274103</v>
      </c>
      <c r="J31" s="1145">
        <v>1274103</v>
      </c>
      <c r="K31" s="1582">
        <f t="shared" si="5"/>
        <v>0</v>
      </c>
      <c r="L31" s="1145">
        <v>1274103</v>
      </c>
      <c r="M31" s="3315">
        <f t="shared" si="4"/>
        <v>0</v>
      </c>
      <c r="N31" s="1145">
        <v>1274103</v>
      </c>
      <c r="O31" s="1145">
        <v>0</v>
      </c>
      <c r="P31" s="2646"/>
      <c r="Q31" s="683"/>
      <c r="R31" s="377"/>
      <c r="S31" s="378"/>
    </row>
    <row r="32" spans="1:19" ht="15.75" x14ac:dyDescent="0.25">
      <c r="A32" s="395"/>
      <c r="B32" s="396" t="s">
        <v>1534</v>
      </c>
      <c r="C32" s="2651"/>
      <c r="D32" s="606" t="s">
        <v>1544</v>
      </c>
      <c r="E32" s="607"/>
      <c r="F32" s="1144">
        <v>2018</v>
      </c>
      <c r="G32" s="606"/>
      <c r="H32" s="1145"/>
      <c r="I32" s="1582">
        <f t="shared" si="0"/>
        <v>24003000</v>
      </c>
      <c r="J32" s="1145">
        <v>24003000</v>
      </c>
      <c r="K32" s="1582">
        <f t="shared" si="5"/>
        <v>-24003000</v>
      </c>
      <c r="L32" s="1145"/>
      <c r="M32" s="3315">
        <f t="shared" si="4"/>
        <v>0</v>
      </c>
      <c r="N32" s="1145"/>
      <c r="O32" s="1145">
        <v>0</v>
      </c>
      <c r="P32" s="2646"/>
      <c r="Q32" s="683"/>
      <c r="R32" s="377"/>
      <c r="S32" s="378"/>
    </row>
    <row r="33" spans="1:19" ht="15.75" x14ac:dyDescent="0.25">
      <c r="A33" s="395"/>
      <c r="B33" s="396" t="s">
        <v>1535</v>
      </c>
      <c r="C33" s="2651"/>
      <c r="D33" s="699" t="s">
        <v>1545</v>
      </c>
      <c r="E33" s="607"/>
      <c r="F33" s="1144">
        <v>2018</v>
      </c>
      <c r="G33" s="606"/>
      <c r="H33" s="789">
        <v>0</v>
      </c>
      <c r="I33" s="1582">
        <f t="shared" si="0"/>
        <v>674000</v>
      </c>
      <c r="J33" s="2647">
        <v>674000</v>
      </c>
      <c r="K33" s="1582">
        <f t="shared" si="5"/>
        <v>0</v>
      </c>
      <c r="L33" s="2647">
        <v>674000</v>
      </c>
      <c r="M33" s="3315">
        <f t="shared" si="4"/>
        <v>0</v>
      </c>
      <c r="N33" s="2647">
        <v>674000</v>
      </c>
      <c r="O33" s="1145">
        <v>673100</v>
      </c>
      <c r="P33" s="2646"/>
      <c r="Q33" s="683"/>
      <c r="R33" s="377"/>
      <c r="S33" s="378"/>
    </row>
    <row r="34" spans="1:19" ht="15.75" x14ac:dyDescent="0.25">
      <c r="A34" s="395"/>
      <c r="B34" s="396" t="s">
        <v>1536</v>
      </c>
      <c r="C34" s="2651"/>
      <c r="D34" s="699" t="s">
        <v>1546</v>
      </c>
      <c r="E34" s="607"/>
      <c r="F34" s="1144">
        <v>2018</v>
      </c>
      <c r="G34" s="606"/>
      <c r="H34" s="789">
        <v>0</v>
      </c>
      <c r="I34" s="1582">
        <f t="shared" si="0"/>
        <v>1382000</v>
      </c>
      <c r="J34" s="2647">
        <v>1382000</v>
      </c>
      <c r="K34" s="1582">
        <f t="shared" si="5"/>
        <v>0</v>
      </c>
      <c r="L34" s="2647">
        <v>1382000</v>
      </c>
      <c r="M34" s="3315">
        <f t="shared" si="4"/>
        <v>0</v>
      </c>
      <c r="N34" s="2647">
        <v>1382000</v>
      </c>
      <c r="O34" s="1145">
        <v>1381124</v>
      </c>
      <c r="P34" s="2646"/>
      <c r="Q34" s="683"/>
      <c r="R34" s="377"/>
      <c r="S34" s="378"/>
    </row>
    <row r="35" spans="1:19" ht="15.75" x14ac:dyDescent="0.25">
      <c r="A35" s="395"/>
      <c r="B35" s="396" t="s">
        <v>1537</v>
      </c>
      <c r="C35" s="2651"/>
      <c r="D35" s="606" t="s">
        <v>1547</v>
      </c>
      <c r="E35" s="607"/>
      <c r="F35" s="1144">
        <v>2018</v>
      </c>
      <c r="G35" s="606"/>
      <c r="H35" s="789">
        <v>0</v>
      </c>
      <c r="I35" s="1582">
        <f t="shared" si="0"/>
        <v>2850000</v>
      </c>
      <c r="J35" s="2647">
        <v>2850000</v>
      </c>
      <c r="K35" s="1582">
        <f t="shared" si="5"/>
        <v>0</v>
      </c>
      <c r="L35" s="2647">
        <v>2850000</v>
      </c>
      <c r="M35" s="3315">
        <f t="shared" si="4"/>
        <v>0</v>
      </c>
      <c r="N35" s="2647">
        <v>2850000</v>
      </c>
      <c r="O35" s="1145">
        <v>1424527</v>
      </c>
      <c r="P35" s="2646"/>
      <c r="Q35" s="683"/>
      <c r="R35" s="377"/>
      <c r="S35" s="378"/>
    </row>
    <row r="36" spans="1:19" ht="15.75" x14ac:dyDescent="0.25">
      <c r="A36" s="395"/>
      <c r="B36" s="396" t="s">
        <v>1538</v>
      </c>
      <c r="C36" s="2651"/>
      <c r="D36" s="699" t="s">
        <v>1548</v>
      </c>
      <c r="E36" s="607"/>
      <c r="F36" s="1144">
        <v>2018</v>
      </c>
      <c r="G36" s="606"/>
      <c r="H36" s="1145"/>
      <c r="I36" s="1582">
        <f t="shared" si="0"/>
        <v>593000</v>
      </c>
      <c r="J36" s="1145">
        <v>593000</v>
      </c>
      <c r="K36" s="1582">
        <f t="shared" si="5"/>
        <v>0</v>
      </c>
      <c r="L36" s="1145">
        <v>593000</v>
      </c>
      <c r="M36" s="3315">
        <f t="shared" si="4"/>
        <v>0</v>
      </c>
      <c r="N36" s="1145">
        <v>593000</v>
      </c>
      <c r="O36" s="1145">
        <v>0</v>
      </c>
      <c r="P36" s="2646"/>
      <c r="Q36" s="683"/>
      <c r="R36" s="377"/>
      <c r="S36" s="378"/>
    </row>
    <row r="37" spans="1:19" ht="15.75" x14ac:dyDescent="0.25">
      <c r="A37" s="395"/>
      <c r="B37" s="396" t="s">
        <v>1539</v>
      </c>
      <c r="C37" s="2651"/>
      <c r="D37" s="699" t="s">
        <v>1549</v>
      </c>
      <c r="E37" s="607"/>
      <c r="F37" s="1144">
        <v>2018</v>
      </c>
      <c r="G37" s="606"/>
      <c r="H37" s="1145"/>
      <c r="I37" s="1582">
        <f t="shared" si="0"/>
        <v>686000</v>
      </c>
      <c r="J37" s="1145">
        <v>686000</v>
      </c>
      <c r="K37" s="1582">
        <f t="shared" si="5"/>
        <v>0</v>
      </c>
      <c r="L37" s="1145">
        <v>686000</v>
      </c>
      <c r="M37" s="3315">
        <f t="shared" si="4"/>
        <v>0</v>
      </c>
      <c r="N37" s="1145">
        <v>686000</v>
      </c>
      <c r="O37" s="1145">
        <v>685749</v>
      </c>
      <c r="P37" s="2646"/>
      <c r="Q37" s="683"/>
      <c r="R37" s="377"/>
      <c r="S37" s="378"/>
    </row>
    <row r="38" spans="1:19" ht="15.75" x14ac:dyDescent="0.25">
      <c r="A38" s="395"/>
      <c r="B38" s="396" t="s">
        <v>1540</v>
      </c>
      <c r="C38" s="2651"/>
      <c r="D38" s="699" t="s">
        <v>1550</v>
      </c>
      <c r="E38" s="607"/>
      <c r="F38" s="1144">
        <v>2018</v>
      </c>
      <c r="G38" s="606"/>
      <c r="H38" s="789">
        <v>0</v>
      </c>
      <c r="I38" s="1582">
        <f t="shared" si="0"/>
        <v>162000</v>
      </c>
      <c r="J38" s="2647">
        <v>162000</v>
      </c>
      <c r="K38" s="1582">
        <f t="shared" si="5"/>
        <v>0</v>
      </c>
      <c r="L38" s="2647">
        <v>162000</v>
      </c>
      <c r="M38" s="3315">
        <f t="shared" si="4"/>
        <v>0</v>
      </c>
      <c r="N38" s="2647">
        <v>162000</v>
      </c>
      <c r="O38" s="1145">
        <v>161577</v>
      </c>
      <c r="P38" s="2646"/>
      <c r="Q38" s="683"/>
      <c r="R38" s="377"/>
      <c r="S38" s="378"/>
    </row>
    <row r="39" spans="1:19" ht="15.75" x14ac:dyDescent="0.25">
      <c r="A39" s="395"/>
      <c r="B39" s="396" t="s">
        <v>1541</v>
      </c>
      <c r="C39" s="2651"/>
      <c r="D39" s="699" t="s">
        <v>1551</v>
      </c>
      <c r="E39" s="607"/>
      <c r="F39" s="1144">
        <v>2018</v>
      </c>
      <c r="G39" s="606"/>
      <c r="H39" s="789">
        <v>0</v>
      </c>
      <c r="I39" s="1582">
        <f t="shared" si="0"/>
        <v>475000</v>
      </c>
      <c r="J39" s="2647">
        <v>475000</v>
      </c>
      <c r="K39" s="1582">
        <f t="shared" si="5"/>
        <v>0</v>
      </c>
      <c r="L39" s="2647">
        <v>475000</v>
      </c>
      <c r="M39" s="3315">
        <f t="shared" si="4"/>
        <v>0</v>
      </c>
      <c r="N39" s="2647">
        <v>475000</v>
      </c>
      <c r="O39" s="1145">
        <v>474028</v>
      </c>
      <c r="P39" s="2646"/>
      <c r="Q39" s="683"/>
      <c r="R39" s="377"/>
      <c r="S39" s="378"/>
    </row>
    <row r="40" spans="1:19" ht="15.75" x14ac:dyDescent="0.25">
      <c r="A40" s="395"/>
      <c r="B40" s="396" t="s">
        <v>1542</v>
      </c>
      <c r="C40" s="2651"/>
      <c r="D40" s="606" t="s">
        <v>1552</v>
      </c>
      <c r="E40" s="607"/>
      <c r="F40" s="1144">
        <v>2018</v>
      </c>
      <c r="G40" s="606"/>
      <c r="H40" s="789">
        <v>0</v>
      </c>
      <c r="I40" s="1582">
        <f t="shared" si="0"/>
        <v>506000</v>
      </c>
      <c r="J40" s="2647">
        <v>506000</v>
      </c>
      <c r="K40" s="1582">
        <f t="shared" si="5"/>
        <v>0</v>
      </c>
      <c r="L40" s="2647">
        <v>506000</v>
      </c>
      <c r="M40" s="3315">
        <f t="shared" si="4"/>
        <v>0</v>
      </c>
      <c r="N40" s="2647">
        <v>506000</v>
      </c>
      <c r="O40" s="1145">
        <v>0</v>
      </c>
      <c r="P40" s="2646"/>
      <c r="Q40" s="683"/>
      <c r="R40" s="377"/>
      <c r="S40" s="378"/>
    </row>
    <row r="41" spans="1:19" ht="15.75" x14ac:dyDescent="0.25">
      <c r="A41" s="395"/>
      <c r="B41" s="396" t="s">
        <v>1543</v>
      </c>
      <c r="C41" s="2651"/>
      <c r="D41" s="699" t="s">
        <v>1553</v>
      </c>
      <c r="E41" s="607"/>
      <c r="F41" s="1144">
        <v>2018</v>
      </c>
      <c r="G41" s="606"/>
      <c r="H41" s="1145"/>
      <c r="I41" s="1582">
        <f t="shared" si="0"/>
        <v>606000</v>
      </c>
      <c r="J41" s="1145">
        <v>606000</v>
      </c>
      <c r="K41" s="1582">
        <f t="shared" si="5"/>
        <v>0</v>
      </c>
      <c r="L41" s="1145">
        <v>606000</v>
      </c>
      <c r="M41" s="3315">
        <f t="shared" si="4"/>
        <v>0</v>
      </c>
      <c r="N41" s="1145">
        <v>606000</v>
      </c>
      <c r="O41" s="1145">
        <v>0</v>
      </c>
      <c r="P41" s="2646"/>
      <c r="Q41" s="683"/>
      <c r="R41" s="377"/>
      <c r="S41" s="378"/>
    </row>
    <row r="42" spans="1:19" ht="15.75" x14ac:dyDescent="0.25">
      <c r="A42" s="395"/>
      <c r="B42" s="396" t="s">
        <v>1554</v>
      </c>
      <c r="C42" s="2651"/>
      <c r="D42" s="606" t="s">
        <v>1564</v>
      </c>
      <c r="E42" s="607"/>
      <c r="F42" s="1144">
        <v>2018</v>
      </c>
      <c r="G42" s="606"/>
      <c r="H42" s="1145"/>
      <c r="I42" s="1582">
        <f t="shared" si="0"/>
        <v>562000</v>
      </c>
      <c r="J42" s="1145">
        <v>562000</v>
      </c>
      <c r="K42" s="1582">
        <f t="shared" si="5"/>
        <v>0</v>
      </c>
      <c r="L42" s="1145">
        <v>562000</v>
      </c>
      <c r="M42" s="3315">
        <f t="shared" si="4"/>
        <v>0</v>
      </c>
      <c r="N42" s="1145">
        <v>562000</v>
      </c>
      <c r="O42" s="1145">
        <v>0</v>
      </c>
      <c r="P42" s="2646"/>
      <c r="Q42" s="683"/>
      <c r="R42" s="377"/>
      <c r="S42" s="378"/>
    </row>
    <row r="43" spans="1:19" ht="15.75" x14ac:dyDescent="0.25">
      <c r="A43" s="395"/>
      <c r="B43" s="396" t="s">
        <v>1555</v>
      </c>
      <c r="C43" s="2651"/>
      <c r="D43" s="699" t="s">
        <v>1565</v>
      </c>
      <c r="E43" s="607"/>
      <c r="F43" s="1144">
        <v>2018</v>
      </c>
      <c r="G43" s="606"/>
      <c r="H43" s="789">
        <v>0</v>
      </c>
      <c r="I43" s="1582">
        <f t="shared" si="0"/>
        <v>4469000</v>
      </c>
      <c r="J43" s="2647">
        <v>4469000</v>
      </c>
      <c r="K43" s="1582">
        <f t="shared" si="5"/>
        <v>0</v>
      </c>
      <c r="L43" s="2647">
        <v>4469000</v>
      </c>
      <c r="M43" s="3315">
        <f t="shared" si="4"/>
        <v>0</v>
      </c>
      <c r="N43" s="2647">
        <v>4469000</v>
      </c>
      <c r="O43" s="1145">
        <v>2234421</v>
      </c>
      <c r="P43" s="2646"/>
      <c r="Q43" s="683"/>
      <c r="R43" s="377"/>
      <c r="S43" s="378"/>
    </row>
    <row r="44" spans="1:19" ht="15.75" x14ac:dyDescent="0.25">
      <c r="A44" s="395"/>
      <c r="B44" s="396" t="s">
        <v>1556</v>
      </c>
      <c r="C44" s="2651"/>
      <c r="D44" s="699" t="s">
        <v>1566</v>
      </c>
      <c r="E44" s="607"/>
      <c r="F44" s="1144">
        <v>2018</v>
      </c>
      <c r="G44" s="606"/>
      <c r="H44" s="789">
        <v>0</v>
      </c>
      <c r="I44" s="1582">
        <f t="shared" si="0"/>
        <v>1202000</v>
      </c>
      <c r="J44" s="2647">
        <v>1202000</v>
      </c>
      <c r="K44" s="1582">
        <f t="shared" si="5"/>
        <v>0</v>
      </c>
      <c r="L44" s="2647">
        <v>1202000</v>
      </c>
      <c r="M44" s="3315">
        <f t="shared" si="4"/>
        <v>0</v>
      </c>
      <c r="N44" s="2647">
        <v>1202000</v>
      </c>
      <c r="O44" s="1145">
        <v>1201484</v>
      </c>
      <c r="P44" s="2646"/>
      <c r="Q44" s="683"/>
      <c r="R44" s="377"/>
      <c r="S44" s="378"/>
    </row>
    <row r="45" spans="1:19" ht="15.75" x14ac:dyDescent="0.25">
      <c r="A45" s="395"/>
      <c r="B45" s="396" t="s">
        <v>1557</v>
      </c>
      <c r="C45" s="2651"/>
      <c r="D45" s="606" t="s">
        <v>1567</v>
      </c>
      <c r="E45" s="607"/>
      <c r="F45" s="1144">
        <v>2018</v>
      </c>
      <c r="G45" s="606"/>
      <c r="H45" s="789">
        <v>0</v>
      </c>
      <c r="I45" s="1582">
        <f t="shared" si="0"/>
        <v>500000</v>
      </c>
      <c r="J45" s="2647">
        <v>500000</v>
      </c>
      <c r="K45" s="1582">
        <f t="shared" si="5"/>
        <v>0</v>
      </c>
      <c r="L45" s="2647">
        <v>500000</v>
      </c>
      <c r="M45" s="3315">
        <f t="shared" si="4"/>
        <v>0</v>
      </c>
      <c r="N45" s="2647">
        <v>500000</v>
      </c>
      <c r="O45" s="1145">
        <v>0</v>
      </c>
      <c r="P45" s="2646"/>
      <c r="Q45" s="683"/>
      <c r="R45" s="377"/>
      <c r="S45" s="378"/>
    </row>
    <row r="46" spans="1:19" ht="15.75" x14ac:dyDescent="0.25">
      <c r="A46" s="395"/>
      <c r="B46" s="396" t="s">
        <v>1558</v>
      </c>
      <c r="C46" s="2651"/>
      <c r="D46" s="699" t="s">
        <v>1568</v>
      </c>
      <c r="E46" s="607"/>
      <c r="F46" s="1144">
        <v>2018</v>
      </c>
      <c r="G46" s="606"/>
      <c r="H46" s="1145"/>
      <c r="I46" s="1582">
        <f t="shared" si="0"/>
        <v>2042000</v>
      </c>
      <c r="J46" s="1145">
        <v>2042000</v>
      </c>
      <c r="K46" s="1582">
        <f t="shared" si="5"/>
        <v>0</v>
      </c>
      <c r="L46" s="1145">
        <v>2042000</v>
      </c>
      <c r="M46" s="3315">
        <f t="shared" si="4"/>
        <v>0</v>
      </c>
      <c r="N46" s="1145">
        <v>2042000</v>
      </c>
      <c r="O46" s="1145">
        <v>2041246</v>
      </c>
      <c r="P46" s="2646"/>
      <c r="Q46" s="683"/>
      <c r="R46" s="377"/>
      <c r="S46" s="378"/>
    </row>
    <row r="47" spans="1:19" ht="15.75" x14ac:dyDescent="0.25">
      <c r="A47" s="395"/>
      <c r="B47" s="396" t="s">
        <v>1559</v>
      </c>
      <c r="C47" s="2651"/>
      <c r="D47" s="699" t="s">
        <v>1569</v>
      </c>
      <c r="E47" s="607"/>
      <c r="F47" s="1144">
        <v>2018</v>
      </c>
      <c r="G47" s="606"/>
      <c r="H47" s="1145"/>
      <c r="I47" s="1582">
        <f t="shared" si="0"/>
        <v>4370260</v>
      </c>
      <c r="J47" s="1145">
        <v>4370260</v>
      </c>
      <c r="K47" s="1582">
        <f t="shared" si="5"/>
        <v>0</v>
      </c>
      <c r="L47" s="1145">
        <v>4370260</v>
      </c>
      <c r="M47" s="3315">
        <f t="shared" si="4"/>
        <v>0</v>
      </c>
      <c r="N47" s="1145">
        <v>4370260</v>
      </c>
      <c r="O47" s="1145">
        <v>2540000</v>
      </c>
      <c r="P47" s="2646"/>
      <c r="Q47" s="683"/>
      <c r="R47" s="377"/>
      <c r="S47" s="378"/>
    </row>
    <row r="48" spans="1:19" ht="15.75" x14ac:dyDescent="0.25">
      <c r="A48" s="395"/>
      <c r="B48" s="396" t="s">
        <v>1560</v>
      </c>
      <c r="C48" s="2651"/>
      <c r="D48" s="699" t="s">
        <v>1570</v>
      </c>
      <c r="E48" s="607"/>
      <c r="F48" s="1144">
        <v>2018</v>
      </c>
      <c r="G48" s="606"/>
      <c r="H48" s="789">
        <v>0</v>
      </c>
      <c r="I48" s="1582">
        <f t="shared" si="0"/>
        <v>7649799</v>
      </c>
      <c r="J48" s="2647">
        <v>7649799</v>
      </c>
      <c r="K48" s="1582">
        <f t="shared" si="5"/>
        <v>0</v>
      </c>
      <c r="L48" s="2647">
        <v>7649799</v>
      </c>
      <c r="M48" s="3315">
        <f t="shared" si="4"/>
        <v>0</v>
      </c>
      <c r="N48" s="2647">
        <v>7649799</v>
      </c>
      <c r="O48" s="1145">
        <v>3824900</v>
      </c>
      <c r="P48" s="2646"/>
      <c r="Q48" s="683"/>
      <c r="R48" s="377"/>
      <c r="S48" s="378"/>
    </row>
    <row r="49" spans="1:19" ht="15.75" x14ac:dyDescent="0.25">
      <c r="A49" s="395"/>
      <c r="B49" s="396" t="s">
        <v>1561</v>
      </c>
      <c r="C49" s="2651"/>
      <c r="D49" s="699" t="s">
        <v>1849</v>
      </c>
      <c r="E49" s="607"/>
      <c r="F49" s="1144">
        <v>2018</v>
      </c>
      <c r="G49" s="606"/>
      <c r="H49" s="789">
        <v>0</v>
      </c>
      <c r="I49" s="1582">
        <f t="shared" si="0"/>
        <v>0</v>
      </c>
      <c r="J49" s="2647"/>
      <c r="K49" s="1582">
        <f t="shared" si="5"/>
        <v>37090540</v>
      </c>
      <c r="L49" s="2647">
        <v>37090540</v>
      </c>
      <c r="M49" s="3315">
        <f t="shared" si="4"/>
        <v>0</v>
      </c>
      <c r="N49" s="2647">
        <v>37090540</v>
      </c>
      <c r="O49" s="1145">
        <v>37090540</v>
      </c>
      <c r="P49" s="2646"/>
      <c r="Q49" s="683"/>
      <c r="R49" s="377"/>
      <c r="S49" s="378"/>
    </row>
    <row r="50" spans="1:19" ht="15.75" x14ac:dyDescent="0.25">
      <c r="A50" s="395"/>
      <c r="B50" s="396" t="s">
        <v>1562</v>
      </c>
      <c r="C50" s="2651"/>
      <c r="D50" s="606" t="s">
        <v>1850</v>
      </c>
      <c r="E50" s="607"/>
      <c r="F50" s="1144">
        <v>2018</v>
      </c>
      <c r="G50" s="606"/>
      <c r="H50" s="789">
        <v>0</v>
      </c>
      <c r="I50" s="1582">
        <f>SUM(J50-H50)</f>
        <v>0</v>
      </c>
      <c r="J50" s="2647"/>
      <c r="K50" s="1582">
        <f t="shared" ref="K50:K62" si="6">SUM(L50-J50)</f>
        <v>13830906</v>
      </c>
      <c r="L50" s="2647">
        <v>13830906</v>
      </c>
      <c r="M50" s="3315">
        <f t="shared" si="4"/>
        <v>0</v>
      </c>
      <c r="N50" s="2647">
        <v>13830906</v>
      </c>
      <c r="O50" s="1145">
        <v>13830906</v>
      </c>
      <c r="P50" s="2646"/>
      <c r="Q50" s="683"/>
      <c r="R50" s="377"/>
      <c r="S50" s="378"/>
    </row>
    <row r="51" spans="1:19" ht="15.75" x14ac:dyDescent="0.25">
      <c r="A51" s="395"/>
      <c r="B51" s="396" t="s">
        <v>1563</v>
      </c>
      <c r="C51" s="2651"/>
      <c r="D51" s="699" t="s">
        <v>1851</v>
      </c>
      <c r="E51" s="607"/>
      <c r="F51" s="1144">
        <v>2018</v>
      </c>
      <c r="G51" s="606"/>
      <c r="H51" s="1145"/>
      <c r="I51" s="1582">
        <f t="shared" ref="I51:I56" si="7">SUM(J51-H51)</f>
        <v>0</v>
      </c>
      <c r="J51" s="1145"/>
      <c r="K51" s="1582">
        <f t="shared" si="6"/>
        <v>407812</v>
      </c>
      <c r="L51" s="1145">
        <v>407812</v>
      </c>
      <c r="M51" s="3315">
        <f t="shared" si="4"/>
        <v>0</v>
      </c>
      <c r="N51" s="1145">
        <v>407812</v>
      </c>
      <c r="O51" s="1145">
        <v>0</v>
      </c>
      <c r="P51" s="2646"/>
      <c r="Q51" s="683"/>
      <c r="R51" s="377"/>
      <c r="S51" s="378"/>
    </row>
    <row r="52" spans="1:19" ht="15.75" x14ac:dyDescent="0.25">
      <c r="A52" s="395"/>
      <c r="B52" s="396" t="s">
        <v>1852</v>
      </c>
      <c r="C52" s="2651"/>
      <c r="D52" s="699" t="s">
        <v>1853</v>
      </c>
      <c r="E52" s="607"/>
      <c r="F52" s="1144">
        <v>2018</v>
      </c>
      <c r="G52" s="606"/>
      <c r="H52" s="1145"/>
      <c r="I52" s="1582">
        <f t="shared" si="7"/>
        <v>0</v>
      </c>
      <c r="J52" s="1145"/>
      <c r="K52" s="1582">
        <f t="shared" si="6"/>
        <v>68678285</v>
      </c>
      <c r="L52" s="1145">
        <v>68678285</v>
      </c>
      <c r="M52" s="3315">
        <f t="shared" si="4"/>
        <v>0</v>
      </c>
      <c r="N52" s="1145">
        <v>68678285</v>
      </c>
      <c r="O52" s="1145">
        <v>20603486</v>
      </c>
      <c r="P52" s="2646"/>
      <c r="Q52" s="683"/>
      <c r="R52" s="377"/>
      <c r="S52" s="378"/>
    </row>
    <row r="53" spans="1:19" ht="15.75" x14ac:dyDescent="0.25">
      <c r="A53" s="395"/>
      <c r="B53" s="396" t="s">
        <v>1854</v>
      </c>
      <c r="C53" s="2651"/>
      <c r="D53" s="699" t="s">
        <v>1855</v>
      </c>
      <c r="E53" s="607"/>
      <c r="F53" s="1144">
        <v>2018</v>
      </c>
      <c r="G53" s="606"/>
      <c r="H53" s="1145"/>
      <c r="I53" s="1582">
        <f t="shared" si="7"/>
        <v>0</v>
      </c>
      <c r="J53" s="1145"/>
      <c r="K53" s="1582">
        <f t="shared" si="6"/>
        <v>2069592</v>
      </c>
      <c r="L53" s="1145">
        <v>2069592</v>
      </c>
      <c r="M53" s="3315">
        <f t="shared" si="4"/>
        <v>0</v>
      </c>
      <c r="N53" s="1145">
        <v>2069592</v>
      </c>
      <c r="O53" s="1145">
        <v>2069592</v>
      </c>
      <c r="P53" s="2646"/>
      <c r="Q53" s="683"/>
      <c r="R53" s="377"/>
      <c r="S53" s="378"/>
    </row>
    <row r="54" spans="1:19" ht="15.75" x14ac:dyDescent="0.25">
      <c r="A54" s="395"/>
      <c r="B54" s="396" t="s">
        <v>1856</v>
      </c>
      <c r="C54" s="2651"/>
      <c r="D54" s="699" t="s">
        <v>1857</v>
      </c>
      <c r="E54" s="607"/>
      <c r="F54" s="1144">
        <v>2018</v>
      </c>
      <c r="G54" s="606"/>
      <c r="H54" s="1145"/>
      <c r="I54" s="1582">
        <f t="shared" si="7"/>
        <v>0</v>
      </c>
      <c r="J54" s="1145"/>
      <c r="K54" s="1582">
        <f t="shared" si="6"/>
        <v>6785381</v>
      </c>
      <c r="L54" s="1145">
        <v>6785381</v>
      </c>
      <c r="M54" s="3315">
        <f t="shared" si="4"/>
        <v>0</v>
      </c>
      <c r="N54" s="1145">
        <v>6785381</v>
      </c>
      <c r="O54" s="1145">
        <v>6785381</v>
      </c>
      <c r="P54" s="2646"/>
      <c r="Q54" s="683"/>
      <c r="R54" s="377"/>
      <c r="S54" s="378"/>
    </row>
    <row r="55" spans="1:19" ht="15.75" x14ac:dyDescent="0.25">
      <c r="A55" s="395"/>
      <c r="B55" s="396" t="s">
        <v>1858</v>
      </c>
      <c r="C55" s="2651"/>
      <c r="D55" s="699" t="s">
        <v>1859</v>
      </c>
      <c r="E55" s="607"/>
      <c r="F55" s="1144">
        <v>2018</v>
      </c>
      <c r="G55" s="606"/>
      <c r="H55" s="1145"/>
      <c r="I55" s="1582">
        <f t="shared" si="7"/>
        <v>0</v>
      </c>
      <c r="J55" s="1145"/>
      <c r="K55" s="1582">
        <f t="shared" si="6"/>
        <v>192494</v>
      </c>
      <c r="L55" s="1145">
        <v>192494</v>
      </c>
      <c r="M55" s="3315">
        <f t="shared" si="4"/>
        <v>0</v>
      </c>
      <c r="N55" s="1145">
        <v>192494</v>
      </c>
      <c r="O55" s="1145">
        <v>192494</v>
      </c>
      <c r="P55" s="2646"/>
      <c r="Q55" s="683"/>
      <c r="R55" s="377"/>
      <c r="S55" s="378"/>
    </row>
    <row r="56" spans="1:19" ht="15.75" x14ac:dyDescent="0.25">
      <c r="A56" s="395"/>
      <c r="B56" s="396" t="s">
        <v>1860</v>
      </c>
      <c r="C56" s="2651"/>
      <c r="D56" s="699" t="s">
        <v>1861</v>
      </c>
      <c r="E56" s="607"/>
      <c r="F56" s="1144">
        <v>2018</v>
      </c>
      <c r="G56" s="606"/>
      <c r="H56" s="1145"/>
      <c r="I56" s="1582">
        <f t="shared" si="7"/>
        <v>0</v>
      </c>
      <c r="J56" s="1145"/>
      <c r="K56" s="1582">
        <f t="shared" si="6"/>
        <v>658750</v>
      </c>
      <c r="L56" s="1145">
        <v>658750</v>
      </c>
      <c r="M56" s="3315">
        <f t="shared" si="4"/>
        <v>0</v>
      </c>
      <c r="N56" s="1145">
        <v>658750</v>
      </c>
      <c r="O56" s="1145">
        <v>0</v>
      </c>
      <c r="P56" s="2646"/>
      <c r="Q56" s="683"/>
      <c r="R56" s="377"/>
      <c r="S56" s="378"/>
    </row>
    <row r="57" spans="1:19" ht="15.75" x14ac:dyDescent="0.25">
      <c r="A57" s="395"/>
      <c r="B57" s="396" t="s">
        <v>1862</v>
      </c>
      <c r="C57" s="2651"/>
      <c r="D57" s="606" t="s">
        <v>1869</v>
      </c>
      <c r="E57" s="607"/>
      <c r="F57" s="1144">
        <v>2018</v>
      </c>
      <c r="G57" s="606"/>
      <c r="H57" s="789">
        <v>0</v>
      </c>
      <c r="I57" s="1582">
        <f t="shared" ref="I57:I63" si="8">SUM(J57-H57)</f>
        <v>0</v>
      </c>
      <c r="J57" s="2647"/>
      <c r="K57" s="1582">
        <f t="shared" si="6"/>
        <v>3000000</v>
      </c>
      <c r="L57" s="2647">
        <v>3000000</v>
      </c>
      <c r="M57" s="3315">
        <f t="shared" si="4"/>
        <v>0</v>
      </c>
      <c r="N57" s="2647">
        <v>3000000</v>
      </c>
      <c r="O57" s="1145">
        <v>3000000</v>
      </c>
      <c r="P57" s="2646"/>
      <c r="Q57" s="683"/>
      <c r="R57" s="377"/>
      <c r="S57" s="378"/>
    </row>
    <row r="58" spans="1:19" ht="15.75" x14ac:dyDescent="0.25">
      <c r="A58" s="395"/>
      <c r="B58" s="396" t="s">
        <v>1863</v>
      </c>
      <c r="C58" s="2651"/>
      <c r="D58" s="699" t="s">
        <v>1870</v>
      </c>
      <c r="E58" s="607"/>
      <c r="F58" s="1144">
        <v>2018</v>
      </c>
      <c r="G58" s="606"/>
      <c r="H58" s="1145"/>
      <c r="I58" s="1582">
        <f t="shared" si="8"/>
        <v>0</v>
      </c>
      <c r="J58" s="1145"/>
      <c r="K58" s="1582">
        <f t="shared" si="6"/>
        <v>421005</v>
      </c>
      <c r="L58" s="1145">
        <v>421005</v>
      </c>
      <c r="M58" s="3315">
        <f t="shared" si="4"/>
        <v>0</v>
      </c>
      <c r="N58" s="1145">
        <v>421005</v>
      </c>
      <c r="O58" s="1145">
        <v>421005</v>
      </c>
      <c r="P58" s="2646"/>
      <c r="Q58" s="683"/>
      <c r="R58" s="377"/>
      <c r="S58" s="378"/>
    </row>
    <row r="59" spans="1:19" ht="15.75" x14ac:dyDescent="0.25">
      <c r="A59" s="395"/>
      <c r="B59" s="396" t="s">
        <v>1864</v>
      </c>
      <c r="C59" s="2651"/>
      <c r="D59" s="699" t="s">
        <v>1871</v>
      </c>
      <c r="E59" s="607"/>
      <c r="F59" s="1144">
        <v>2018</v>
      </c>
      <c r="G59" s="606"/>
      <c r="H59" s="1145"/>
      <c r="I59" s="1582">
        <f t="shared" si="8"/>
        <v>0</v>
      </c>
      <c r="J59" s="1145"/>
      <c r="K59" s="1582">
        <f t="shared" si="6"/>
        <v>27290350</v>
      </c>
      <c r="L59" s="1145">
        <v>27290350</v>
      </c>
      <c r="M59" s="3315">
        <f t="shared" si="4"/>
        <v>0</v>
      </c>
      <c r="N59" s="1145">
        <v>27290350</v>
      </c>
      <c r="O59" s="1145">
        <v>14590350</v>
      </c>
      <c r="P59" s="2646"/>
      <c r="Q59" s="683"/>
      <c r="R59" s="377"/>
      <c r="S59" s="378"/>
    </row>
    <row r="60" spans="1:19" ht="15.75" x14ac:dyDescent="0.25">
      <c r="A60" s="395"/>
      <c r="B60" s="396" t="s">
        <v>1865</v>
      </c>
      <c r="C60" s="2651"/>
      <c r="D60" s="699" t="s">
        <v>1872</v>
      </c>
      <c r="E60" s="607"/>
      <c r="F60" s="1144">
        <v>2018</v>
      </c>
      <c r="G60" s="606"/>
      <c r="H60" s="1145"/>
      <c r="I60" s="1582">
        <f t="shared" si="8"/>
        <v>0</v>
      </c>
      <c r="J60" s="1145"/>
      <c r="K60" s="1582">
        <f t="shared" si="6"/>
        <v>1585590</v>
      </c>
      <c r="L60" s="1145">
        <v>1585590</v>
      </c>
      <c r="M60" s="3315">
        <f t="shared" si="4"/>
        <v>0</v>
      </c>
      <c r="N60" s="1145">
        <v>1585590</v>
      </c>
      <c r="O60" s="1145">
        <v>1546020</v>
      </c>
      <c r="P60" s="2646"/>
      <c r="Q60" s="683"/>
      <c r="R60" s="377"/>
      <c r="S60" s="378"/>
    </row>
    <row r="61" spans="1:19" ht="15.75" x14ac:dyDescent="0.25">
      <c r="A61" s="395"/>
      <c r="B61" s="396" t="s">
        <v>1866</v>
      </c>
      <c r="C61" s="2651"/>
      <c r="D61" s="699" t="s">
        <v>1873</v>
      </c>
      <c r="E61" s="607"/>
      <c r="F61" s="1144">
        <v>2018</v>
      </c>
      <c r="G61" s="606"/>
      <c r="H61" s="1145"/>
      <c r="I61" s="1582">
        <f t="shared" si="8"/>
        <v>0</v>
      </c>
      <c r="J61" s="1145"/>
      <c r="K61" s="1582">
        <f t="shared" si="6"/>
        <v>3645000</v>
      </c>
      <c r="L61" s="1145">
        <v>3645000</v>
      </c>
      <c r="M61" s="3315">
        <f t="shared" si="4"/>
        <v>0</v>
      </c>
      <c r="N61" s="1145">
        <v>3645000</v>
      </c>
      <c r="O61" s="1145">
        <v>3644900</v>
      </c>
      <c r="P61" s="2646"/>
      <c r="Q61" s="683"/>
      <c r="R61" s="377"/>
      <c r="S61" s="378"/>
    </row>
    <row r="62" spans="1:19" ht="15.75" x14ac:dyDescent="0.25">
      <c r="A62" s="395"/>
      <c r="B62" s="396" t="s">
        <v>1867</v>
      </c>
      <c r="C62" s="2651"/>
      <c r="D62" s="699" t="s">
        <v>1874</v>
      </c>
      <c r="E62" s="607"/>
      <c r="F62" s="1144">
        <v>2018</v>
      </c>
      <c r="G62" s="606"/>
      <c r="H62" s="1145"/>
      <c r="I62" s="1582">
        <f t="shared" si="8"/>
        <v>0</v>
      </c>
      <c r="J62" s="1145"/>
      <c r="K62" s="1582">
        <f t="shared" si="6"/>
        <v>3346585</v>
      </c>
      <c r="L62" s="1145">
        <v>3346585</v>
      </c>
      <c r="M62" s="3315">
        <f t="shared" si="4"/>
        <v>0</v>
      </c>
      <c r="N62" s="1145">
        <v>3346585</v>
      </c>
      <c r="O62" s="1145">
        <v>1569918</v>
      </c>
      <c r="P62" s="2646"/>
      <c r="Q62" s="683"/>
      <c r="R62" s="377"/>
      <c r="S62" s="378"/>
    </row>
    <row r="63" spans="1:19" ht="15.75" x14ac:dyDescent="0.25">
      <c r="A63" s="395"/>
      <c r="B63" s="396" t="s">
        <v>1868</v>
      </c>
      <c r="C63" s="2651"/>
      <c r="D63" s="699" t="s">
        <v>1875</v>
      </c>
      <c r="E63" s="607"/>
      <c r="F63" s="1144">
        <v>2018</v>
      </c>
      <c r="G63" s="606"/>
      <c r="H63" s="1145"/>
      <c r="I63" s="1582">
        <f t="shared" si="8"/>
        <v>0</v>
      </c>
      <c r="J63" s="1145"/>
      <c r="K63" s="1582">
        <f>SUM(L63-J63)</f>
        <v>323412</v>
      </c>
      <c r="L63" s="1145">
        <v>323412</v>
      </c>
      <c r="M63" s="3315">
        <f t="shared" si="4"/>
        <v>0</v>
      </c>
      <c r="N63" s="1145">
        <v>323412</v>
      </c>
      <c r="O63" s="1145">
        <v>323412</v>
      </c>
      <c r="P63" s="2646"/>
      <c r="Q63" s="683"/>
      <c r="R63" s="377"/>
      <c r="S63" s="378"/>
    </row>
    <row r="64" spans="1:19" ht="15.75" x14ac:dyDescent="0.25">
      <c r="A64" s="395"/>
      <c r="B64" s="396" t="s">
        <v>1963</v>
      </c>
      <c r="C64" s="2651"/>
      <c r="D64" s="606" t="s">
        <v>1970</v>
      </c>
      <c r="E64" s="607"/>
      <c r="F64" s="1144">
        <v>2018</v>
      </c>
      <c r="G64" s="606"/>
      <c r="H64" s="789">
        <v>0</v>
      </c>
      <c r="I64" s="1582">
        <f t="shared" si="0"/>
        <v>0</v>
      </c>
      <c r="J64" s="2647"/>
      <c r="K64" s="1582">
        <f t="shared" si="5"/>
        <v>225749</v>
      </c>
      <c r="L64" s="2647">
        <v>225749</v>
      </c>
      <c r="M64" s="3315">
        <f t="shared" si="4"/>
        <v>0</v>
      </c>
      <c r="N64" s="2647">
        <v>225749</v>
      </c>
      <c r="O64" s="1145">
        <v>0</v>
      </c>
      <c r="P64" s="2646"/>
      <c r="Q64" s="683"/>
      <c r="R64" s="377"/>
      <c r="S64" s="378"/>
    </row>
    <row r="65" spans="1:19" ht="15.75" x14ac:dyDescent="0.25">
      <c r="A65" s="395"/>
      <c r="B65" s="396" t="s">
        <v>1964</v>
      </c>
      <c r="C65" s="2651"/>
      <c r="D65" s="699" t="s">
        <v>1971</v>
      </c>
      <c r="E65" s="607"/>
      <c r="F65" s="1144">
        <v>2018</v>
      </c>
      <c r="G65" s="606"/>
      <c r="H65" s="1145"/>
      <c r="I65" s="1582">
        <f t="shared" ref="I65:I89" si="9">SUM(J65-H65)</f>
        <v>0</v>
      </c>
      <c r="J65" s="1145"/>
      <c r="K65" s="1582">
        <f t="shared" si="5"/>
        <v>127000</v>
      </c>
      <c r="L65" s="1145">
        <v>127000</v>
      </c>
      <c r="M65" s="3315">
        <f t="shared" si="4"/>
        <v>0</v>
      </c>
      <c r="N65" s="1145">
        <v>127000</v>
      </c>
      <c r="O65" s="1145">
        <v>127000</v>
      </c>
      <c r="P65" s="2646"/>
      <c r="Q65" s="683"/>
      <c r="R65" s="377"/>
      <c r="S65" s="378"/>
    </row>
    <row r="66" spans="1:19" ht="15.75" x14ac:dyDescent="0.25">
      <c r="A66" s="395"/>
      <c r="B66" s="396" t="s">
        <v>1965</v>
      </c>
      <c r="C66" s="2651"/>
      <c r="D66" s="699" t="s">
        <v>1972</v>
      </c>
      <c r="E66" s="607"/>
      <c r="F66" s="1144">
        <v>2018</v>
      </c>
      <c r="G66" s="606"/>
      <c r="H66" s="1145"/>
      <c r="I66" s="1582">
        <f t="shared" si="9"/>
        <v>0</v>
      </c>
      <c r="J66" s="1145"/>
      <c r="K66" s="1582">
        <f t="shared" si="5"/>
        <v>2502294</v>
      </c>
      <c r="L66" s="1145">
        <v>2502294</v>
      </c>
      <c r="M66" s="3315">
        <f t="shared" si="4"/>
        <v>0</v>
      </c>
      <c r="N66" s="1145">
        <v>2502294</v>
      </c>
      <c r="O66" s="1145">
        <v>1251147</v>
      </c>
      <c r="P66" s="2646"/>
      <c r="Q66" s="683"/>
      <c r="R66" s="377"/>
      <c r="S66" s="378"/>
    </row>
    <row r="67" spans="1:19" ht="15.75" x14ac:dyDescent="0.25">
      <c r="A67" s="395"/>
      <c r="B67" s="396" t="s">
        <v>1966</v>
      </c>
      <c r="C67" s="2651"/>
      <c r="D67" s="699" t="s">
        <v>1973</v>
      </c>
      <c r="E67" s="607"/>
      <c r="F67" s="1144">
        <v>2018</v>
      </c>
      <c r="G67" s="606"/>
      <c r="H67" s="1145"/>
      <c r="I67" s="1582">
        <f t="shared" si="9"/>
        <v>0</v>
      </c>
      <c r="J67" s="1145"/>
      <c r="K67" s="1582">
        <f t="shared" si="5"/>
        <v>936983</v>
      </c>
      <c r="L67" s="1145">
        <v>936983</v>
      </c>
      <c r="M67" s="3315">
        <f t="shared" si="4"/>
        <v>0</v>
      </c>
      <c r="N67" s="1145">
        <v>936983</v>
      </c>
      <c r="O67" s="1145">
        <v>936983</v>
      </c>
      <c r="P67" s="2646"/>
      <c r="Q67" s="683"/>
      <c r="R67" s="377"/>
      <c r="S67" s="378"/>
    </row>
    <row r="68" spans="1:19" ht="15.75" x14ac:dyDescent="0.25">
      <c r="A68" s="395"/>
      <c r="B68" s="396" t="s">
        <v>1967</v>
      </c>
      <c r="C68" s="2651"/>
      <c r="D68" s="699" t="s">
        <v>1974</v>
      </c>
      <c r="E68" s="607"/>
      <c r="F68" s="1144">
        <v>2018</v>
      </c>
      <c r="G68" s="606"/>
      <c r="H68" s="1145"/>
      <c r="I68" s="1582">
        <f t="shared" si="9"/>
        <v>0</v>
      </c>
      <c r="J68" s="1145"/>
      <c r="K68" s="1582">
        <f t="shared" ref="K68:K89" si="10">SUM(L68-J68)</f>
        <v>7401211</v>
      </c>
      <c r="L68" s="1145">
        <v>7401211</v>
      </c>
      <c r="M68" s="3315">
        <f t="shared" si="4"/>
        <v>0</v>
      </c>
      <c r="N68" s="1145">
        <v>7401211</v>
      </c>
      <c r="O68" s="1145">
        <v>0</v>
      </c>
      <c r="P68" s="2646"/>
      <c r="Q68" s="683"/>
      <c r="R68" s="377"/>
      <c r="S68" s="378"/>
    </row>
    <row r="69" spans="1:19" ht="15.75" x14ac:dyDescent="0.25">
      <c r="A69" s="395"/>
      <c r="B69" s="396" t="s">
        <v>1968</v>
      </c>
      <c r="C69" s="2651"/>
      <c r="D69" s="699" t="s">
        <v>1975</v>
      </c>
      <c r="E69" s="607"/>
      <c r="F69" s="1144">
        <v>2018</v>
      </c>
      <c r="G69" s="606"/>
      <c r="H69" s="1145"/>
      <c r="I69" s="1582">
        <f t="shared" si="9"/>
        <v>0</v>
      </c>
      <c r="J69" s="1145"/>
      <c r="K69" s="1582">
        <f t="shared" si="10"/>
        <v>1958213</v>
      </c>
      <c r="L69" s="1145">
        <v>1958213</v>
      </c>
      <c r="M69" s="3315">
        <f t="shared" ref="M69" si="11">SUM(N69-L69)</f>
        <v>0</v>
      </c>
      <c r="N69" s="1145">
        <v>1958213</v>
      </c>
      <c r="O69" s="1145">
        <v>1958213</v>
      </c>
      <c r="P69" s="2646"/>
      <c r="Q69" s="683"/>
      <c r="R69" s="377"/>
      <c r="S69" s="378"/>
    </row>
    <row r="70" spans="1:19" ht="15.75" x14ac:dyDescent="0.25">
      <c r="A70" s="395"/>
      <c r="B70" s="396" t="s">
        <v>1969</v>
      </c>
      <c r="C70" s="2651"/>
      <c r="D70" s="699" t="s">
        <v>1976</v>
      </c>
      <c r="E70" s="607"/>
      <c r="F70" s="1144">
        <v>2018</v>
      </c>
      <c r="G70" s="606"/>
      <c r="H70" s="1145"/>
      <c r="I70" s="1582">
        <f t="shared" si="9"/>
        <v>0</v>
      </c>
      <c r="J70" s="1145"/>
      <c r="K70" s="1582">
        <f t="shared" si="10"/>
        <v>11987952</v>
      </c>
      <c r="L70" s="1145">
        <v>11987952</v>
      </c>
      <c r="M70" s="3315">
        <f>SUM(N70-L70)</f>
        <v>0</v>
      </c>
      <c r="N70" s="1145">
        <v>11987952</v>
      </c>
      <c r="O70" s="1145">
        <v>11987952</v>
      </c>
      <c r="P70" s="2646"/>
      <c r="Q70" s="683"/>
      <c r="R70" s="377"/>
      <c r="S70" s="378"/>
    </row>
    <row r="71" spans="1:19" s="366" customFormat="1" ht="19.5" customHeight="1" x14ac:dyDescent="0.2">
      <c r="A71" s="2648" t="s">
        <v>17</v>
      </c>
      <c r="B71" s="2649"/>
      <c r="C71" s="2650"/>
      <c r="D71" s="382" t="s">
        <v>547</v>
      </c>
      <c r="E71" s="794"/>
      <c r="F71" s="794"/>
      <c r="G71" s="794"/>
      <c r="H71" s="795"/>
      <c r="I71" s="1581">
        <f t="shared" si="9"/>
        <v>11677500</v>
      </c>
      <c r="J71" s="795">
        <f>J72+J75+J78+J85+J87</f>
        <v>11677500</v>
      </c>
      <c r="K71" s="1581">
        <f t="shared" si="10"/>
        <v>-2526516</v>
      </c>
      <c r="L71" s="795">
        <f>L72+L75+L78+L85+L87</f>
        <v>9150984</v>
      </c>
      <c r="M71" s="3314">
        <f t="shared" ref="M71:M89" si="12">SUM(N71-L71)</f>
        <v>0</v>
      </c>
      <c r="N71" s="795">
        <f>N72+N75+N78+N85+N87</f>
        <v>9150984</v>
      </c>
      <c r="O71" s="795">
        <f>O72+O75+O78+O85+O87</f>
        <v>9150984</v>
      </c>
      <c r="P71" s="796"/>
      <c r="Q71" s="392">
        <f>Q72</f>
        <v>0</v>
      </c>
      <c r="R71" s="373">
        <f>R72</f>
        <v>1808</v>
      </c>
      <c r="S71" s="374" t="e">
        <f t="shared" ref="S71:S76" si="13">R71/Q71*100</f>
        <v>#DIV/0!</v>
      </c>
    </row>
    <row r="72" spans="1:19" s="366" customFormat="1" ht="19.5" customHeight="1" x14ac:dyDescent="0.2">
      <c r="A72" s="4663" t="s">
        <v>309</v>
      </c>
      <c r="B72" s="4664"/>
      <c r="C72" s="4664"/>
      <c r="D72" s="382" t="s">
        <v>491</v>
      </c>
      <c r="E72" s="794"/>
      <c r="F72" s="794"/>
      <c r="G72" s="794"/>
      <c r="H72" s="795">
        <f>SUM(H73:H74)</f>
        <v>0</v>
      </c>
      <c r="I72" s="1583">
        <f t="shared" si="9"/>
        <v>10797500</v>
      </c>
      <c r="J72" s="1338">
        <f>SUM(J73:J74)</f>
        <v>10797500</v>
      </c>
      <c r="K72" s="1583">
        <f t="shared" si="10"/>
        <v>-4688800</v>
      </c>
      <c r="L72" s="1338">
        <f>SUM(L73:L74)</f>
        <v>6108700</v>
      </c>
      <c r="M72" s="3316">
        <f t="shared" si="12"/>
        <v>0</v>
      </c>
      <c r="N72" s="1338">
        <f>SUM(N73:N74)</f>
        <v>6108700</v>
      </c>
      <c r="O72" s="1338">
        <f>SUM(O73:O74)</f>
        <v>6108700</v>
      </c>
      <c r="P72" s="796"/>
      <c r="Q72" s="392">
        <f>SUM(Q73:Q75)</f>
        <v>0</v>
      </c>
      <c r="R72" s="373">
        <f>SUM(R73:R75)</f>
        <v>1808</v>
      </c>
      <c r="S72" s="374" t="e">
        <f t="shared" si="13"/>
        <v>#DIV/0!</v>
      </c>
    </row>
    <row r="73" spans="1:19" ht="15.75" x14ac:dyDescent="0.25">
      <c r="A73" s="395"/>
      <c r="B73" s="396" t="s">
        <v>421</v>
      </c>
      <c r="C73" s="2651"/>
      <c r="D73" s="379" t="s">
        <v>1025</v>
      </c>
      <c r="E73" s="375"/>
      <c r="F73" s="375"/>
      <c r="G73" s="375"/>
      <c r="H73" s="378"/>
      <c r="I73" s="1582">
        <f t="shared" si="9"/>
        <v>10797500</v>
      </c>
      <c r="J73" s="378">
        <v>10797500</v>
      </c>
      <c r="K73" s="1582">
        <f t="shared" si="10"/>
        <v>-4688800</v>
      </c>
      <c r="L73" s="378">
        <v>6108700</v>
      </c>
      <c r="M73" s="3317">
        <f t="shared" si="12"/>
        <v>0</v>
      </c>
      <c r="N73" s="378">
        <v>6108700</v>
      </c>
      <c r="O73" s="378">
        <v>6108700</v>
      </c>
      <c r="P73" s="797"/>
      <c r="Q73" s="793">
        <v>0</v>
      </c>
      <c r="R73" s="380">
        <v>365</v>
      </c>
      <c r="S73" s="378" t="e">
        <f t="shared" si="13"/>
        <v>#DIV/0!</v>
      </c>
    </row>
    <row r="74" spans="1:19" ht="15.75" x14ac:dyDescent="0.25">
      <c r="A74" s="395"/>
      <c r="B74" s="396" t="s">
        <v>360</v>
      </c>
      <c r="C74" s="2651"/>
      <c r="D74" s="375"/>
      <c r="E74" s="375"/>
      <c r="F74" s="375"/>
      <c r="G74" s="375"/>
      <c r="H74" s="378"/>
      <c r="I74" s="1582">
        <f t="shared" si="9"/>
        <v>0</v>
      </c>
      <c r="J74" s="378"/>
      <c r="K74" s="1582">
        <f t="shared" si="10"/>
        <v>0</v>
      </c>
      <c r="L74" s="378"/>
      <c r="M74" s="3317">
        <f t="shared" si="12"/>
        <v>0</v>
      </c>
      <c r="N74" s="378"/>
      <c r="O74" s="378"/>
      <c r="P74" s="797"/>
      <c r="Q74" s="793">
        <v>0</v>
      </c>
      <c r="R74" s="380">
        <v>116</v>
      </c>
      <c r="S74" s="378" t="e">
        <f t="shared" si="13"/>
        <v>#DIV/0!</v>
      </c>
    </row>
    <row r="75" spans="1:19" s="366" customFormat="1" ht="19.5" customHeight="1" x14ac:dyDescent="0.2">
      <c r="A75" s="4665" t="s">
        <v>311</v>
      </c>
      <c r="B75" s="4666"/>
      <c r="C75" s="4667"/>
      <c r="D75" s="382" t="s">
        <v>472</v>
      </c>
      <c r="E75" s="794"/>
      <c r="F75" s="794"/>
      <c r="G75" s="794"/>
      <c r="H75" s="1338">
        <f>SUM(H76)</f>
        <v>0</v>
      </c>
      <c r="I75" s="1583">
        <f t="shared" si="9"/>
        <v>880000</v>
      </c>
      <c r="J75" s="1338">
        <f>SUM(J76:J77)</f>
        <v>880000</v>
      </c>
      <c r="K75" s="1583">
        <f t="shared" si="10"/>
        <v>2162284</v>
      </c>
      <c r="L75" s="1338">
        <f>SUM(L76:L77)</f>
        <v>3042284</v>
      </c>
      <c r="M75" s="3316">
        <f t="shared" si="12"/>
        <v>0</v>
      </c>
      <c r="N75" s="1338">
        <f>SUM(N76:N77)</f>
        <v>3042284</v>
      </c>
      <c r="O75" s="1338">
        <f>SUM(O76:O77)</f>
        <v>3042284</v>
      </c>
      <c r="P75" s="2173">
        <f>SUM(P76)</f>
        <v>0</v>
      </c>
      <c r="Q75" s="392">
        <f>SUM(Q76:Q82)</f>
        <v>0</v>
      </c>
      <c r="R75" s="373">
        <f>SUM(R76:R82)</f>
        <v>1327</v>
      </c>
      <c r="S75" s="374" t="e">
        <f t="shared" si="13"/>
        <v>#DIV/0!</v>
      </c>
    </row>
    <row r="76" spans="1:19" ht="15.75" x14ac:dyDescent="0.25">
      <c r="A76" s="395"/>
      <c r="B76" s="396" t="s">
        <v>361</v>
      </c>
      <c r="C76" s="2651"/>
      <c r="D76" s="379" t="s">
        <v>1699</v>
      </c>
      <c r="E76" s="375"/>
      <c r="F76" s="375"/>
      <c r="G76" s="375"/>
      <c r="H76" s="378"/>
      <c r="I76" s="1582">
        <f t="shared" si="9"/>
        <v>880000</v>
      </c>
      <c r="J76" s="378">
        <v>880000</v>
      </c>
      <c r="K76" s="1582">
        <f t="shared" si="10"/>
        <v>2162284</v>
      </c>
      <c r="L76" s="378">
        <v>3042284</v>
      </c>
      <c r="M76" s="3317">
        <f t="shared" si="12"/>
        <v>0</v>
      </c>
      <c r="N76" s="378">
        <v>3042284</v>
      </c>
      <c r="O76" s="378">
        <v>3042284</v>
      </c>
      <c r="P76" s="797"/>
      <c r="Q76" s="793">
        <v>0</v>
      </c>
      <c r="R76" s="380">
        <v>365</v>
      </c>
      <c r="S76" s="378" t="e">
        <f t="shared" si="13"/>
        <v>#DIV/0!</v>
      </c>
    </row>
    <row r="77" spans="1:19" ht="15.75" x14ac:dyDescent="0.25">
      <c r="A77" s="395"/>
      <c r="B77" s="396" t="s">
        <v>362</v>
      </c>
      <c r="C77" s="2651"/>
      <c r="D77" s="379"/>
      <c r="E77" s="375"/>
      <c r="F77" s="375"/>
      <c r="G77" s="375"/>
      <c r="H77" s="378"/>
      <c r="I77" s="1582">
        <f t="shared" si="9"/>
        <v>0</v>
      </c>
      <c r="J77" s="378"/>
      <c r="K77" s="1582">
        <f t="shared" si="10"/>
        <v>0</v>
      </c>
      <c r="L77" s="378"/>
      <c r="M77" s="3317">
        <f t="shared" si="12"/>
        <v>0</v>
      </c>
      <c r="N77" s="378"/>
      <c r="O77" s="378">
        <v>0</v>
      </c>
      <c r="P77" s="797"/>
      <c r="Q77" s="793"/>
      <c r="R77" s="380"/>
      <c r="S77" s="378"/>
    </row>
    <row r="78" spans="1:19" s="366" customFormat="1" ht="19.5" customHeight="1" x14ac:dyDescent="0.2">
      <c r="A78" s="4665" t="s">
        <v>312</v>
      </c>
      <c r="B78" s="4666"/>
      <c r="C78" s="4667"/>
      <c r="D78" s="382" t="s">
        <v>412</v>
      </c>
      <c r="E78" s="794"/>
      <c r="F78" s="794"/>
      <c r="G78" s="794"/>
      <c r="H78" s="1338">
        <f>SUM(H79)</f>
        <v>0</v>
      </c>
      <c r="I78" s="1583">
        <f t="shared" si="9"/>
        <v>0</v>
      </c>
      <c r="J78" s="1338">
        <f>SUM(J79)</f>
        <v>0</v>
      </c>
      <c r="K78" s="1583">
        <f t="shared" si="10"/>
        <v>0</v>
      </c>
      <c r="L78" s="1338">
        <f>SUM(L79)</f>
        <v>0</v>
      </c>
      <c r="M78" s="3316">
        <f t="shared" si="12"/>
        <v>0</v>
      </c>
      <c r="N78" s="1338">
        <f>SUM(N79)</f>
        <v>0</v>
      </c>
      <c r="O78" s="1338">
        <f>SUM(O79)</f>
        <v>0</v>
      </c>
      <c r="P78" s="2173">
        <f>SUM(P79)</f>
        <v>0</v>
      </c>
      <c r="Q78" s="392">
        <f>SUM(Q79:Q84)</f>
        <v>0</v>
      </c>
      <c r="R78" s="373">
        <f>SUM(R79:R84)</f>
        <v>481</v>
      </c>
      <c r="S78" s="374" t="e">
        <f>R78/Q78*100</f>
        <v>#DIV/0!</v>
      </c>
    </row>
    <row r="79" spans="1:19" ht="15.75" x14ac:dyDescent="0.25">
      <c r="A79" s="395"/>
      <c r="B79" s="396" t="s">
        <v>313</v>
      </c>
      <c r="C79" s="2651"/>
      <c r="D79" s="379"/>
      <c r="E79" s="375"/>
      <c r="F79" s="375"/>
      <c r="G79" s="375"/>
      <c r="H79" s="378"/>
      <c r="I79" s="1582">
        <f t="shared" si="9"/>
        <v>0</v>
      </c>
      <c r="J79" s="378">
        <v>0</v>
      </c>
      <c r="K79" s="1582">
        <f t="shared" si="10"/>
        <v>0</v>
      </c>
      <c r="L79" s="378">
        <v>0</v>
      </c>
      <c r="M79" s="3317">
        <f t="shared" si="12"/>
        <v>0</v>
      </c>
      <c r="N79" s="378">
        <v>0</v>
      </c>
      <c r="O79" s="378"/>
      <c r="P79" s="797"/>
      <c r="Q79" s="793">
        <v>0</v>
      </c>
      <c r="R79" s="380">
        <v>365</v>
      </c>
      <c r="S79" s="378" t="e">
        <f>R79/Q79*100</f>
        <v>#DIV/0!</v>
      </c>
    </row>
    <row r="80" spans="1:19" ht="15.75" hidden="1" customHeight="1" x14ac:dyDescent="0.25">
      <c r="A80" s="395"/>
      <c r="B80" s="396" t="s">
        <v>362</v>
      </c>
      <c r="C80" s="2651"/>
      <c r="D80" s="375" t="s">
        <v>548</v>
      </c>
      <c r="E80" s="375"/>
      <c r="F80" s="375"/>
      <c r="G80" s="375"/>
      <c r="H80" s="378"/>
      <c r="I80" s="1582">
        <f t="shared" si="9"/>
        <v>0</v>
      </c>
      <c r="J80" s="378"/>
      <c r="K80" s="1582">
        <f t="shared" si="10"/>
        <v>0</v>
      </c>
      <c r="L80" s="378"/>
      <c r="M80" s="3317">
        <f t="shared" si="12"/>
        <v>0</v>
      </c>
      <c r="N80" s="378"/>
      <c r="O80" s="378"/>
      <c r="P80" s="797"/>
      <c r="Q80" s="793">
        <v>0</v>
      </c>
      <c r="R80" s="380">
        <v>116</v>
      </c>
      <c r="S80" s="378" t="e">
        <f>R80/Q80*100</f>
        <v>#DIV/0!</v>
      </c>
    </row>
    <row r="81" spans="1:25" ht="15.75" hidden="1" customHeight="1" x14ac:dyDescent="0.25">
      <c r="A81" s="395"/>
      <c r="B81" s="396" t="s">
        <v>357</v>
      </c>
      <c r="C81" s="2651"/>
      <c r="D81" s="375"/>
      <c r="E81" s="375"/>
      <c r="F81" s="375"/>
      <c r="G81" s="375"/>
      <c r="H81" s="378"/>
      <c r="I81" s="1582">
        <f t="shared" si="9"/>
        <v>0</v>
      </c>
      <c r="J81" s="378"/>
      <c r="K81" s="1582">
        <f t="shared" si="10"/>
        <v>0</v>
      </c>
      <c r="L81" s="378"/>
      <c r="M81" s="3317">
        <f t="shared" si="12"/>
        <v>0</v>
      </c>
      <c r="N81" s="378"/>
      <c r="O81" s="378"/>
      <c r="P81" s="797"/>
      <c r="Q81" s="793">
        <v>0</v>
      </c>
      <c r="R81" s="380"/>
      <c r="S81" s="378" t="e">
        <f>R81/Q81*100</f>
        <v>#DIV/0!</v>
      </c>
      <c r="T81" s="4669"/>
      <c r="U81" s="4669"/>
      <c r="V81" s="4669"/>
      <c r="W81" s="4669"/>
      <c r="X81" s="4669"/>
      <c r="Y81" s="4669"/>
    </row>
    <row r="82" spans="1:25" ht="12.75" hidden="1" customHeight="1" x14ac:dyDescent="0.25">
      <c r="A82" s="395"/>
      <c r="B82" s="396"/>
      <c r="C82" s="2651"/>
      <c r="D82" s="381"/>
      <c r="E82" s="375"/>
      <c r="F82" s="375"/>
      <c r="G82" s="375"/>
      <c r="H82" s="378"/>
      <c r="I82" s="1582">
        <f t="shared" si="9"/>
        <v>0</v>
      </c>
      <c r="J82" s="378"/>
      <c r="K82" s="1582">
        <f t="shared" si="10"/>
        <v>0</v>
      </c>
      <c r="L82" s="378"/>
      <c r="M82" s="3317">
        <f t="shared" si="12"/>
        <v>0</v>
      </c>
      <c r="N82" s="378"/>
      <c r="O82" s="378"/>
      <c r="P82" s="797"/>
      <c r="Q82" s="793"/>
      <c r="R82" s="380"/>
      <c r="S82" s="378"/>
    </row>
    <row r="83" spans="1:25" ht="12.75" hidden="1" customHeight="1" x14ac:dyDescent="0.25">
      <c r="A83" s="395"/>
      <c r="B83" s="396"/>
      <c r="C83" s="2651"/>
      <c r="D83" s="375"/>
      <c r="E83" s="375"/>
      <c r="F83" s="375"/>
      <c r="G83" s="375"/>
      <c r="H83" s="378"/>
      <c r="I83" s="1582">
        <f t="shared" si="9"/>
        <v>0</v>
      </c>
      <c r="J83" s="378"/>
      <c r="K83" s="1582">
        <f t="shared" si="10"/>
        <v>0</v>
      </c>
      <c r="L83" s="378"/>
      <c r="M83" s="3317">
        <f t="shared" si="12"/>
        <v>0</v>
      </c>
      <c r="N83" s="378"/>
      <c r="O83" s="378"/>
      <c r="P83" s="797"/>
      <c r="Q83" s="793"/>
      <c r="R83" s="380"/>
      <c r="S83" s="378"/>
    </row>
    <row r="84" spans="1:25" ht="12.75" hidden="1" customHeight="1" x14ac:dyDescent="0.25">
      <c r="A84" s="395"/>
      <c r="B84" s="396"/>
      <c r="C84" s="2651"/>
      <c r="D84" s="375"/>
      <c r="E84" s="375"/>
      <c r="F84" s="375"/>
      <c r="G84" s="375"/>
      <c r="H84" s="378"/>
      <c r="I84" s="1582">
        <f t="shared" si="9"/>
        <v>0</v>
      </c>
      <c r="J84" s="378"/>
      <c r="K84" s="1582">
        <f t="shared" si="10"/>
        <v>0</v>
      </c>
      <c r="L84" s="378"/>
      <c r="M84" s="3317">
        <f t="shared" si="12"/>
        <v>0</v>
      </c>
      <c r="N84" s="378"/>
      <c r="O84" s="378"/>
      <c r="P84" s="797"/>
      <c r="Q84" s="793"/>
      <c r="R84" s="380"/>
      <c r="S84" s="378"/>
    </row>
    <row r="85" spans="1:25" ht="18.75" customHeight="1" x14ac:dyDescent="0.25">
      <c r="A85" s="4665" t="s">
        <v>563</v>
      </c>
      <c r="B85" s="4666"/>
      <c r="C85" s="4667"/>
      <c r="D85" s="382" t="s">
        <v>462</v>
      </c>
      <c r="E85" s="794"/>
      <c r="F85" s="794"/>
      <c r="G85" s="794"/>
      <c r="H85" s="1338"/>
      <c r="I85" s="1583">
        <f t="shared" si="9"/>
        <v>0</v>
      </c>
      <c r="J85" s="1338">
        <f>SUM(J86:J86)</f>
        <v>0</v>
      </c>
      <c r="K85" s="1583">
        <f t="shared" si="10"/>
        <v>0</v>
      </c>
      <c r="L85" s="1338">
        <f>SUM(L86:L86)</f>
        <v>0</v>
      </c>
      <c r="M85" s="3316">
        <f t="shared" si="12"/>
        <v>0</v>
      </c>
      <c r="N85" s="1338">
        <f>SUM(N86:N86)</f>
        <v>0</v>
      </c>
      <c r="O85" s="1338">
        <f>SUM(O86:O86)</f>
        <v>0</v>
      </c>
      <c r="P85" s="2173"/>
      <c r="Q85" s="793"/>
      <c r="R85" s="380"/>
      <c r="S85" s="378"/>
    </row>
    <row r="86" spans="1:25" ht="18" customHeight="1" x14ac:dyDescent="0.25">
      <c r="A86" s="395"/>
      <c r="B86" s="396"/>
      <c r="C86" s="2651"/>
      <c r="D86" s="375" t="s">
        <v>941</v>
      </c>
      <c r="E86" s="375"/>
      <c r="F86" s="375"/>
      <c r="G86" s="375"/>
      <c r="H86" s="378"/>
      <c r="I86" s="1582">
        <f t="shared" si="9"/>
        <v>0</v>
      </c>
      <c r="J86" s="378"/>
      <c r="K86" s="1582">
        <f t="shared" si="10"/>
        <v>0</v>
      </c>
      <c r="L86" s="378"/>
      <c r="M86" s="3317">
        <f t="shared" si="12"/>
        <v>0</v>
      </c>
      <c r="N86" s="378"/>
      <c r="O86" s="378"/>
      <c r="P86" s="797"/>
      <c r="Q86" s="793"/>
      <c r="R86" s="380"/>
      <c r="S86" s="378"/>
    </row>
    <row r="87" spans="1:25" ht="18" customHeight="1" x14ac:dyDescent="0.25">
      <c r="A87" s="4665" t="s">
        <v>564</v>
      </c>
      <c r="B87" s="4666"/>
      <c r="C87" s="4667"/>
      <c r="D87" s="382" t="s">
        <v>1001</v>
      </c>
      <c r="E87" s="794"/>
      <c r="F87" s="794"/>
      <c r="G87" s="794"/>
      <c r="H87" s="1338"/>
      <c r="I87" s="1583">
        <f t="shared" si="9"/>
        <v>0</v>
      </c>
      <c r="J87" s="1338">
        <f>SUM(J88)</f>
        <v>0</v>
      </c>
      <c r="K87" s="1583">
        <f t="shared" si="10"/>
        <v>0</v>
      </c>
      <c r="L87" s="1338">
        <f>SUM(L88)</f>
        <v>0</v>
      </c>
      <c r="M87" s="3316">
        <f t="shared" si="12"/>
        <v>0</v>
      </c>
      <c r="N87" s="1338">
        <f>SUM(N88)</f>
        <v>0</v>
      </c>
      <c r="O87" s="1338">
        <f>SUM(O88)</f>
        <v>0</v>
      </c>
      <c r="P87" s="2173"/>
      <c r="Q87" s="793"/>
      <c r="R87" s="380"/>
      <c r="S87" s="378"/>
    </row>
    <row r="88" spans="1:25" ht="18" customHeight="1" x14ac:dyDescent="0.25">
      <c r="A88" s="395"/>
      <c r="B88" s="396"/>
      <c r="C88" s="2651"/>
      <c r="D88" s="1192" t="s">
        <v>941</v>
      </c>
      <c r="E88" s="1192"/>
      <c r="F88" s="1192"/>
      <c r="G88" s="1192"/>
      <c r="H88" s="1229"/>
      <c r="I88" s="1582">
        <f t="shared" si="9"/>
        <v>0</v>
      </c>
      <c r="J88" s="1229"/>
      <c r="K88" s="1582">
        <f t="shared" si="10"/>
        <v>0</v>
      </c>
      <c r="L88" s="1229"/>
      <c r="M88" s="3317">
        <f t="shared" si="12"/>
        <v>0</v>
      </c>
      <c r="N88" s="1229"/>
      <c r="O88" s="1229">
        <v>0</v>
      </c>
      <c r="P88" s="1230"/>
      <c r="Q88" s="793"/>
      <c r="R88" s="380"/>
      <c r="S88" s="378"/>
    </row>
    <row r="89" spans="1:25" s="383" customFormat="1" ht="18" customHeight="1" thickBot="1" x14ac:dyDescent="0.25">
      <c r="A89" s="2643"/>
      <c r="B89" s="2644"/>
      <c r="C89" s="2645"/>
      <c r="D89" s="798" t="s">
        <v>549</v>
      </c>
      <c r="E89" s="799">
        <f>SUM(E5:E84)</f>
        <v>0</v>
      </c>
      <c r="F89" s="798"/>
      <c r="G89" s="798">
        <f>SUM(G5:G84)</f>
        <v>0</v>
      </c>
      <c r="H89" s="800">
        <f>SUM(H5:H84)</f>
        <v>29310000</v>
      </c>
      <c r="I89" s="1584">
        <f t="shared" si="9"/>
        <v>194727217</v>
      </c>
      <c r="J89" s="800">
        <f>J4+J71</f>
        <v>224037217</v>
      </c>
      <c r="K89" s="1584">
        <f t="shared" si="10"/>
        <v>164346230</v>
      </c>
      <c r="L89" s="800">
        <f>L4+L71</f>
        <v>388383447</v>
      </c>
      <c r="M89" s="3318">
        <f t="shared" si="12"/>
        <v>0</v>
      </c>
      <c r="N89" s="800">
        <f>N4+N71</f>
        <v>388383447</v>
      </c>
      <c r="O89" s="800">
        <f>O4+O71</f>
        <v>292212821</v>
      </c>
      <c r="P89" s="801">
        <f>SUM(P5:P84)</f>
        <v>0</v>
      </c>
      <c r="Q89" s="392" t="e">
        <f>SUM(Q4+Q71)</f>
        <v>#REF!</v>
      </c>
      <c r="R89" s="373" t="e">
        <f>SUM(R4+R71)</f>
        <v>#REF!</v>
      </c>
      <c r="S89" s="374" t="e">
        <f>R89/Q89*100</f>
        <v>#REF!</v>
      </c>
    </row>
    <row r="91" spans="1:25" ht="18.75" x14ac:dyDescent="0.2">
      <c r="F91" s="384"/>
      <c r="G91" s="384"/>
      <c r="H91" s="384"/>
      <c r="I91" s="1585"/>
      <c r="J91" s="384"/>
      <c r="K91" s="1585"/>
      <c r="L91" s="384"/>
      <c r="M91" s="1585"/>
      <c r="N91" s="384"/>
      <c r="O91" s="384"/>
    </row>
    <row r="92" spans="1:25" s="385" customFormat="1" ht="18.75" x14ac:dyDescent="0.2">
      <c r="D92" s="384" t="s">
        <v>879</v>
      </c>
      <c r="F92" s="519"/>
      <c r="G92" s="519"/>
      <c r="H92" s="519">
        <f>SUM('2. sz. mell'!F69)</f>
        <v>29310000</v>
      </c>
      <c r="I92" s="1586"/>
      <c r="J92" s="519">
        <f>SUM('2. sz. mell'!H69)</f>
        <v>224037217</v>
      </c>
      <c r="K92" s="1586"/>
      <c r="L92" s="519">
        <f>SUM('2. sz. mell'!J69)</f>
        <v>388383447</v>
      </c>
      <c r="M92" s="519">
        <f>SUM('2. sz. mell'!K69)</f>
        <v>0</v>
      </c>
      <c r="N92" s="519">
        <f>SUM('2. sz. mell'!L69)</f>
        <v>388383447</v>
      </c>
      <c r="O92" s="519">
        <f>SUM('2. sz. mell'!M69)</f>
        <v>292212821</v>
      </c>
      <c r="P92" s="519"/>
    </row>
    <row r="93" spans="1:25" s="385" customFormat="1" ht="20.25" x14ac:dyDescent="0.2">
      <c r="D93" s="633" t="s">
        <v>880</v>
      </c>
      <c r="F93" s="519"/>
      <c r="G93" s="519"/>
      <c r="H93" s="519">
        <f>SUM(H92-H89)</f>
        <v>0</v>
      </c>
      <c r="I93" s="1586"/>
      <c r="J93" s="519">
        <f>SUM(J92-J89)</f>
        <v>0</v>
      </c>
      <c r="K93" s="1586"/>
      <c r="L93" s="519">
        <f>SUM(L92-L89)</f>
        <v>0</v>
      </c>
      <c r="M93" s="519">
        <f>SUM(M92-M89)</f>
        <v>0</v>
      </c>
      <c r="N93" s="519">
        <f>SUM(N92-N89)</f>
        <v>0</v>
      </c>
      <c r="O93" s="519">
        <f>SUM(O92-O89)</f>
        <v>0</v>
      </c>
      <c r="P93" s="519"/>
    </row>
    <row r="94" spans="1:25" s="385" customFormat="1" ht="20.25" x14ac:dyDescent="0.2">
      <c r="D94" s="633"/>
      <c r="F94" s="519"/>
      <c r="G94" s="519"/>
      <c r="H94" s="519"/>
      <c r="I94" s="1586"/>
      <c r="J94" s="519"/>
      <c r="K94" s="1586"/>
      <c r="L94" s="519"/>
      <c r="M94" s="519"/>
      <c r="N94" s="519"/>
      <c r="O94" s="519"/>
      <c r="P94" s="519"/>
    </row>
    <row r="95" spans="1:25" s="385" customFormat="1" ht="18.75" x14ac:dyDescent="0.2">
      <c r="D95" s="384"/>
      <c r="F95" s="519"/>
      <c r="G95" s="519"/>
      <c r="H95" s="519" t="s">
        <v>867</v>
      </c>
      <c r="I95" s="1586" t="s">
        <v>1577</v>
      </c>
      <c r="J95" s="385" t="s">
        <v>1962</v>
      </c>
      <c r="K95" s="1367"/>
      <c r="M95" s="1367"/>
      <c r="N95" s="385" t="s">
        <v>828</v>
      </c>
      <c r="O95" s="385" t="s">
        <v>289</v>
      </c>
      <c r="P95" s="386"/>
    </row>
    <row r="96" spans="1:25" s="366" customFormat="1" ht="19.5" customHeight="1" x14ac:dyDescent="0.2">
      <c r="A96" s="2653" t="s">
        <v>3</v>
      </c>
      <c r="B96" s="2654"/>
      <c r="C96" s="2655"/>
      <c r="D96" s="382" t="s">
        <v>545</v>
      </c>
      <c r="E96" s="794"/>
      <c r="F96" s="794"/>
      <c r="G96" s="794"/>
      <c r="H96" s="795">
        <f>SUM(H97:H98)</f>
        <v>29310000</v>
      </c>
      <c r="I96" s="795">
        <f>J96-H96</f>
        <v>183049717</v>
      </c>
      <c r="J96" s="795">
        <f t="shared" ref="J96:O96" si="14">SUM(J97:J98)</f>
        <v>212359717</v>
      </c>
      <c r="K96" s="795">
        <f t="shared" si="14"/>
        <v>166872746</v>
      </c>
      <c r="L96" s="795">
        <f t="shared" si="14"/>
        <v>379232463</v>
      </c>
      <c r="M96" s="795">
        <f t="shared" si="14"/>
        <v>0</v>
      </c>
      <c r="N96" s="795">
        <f t="shared" si="14"/>
        <v>379232463</v>
      </c>
      <c r="O96" s="795">
        <f t="shared" si="14"/>
        <v>283061837</v>
      </c>
      <c r="P96" s="795">
        <f>SUM(P97:P140)</f>
        <v>204.9771693387504</v>
      </c>
      <c r="Q96" s="392" t="e">
        <f>SUM(#REF!)</f>
        <v>#REF!</v>
      </c>
      <c r="R96" s="373" t="e">
        <f>SUM(#REF!)</f>
        <v>#REF!</v>
      </c>
      <c r="S96" s="374" t="e">
        <f>R96/Q96*100</f>
        <v>#REF!</v>
      </c>
    </row>
    <row r="97" spans="1:19" s="366" customFormat="1" ht="19.5" customHeight="1" x14ac:dyDescent="0.2">
      <c r="A97" s="2653"/>
      <c r="B97" s="2654"/>
      <c r="C97" s="2655"/>
      <c r="D97" s="382" t="s">
        <v>1572</v>
      </c>
      <c r="E97" s="794"/>
      <c r="F97" s="794"/>
      <c r="G97" s="794"/>
      <c r="H97" s="795">
        <f>H5</f>
        <v>25000000</v>
      </c>
      <c r="I97" s="795">
        <f>J97-H97</f>
        <v>5216575</v>
      </c>
      <c r="J97" s="795">
        <f>J5+J11</f>
        <v>30216575</v>
      </c>
      <c r="K97" s="795">
        <f>L97-J97</f>
        <v>26329258</v>
      </c>
      <c r="L97" s="795">
        <f>L5+L11+L49+L50+L51</f>
        <v>56545833</v>
      </c>
      <c r="M97" s="795">
        <f>M5+M11</f>
        <v>0</v>
      </c>
      <c r="N97" s="795">
        <f>N5+N11+N49+N50+N51</f>
        <v>56545833</v>
      </c>
      <c r="O97" s="795">
        <f>O5+O11+O49+O50+O51</f>
        <v>54138021</v>
      </c>
      <c r="P97" s="795"/>
      <c r="Q97" s="392"/>
      <c r="R97" s="373"/>
      <c r="S97" s="374"/>
    </row>
    <row r="98" spans="1:19" s="366" customFormat="1" ht="19.5" customHeight="1" x14ac:dyDescent="0.2">
      <c r="A98" s="2653"/>
      <c r="B98" s="2654"/>
      <c r="C98" s="2655"/>
      <c r="D98" s="382" t="s">
        <v>1571</v>
      </c>
      <c r="E98" s="794"/>
      <c r="F98" s="794"/>
      <c r="G98" s="794"/>
      <c r="H98" s="795">
        <f>H7+H8</f>
        <v>4310000</v>
      </c>
      <c r="I98" s="795">
        <f>J98-H98</f>
        <v>177833142</v>
      </c>
      <c r="J98" s="795">
        <f>SUM(J5:J48)-J5-J11</f>
        <v>182143142</v>
      </c>
      <c r="K98" s="795">
        <f>L98-J98</f>
        <v>140543488</v>
      </c>
      <c r="L98" s="795">
        <f>SUM(L5:L48)+SUM(L52:L70)-L5-L11</f>
        <v>322686630</v>
      </c>
      <c r="M98" s="795">
        <f>SUM(M5:M48)-M5-M11</f>
        <v>0</v>
      </c>
      <c r="N98" s="795">
        <f>SUM(N5:N48)+SUM(N52:N70)-N5-N11</f>
        <v>322686630</v>
      </c>
      <c r="O98" s="795">
        <f>SUM(O5:O48)+SUM(O52:O70)-O5-O11</f>
        <v>228923816</v>
      </c>
      <c r="P98" s="795"/>
      <c r="Q98" s="392"/>
      <c r="R98" s="373"/>
      <c r="S98" s="374"/>
    </row>
    <row r="100" spans="1:19" x14ac:dyDescent="0.2">
      <c r="D100" s="4668" t="s">
        <v>279</v>
      </c>
      <c r="E100" s="4668"/>
      <c r="F100" s="4668"/>
      <c r="G100" s="4668"/>
      <c r="H100" s="92">
        <f t="shared" ref="H100:O100" si="15">H96-H4</f>
        <v>0</v>
      </c>
      <c r="I100" s="92">
        <f t="shared" si="15"/>
        <v>0</v>
      </c>
      <c r="J100" s="92">
        <f t="shared" si="15"/>
        <v>0</v>
      </c>
      <c r="K100" s="92">
        <f t="shared" si="15"/>
        <v>0</v>
      </c>
      <c r="L100" s="92">
        <f t="shared" si="15"/>
        <v>0</v>
      </c>
      <c r="M100" s="92">
        <f t="shared" si="15"/>
        <v>0</v>
      </c>
      <c r="N100" s="92">
        <f t="shared" si="15"/>
        <v>0</v>
      </c>
      <c r="O100" s="92">
        <f t="shared" si="15"/>
        <v>0</v>
      </c>
    </row>
    <row r="101" spans="1:19" x14ac:dyDescent="0.2">
      <c r="I101" s="38"/>
      <c r="K101" s="38"/>
      <c r="M101" s="38">
        <f>M96-M100</f>
        <v>0</v>
      </c>
      <c r="N101" s="38">
        <f>N96-N100</f>
        <v>379232463</v>
      </c>
    </row>
    <row r="105" spans="1:19" ht="18.75" x14ac:dyDescent="0.2">
      <c r="D105" s="3872" t="s">
        <v>2365</v>
      </c>
      <c r="E105" s="3873"/>
      <c r="F105" s="3873"/>
      <c r="G105" s="3873"/>
      <c r="H105" s="3874">
        <f>SUM(H89+'6.2.sz.mell.'!H196)</f>
        <v>1208794400</v>
      </c>
      <c r="I105" s="3874">
        <f>SUM(I89+'6.2.sz.mell.'!I196)</f>
        <v>531230187</v>
      </c>
      <c r="J105" s="3874">
        <f>SUM(J89+'6.2.sz.mell.'!J196)</f>
        <v>1740024587</v>
      </c>
      <c r="K105" s="3874">
        <f>SUM(K89+'6.2.sz.mell.'!K196)</f>
        <v>446466865</v>
      </c>
      <c r="L105" s="3874">
        <f>SUM(L89+'6.2.sz.mell.'!L196)</f>
        <v>2188078535</v>
      </c>
      <c r="M105" s="3874">
        <f>SUM(M89+'6.2.sz.mell.'!M196)</f>
        <v>0</v>
      </c>
      <c r="N105" s="3874">
        <f>SUM(N89+'6.2.sz.mell.'!N196)</f>
        <v>2188078535</v>
      </c>
      <c r="O105" s="3874">
        <f>SUM(O89+'6.2.sz.mell.'!O196)</f>
        <v>1262369790</v>
      </c>
      <c r="P105" s="3874">
        <f>SUM(P89+'6.2.sz.mell.'!P196)</f>
        <v>0</v>
      </c>
      <c r="Q105" s="519" t="e">
        <f>SUM(Q89+'6.2.sz.mell.'!Q196)</f>
        <v>#REF!</v>
      </c>
      <c r="R105" s="519" t="e">
        <f>SUM(R89+'6.2.sz.mell.'!R196)</f>
        <v>#REF!</v>
      </c>
      <c r="S105" s="519" t="e">
        <f>SUM(S89+'6.2.sz.mell.'!S196)</f>
        <v>#REF!</v>
      </c>
    </row>
    <row r="106" spans="1:19" ht="16.5" x14ac:dyDescent="0.2">
      <c r="D106" s="3872"/>
      <c r="E106" s="3873"/>
      <c r="F106" s="3873"/>
      <c r="G106" s="3873"/>
      <c r="H106" s="3873"/>
      <c r="I106" s="3875"/>
      <c r="J106" s="3873"/>
      <c r="K106" s="3875"/>
      <c r="L106" s="3873"/>
      <c r="M106" s="3875"/>
      <c r="N106" s="3873"/>
      <c r="O106" s="3873"/>
      <c r="P106" s="3876"/>
    </row>
    <row r="107" spans="1:19" ht="16.5" x14ac:dyDescent="0.2">
      <c r="D107" s="3872"/>
      <c r="E107" s="3873"/>
      <c r="F107" s="3873"/>
      <c r="G107" s="3873"/>
      <c r="H107" s="3873"/>
      <c r="I107" s="3875"/>
      <c r="J107" s="3873"/>
      <c r="K107" s="3875"/>
      <c r="L107" s="3873"/>
      <c r="M107" s="3875"/>
      <c r="N107" s="3873"/>
      <c r="O107" s="3873"/>
      <c r="P107" s="3876"/>
    </row>
    <row r="108" spans="1:19" ht="16.5" x14ac:dyDescent="0.2">
      <c r="D108" s="3872" t="s">
        <v>2366</v>
      </c>
      <c r="E108" s="3873"/>
      <c r="F108" s="3873"/>
      <c r="G108" s="3873"/>
      <c r="H108" s="3874">
        <f>SUM(H4+'6.2.sz.mell.'!H3)</f>
        <v>1189150300</v>
      </c>
      <c r="I108" s="3874">
        <f>SUM(I4+'6.2.sz.mell.'!I3)</f>
        <v>492296351</v>
      </c>
      <c r="J108" s="3874">
        <f>SUM(J4+'6.2.sz.mell.'!J3)</f>
        <v>1681446651</v>
      </c>
      <c r="K108" s="3874">
        <f>SUM(K4+'6.2.sz.mell.'!K3)</f>
        <v>420318918</v>
      </c>
      <c r="L108" s="3874">
        <f>SUM(L4+'6.2.sz.mell.'!L3)</f>
        <v>2101765569</v>
      </c>
      <c r="M108" s="3874">
        <f>SUM(M4+'6.2.sz.mell.'!M3)</f>
        <v>0</v>
      </c>
      <c r="N108" s="3874">
        <f>SUM(N4+'6.2.sz.mell.'!N3)</f>
        <v>2101765569</v>
      </c>
      <c r="O108" s="3874">
        <f>SUM(O4+'6.2.sz.mell.'!O3)</f>
        <v>1211075256</v>
      </c>
      <c r="P108" s="3874">
        <f>SUM(O108/N108)*100</f>
        <v>57.621804917863315</v>
      </c>
    </row>
    <row r="109" spans="1:19" ht="16.5" x14ac:dyDescent="0.2">
      <c r="D109" s="3872"/>
      <c r="E109" s="3873"/>
      <c r="F109" s="3873"/>
      <c r="G109" s="3873"/>
      <c r="H109" s="3874"/>
      <c r="I109" s="3874"/>
      <c r="J109" s="3874"/>
      <c r="K109" s="3874"/>
      <c r="L109" s="3874"/>
      <c r="M109" s="3874"/>
      <c r="N109" s="3874"/>
      <c r="O109" s="3874"/>
      <c r="P109" s="3874"/>
    </row>
    <row r="110" spans="1:19" ht="16.5" x14ac:dyDescent="0.2">
      <c r="D110" s="3872" t="s">
        <v>2367</v>
      </c>
      <c r="E110" s="3873"/>
      <c r="F110" s="3873"/>
      <c r="G110" s="3873"/>
      <c r="H110" s="3874">
        <f>SUM(H78+'6.2.sz.mell.'!H122)</f>
        <v>6985000</v>
      </c>
      <c r="I110" s="3874">
        <f>SUM(I78+'6.2.sz.mell.'!I122)</f>
        <v>7891380</v>
      </c>
      <c r="J110" s="3874">
        <f>SUM(J78+'6.2.sz.mell.'!J122)</f>
        <v>14876380</v>
      </c>
      <c r="K110" s="3874">
        <f>SUM(K78+'6.2.sz.mell.'!K122)</f>
        <v>-3349124</v>
      </c>
      <c r="L110" s="3874">
        <f>SUM(L78+'6.2.sz.mell.'!L122)</f>
        <v>13114339</v>
      </c>
      <c r="M110" s="3874">
        <f>SUM(M78+'6.2.sz.mell.'!M122)</f>
        <v>0</v>
      </c>
      <c r="N110" s="3874">
        <f>SUM(N78+'6.2.sz.mell.'!N122)</f>
        <v>13114339</v>
      </c>
      <c r="O110" s="3874">
        <f>SUM(O78+'6.2.sz.mell.'!O122)</f>
        <v>12346760</v>
      </c>
      <c r="P110" s="3874">
        <f t="shared" ref="P110:P112" si="16">SUM(O110/N110)*100</f>
        <v>94.147024871020946</v>
      </c>
    </row>
    <row r="111" spans="1:19" ht="16.5" x14ac:dyDescent="0.2">
      <c r="D111" s="3872"/>
      <c r="E111" s="3873"/>
      <c r="F111" s="3873"/>
      <c r="G111" s="3873"/>
      <c r="H111" s="3874"/>
      <c r="I111" s="3875"/>
      <c r="J111" s="3873"/>
      <c r="K111" s="3875"/>
      <c r="L111" s="3873"/>
      <c r="M111" s="3875"/>
      <c r="N111" s="3873"/>
      <c r="O111" s="3873"/>
      <c r="P111" s="3874"/>
    </row>
    <row r="112" spans="1:19" ht="16.5" x14ac:dyDescent="0.2">
      <c r="D112" s="3872" t="s">
        <v>2368</v>
      </c>
      <c r="E112" s="3873"/>
      <c r="F112" s="3873"/>
      <c r="G112" s="3873"/>
      <c r="H112" s="3874">
        <f>SUM(H71-H78+'6.2.sz.mell.'!H196-'6.2.sz.mell.'!H122-'6.2.sz.mell.'!H3)</f>
        <v>12659100</v>
      </c>
      <c r="I112" s="3874">
        <f>SUM(I71-I78+'6.2.sz.mell.'!I196-'6.2.sz.mell.'!I122-'6.2.sz.mell.'!I3)</f>
        <v>31042456</v>
      </c>
      <c r="J112" s="3874">
        <f>SUM(J71-J78+'6.2.sz.mell.'!J196-'6.2.sz.mell.'!J122-'6.2.sz.mell.'!J3)</f>
        <v>43701556</v>
      </c>
      <c r="K112" s="3874">
        <f>SUM(K71-K78+'6.2.sz.mell.'!K196-'6.2.sz.mell.'!K122-'6.2.sz.mell.'!K3)</f>
        <v>29497071</v>
      </c>
      <c r="L112" s="3874">
        <f>SUM(L71-L78+'6.2.sz.mell.'!L196-'6.2.sz.mell.'!L122-'6.2.sz.mell.'!L3)</f>
        <v>73198627</v>
      </c>
      <c r="M112" s="3874">
        <f>SUM(M71-M78+'6.2.sz.mell.'!M196-'6.2.sz.mell.'!M122-'6.2.sz.mell.'!M3)</f>
        <v>0</v>
      </c>
      <c r="N112" s="3874">
        <f>SUM(N71-N78+'6.2.sz.mell.'!N196-'6.2.sz.mell.'!N122-'6.2.sz.mell.'!N3)</f>
        <v>73198627</v>
      </c>
      <c r="O112" s="3874">
        <f>SUM(O71-O78+'6.2.sz.mell.'!O196-'6.2.sz.mell.'!O122-'6.2.sz.mell.'!O3)</f>
        <v>38947774</v>
      </c>
      <c r="P112" s="3874">
        <f t="shared" si="16"/>
        <v>53.208339549866146</v>
      </c>
    </row>
    <row r="113" spans="4:16" ht="16.5" x14ac:dyDescent="0.2">
      <c r="D113" s="3872"/>
      <c r="E113" s="3873"/>
      <c r="F113" s="3873"/>
      <c r="G113" s="3873"/>
      <c r="H113" s="3874"/>
      <c r="I113" s="3875"/>
      <c r="J113" s="3873"/>
      <c r="K113" s="3875"/>
      <c r="L113" s="3873"/>
      <c r="M113" s="3875"/>
      <c r="N113" s="3873"/>
      <c r="O113" s="3873"/>
      <c r="P113" s="3876"/>
    </row>
    <row r="114" spans="4:16" ht="16.5" x14ac:dyDescent="0.2">
      <c r="D114" s="3872"/>
      <c r="E114" s="3873"/>
      <c r="F114" s="3873"/>
      <c r="G114" s="3873"/>
      <c r="H114" s="3877">
        <f>SUM(H108:H112)</f>
        <v>1208794400</v>
      </c>
      <c r="I114" s="3877">
        <f t="shared" ref="I114:O114" si="17">SUM(I108:I112)</f>
        <v>531230187</v>
      </c>
      <c r="J114" s="3877">
        <f t="shared" si="17"/>
        <v>1740024587</v>
      </c>
      <c r="K114" s="3877">
        <f t="shared" si="17"/>
        <v>446466865</v>
      </c>
      <c r="L114" s="3877">
        <f t="shared" si="17"/>
        <v>2188078535</v>
      </c>
      <c r="M114" s="3877">
        <f t="shared" si="17"/>
        <v>0</v>
      </c>
      <c r="N114" s="3877">
        <f t="shared" si="17"/>
        <v>2188078535</v>
      </c>
      <c r="O114" s="3877">
        <f t="shared" si="17"/>
        <v>1262369790</v>
      </c>
      <c r="P114" s="3874"/>
    </row>
    <row r="115" spans="4:16" ht="18.75" x14ac:dyDescent="0.2">
      <c r="D115" s="3871"/>
      <c r="H115" s="519"/>
      <c r="I115" s="519"/>
      <c r="J115" s="519"/>
      <c r="K115" s="519"/>
      <c r="L115" s="519"/>
      <c r="M115" s="519"/>
      <c r="N115" s="519"/>
      <c r="O115" s="519"/>
      <c r="P115" s="519"/>
    </row>
    <row r="116" spans="4:16" ht="20.25" x14ac:dyDescent="0.2">
      <c r="D116" s="633" t="s">
        <v>880</v>
      </c>
      <c r="H116" s="519">
        <f>SUM(H105-H114)</f>
        <v>0</v>
      </c>
      <c r="I116" s="519">
        <f t="shared" ref="I116:O116" si="18">SUM(I105-I114)</f>
        <v>0</v>
      </c>
      <c r="J116" s="519">
        <f t="shared" si="18"/>
        <v>0</v>
      </c>
      <c r="K116" s="519">
        <f t="shared" si="18"/>
        <v>0</v>
      </c>
      <c r="L116" s="519">
        <f t="shared" si="18"/>
        <v>0</v>
      </c>
      <c r="M116" s="519">
        <f t="shared" si="18"/>
        <v>0</v>
      </c>
      <c r="N116" s="519">
        <f t="shared" si="18"/>
        <v>0</v>
      </c>
      <c r="O116" s="519">
        <f t="shared" si="18"/>
        <v>0</v>
      </c>
      <c r="P116" s="519"/>
    </row>
    <row r="117" spans="4:16" ht="18.75" x14ac:dyDescent="0.2">
      <c r="H117" s="519"/>
      <c r="I117" s="519"/>
      <c r="J117" s="519"/>
      <c r="K117" s="519"/>
      <c r="L117" s="519"/>
      <c r="M117" s="519"/>
      <c r="N117" s="519"/>
      <c r="O117" s="519"/>
      <c r="P117" s="519"/>
    </row>
  </sheetData>
  <mergeCells count="8">
    <mergeCell ref="T81:Y81"/>
    <mergeCell ref="A78:C78"/>
    <mergeCell ref="A2:C2"/>
    <mergeCell ref="A72:C72"/>
    <mergeCell ref="A75:C75"/>
    <mergeCell ref="D100:G100"/>
    <mergeCell ref="A87:C87"/>
    <mergeCell ref="A85:C85"/>
  </mergeCells>
  <printOptions horizontalCentered="1"/>
  <pageMargins left="0.15748031496062992" right="0.19685039370078741" top="0.62992125984251968" bottom="0.55118110236220474" header="0.27559055118110237" footer="0.35433070866141736"/>
  <pageSetup paperSize="9" scale="55" firstPageNumber="102" orientation="landscape" useFirstPageNumber="1" r:id="rId1"/>
  <headerFooter>
    <oddHeader>&amp;C&amp;"Times New Roman CE,Félkövér"&amp;14Vecsés Város felújítási kiadásainak előirányzata felújításonként&amp;R&amp;"Arial,Normál"&amp;12 6.1. sz. melléklet
Forint</oddHeader>
    <oddFooter>&amp;C- &amp;P -</oddFooter>
  </headerFooter>
  <rowBreaks count="1" manualBreakCount="1">
    <brk id="35" max="15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222"/>
  <sheetViews>
    <sheetView view="pageBreakPreview" topLeftCell="A170" zoomScaleNormal="100" zoomScaleSheetLayoutView="100" zoomScalePageLayoutView="60" workbookViewId="0">
      <selection activeCell="L216" sqref="L216:L220"/>
    </sheetView>
  </sheetViews>
  <sheetFormatPr defaultColWidth="9.33203125" defaultRowHeight="12.75" x14ac:dyDescent="0.2"/>
  <cols>
    <col min="1" max="1" width="3.6640625" style="38" customWidth="1"/>
    <col min="2" max="2" width="4.83203125" style="38" customWidth="1"/>
    <col min="3" max="3" width="3.1640625" style="38" customWidth="1"/>
    <col min="4" max="4" width="60.83203125" style="39" customWidth="1"/>
    <col min="5" max="5" width="13.33203125" style="38" hidden="1" customWidth="1"/>
    <col min="6" max="6" width="13.6640625" style="38" bestFit="1" customWidth="1"/>
    <col min="7" max="7" width="13.1640625" style="38" hidden="1" customWidth="1"/>
    <col min="8" max="8" width="18.83203125" style="38" customWidth="1"/>
    <col min="9" max="9" width="19.33203125" style="1370" hidden="1" customWidth="1"/>
    <col min="10" max="10" width="20" style="38" hidden="1" customWidth="1"/>
    <col min="11" max="11" width="14.1640625" style="1370" hidden="1" customWidth="1"/>
    <col min="12" max="12" width="18" style="38" customWidth="1"/>
    <col min="13" max="13" width="14.33203125" style="1370" customWidth="1"/>
    <col min="14" max="14" width="18.5" style="38" customWidth="1"/>
    <col min="15" max="15" width="17.1640625" style="38" customWidth="1"/>
    <col min="16" max="16" width="10.5" style="38" customWidth="1"/>
    <col min="17" max="17" width="3.83203125" style="38" bestFit="1" customWidth="1"/>
    <col min="18" max="18" width="12.83203125" style="38" customWidth="1"/>
    <col min="19" max="19" width="16.5" style="38" customWidth="1"/>
    <col min="20" max="20" width="14.83203125" style="38" customWidth="1"/>
    <col min="21" max="21" width="14.33203125" style="38" customWidth="1"/>
    <col min="22" max="16384" width="9.33203125" style="38"/>
  </cols>
  <sheetData>
    <row r="1" spans="1:22" s="44" customFormat="1" ht="84" customHeight="1" x14ac:dyDescent="0.2">
      <c r="A1" s="4671" t="s">
        <v>540</v>
      </c>
      <c r="B1" s="4671"/>
      <c r="C1" s="4671"/>
      <c r="D1" s="369" t="s">
        <v>550</v>
      </c>
      <c r="E1" s="369" t="s">
        <v>542</v>
      </c>
      <c r="F1" s="369" t="s">
        <v>543</v>
      </c>
      <c r="G1" s="369" t="s">
        <v>1163</v>
      </c>
      <c r="H1" s="786" t="s">
        <v>1083</v>
      </c>
      <c r="I1" s="1344" t="s">
        <v>1068</v>
      </c>
      <c r="J1" s="786" t="s">
        <v>1028</v>
      </c>
      <c r="K1" s="1344" t="s">
        <v>1034</v>
      </c>
      <c r="L1" s="786" t="s">
        <v>1028</v>
      </c>
      <c r="M1" s="2212" t="s">
        <v>2624</v>
      </c>
      <c r="N1" s="2211" t="s">
        <v>234</v>
      </c>
      <c r="O1" s="2179" t="s">
        <v>289</v>
      </c>
      <c r="P1" s="370" t="s">
        <v>1152</v>
      </c>
      <c r="Q1" s="387" t="s">
        <v>290</v>
      </c>
    </row>
    <row r="2" spans="1:22" s="366" customFormat="1" ht="14.25" x14ac:dyDescent="0.2">
      <c r="A2" s="388"/>
      <c r="B2" s="389"/>
      <c r="C2" s="389"/>
      <c r="D2" s="390">
        <v>1</v>
      </c>
      <c r="E2" s="390">
        <v>2</v>
      </c>
      <c r="F2" s="390">
        <v>3</v>
      </c>
      <c r="G2" s="390">
        <v>4</v>
      </c>
      <c r="H2" s="340"/>
      <c r="I2" s="1361"/>
      <c r="J2" s="788"/>
      <c r="K2" s="1363"/>
      <c r="L2" s="788"/>
      <c r="M2" s="1363"/>
      <c r="N2" s="788"/>
      <c r="O2" s="788"/>
      <c r="P2" s="2180" t="s">
        <v>935</v>
      </c>
      <c r="Q2" s="2174">
        <v>9</v>
      </c>
    </row>
    <row r="3" spans="1:22" s="366" customFormat="1" ht="20.25" x14ac:dyDescent="0.25">
      <c r="A3" s="4663" t="s">
        <v>551</v>
      </c>
      <c r="B3" s="4663"/>
      <c r="C3" s="4663"/>
      <c r="D3" s="4663"/>
      <c r="E3" s="391"/>
      <c r="F3" s="449"/>
      <c r="G3" s="391"/>
      <c r="H3" s="391">
        <f>SUM(H4+H56+H80+H97)</f>
        <v>1159840300</v>
      </c>
      <c r="I3" s="3006">
        <f t="shared" ref="I3:I11" si="0">SUM(J3-H3)</f>
        <v>309246634</v>
      </c>
      <c r="J3" s="391">
        <f t="shared" ref="J3:O3" si="1">SUM(J4+J56+J80+J97)</f>
        <v>1469086934</v>
      </c>
      <c r="K3" s="3160">
        <f t="shared" si="1"/>
        <v>253446172</v>
      </c>
      <c r="L3" s="391">
        <f t="shared" ref="L3" si="2">SUM(L4+L56+L80+L97)</f>
        <v>1722533106</v>
      </c>
      <c r="M3" s="3006">
        <f>SUM(N3-L3)</f>
        <v>0</v>
      </c>
      <c r="N3" s="391">
        <f t="shared" si="1"/>
        <v>1722533106</v>
      </c>
      <c r="O3" s="391">
        <f t="shared" si="1"/>
        <v>928013419</v>
      </c>
      <c r="P3" s="2181"/>
      <c r="Q3" s="392"/>
      <c r="R3" s="1146"/>
      <c r="S3" s="393"/>
      <c r="T3" s="393"/>
      <c r="U3" s="393"/>
      <c r="V3" s="393"/>
    </row>
    <row r="4" spans="1:22" s="394" customFormat="1" ht="15.95" customHeight="1" x14ac:dyDescent="0.25">
      <c r="A4" s="685" t="s">
        <v>3</v>
      </c>
      <c r="B4" s="404"/>
      <c r="C4" s="405"/>
      <c r="D4" s="372" t="s">
        <v>552</v>
      </c>
      <c r="E4" s="391">
        <f>SUM(E5:E55)</f>
        <v>753450199</v>
      </c>
      <c r="F4" s="391"/>
      <c r="G4" s="391">
        <f>SUM(G5:G55)</f>
        <v>27907648</v>
      </c>
      <c r="H4" s="391">
        <f>SUM(H5:H55)</f>
        <v>1060842551</v>
      </c>
      <c r="I4" s="3006">
        <f t="shared" si="0"/>
        <v>214530434</v>
      </c>
      <c r="J4" s="391">
        <f t="shared" ref="J4:O4" si="3">SUM(J5:J55)</f>
        <v>1275372985</v>
      </c>
      <c r="K4" s="3160">
        <f t="shared" si="3"/>
        <v>209920621</v>
      </c>
      <c r="L4" s="391">
        <f>SUM(L5:L55)</f>
        <v>1485293606</v>
      </c>
      <c r="M4" s="3006">
        <f>SUM(N4-L4)</f>
        <v>0</v>
      </c>
      <c r="N4" s="391">
        <f>SUM(N5:N55)</f>
        <v>1485293606</v>
      </c>
      <c r="O4" s="391">
        <f t="shared" si="3"/>
        <v>787186814</v>
      </c>
      <c r="P4" s="2182"/>
      <c r="Q4" s="392"/>
    </row>
    <row r="5" spans="1:22" ht="15.75" x14ac:dyDescent="0.25">
      <c r="A5" s="395"/>
      <c r="B5" s="396" t="s">
        <v>546</v>
      </c>
      <c r="C5" s="397"/>
      <c r="D5" s="699" t="s">
        <v>1087</v>
      </c>
      <c r="E5" s="607"/>
      <c r="F5" s="608">
        <v>2018</v>
      </c>
      <c r="G5" s="606"/>
      <c r="H5" s="789"/>
      <c r="I5" s="1366">
        <f t="shared" si="0"/>
        <v>0</v>
      </c>
      <c r="J5" s="775">
        <v>0</v>
      </c>
      <c r="K5" s="1582">
        <f t="shared" ref="K5:K11" si="4">SUM(L5-J5)</f>
        <v>0</v>
      </c>
      <c r="L5" s="775"/>
      <c r="M5" s="1366">
        <f t="shared" ref="M5:M15" si="5">SUM(N5-L5)</f>
        <v>0</v>
      </c>
      <c r="N5" s="775"/>
      <c r="O5" s="775"/>
      <c r="P5" s="2183"/>
      <c r="Q5" s="2175"/>
    </row>
    <row r="6" spans="1:22" ht="15.75" x14ac:dyDescent="0.25">
      <c r="A6" s="395"/>
      <c r="B6" s="396" t="s">
        <v>553</v>
      </c>
      <c r="C6" s="397"/>
      <c r="D6" s="699" t="s">
        <v>927</v>
      </c>
      <c r="E6" s="376"/>
      <c r="F6" s="608">
        <v>2018</v>
      </c>
      <c r="G6" s="375"/>
      <c r="H6" s="789">
        <v>3000000</v>
      </c>
      <c r="I6" s="1366">
        <f t="shared" si="0"/>
        <v>-82550</v>
      </c>
      <c r="J6" s="683">
        <v>2917450</v>
      </c>
      <c r="K6" s="1582">
        <f t="shared" si="4"/>
        <v>-1898019</v>
      </c>
      <c r="L6" s="683">
        <v>1019431</v>
      </c>
      <c r="M6" s="1366">
        <f t="shared" si="5"/>
        <v>0</v>
      </c>
      <c r="N6" s="683">
        <v>1019431</v>
      </c>
      <c r="O6" s="683">
        <v>1019431</v>
      </c>
      <c r="P6" s="2183"/>
      <c r="Q6" s="2175"/>
    </row>
    <row r="7" spans="1:22" ht="31.5" x14ac:dyDescent="0.25">
      <c r="A7" s="395"/>
      <c r="B7" s="396" t="s">
        <v>554</v>
      </c>
      <c r="C7" s="397"/>
      <c r="D7" s="699" t="s">
        <v>1088</v>
      </c>
      <c r="E7" s="376"/>
      <c r="F7" s="608">
        <v>2018</v>
      </c>
      <c r="G7" s="375"/>
      <c r="H7" s="789">
        <v>1000000</v>
      </c>
      <c r="I7" s="1366">
        <f t="shared" si="0"/>
        <v>0</v>
      </c>
      <c r="J7" s="775">
        <v>1000000</v>
      </c>
      <c r="K7" s="1582">
        <f t="shared" si="4"/>
        <v>-1000000</v>
      </c>
      <c r="L7" s="775"/>
      <c r="M7" s="1366">
        <f t="shared" si="5"/>
        <v>0</v>
      </c>
      <c r="N7" s="775"/>
      <c r="O7" s="775">
        <v>0</v>
      </c>
      <c r="P7" s="2183"/>
      <c r="Q7" s="2175"/>
    </row>
    <row r="8" spans="1:22" ht="15.75" x14ac:dyDescent="0.25">
      <c r="A8" s="395"/>
      <c r="B8" s="396" t="s">
        <v>555</v>
      </c>
      <c r="C8" s="397"/>
      <c r="D8" s="699" t="s">
        <v>1089</v>
      </c>
      <c r="E8" s="376"/>
      <c r="F8" s="608">
        <v>2018</v>
      </c>
      <c r="G8" s="375"/>
      <c r="H8" s="789">
        <v>3000000</v>
      </c>
      <c r="I8" s="1366">
        <f t="shared" si="0"/>
        <v>-889000</v>
      </c>
      <c r="J8" s="683">
        <v>2111000</v>
      </c>
      <c r="K8" s="1582">
        <f t="shared" si="4"/>
        <v>-2111000</v>
      </c>
      <c r="L8" s="683"/>
      <c r="M8" s="1366">
        <f t="shared" si="5"/>
        <v>0</v>
      </c>
      <c r="N8" s="683"/>
      <c r="O8" s="683"/>
      <c r="P8" s="2183"/>
      <c r="Q8" s="2175"/>
    </row>
    <row r="9" spans="1:22" ht="16.5" customHeight="1" x14ac:dyDescent="0.25">
      <c r="A9" s="395"/>
      <c r="B9" s="396" t="s">
        <v>160</v>
      </c>
      <c r="C9" s="397"/>
      <c r="D9" s="699" t="s">
        <v>1090</v>
      </c>
      <c r="E9" s="376"/>
      <c r="F9" s="608">
        <v>2018</v>
      </c>
      <c r="G9" s="375"/>
      <c r="H9" s="789"/>
      <c r="I9" s="1366">
        <f t="shared" si="0"/>
        <v>0</v>
      </c>
      <c r="J9" s="775">
        <v>0</v>
      </c>
      <c r="K9" s="1582">
        <f t="shared" si="4"/>
        <v>0</v>
      </c>
      <c r="L9" s="775"/>
      <c r="M9" s="1366">
        <f t="shared" si="5"/>
        <v>0</v>
      </c>
      <c r="N9" s="775"/>
      <c r="O9" s="775"/>
      <c r="P9" s="2183"/>
      <c r="Q9" s="2175"/>
    </row>
    <row r="10" spans="1:22" ht="31.5" x14ac:dyDescent="0.25">
      <c r="A10" s="395"/>
      <c r="B10" s="396" t="s">
        <v>483</v>
      </c>
      <c r="C10" s="397"/>
      <c r="D10" s="700" t="s">
        <v>1091</v>
      </c>
      <c r="E10" s="376"/>
      <c r="F10" s="608">
        <v>2018</v>
      </c>
      <c r="G10" s="375"/>
      <c r="H10" s="789"/>
      <c r="I10" s="1366">
        <f t="shared" si="0"/>
        <v>0</v>
      </c>
      <c r="J10" s="683">
        <v>0</v>
      </c>
      <c r="K10" s="1582">
        <f t="shared" si="4"/>
        <v>0</v>
      </c>
      <c r="L10" s="683"/>
      <c r="M10" s="1366">
        <f t="shared" si="5"/>
        <v>0</v>
      </c>
      <c r="N10" s="683"/>
      <c r="O10" s="683"/>
      <c r="P10" s="2183"/>
      <c r="Q10" s="2175"/>
    </row>
    <row r="11" spans="1:22" ht="15.75" x14ac:dyDescent="0.25">
      <c r="A11" s="395"/>
      <c r="B11" s="396" t="s">
        <v>510</v>
      </c>
      <c r="C11" s="397"/>
      <c r="D11" s="699" t="s">
        <v>1092</v>
      </c>
      <c r="E11" s="376"/>
      <c r="F11" s="608">
        <v>2018</v>
      </c>
      <c r="G11" s="375"/>
      <c r="H11" s="789">
        <v>3000000</v>
      </c>
      <c r="I11" s="1366">
        <f t="shared" si="0"/>
        <v>700000</v>
      </c>
      <c r="J11" s="775">
        <v>3700000</v>
      </c>
      <c r="K11" s="1582">
        <f t="shared" si="4"/>
        <v>-3700000</v>
      </c>
      <c r="L11" s="775">
        <v>0</v>
      </c>
      <c r="M11" s="1366">
        <f t="shared" si="5"/>
        <v>0</v>
      </c>
      <c r="N11" s="775">
        <v>0</v>
      </c>
      <c r="O11" s="775">
        <v>0</v>
      </c>
      <c r="P11" s="2183"/>
      <c r="Q11" s="2175"/>
    </row>
    <row r="12" spans="1:22" ht="15.75" x14ac:dyDescent="0.25">
      <c r="A12" s="395"/>
      <c r="B12" s="396" t="s">
        <v>556</v>
      </c>
      <c r="C12" s="397"/>
      <c r="D12" s="701" t="s">
        <v>1093</v>
      </c>
      <c r="E12" s="376"/>
      <c r="F12" s="608">
        <v>2018</v>
      </c>
      <c r="G12" s="375"/>
      <c r="H12" s="2365"/>
      <c r="I12" s="1366"/>
      <c r="J12" s="775"/>
      <c r="K12" s="1582"/>
      <c r="L12" s="775"/>
      <c r="M12" s="1366">
        <f t="shared" si="5"/>
        <v>0</v>
      </c>
      <c r="N12" s="775"/>
      <c r="O12" s="775">
        <v>0</v>
      </c>
      <c r="P12" s="2183"/>
      <c r="Q12" s="2175"/>
    </row>
    <row r="13" spans="1:22" ht="15.75" x14ac:dyDescent="0.25">
      <c r="A13" s="395"/>
      <c r="B13" s="396" t="s">
        <v>557</v>
      </c>
      <c r="C13" s="397"/>
      <c r="D13" s="702" t="s">
        <v>1094</v>
      </c>
      <c r="E13" s="376"/>
      <c r="F13" s="608">
        <v>2018</v>
      </c>
      <c r="G13" s="375"/>
      <c r="H13" s="790"/>
      <c r="I13" s="1366">
        <f t="shared" ref="I13:I24" si="6">SUM(J13-H13)</f>
        <v>0</v>
      </c>
      <c r="J13" s="775">
        <v>0</v>
      </c>
      <c r="K13" s="1582">
        <f t="shared" ref="K13:K24" si="7">SUM(L13-J13)</f>
        <v>0</v>
      </c>
      <c r="L13" s="775"/>
      <c r="M13" s="1366">
        <f t="shared" si="5"/>
        <v>0</v>
      </c>
      <c r="N13" s="775"/>
      <c r="O13" s="775">
        <v>0</v>
      </c>
      <c r="P13" s="2183"/>
      <c r="Q13" s="2175"/>
    </row>
    <row r="14" spans="1:22" ht="15.75" x14ac:dyDescent="0.25">
      <c r="A14" s="395"/>
      <c r="B14" s="396" t="s">
        <v>558</v>
      </c>
      <c r="C14" s="397"/>
      <c r="D14" s="2364" t="s">
        <v>1112</v>
      </c>
      <c r="E14" s="376"/>
      <c r="F14" s="608">
        <v>2018</v>
      </c>
      <c r="G14" s="375"/>
      <c r="H14" s="790">
        <v>304800000</v>
      </c>
      <c r="I14" s="1366">
        <f t="shared" si="6"/>
        <v>312322793</v>
      </c>
      <c r="J14" s="775">
        <v>617122793</v>
      </c>
      <c r="K14" s="1582">
        <f t="shared" si="7"/>
        <v>58821940</v>
      </c>
      <c r="L14" s="775">
        <v>675944733</v>
      </c>
      <c r="M14" s="1366">
        <f t="shared" si="5"/>
        <v>0</v>
      </c>
      <c r="N14" s="775">
        <v>675944733</v>
      </c>
      <c r="O14" s="775">
        <v>311383337</v>
      </c>
      <c r="P14" s="2183"/>
      <c r="Q14" s="2175"/>
    </row>
    <row r="15" spans="1:22" ht="15.75" x14ac:dyDescent="0.25">
      <c r="A15" s="395"/>
      <c r="B15" s="396" t="s">
        <v>559</v>
      </c>
      <c r="C15" s="397"/>
      <c r="D15" s="375" t="s">
        <v>1113</v>
      </c>
      <c r="E15" s="376"/>
      <c r="F15" s="608">
        <v>2018</v>
      </c>
      <c r="G15" s="375"/>
      <c r="H15" s="607">
        <v>20000000</v>
      </c>
      <c r="I15" s="1366">
        <f t="shared" si="6"/>
        <v>-6540240</v>
      </c>
      <c r="J15" s="683">
        <v>13459760</v>
      </c>
      <c r="K15" s="1582">
        <f t="shared" si="7"/>
        <v>0</v>
      </c>
      <c r="L15" s="683">
        <v>13459760</v>
      </c>
      <c r="M15" s="1366">
        <f t="shared" si="5"/>
        <v>0</v>
      </c>
      <c r="N15" s="683">
        <v>13459760</v>
      </c>
      <c r="O15" s="683">
        <v>0</v>
      </c>
      <c r="P15" s="2183"/>
      <c r="Q15" s="2175"/>
    </row>
    <row r="16" spans="1:22" ht="47.25" x14ac:dyDescent="0.25">
      <c r="A16" s="395"/>
      <c r="B16" s="396" t="s">
        <v>560</v>
      </c>
      <c r="C16" s="397"/>
      <c r="D16" s="375" t="s">
        <v>1416</v>
      </c>
      <c r="E16" s="376">
        <v>400000024</v>
      </c>
      <c r="F16" s="608">
        <v>2018</v>
      </c>
      <c r="G16" s="375">
        <v>0</v>
      </c>
      <c r="H16" s="607">
        <f>SUM(E16-G16)</f>
        <v>400000024</v>
      </c>
      <c r="I16" s="1366">
        <f t="shared" si="6"/>
        <v>-400000000</v>
      </c>
      <c r="J16" s="683">
        <v>24</v>
      </c>
      <c r="K16" s="1582">
        <f t="shared" si="7"/>
        <v>0</v>
      </c>
      <c r="L16" s="683">
        <v>24</v>
      </c>
      <c r="M16" s="1366"/>
      <c r="N16" s="683">
        <v>24</v>
      </c>
      <c r="O16" s="683">
        <v>0</v>
      </c>
      <c r="P16" s="2183"/>
      <c r="Q16" s="2175"/>
    </row>
    <row r="17" spans="1:17" ht="15.75" x14ac:dyDescent="0.25">
      <c r="A17" s="395"/>
      <c r="B17" s="396" t="s">
        <v>561</v>
      </c>
      <c r="C17" s="397"/>
      <c r="D17" s="375" t="s">
        <v>898</v>
      </c>
      <c r="E17" s="376"/>
      <c r="F17" s="608">
        <v>2018</v>
      </c>
      <c r="G17" s="375"/>
      <c r="H17" s="376">
        <v>500000</v>
      </c>
      <c r="I17" s="1366">
        <f t="shared" si="6"/>
        <v>-500000</v>
      </c>
      <c r="J17" s="683">
        <v>0</v>
      </c>
      <c r="K17" s="1582">
        <f t="shared" si="7"/>
        <v>0</v>
      </c>
      <c r="L17" s="683"/>
      <c r="M17" s="1366">
        <f t="shared" ref="M17:M37" si="8">SUM(N17-L17)</f>
        <v>0</v>
      </c>
      <c r="N17" s="683"/>
      <c r="O17" s="683">
        <v>0</v>
      </c>
      <c r="P17" s="2183"/>
      <c r="Q17" s="2175"/>
    </row>
    <row r="18" spans="1:17" ht="34.5" customHeight="1" x14ac:dyDescent="0.25">
      <c r="A18" s="395"/>
      <c r="B18" s="396" t="s">
        <v>562</v>
      </c>
      <c r="C18" s="397"/>
      <c r="D18" s="375" t="s">
        <v>1412</v>
      </c>
      <c r="E18" s="376">
        <v>3576000</v>
      </c>
      <c r="F18" s="608">
        <v>2018</v>
      </c>
      <c r="G18" s="375">
        <v>0</v>
      </c>
      <c r="H18" s="607">
        <f>SUM(E18-G18)</f>
        <v>3576000</v>
      </c>
      <c r="I18" s="1366">
        <f t="shared" si="6"/>
        <v>-982179</v>
      </c>
      <c r="J18" s="683">
        <v>2593821</v>
      </c>
      <c r="K18" s="1582">
        <f t="shared" si="7"/>
        <v>0</v>
      </c>
      <c r="L18" s="683">
        <v>2593821</v>
      </c>
      <c r="M18" s="1366">
        <f t="shared" si="8"/>
        <v>0</v>
      </c>
      <c r="N18" s="683">
        <v>2593821</v>
      </c>
      <c r="O18" s="683">
        <v>1899920</v>
      </c>
      <c r="P18" s="2183"/>
      <c r="Q18" s="2175"/>
    </row>
    <row r="19" spans="1:17" ht="31.5" x14ac:dyDescent="0.25">
      <c r="A19" s="395"/>
      <c r="B19" s="396" t="s">
        <v>988</v>
      </c>
      <c r="C19" s="397"/>
      <c r="D19" s="375" t="s">
        <v>1415</v>
      </c>
      <c r="E19" s="376">
        <v>318963614</v>
      </c>
      <c r="F19" s="608">
        <v>2018</v>
      </c>
      <c r="G19" s="376">
        <v>27907648</v>
      </c>
      <c r="H19" s="607">
        <f>SUM(E19-G19)</f>
        <v>291055966</v>
      </c>
      <c r="I19" s="1366">
        <f t="shared" si="6"/>
        <v>44283452</v>
      </c>
      <c r="J19" s="683">
        <v>335339418</v>
      </c>
      <c r="K19" s="1582">
        <f t="shared" si="7"/>
        <v>30706197</v>
      </c>
      <c r="L19" s="683">
        <v>366045615</v>
      </c>
      <c r="M19" s="1366">
        <f t="shared" si="8"/>
        <v>0</v>
      </c>
      <c r="N19" s="683">
        <v>366045615</v>
      </c>
      <c r="O19" s="683">
        <v>335824980</v>
      </c>
      <c r="P19" s="2183"/>
      <c r="Q19" s="2175"/>
    </row>
    <row r="20" spans="1:17" ht="31.5" x14ac:dyDescent="0.25">
      <c r="A20" s="395"/>
      <c r="B20" s="396" t="s">
        <v>989</v>
      </c>
      <c r="C20" s="397"/>
      <c r="D20" s="375" t="s">
        <v>1413</v>
      </c>
      <c r="E20" s="376">
        <v>15410561</v>
      </c>
      <c r="F20" s="608">
        <v>2018</v>
      </c>
      <c r="G20" s="375">
        <v>0</v>
      </c>
      <c r="H20" s="607">
        <f>SUM(E20-G20)</f>
        <v>15410561</v>
      </c>
      <c r="I20" s="1366">
        <f t="shared" si="6"/>
        <v>-15410561</v>
      </c>
      <c r="J20" s="683">
        <v>0</v>
      </c>
      <c r="K20" s="1582">
        <f t="shared" si="7"/>
        <v>0</v>
      </c>
      <c r="L20" s="683">
        <v>0</v>
      </c>
      <c r="M20" s="1366">
        <f t="shared" si="8"/>
        <v>0</v>
      </c>
      <c r="N20" s="683">
        <v>0</v>
      </c>
      <c r="O20" s="683">
        <v>0</v>
      </c>
      <c r="P20" s="2183"/>
      <c r="Q20" s="2175"/>
    </row>
    <row r="21" spans="1:17" ht="15.75" x14ac:dyDescent="0.25">
      <c r="A21" s="395"/>
      <c r="B21" s="396" t="s">
        <v>1410</v>
      </c>
      <c r="C21" s="397"/>
      <c r="D21" s="375" t="s">
        <v>1414</v>
      </c>
      <c r="E21" s="376">
        <v>15500000</v>
      </c>
      <c r="F21" s="608">
        <v>2018</v>
      </c>
      <c r="G21" s="375">
        <v>0</v>
      </c>
      <c r="H21" s="376">
        <f>SUM(E21-G21)</f>
        <v>15500000</v>
      </c>
      <c r="I21" s="1366">
        <f t="shared" si="6"/>
        <v>-15410561</v>
      </c>
      <c r="J21" s="683">
        <v>89439</v>
      </c>
      <c r="K21" s="1582">
        <f t="shared" si="7"/>
        <v>0</v>
      </c>
      <c r="L21" s="683">
        <v>89439</v>
      </c>
      <c r="M21" s="1366">
        <f t="shared" si="8"/>
        <v>0</v>
      </c>
      <c r="N21" s="683">
        <v>89439</v>
      </c>
      <c r="O21" s="683">
        <v>0</v>
      </c>
      <c r="P21" s="2183"/>
      <c r="Q21" s="2175"/>
    </row>
    <row r="22" spans="1:17" ht="15.75" x14ac:dyDescent="0.25">
      <c r="A22" s="395"/>
      <c r="B22" s="396" t="s">
        <v>1507</v>
      </c>
      <c r="C22" s="397"/>
      <c r="D22" s="375" t="s">
        <v>1485</v>
      </c>
      <c r="E22" s="376"/>
      <c r="F22" s="608">
        <v>2018</v>
      </c>
      <c r="G22" s="375"/>
      <c r="H22" s="376"/>
      <c r="I22" s="1366">
        <f t="shared" si="6"/>
        <v>96520</v>
      </c>
      <c r="J22" s="683">
        <v>96520</v>
      </c>
      <c r="K22" s="1582">
        <f t="shared" si="7"/>
        <v>0</v>
      </c>
      <c r="L22" s="683">
        <v>96520</v>
      </c>
      <c r="M22" s="1366">
        <f t="shared" si="8"/>
        <v>0</v>
      </c>
      <c r="N22" s="683">
        <v>96520</v>
      </c>
      <c r="O22" s="683">
        <v>96520</v>
      </c>
      <c r="P22" s="2183"/>
      <c r="Q22" s="2175"/>
    </row>
    <row r="23" spans="1:17" ht="15.75" x14ac:dyDescent="0.25">
      <c r="A23" s="395"/>
      <c r="B23" s="396" t="s">
        <v>1512</v>
      </c>
      <c r="C23" s="397"/>
      <c r="D23" s="375" t="s">
        <v>1484</v>
      </c>
      <c r="E23" s="376"/>
      <c r="F23" s="608">
        <v>2018</v>
      </c>
      <c r="G23" s="375"/>
      <c r="H23" s="376"/>
      <c r="I23" s="1366">
        <f t="shared" si="6"/>
        <v>849486</v>
      </c>
      <c r="J23" s="683">
        <v>849486</v>
      </c>
      <c r="K23" s="1582">
        <f t="shared" si="7"/>
        <v>0</v>
      </c>
      <c r="L23" s="683">
        <v>849486</v>
      </c>
      <c r="M23" s="1366">
        <f t="shared" si="8"/>
        <v>0</v>
      </c>
      <c r="N23" s="683">
        <v>849486</v>
      </c>
      <c r="O23" s="683">
        <v>849486</v>
      </c>
      <c r="P23" s="2183"/>
      <c r="Q23" s="2175"/>
    </row>
    <row r="24" spans="1:17" ht="15.75" x14ac:dyDescent="0.25">
      <c r="A24" s="395"/>
      <c r="B24" s="396" t="s">
        <v>1513</v>
      </c>
      <c r="C24" s="397"/>
      <c r="D24" s="375" t="s">
        <v>1586</v>
      </c>
      <c r="E24" s="376"/>
      <c r="F24" s="608">
        <v>2018</v>
      </c>
      <c r="G24" s="375"/>
      <c r="H24" s="376"/>
      <c r="I24" s="1366">
        <f t="shared" si="6"/>
        <v>5887720</v>
      </c>
      <c r="J24" s="683">
        <v>5887720</v>
      </c>
      <c r="K24" s="1582">
        <f t="shared" si="7"/>
        <v>63500</v>
      </c>
      <c r="L24" s="683">
        <v>5951220</v>
      </c>
      <c r="M24" s="1366">
        <f t="shared" si="8"/>
        <v>0</v>
      </c>
      <c r="N24" s="683">
        <v>5951220</v>
      </c>
      <c r="O24" s="683">
        <v>0</v>
      </c>
      <c r="P24" s="2183"/>
      <c r="Q24" s="2175"/>
    </row>
    <row r="25" spans="1:17" ht="15.75" x14ac:dyDescent="0.25">
      <c r="A25" s="395"/>
      <c r="B25" s="396" t="s">
        <v>1514</v>
      </c>
      <c r="C25" s="397"/>
      <c r="D25" s="375" t="s">
        <v>1587</v>
      </c>
      <c r="E25" s="376"/>
      <c r="F25" s="608">
        <v>2018</v>
      </c>
      <c r="G25" s="375"/>
      <c r="H25" s="376"/>
      <c r="I25" s="1366">
        <f t="shared" ref="I25:I54" si="9">SUM(J25-H25)</f>
        <v>1110000</v>
      </c>
      <c r="J25" s="683">
        <v>1110000</v>
      </c>
      <c r="K25" s="1582">
        <f t="shared" ref="K25:K54" si="10">SUM(L25-J25)</f>
        <v>0</v>
      </c>
      <c r="L25" s="683">
        <v>1110000</v>
      </c>
      <c r="M25" s="1366">
        <f t="shared" si="8"/>
        <v>0</v>
      </c>
      <c r="N25" s="683">
        <v>1110000</v>
      </c>
      <c r="O25" s="683">
        <v>1110000</v>
      </c>
      <c r="P25" s="2183"/>
      <c r="Q25" s="2175"/>
    </row>
    <row r="26" spans="1:17" ht="15.75" x14ac:dyDescent="0.25">
      <c r="A26" s="395"/>
      <c r="B26" s="396" t="s">
        <v>1515</v>
      </c>
      <c r="C26" s="397"/>
      <c r="D26" s="375" t="s">
        <v>1591</v>
      </c>
      <c r="E26" s="376"/>
      <c r="F26" s="608">
        <v>2018</v>
      </c>
      <c r="G26" s="375"/>
      <c r="H26" s="376"/>
      <c r="I26" s="1366">
        <f t="shared" si="9"/>
        <v>939800</v>
      </c>
      <c r="J26" s="683">
        <v>939800</v>
      </c>
      <c r="K26" s="1582">
        <f t="shared" si="10"/>
        <v>0</v>
      </c>
      <c r="L26" s="683">
        <v>939800</v>
      </c>
      <c r="M26" s="1366">
        <f t="shared" si="8"/>
        <v>0</v>
      </c>
      <c r="N26" s="683">
        <v>939800</v>
      </c>
      <c r="O26" s="683">
        <v>939800</v>
      </c>
      <c r="P26" s="2183"/>
      <c r="Q26" s="2175"/>
    </row>
    <row r="27" spans="1:17" ht="15.75" x14ac:dyDescent="0.25">
      <c r="A27" s="395"/>
      <c r="B27" s="396" t="s">
        <v>1516</v>
      </c>
      <c r="C27" s="397"/>
      <c r="D27" s="375" t="s">
        <v>1596</v>
      </c>
      <c r="E27" s="376"/>
      <c r="F27" s="608">
        <v>2018</v>
      </c>
      <c r="G27" s="375"/>
      <c r="H27" s="376"/>
      <c r="I27" s="1366">
        <f t="shared" si="9"/>
        <v>71247</v>
      </c>
      <c r="J27" s="683">
        <v>71247</v>
      </c>
      <c r="K27" s="1582">
        <f t="shared" si="10"/>
        <v>0</v>
      </c>
      <c r="L27" s="683">
        <v>71247</v>
      </c>
      <c r="M27" s="1366">
        <f t="shared" si="8"/>
        <v>0</v>
      </c>
      <c r="N27" s="683">
        <v>71247</v>
      </c>
      <c r="O27" s="683">
        <v>71247</v>
      </c>
      <c r="P27" s="2183"/>
      <c r="Q27" s="2175"/>
    </row>
    <row r="28" spans="1:17" ht="15.75" x14ac:dyDescent="0.25">
      <c r="A28" s="395"/>
      <c r="B28" s="396" t="s">
        <v>1517</v>
      </c>
      <c r="C28" s="397"/>
      <c r="D28" s="375" t="s">
        <v>1601</v>
      </c>
      <c r="E28" s="376"/>
      <c r="F28" s="608">
        <v>2018</v>
      </c>
      <c r="G28" s="375"/>
      <c r="H28" s="376"/>
      <c r="I28" s="1366">
        <f t="shared" si="9"/>
        <v>1738630</v>
      </c>
      <c r="J28" s="683">
        <v>1738630</v>
      </c>
      <c r="K28" s="1582">
        <f t="shared" si="10"/>
        <v>0</v>
      </c>
      <c r="L28" s="683">
        <v>1738630</v>
      </c>
      <c r="M28" s="1366">
        <f t="shared" si="8"/>
        <v>0</v>
      </c>
      <c r="N28" s="683">
        <v>1738630</v>
      </c>
      <c r="O28" s="683">
        <v>1738630</v>
      </c>
      <c r="P28" s="2183"/>
      <c r="Q28" s="2175"/>
    </row>
    <row r="29" spans="1:17" ht="15.75" x14ac:dyDescent="0.25">
      <c r="A29" s="395"/>
      <c r="B29" s="396" t="s">
        <v>1524</v>
      </c>
      <c r="C29" s="397"/>
      <c r="D29" s="375" t="s">
        <v>1602</v>
      </c>
      <c r="E29" s="376"/>
      <c r="F29" s="608">
        <v>2018</v>
      </c>
      <c r="G29" s="375"/>
      <c r="H29" s="376"/>
      <c r="I29" s="1366">
        <f t="shared" si="9"/>
        <v>508000</v>
      </c>
      <c r="J29" s="683">
        <v>508000</v>
      </c>
      <c r="K29" s="1582">
        <f t="shared" si="10"/>
        <v>0</v>
      </c>
      <c r="L29" s="683">
        <v>508000</v>
      </c>
      <c r="M29" s="1366">
        <f t="shared" si="8"/>
        <v>0</v>
      </c>
      <c r="N29" s="683">
        <v>508000</v>
      </c>
      <c r="O29" s="683">
        <v>508000</v>
      </c>
      <c r="P29" s="2183"/>
      <c r="Q29" s="2175"/>
    </row>
    <row r="30" spans="1:17" ht="15.75" x14ac:dyDescent="0.25">
      <c r="A30" s="395"/>
      <c r="B30" s="396" t="s">
        <v>1525</v>
      </c>
      <c r="C30" s="397"/>
      <c r="D30" s="375" t="s">
        <v>1610</v>
      </c>
      <c r="E30" s="376"/>
      <c r="F30" s="608">
        <v>2018</v>
      </c>
      <c r="G30" s="375"/>
      <c r="H30" s="376"/>
      <c r="I30" s="1366">
        <f t="shared" si="9"/>
        <v>33170</v>
      </c>
      <c r="J30" s="683">
        <v>33170</v>
      </c>
      <c r="K30" s="1582">
        <f t="shared" si="10"/>
        <v>0</v>
      </c>
      <c r="L30" s="683">
        <v>33170</v>
      </c>
      <c r="M30" s="1366">
        <f t="shared" si="8"/>
        <v>0</v>
      </c>
      <c r="N30" s="683">
        <v>33170</v>
      </c>
      <c r="O30" s="683">
        <v>33170</v>
      </c>
      <c r="P30" s="2183"/>
      <c r="Q30" s="2175"/>
    </row>
    <row r="31" spans="1:17" ht="16.5" thickBot="1" x14ac:dyDescent="0.3">
      <c r="A31" s="2539"/>
      <c r="B31" s="2540" t="s">
        <v>1526</v>
      </c>
      <c r="C31" s="2541"/>
      <c r="D31" s="3133" t="s">
        <v>1611</v>
      </c>
      <c r="E31" s="2547"/>
      <c r="F31" s="2544">
        <v>2018</v>
      </c>
      <c r="G31" s="3133"/>
      <c r="H31" s="2547"/>
      <c r="I31" s="2546">
        <f t="shared" si="9"/>
        <v>234523125</v>
      </c>
      <c r="J31" s="3134">
        <v>234523125</v>
      </c>
      <c r="K31" s="1582">
        <f t="shared" si="10"/>
        <v>0</v>
      </c>
      <c r="L31" s="3134">
        <v>234523125</v>
      </c>
      <c r="M31" s="2546">
        <f t="shared" si="8"/>
        <v>0</v>
      </c>
      <c r="N31" s="3134">
        <v>234523125</v>
      </c>
      <c r="O31" s="3134">
        <v>0</v>
      </c>
      <c r="P31" s="3135"/>
      <c r="Q31" s="2175"/>
    </row>
    <row r="32" spans="1:17" ht="15.75" x14ac:dyDescent="0.25">
      <c r="A32" s="2532"/>
      <c r="B32" s="2533" t="s">
        <v>1527</v>
      </c>
      <c r="C32" s="2534"/>
      <c r="D32" s="3130" t="s">
        <v>1612</v>
      </c>
      <c r="E32" s="2537"/>
      <c r="F32" s="2535">
        <v>2018</v>
      </c>
      <c r="G32" s="3130"/>
      <c r="H32" s="2537"/>
      <c r="I32" s="2536">
        <f t="shared" si="9"/>
        <v>39900</v>
      </c>
      <c r="J32" s="3131">
        <v>39900</v>
      </c>
      <c r="K32" s="1582">
        <f t="shared" si="10"/>
        <v>0</v>
      </c>
      <c r="L32" s="3131">
        <v>39900</v>
      </c>
      <c r="M32" s="2536">
        <f t="shared" si="8"/>
        <v>0</v>
      </c>
      <c r="N32" s="3131">
        <v>39900</v>
      </c>
      <c r="O32" s="3131">
        <v>39900</v>
      </c>
      <c r="P32" s="3132"/>
      <c r="Q32" s="2175"/>
    </row>
    <row r="33" spans="1:17" ht="15.75" x14ac:dyDescent="0.25">
      <c r="A33" s="395"/>
      <c r="B33" s="396" t="s">
        <v>1528</v>
      </c>
      <c r="C33" s="397"/>
      <c r="D33" s="375" t="s">
        <v>1613</v>
      </c>
      <c r="E33" s="376"/>
      <c r="F33" s="608">
        <v>2018</v>
      </c>
      <c r="G33" s="375"/>
      <c r="H33" s="376"/>
      <c r="I33" s="1366">
        <f t="shared" si="9"/>
        <v>94899</v>
      </c>
      <c r="J33" s="683">
        <v>94899</v>
      </c>
      <c r="K33" s="1582">
        <f t="shared" si="10"/>
        <v>0</v>
      </c>
      <c r="L33" s="683">
        <v>94899</v>
      </c>
      <c r="M33" s="1366">
        <f t="shared" si="8"/>
        <v>0</v>
      </c>
      <c r="N33" s="683">
        <v>94899</v>
      </c>
      <c r="O33" s="683">
        <v>94899</v>
      </c>
      <c r="P33" s="2183"/>
      <c r="Q33" s="2175"/>
    </row>
    <row r="34" spans="1:17" ht="15.75" x14ac:dyDescent="0.25">
      <c r="A34" s="395"/>
      <c r="B34" s="396" t="s">
        <v>1534</v>
      </c>
      <c r="C34" s="397"/>
      <c r="D34" s="375" t="s">
        <v>1614</v>
      </c>
      <c r="E34" s="376"/>
      <c r="F34" s="608">
        <v>2018</v>
      </c>
      <c r="G34" s="375"/>
      <c r="H34" s="376"/>
      <c r="I34" s="1366">
        <f t="shared" si="9"/>
        <v>18000000</v>
      </c>
      <c r="J34" s="683">
        <v>18000000</v>
      </c>
      <c r="K34" s="1582">
        <f t="shared" si="10"/>
        <v>0</v>
      </c>
      <c r="L34" s="683">
        <v>18000000</v>
      </c>
      <c r="M34" s="1366">
        <f t="shared" si="8"/>
        <v>0</v>
      </c>
      <c r="N34" s="683">
        <v>18000000</v>
      </c>
      <c r="O34" s="683">
        <v>18000000</v>
      </c>
      <c r="P34" s="2183"/>
      <c r="Q34" s="2175"/>
    </row>
    <row r="35" spans="1:17" ht="15.75" x14ac:dyDescent="0.25">
      <c r="A35" s="395"/>
      <c r="B35" s="396" t="s">
        <v>1535</v>
      </c>
      <c r="C35" s="397"/>
      <c r="D35" s="375" t="s">
        <v>1618</v>
      </c>
      <c r="E35" s="376"/>
      <c r="F35" s="608">
        <v>2018</v>
      </c>
      <c r="G35" s="375"/>
      <c r="H35" s="376"/>
      <c r="I35" s="1366">
        <f t="shared" si="9"/>
        <v>30200</v>
      </c>
      <c r="J35" s="683">
        <v>30200</v>
      </c>
      <c r="K35" s="1582">
        <f t="shared" si="10"/>
        <v>0</v>
      </c>
      <c r="L35" s="683">
        <v>30200</v>
      </c>
      <c r="M35" s="1366">
        <f t="shared" si="8"/>
        <v>0</v>
      </c>
      <c r="N35" s="683">
        <v>30200</v>
      </c>
      <c r="O35" s="683">
        <v>30200</v>
      </c>
      <c r="P35" s="2183"/>
      <c r="Q35" s="2175"/>
    </row>
    <row r="36" spans="1:17" ht="15.75" x14ac:dyDescent="0.25">
      <c r="A36" s="395"/>
      <c r="B36" s="396" t="s">
        <v>1536</v>
      </c>
      <c r="C36" s="397"/>
      <c r="D36" s="375" t="s">
        <v>1623</v>
      </c>
      <c r="E36" s="376"/>
      <c r="F36" s="608">
        <v>2018</v>
      </c>
      <c r="G36" s="375"/>
      <c r="H36" s="376"/>
      <c r="I36" s="1366">
        <f t="shared" si="9"/>
        <v>295935</v>
      </c>
      <c r="J36" s="683">
        <v>295935</v>
      </c>
      <c r="K36" s="1582">
        <f t="shared" si="10"/>
        <v>0</v>
      </c>
      <c r="L36" s="683">
        <v>295935</v>
      </c>
      <c r="M36" s="1366">
        <f t="shared" si="8"/>
        <v>0</v>
      </c>
      <c r="N36" s="683">
        <v>295935</v>
      </c>
      <c r="O36" s="683">
        <v>295935</v>
      </c>
      <c r="P36" s="2183"/>
      <c r="Q36" s="2175"/>
    </row>
    <row r="37" spans="1:17" ht="15.75" x14ac:dyDescent="0.25">
      <c r="A37" s="395"/>
      <c r="B37" s="396" t="s">
        <v>1537</v>
      </c>
      <c r="C37" s="397"/>
      <c r="D37" s="375" t="s">
        <v>1624</v>
      </c>
      <c r="E37" s="376"/>
      <c r="F37" s="608">
        <v>2018</v>
      </c>
      <c r="G37" s="375"/>
      <c r="H37" s="376"/>
      <c r="I37" s="1366">
        <f t="shared" si="9"/>
        <v>131826</v>
      </c>
      <c r="J37" s="683">
        <v>131826</v>
      </c>
      <c r="K37" s="1582">
        <f t="shared" si="10"/>
        <v>131826</v>
      </c>
      <c r="L37" s="683">
        <v>263652</v>
      </c>
      <c r="M37" s="1366">
        <f t="shared" si="8"/>
        <v>0</v>
      </c>
      <c r="N37" s="683">
        <v>263652</v>
      </c>
      <c r="O37" s="683">
        <v>263652</v>
      </c>
      <c r="P37" s="2183"/>
      <c r="Q37" s="2175"/>
    </row>
    <row r="38" spans="1:17" ht="15.75" x14ac:dyDescent="0.25">
      <c r="A38" s="395"/>
      <c r="B38" s="396" t="s">
        <v>1538</v>
      </c>
      <c r="C38" s="397"/>
      <c r="D38" s="375" t="s">
        <v>1626</v>
      </c>
      <c r="E38" s="376"/>
      <c r="F38" s="608">
        <v>2018</v>
      </c>
      <c r="G38" s="375"/>
      <c r="H38" s="376"/>
      <c r="I38" s="1366">
        <f t="shared" ref="I38:I44" si="11">SUM(J38-H38)</f>
        <v>19850</v>
      </c>
      <c r="J38" s="683">
        <v>19850</v>
      </c>
      <c r="K38" s="1582">
        <f t="shared" ref="K38:K44" si="12">SUM(L38-J38)</f>
        <v>0</v>
      </c>
      <c r="L38" s="683">
        <v>19850</v>
      </c>
      <c r="M38" s="1366">
        <f>SUM(N38-L38)</f>
        <v>0</v>
      </c>
      <c r="N38" s="683">
        <v>19850</v>
      </c>
      <c r="O38" s="683">
        <v>19850</v>
      </c>
      <c r="P38" s="2183"/>
      <c r="Q38" s="2175"/>
    </row>
    <row r="39" spans="1:17" ht="15.75" x14ac:dyDescent="0.25">
      <c r="A39" s="395"/>
      <c r="B39" s="396" t="s">
        <v>1539</v>
      </c>
      <c r="C39" s="397"/>
      <c r="D39" s="375" t="s">
        <v>1627</v>
      </c>
      <c r="E39" s="376"/>
      <c r="F39" s="608">
        <v>2018</v>
      </c>
      <c r="G39" s="375"/>
      <c r="H39" s="376"/>
      <c r="I39" s="1366">
        <f t="shared" si="11"/>
        <v>952500</v>
      </c>
      <c r="J39" s="683">
        <v>952500</v>
      </c>
      <c r="K39" s="1582">
        <f t="shared" si="12"/>
        <v>0</v>
      </c>
      <c r="L39" s="683">
        <v>952500</v>
      </c>
      <c r="M39" s="1366">
        <f>SUM(N39-L39)</f>
        <v>0</v>
      </c>
      <c r="N39" s="683">
        <v>952500</v>
      </c>
      <c r="O39" s="683">
        <v>952500</v>
      </c>
      <c r="P39" s="2183"/>
      <c r="Q39" s="2175"/>
    </row>
    <row r="40" spans="1:17" ht="15.75" x14ac:dyDescent="0.25">
      <c r="A40" s="395"/>
      <c r="B40" s="396" t="s">
        <v>1540</v>
      </c>
      <c r="C40" s="397"/>
      <c r="D40" s="375" t="s">
        <v>1464</v>
      </c>
      <c r="E40" s="376"/>
      <c r="F40" s="608">
        <v>2018</v>
      </c>
      <c r="G40" s="375"/>
      <c r="H40" s="376"/>
      <c r="I40" s="1366">
        <f t="shared" si="11"/>
        <v>31716472</v>
      </c>
      <c r="J40" s="683">
        <v>31716472</v>
      </c>
      <c r="K40" s="1582">
        <f t="shared" si="12"/>
        <v>0</v>
      </c>
      <c r="L40" s="683">
        <v>31716472</v>
      </c>
      <c r="M40" s="1366">
        <f t="shared" ref="M40:M55" si="13">SUM(N40-L40)</f>
        <v>0</v>
      </c>
      <c r="N40" s="683">
        <v>31716472</v>
      </c>
      <c r="O40" s="683">
        <v>31716472</v>
      </c>
      <c r="P40" s="2183"/>
      <c r="Q40" s="2175"/>
    </row>
    <row r="41" spans="1:17" ht="15.75" x14ac:dyDescent="0.25">
      <c r="A41" s="395"/>
      <c r="B41" s="396" t="s">
        <v>1541</v>
      </c>
      <c r="C41" s="397"/>
      <c r="D41" s="375" t="s">
        <v>1883</v>
      </c>
      <c r="E41" s="376"/>
      <c r="F41" s="608">
        <v>2018</v>
      </c>
      <c r="G41" s="375"/>
      <c r="H41" s="376"/>
      <c r="I41" s="1366">
        <f t="shared" si="11"/>
        <v>0</v>
      </c>
      <c r="J41" s="683"/>
      <c r="K41" s="1582">
        <f t="shared" si="12"/>
        <v>48388296</v>
      </c>
      <c r="L41" s="683">
        <v>48388296</v>
      </c>
      <c r="M41" s="1366">
        <f t="shared" si="13"/>
        <v>0</v>
      </c>
      <c r="N41" s="683">
        <v>48388296</v>
      </c>
      <c r="O41" s="683">
        <v>48388296</v>
      </c>
      <c r="P41" s="2183"/>
      <c r="Q41" s="2175"/>
    </row>
    <row r="42" spans="1:17" ht="15.75" x14ac:dyDescent="0.25">
      <c r="A42" s="395"/>
      <c r="B42" s="396" t="s">
        <v>1542</v>
      </c>
      <c r="C42" s="397"/>
      <c r="D42" s="375" t="s">
        <v>1885</v>
      </c>
      <c r="E42" s="376"/>
      <c r="F42" s="608">
        <v>2018</v>
      </c>
      <c r="G42" s="375"/>
      <c r="H42" s="376"/>
      <c r="I42" s="1366">
        <f t="shared" si="11"/>
        <v>0</v>
      </c>
      <c r="J42" s="683"/>
      <c r="K42" s="1582">
        <f t="shared" si="12"/>
        <v>50000000</v>
      </c>
      <c r="L42" s="683">
        <v>50000000</v>
      </c>
      <c r="M42" s="1366">
        <f t="shared" si="13"/>
        <v>0</v>
      </c>
      <c r="N42" s="683">
        <v>50000000</v>
      </c>
      <c r="O42" s="683">
        <v>25000000</v>
      </c>
      <c r="P42" s="2183"/>
      <c r="Q42" s="2175"/>
    </row>
    <row r="43" spans="1:17" ht="15.75" x14ac:dyDescent="0.25">
      <c r="A43" s="395"/>
      <c r="B43" s="396" t="s">
        <v>1543</v>
      </c>
      <c r="C43" s="397"/>
      <c r="D43" s="375" t="s">
        <v>1886</v>
      </c>
      <c r="E43" s="376"/>
      <c r="F43" s="608">
        <v>2018</v>
      </c>
      <c r="G43" s="375"/>
      <c r="H43" s="376"/>
      <c r="I43" s="1366">
        <f t="shared" si="11"/>
        <v>0</v>
      </c>
      <c r="J43" s="683"/>
      <c r="K43" s="1582">
        <f t="shared" si="12"/>
        <v>114993</v>
      </c>
      <c r="L43" s="683">
        <v>114993</v>
      </c>
      <c r="M43" s="1366">
        <f t="shared" si="13"/>
        <v>0</v>
      </c>
      <c r="N43" s="683">
        <v>114993</v>
      </c>
      <c r="O43" s="683">
        <v>114993</v>
      </c>
      <c r="P43" s="2183">
        <v>0</v>
      </c>
      <c r="Q43" s="2175"/>
    </row>
    <row r="44" spans="1:17" ht="15.75" x14ac:dyDescent="0.25">
      <c r="A44" s="395"/>
      <c r="B44" s="396" t="s">
        <v>1554</v>
      </c>
      <c r="C44" s="397"/>
      <c r="D44" s="375" t="s">
        <v>1889</v>
      </c>
      <c r="E44" s="376"/>
      <c r="F44" s="608">
        <v>2018</v>
      </c>
      <c r="G44" s="375"/>
      <c r="H44" s="376"/>
      <c r="I44" s="1366">
        <f t="shared" si="11"/>
        <v>0</v>
      </c>
      <c r="J44" s="683"/>
      <c r="K44" s="1582">
        <f t="shared" si="12"/>
        <v>2094500</v>
      </c>
      <c r="L44" s="683">
        <v>2094500</v>
      </c>
      <c r="M44" s="1366">
        <f t="shared" si="13"/>
        <v>0</v>
      </c>
      <c r="N44" s="683">
        <v>2094500</v>
      </c>
      <c r="O44" s="683">
        <v>2094500</v>
      </c>
      <c r="P44" s="2183"/>
      <c r="Q44" s="2175"/>
    </row>
    <row r="45" spans="1:17" ht="15.75" x14ac:dyDescent="0.25">
      <c r="A45" s="395"/>
      <c r="B45" s="396" t="s">
        <v>1555</v>
      </c>
      <c r="C45" s="397"/>
      <c r="D45" s="375" t="s">
        <v>1895</v>
      </c>
      <c r="E45" s="376"/>
      <c r="F45" s="608">
        <v>2018</v>
      </c>
      <c r="G45" s="375"/>
      <c r="H45" s="376"/>
      <c r="I45" s="1366">
        <f t="shared" si="9"/>
        <v>0</v>
      </c>
      <c r="J45" s="683"/>
      <c r="K45" s="1582">
        <f t="shared" si="10"/>
        <v>1251000</v>
      </c>
      <c r="L45" s="683">
        <v>1251000</v>
      </c>
      <c r="M45" s="1366">
        <f t="shared" si="13"/>
        <v>0</v>
      </c>
      <c r="N45" s="683">
        <v>1251000</v>
      </c>
      <c r="O45" s="683">
        <v>0</v>
      </c>
      <c r="P45" s="2183"/>
      <c r="Q45" s="2175"/>
    </row>
    <row r="46" spans="1:17" ht="15.75" x14ac:dyDescent="0.25">
      <c r="A46" s="395"/>
      <c r="B46" s="396" t="s">
        <v>1556</v>
      </c>
      <c r="C46" s="397"/>
      <c r="D46" s="375" t="s">
        <v>1896</v>
      </c>
      <c r="E46" s="376"/>
      <c r="F46" s="608">
        <v>2018</v>
      </c>
      <c r="G46" s="375"/>
      <c r="H46" s="376"/>
      <c r="I46" s="1366">
        <f t="shared" si="9"/>
        <v>0</v>
      </c>
      <c r="J46" s="683"/>
      <c r="K46" s="1582">
        <f t="shared" si="10"/>
        <v>1136000</v>
      </c>
      <c r="L46" s="683">
        <v>1136000</v>
      </c>
      <c r="M46" s="1366">
        <f t="shared" si="13"/>
        <v>0</v>
      </c>
      <c r="N46" s="683">
        <v>1136000</v>
      </c>
      <c r="O46" s="683">
        <v>0</v>
      </c>
      <c r="P46" s="2183"/>
      <c r="Q46" s="2175"/>
    </row>
    <row r="47" spans="1:17" ht="15.75" x14ac:dyDescent="0.25">
      <c r="A47" s="395"/>
      <c r="B47" s="396" t="s">
        <v>1557</v>
      </c>
      <c r="C47" s="397"/>
      <c r="D47" s="375" t="s">
        <v>1897</v>
      </c>
      <c r="E47" s="376"/>
      <c r="F47" s="608">
        <v>2018</v>
      </c>
      <c r="G47" s="375"/>
      <c r="H47" s="376"/>
      <c r="I47" s="1366">
        <f t="shared" si="9"/>
        <v>0</v>
      </c>
      <c r="J47" s="683"/>
      <c r="K47" s="1582">
        <f t="shared" si="10"/>
        <v>3121000</v>
      </c>
      <c r="L47" s="683">
        <v>3121000</v>
      </c>
      <c r="M47" s="1366">
        <f t="shared" si="13"/>
        <v>0</v>
      </c>
      <c r="N47" s="683">
        <v>3121000</v>
      </c>
      <c r="O47" s="683">
        <v>3120708</v>
      </c>
      <c r="P47" s="2183"/>
      <c r="Q47" s="2175"/>
    </row>
    <row r="48" spans="1:17" ht="15.75" x14ac:dyDescent="0.25">
      <c r="A48" s="395"/>
      <c r="B48" s="396" t="s">
        <v>1558</v>
      </c>
      <c r="C48" s="397"/>
      <c r="D48" s="375" t="s">
        <v>1898</v>
      </c>
      <c r="E48" s="376"/>
      <c r="F48" s="608">
        <v>2018</v>
      </c>
      <c r="G48" s="375"/>
      <c r="H48" s="376"/>
      <c r="I48" s="1366">
        <f>SUM(J48-H48)</f>
        <v>0</v>
      </c>
      <c r="J48" s="683"/>
      <c r="K48" s="1582">
        <f>SUM(L48-J48)</f>
        <v>1250000</v>
      </c>
      <c r="L48" s="683">
        <v>1250000</v>
      </c>
      <c r="M48" s="1366">
        <f t="shared" si="13"/>
        <v>0</v>
      </c>
      <c r="N48" s="683">
        <v>1250000</v>
      </c>
      <c r="O48" s="683">
        <v>0</v>
      </c>
      <c r="P48" s="2183"/>
      <c r="Q48" s="2175"/>
    </row>
    <row r="49" spans="1:19" ht="15.75" x14ac:dyDescent="0.25">
      <c r="A49" s="395"/>
      <c r="B49" s="396" t="s">
        <v>1559</v>
      </c>
      <c r="C49" s="397"/>
      <c r="D49" s="375" t="s">
        <v>1899</v>
      </c>
      <c r="E49" s="376"/>
      <c r="F49" s="608">
        <v>2018</v>
      </c>
      <c r="G49" s="375"/>
      <c r="H49" s="376"/>
      <c r="I49" s="1366">
        <f>SUM(J49-H49)</f>
        <v>0</v>
      </c>
      <c r="J49" s="683"/>
      <c r="K49" s="1582">
        <f>SUM(L49-J49)</f>
        <v>1250000</v>
      </c>
      <c r="L49" s="683">
        <v>1250000</v>
      </c>
      <c r="M49" s="1366">
        <f t="shared" si="13"/>
        <v>0</v>
      </c>
      <c r="N49" s="683">
        <v>1250000</v>
      </c>
      <c r="O49" s="683">
        <v>0</v>
      </c>
      <c r="P49" s="2183"/>
      <c r="Q49" s="2175"/>
    </row>
    <row r="50" spans="1:19" ht="15.75" x14ac:dyDescent="0.25">
      <c r="A50" s="395"/>
      <c r="B50" s="396" t="s">
        <v>1560</v>
      </c>
      <c r="C50" s="397"/>
      <c r="D50" s="375" t="s">
        <v>1900</v>
      </c>
      <c r="E50" s="376"/>
      <c r="F50" s="608">
        <v>2018</v>
      </c>
      <c r="G50" s="375"/>
      <c r="H50" s="376"/>
      <c r="I50" s="1366">
        <f>SUM(J50-H50)</f>
        <v>0</v>
      </c>
      <c r="J50" s="683"/>
      <c r="K50" s="1582">
        <f>SUM(L50-J50)</f>
        <v>762000</v>
      </c>
      <c r="L50" s="683">
        <v>762000</v>
      </c>
      <c r="M50" s="1366">
        <f t="shared" si="13"/>
        <v>0</v>
      </c>
      <c r="N50" s="683">
        <v>762000</v>
      </c>
      <c r="O50" s="683">
        <v>762000</v>
      </c>
      <c r="P50" s="2183"/>
      <c r="Q50" s="2175"/>
    </row>
    <row r="51" spans="1:19" ht="15.75" x14ac:dyDescent="0.25">
      <c r="A51" s="395"/>
      <c r="B51" s="396" t="s">
        <v>1561</v>
      </c>
      <c r="C51" s="397"/>
      <c r="D51" s="375" t="s">
        <v>1901</v>
      </c>
      <c r="E51" s="376"/>
      <c r="F51" s="608">
        <v>2018</v>
      </c>
      <c r="G51" s="375"/>
      <c r="H51" s="376"/>
      <c r="I51" s="1366">
        <f>SUM(J51-H51)</f>
        <v>0</v>
      </c>
      <c r="J51" s="683"/>
      <c r="K51" s="1582">
        <f>SUM(L51-J51)</f>
        <v>798576</v>
      </c>
      <c r="L51" s="683">
        <v>798576</v>
      </c>
      <c r="M51" s="1366">
        <f t="shared" si="13"/>
        <v>0</v>
      </c>
      <c r="N51" s="683">
        <v>798576</v>
      </c>
      <c r="O51" s="683">
        <v>798576</v>
      </c>
      <c r="P51" s="2183"/>
      <c r="Q51" s="2175"/>
    </row>
    <row r="52" spans="1:19" ht="15.75" x14ac:dyDescent="0.25">
      <c r="A52" s="395"/>
      <c r="B52" s="396" t="s">
        <v>1562</v>
      </c>
      <c r="C52" s="397"/>
      <c r="D52" s="375" t="s">
        <v>1983</v>
      </c>
      <c r="E52" s="376"/>
      <c r="F52" s="608">
        <v>2018</v>
      </c>
      <c r="G52" s="375"/>
      <c r="H52" s="376"/>
      <c r="I52" s="1366">
        <f>SUM(J52-H52)</f>
        <v>0</v>
      </c>
      <c r="J52" s="683"/>
      <c r="K52" s="1582">
        <f>SUM(L52-J52)</f>
        <v>2667000</v>
      </c>
      <c r="L52" s="683">
        <v>2667000</v>
      </c>
      <c r="M52" s="1366">
        <f t="shared" si="13"/>
        <v>0</v>
      </c>
      <c r="N52" s="683">
        <v>2667000</v>
      </c>
      <c r="O52" s="683">
        <v>0</v>
      </c>
      <c r="P52" s="2183"/>
      <c r="Q52" s="2175"/>
    </row>
    <row r="53" spans="1:19" ht="15.75" x14ac:dyDescent="0.25">
      <c r="A53" s="395"/>
      <c r="B53" s="396" t="s">
        <v>1563</v>
      </c>
      <c r="C53" s="397"/>
      <c r="D53" s="375" t="s">
        <v>1996</v>
      </c>
      <c r="E53" s="376"/>
      <c r="F53" s="608">
        <v>2018</v>
      </c>
      <c r="G53" s="375"/>
      <c r="H53" s="376"/>
      <c r="I53" s="1366">
        <f t="shared" si="9"/>
        <v>0</v>
      </c>
      <c r="J53" s="683"/>
      <c r="K53" s="1582">
        <f t="shared" si="10"/>
        <v>19812</v>
      </c>
      <c r="L53" s="683">
        <v>19812</v>
      </c>
      <c r="M53" s="1366">
        <f t="shared" si="13"/>
        <v>0</v>
      </c>
      <c r="N53" s="683">
        <v>19812</v>
      </c>
      <c r="O53" s="683">
        <v>19812</v>
      </c>
      <c r="P53" s="2183"/>
      <c r="Q53" s="2175"/>
    </row>
    <row r="54" spans="1:19" ht="15.75" x14ac:dyDescent="0.25">
      <c r="A54" s="395"/>
      <c r="B54" s="396" t="s">
        <v>1852</v>
      </c>
      <c r="C54" s="397"/>
      <c r="D54" s="375" t="s">
        <v>1997</v>
      </c>
      <c r="E54" s="376"/>
      <c r="F54" s="608">
        <v>2018</v>
      </c>
      <c r="G54" s="375"/>
      <c r="H54" s="376"/>
      <c r="I54" s="1366">
        <f t="shared" si="9"/>
        <v>0</v>
      </c>
      <c r="J54" s="683"/>
      <c r="K54" s="1582">
        <f t="shared" si="10"/>
        <v>3302000</v>
      </c>
      <c r="L54" s="683">
        <v>3302000</v>
      </c>
      <c r="M54" s="1366">
        <f t="shared" si="13"/>
        <v>0</v>
      </c>
      <c r="N54" s="683">
        <v>3302000</v>
      </c>
      <c r="O54" s="683">
        <v>0</v>
      </c>
      <c r="P54" s="2183"/>
      <c r="Q54" s="2175"/>
    </row>
    <row r="55" spans="1:19" ht="15.75" x14ac:dyDescent="0.25">
      <c r="A55" s="395"/>
      <c r="B55" s="396" t="s">
        <v>1854</v>
      </c>
      <c r="C55" s="397"/>
      <c r="D55" s="375" t="s">
        <v>1998</v>
      </c>
      <c r="E55" s="376"/>
      <c r="F55" s="608">
        <v>2018</v>
      </c>
      <c r="G55" s="375"/>
      <c r="H55" s="376"/>
      <c r="I55" s="1366">
        <f t="shared" ref="I55:I98" si="14">SUM(J55-H55)</f>
        <v>0</v>
      </c>
      <c r="J55" s="683"/>
      <c r="K55" s="1582">
        <f t="shared" ref="K55:K79" si="15">SUM(L55-J55)</f>
        <v>12751000</v>
      </c>
      <c r="L55" s="683">
        <v>12751000</v>
      </c>
      <c r="M55" s="1366">
        <f t="shared" si="13"/>
        <v>0</v>
      </c>
      <c r="N55" s="683">
        <v>12751000</v>
      </c>
      <c r="O55" s="683">
        <v>0</v>
      </c>
      <c r="P55" s="2183"/>
      <c r="Q55" s="2175"/>
    </row>
    <row r="56" spans="1:19" ht="16.5" x14ac:dyDescent="0.25">
      <c r="A56" s="685" t="s">
        <v>17</v>
      </c>
      <c r="B56" s="404"/>
      <c r="C56" s="405"/>
      <c r="D56" s="372" t="s">
        <v>1585</v>
      </c>
      <c r="E56" s="391"/>
      <c r="F56" s="1339">
        <v>2018</v>
      </c>
      <c r="G56" s="382"/>
      <c r="H56" s="391">
        <f>SUM(H57:H79)</f>
        <v>93997749</v>
      </c>
      <c r="I56" s="3006">
        <f t="shared" si="14"/>
        <v>20336917</v>
      </c>
      <c r="J56" s="391">
        <f t="shared" ref="J56:O56" si="16">SUM(J57:J79)</f>
        <v>114334666</v>
      </c>
      <c r="K56" s="3160">
        <f t="shared" si="16"/>
        <v>50685177</v>
      </c>
      <c r="L56" s="391">
        <f t="shared" ref="L56" si="17">SUM(L57:L79)</f>
        <v>165019843</v>
      </c>
      <c r="M56" s="3006">
        <f t="shared" si="16"/>
        <v>0</v>
      </c>
      <c r="N56" s="391">
        <f t="shared" si="16"/>
        <v>165019843</v>
      </c>
      <c r="O56" s="391">
        <f t="shared" si="16"/>
        <v>96026504</v>
      </c>
      <c r="P56" s="2181"/>
      <c r="Q56" s="392"/>
    </row>
    <row r="57" spans="1:19" ht="31.5" x14ac:dyDescent="0.25">
      <c r="A57" s="395"/>
      <c r="B57" s="396" t="s">
        <v>309</v>
      </c>
      <c r="C57" s="397"/>
      <c r="D57" s="700" t="s">
        <v>928</v>
      </c>
      <c r="E57" s="376"/>
      <c r="F57" s="608">
        <v>2018</v>
      </c>
      <c r="G57" s="398"/>
      <c r="H57" s="789">
        <v>1000000</v>
      </c>
      <c r="I57" s="1366">
        <f t="shared" si="14"/>
        <v>0</v>
      </c>
      <c r="J57" s="607">
        <v>1000000</v>
      </c>
      <c r="K57" s="1582">
        <f t="shared" si="15"/>
        <v>-1000000</v>
      </c>
      <c r="L57" s="607">
        <v>0</v>
      </c>
      <c r="M57" s="1366">
        <f t="shared" ref="M57:M79" si="18">SUM(N57-L57)</f>
        <v>0</v>
      </c>
      <c r="N57" s="607">
        <v>0</v>
      </c>
      <c r="O57" s="607">
        <v>0</v>
      </c>
      <c r="P57" s="2184"/>
      <c r="Q57" s="399"/>
    </row>
    <row r="58" spans="1:19" ht="15.75" x14ac:dyDescent="0.25">
      <c r="A58" s="395"/>
      <c r="B58" s="396" t="s">
        <v>311</v>
      </c>
      <c r="C58" s="397"/>
      <c r="D58" s="699" t="s">
        <v>929</v>
      </c>
      <c r="E58" s="376"/>
      <c r="F58" s="608">
        <v>2018</v>
      </c>
      <c r="G58" s="398"/>
      <c r="H58" s="789">
        <v>5000000</v>
      </c>
      <c r="I58" s="1366">
        <f t="shared" si="14"/>
        <v>-1562100</v>
      </c>
      <c r="J58" s="607">
        <v>3437900</v>
      </c>
      <c r="K58" s="1582">
        <f t="shared" si="15"/>
        <v>-3437900</v>
      </c>
      <c r="L58" s="607">
        <v>0</v>
      </c>
      <c r="M58" s="1366">
        <f t="shared" si="18"/>
        <v>0</v>
      </c>
      <c r="N58" s="607">
        <v>0</v>
      </c>
      <c r="O58" s="607">
        <v>0</v>
      </c>
      <c r="P58" s="2184"/>
      <c r="Q58" s="399"/>
    </row>
    <row r="59" spans="1:19" ht="15.75" x14ac:dyDescent="0.25">
      <c r="A59" s="395"/>
      <c r="B59" s="396" t="s">
        <v>312</v>
      </c>
      <c r="C59" s="397"/>
      <c r="D59" s="699" t="s">
        <v>930</v>
      </c>
      <c r="E59" s="376"/>
      <c r="F59" s="608">
        <v>2018</v>
      </c>
      <c r="G59" s="398"/>
      <c r="H59" s="789">
        <v>1500000</v>
      </c>
      <c r="I59" s="1366">
        <f t="shared" si="14"/>
        <v>864775</v>
      </c>
      <c r="J59" s="607">
        <v>2364775</v>
      </c>
      <c r="K59" s="1582">
        <f t="shared" si="15"/>
        <v>205470</v>
      </c>
      <c r="L59" s="607">
        <v>2570245</v>
      </c>
      <c r="M59" s="1366">
        <f t="shared" si="18"/>
        <v>0</v>
      </c>
      <c r="N59" s="607">
        <v>2570245</v>
      </c>
      <c r="O59" s="607">
        <v>2570245</v>
      </c>
      <c r="P59" s="2184"/>
      <c r="Q59" s="399"/>
    </row>
    <row r="60" spans="1:19" ht="15.75" x14ac:dyDescent="0.25">
      <c r="A60" s="395"/>
      <c r="B60" s="396" t="s">
        <v>563</v>
      </c>
      <c r="C60" s="397"/>
      <c r="D60" s="699" t="s">
        <v>931</v>
      </c>
      <c r="E60" s="376"/>
      <c r="F60" s="608">
        <v>2018</v>
      </c>
      <c r="G60" s="398"/>
      <c r="H60" s="789">
        <v>25000000</v>
      </c>
      <c r="I60" s="1366">
        <f t="shared" si="14"/>
        <v>50019938</v>
      </c>
      <c r="J60" s="376">
        <v>75019938</v>
      </c>
      <c r="K60" s="1582">
        <f t="shared" si="15"/>
        <v>-75019938</v>
      </c>
      <c r="L60" s="376">
        <v>0</v>
      </c>
      <c r="M60" s="1366">
        <f t="shared" si="18"/>
        <v>0</v>
      </c>
      <c r="N60" s="376">
        <v>0</v>
      </c>
      <c r="O60" s="376">
        <v>0</v>
      </c>
      <c r="P60" s="2184"/>
      <c r="Q60" s="399"/>
    </row>
    <row r="61" spans="1:19" ht="15.75" x14ac:dyDescent="0.25">
      <c r="A61" s="395"/>
      <c r="B61" s="396" t="s">
        <v>564</v>
      </c>
      <c r="C61" s="397"/>
      <c r="D61" s="700" t="s">
        <v>932</v>
      </c>
      <c r="E61" s="376"/>
      <c r="F61" s="608">
        <v>2018</v>
      </c>
      <c r="G61" s="398"/>
      <c r="H61" s="789">
        <v>5000000</v>
      </c>
      <c r="I61" s="1366">
        <f t="shared" si="14"/>
        <v>0</v>
      </c>
      <c r="J61" s="607">
        <v>5000000</v>
      </c>
      <c r="K61" s="1582">
        <f t="shared" si="15"/>
        <v>-5000000</v>
      </c>
      <c r="L61" s="607">
        <v>0</v>
      </c>
      <c r="M61" s="1366">
        <f t="shared" si="18"/>
        <v>0</v>
      </c>
      <c r="N61" s="607">
        <v>0</v>
      </c>
      <c r="O61" s="607">
        <v>0</v>
      </c>
      <c r="P61" s="2184"/>
      <c r="Q61" s="399"/>
      <c r="S61" s="38">
        <f>SUM(H57:H61)</f>
        <v>37500000</v>
      </c>
    </row>
    <row r="62" spans="1:19" ht="15.75" x14ac:dyDescent="0.25">
      <c r="A62" s="395"/>
      <c r="B62" s="396" t="s">
        <v>565</v>
      </c>
      <c r="C62" s="397"/>
      <c r="D62" s="400" t="s">
        <v>1095</v>
      </c>
      <c r="E62" s="376"/>
      <c r="F62" s="608">
        <v>2018</v>
      </c>
      <c r="G62" s="398"/>
      <c r="H62" s="2397"/>
      <c r="I62" s="1366">
        <f t="shared" si="14"/>
        <v>0</v>
      </c>
      <c r="J62" s="607"/>
      <c r="K62" s="1582">
        <f t="shared" si="15"/>
        <v>0</v>
      </c>
      <c r="L62" s="607"/>
      <c r="M62" s="1366">
        <f t="shared" si="18"/>
        <v>0</v>
      </c>
      <c r="N62" s="607"/>
      <c r="O62" s="607">
        <v>0</v>
      </c>
      <c r="P62" s="2184"/>
      <c r="Q62" s="399"/>
    </row>
    <row r="63" spans="1:19" ht="31.5" x14ac:dyDescent="0.25">
      <c r="A63" s="395"/>
      <c r="B63" s="396" t="s">
        <v>566</v>
      </c>
      <c r="C63" s="397"/>
      <c r="D63" s="400" t="s">
        <v>1114</v>
      </c>
      <c r="E63" s="412"/>
      <c r="F63" s="608">
        <v>2018</v>
      </c>
      <c r="G63" s="412"/>
      <c r="H63" s="3258">
        <v>1511300</v>
      </c>
      <c r="I63" s="3259">
        <f t="shared" si="14"/>
        <v>0</v>
      </c>
      <c r="J63" s="3260">
        <v>1511300</v>
      </c>
      <c r="K63" s="1582">
        <f t="shared" si="15"/>
        <v>0</v>
      </c>
      <c r="L63" s="3260">
        <v>1511300</v>
      </c>
      <c r="M63" s="3259">
        <f t="shared" si="18"/>
        <v>0</v>
      </c>
      <c r="N63" s="3260">
        <v>1511300</v>
      </c>
      <c r="O63" s="1145">
        <v>1511300</v>
      </c>
      <c r="P63" s="2185"/>
      <c r="Q63" s="411"/>
    </row>
    <row r="64" spans="1:19" ht="33" customHeight="1" x14ac:dyDescent="0.25">
      <c r="A64" s="395"/>
      <c r="B64" s="396" t="s">
        <v>567</v>
      </c>
      <c r="C64" s="397"/>
      <c r="D64" s="379" t="s">
        <v>1411</v>
      </c>
      <c r="E64" s="376">
        <v>55748449</v>
      </c>
      <c r="F64" s="608">
        <v>2018</v>
      </c>
      <c r="G64" s="376">
        <v>762000</v>
      </c>
      <c r="H64" s="376">
        <f>SUM(E64-G64)</f>
        <v>54986449</v>
      </c>
      <c r="I64" s="1366">
        <f t="shared" si="14"/>
        <v>-54986449</v>
      </c>
      <c r="J64" s="376">
        <v>0</v>
      </c>
      <c r="K64" s="1582">
        <f t="shared" si="15"/>
        <v>0</v>
      </c>
      <c r="L64" s="376">
        <v>0</v>
      </c>
      <c r="M64" s="1366">
        <f t="shared" si="18"/>
        <v>0</v>
      </c>
      <c r="N64" s="376">
        <v>0</v>
      </c>
      <c r="O64" s="376">
        <v>0</v>
      </c>
      <c r="P64" s="2184"/>
      <c r="Q64" s="399"/>
    </row>
    <row r="65" spans="1:21" ht="15.75" x14ac:dyDescent="0.25">
      <c r="A65" s="395"/>
      <c r="B65" s="396" t="s">
        <v>568</v>
      </c>
      <c r="C65" s="397"/>
      <c r="D65" s="375" t="s">
        <v>1578</v>
      </c>
      <c r="E65" s="376"/>
      <c r="F65" s="608">
        <v>2018</v>
      </c>
      <c r="G65" s="398"/>
      <c r="H65" s="376"/>
      <c r="I65" s="1366">
        <f t="shared" si="14"/>
        <v>10143490</v>
      </c>
      <c r="J65" s="376">
        <v>10143490</v>
      </c>
      <c r="K65" s="1582">
        <f t="shared" si="15"/>
        <v>3085719</v>
      </c>
      <c r="L65" s="376">
        <f>10143490+3085719</f>
        <v>13229209</v>
      </c>
      <c r="M65" s="1366">
        <f t="shared" si="18"/>
        <v>0</v>
      </c>
      <c r="N65" s="376">
        <f>10143490+3085719</f>
        <v>13229209</v>
      </c>
      <c r="O65" s="376">
        <f>10143490+3085719</f>
        <v>13229209</v>
      </c>
      <c r="P65" s="2184"/>
      <c r="Q65" s="399"/>
    </row>
    <row r="66" spans="1:21" ht="15.75" x14ac:dyDescent="0.25">
      <c r="A66" s="395"/>
      <c r="B66" s="396" t="s">
        <v>569</v>
      </c>
      <c r="C66" s="397"/>
      <c r="D66" s="375" t="s">
        <v>1579</v>
      </c>
      <c r="E66" s="376"/>
      <c r="F66" s="608">
        <v>2018</v>
      </c>
      <c r="G66" s="398"/>
      <c r="H66" s="376"/>
      <c r="I66" s="1366">
        <f t="shared" si="14"/>
        <v>13164820</v>
      </c>
      <c r="J66" s="376">
        <v>13164820</v>
      </c>
      <c r="K66" s="1582">
        <f t="shared" si="15"/>
        <v>4020920</v>
      </c>
      <c r="L66" s="376">
        <f>13164820+4020920</f>
        <v>17185740</v>
      </c>
      <c r="M66" s="1366">
        <f t="shared" si="18"/>
        <v>0</v>
      </c>
      <c r="N66" s="376">
        <f>13164820+4020920</f>
        <v>17185740</v>
      </c>
      <c r="O66" s="376">
        <f>13164820+4020920</f>
        <v>17185740</v>
      </c>
      <c r="P66" s="2184"/>
      <c r="Q66" s="399"/>
    </row>
    <row r="67" spans="1:21" ht="15.75" x14ac:dyDescent="0.25">
      <c r="A67" s="395"/>
      <c r="B67" s="396" t="s">
        <v>573</v>
      </c>
      <c r="C67" s="397"/>
      <c r="D67" s="379" t="s">
        <v>1580</v>
      </c>
      <c r="E67" s="376"/>
      <c r="F67" s="608">
        <v>2018</v>
      </c>
      <c r="G67" s="398"/>
      <c r="H67" s="398"/>
      <c r="I67" s="1366">
        <f t="shared" si="14"/>
        <v>1447843</v>
      </c>
      <c r="J67" s="398">
        <v>1447843</v>
      </c>
      <c r="K67" s="1582">
        <f t="shared" si="15"/>
        <v>633590</v>
      </c>
      <c r="L67" s="398">
        <f>1447843+633590</f>
        <v>2081433</v>
      </c>
      <c r="M67" s="1366">
        <f t="shared" si="18"/>
        <v>0</v>
      </c>
      <c r="N67" s="398">
        <f>1447843+633590</f>
        <v>2081433</v>
      </c>
      <c r="O67" s="398">
        <v>0</v>
      </c>
      <c r="P67" s="2184"/>
      <c r="Q67" s="399"/>
    </row>
    <row r="68" spans="1:21" ht="15.75" x14ac:dyDescent="0.25">
      <c r="A68" s="395"/>
      <c r="B68" s="396" t="s">
        <v>574</v>
      </c>
      <c r="C68" s="397"/>
      <c r="D68" s="379" t="s">
        <v>1581</v>
      </c>
      <c r="E68" s="376"/>
      <c r="F68" s="608">
        <v>2018</v>
      </c>
      <c r="G68" s="398"/>
      <c r="H68" s="398"/>
      <c r="I68" s="1366">
        <f t="shared" si="14"/>
        <v>1244600</v>
      </c>
      <c r="J68" s="398">
        <v>1244600</v>
      </c>
      <c r="K68" s="1582">
        <f t="shared" si="15"/>
        <v>0</v>
      </c>
      <c r="L68" s="398">
        <v>1244600</v>
      </c>
      <c r="M68" s="1366">
        <f t="shared" si="18"/>
        <v>0</v>
      </c>
      <c r="N68" s="398">
        <v>1244600</v>
      </c>
      <c r="O68" s="398">
        <v>1244600</v>
      </c>
      <c r="P68" s="2184"/>
      <c r="Q68" s="399"/>
    </row>
    <row r="69" spans="1:21" ht="15.75" x14ac:dyDescent="0.25">
      <c r="A69" s="395"/>
      <c r="B69" s="396" t="s">
        <v>575</v>
      </c>
      <c r="C69" s="397"/>
      <c r="D69" s="379" t="s">
        <v>1876</v>
      </c>
      <c r="E69" s="376"/>
      <c r="F69" s="608">
        <v>2018</v>
      </c>
      <c r="G69" s="398"/>
      <c r="H69" s="398"/>
      <c r="I69" s="1366">
        <f t="shared" si="14"/>
        <v>0</v>
      </c>
      <c r="J69" s="398"/>
      <c r="K69" s="1582">
        <f t="shared" si="15"/>
        <v>7806055</v>
      </c>
      <c r="L69" s="398">
        <v>7806055</v>
      </c>
      <c r="M69" s="1366">
        <f t="shared" si="18"/>
        <v>0</v>
      </c>
      <c r="N69" s="398">
        <v>7806055</v>
      </c>
      <c r="O69" s="398">
        <v>7806055</v>
      </c>
      <c r="P69" s="2184"/>
      <c r="Q69" s="399"/>
    </row>
    <row r="70" spans="1:21" ht="15.75" x14ac:dyDescent="0.25">
      <c r="A70" s="395"/>
      <c r="B70" s="396" t="s">
        <v>576</v>
      </c>
      <c r="C70" s="397"/>
      <c r="D70" s="375" t="s">
        <v>1877</v>
      </c>
      <c r="E70" s="398"/>
      <c r="F70" s="608">
        <v>2018</v>
      </c>
      <c r="G70" s="398"/>
      <c r="H70" s="398"/>
      <c r="I70" s="1366">
        <f t="shared" si="14"/>
        <v>0</v>
      </c>
      <c r="J70" s="398"/>
      <c r="K70" s="1582">
        <f t="shared" si="15"/>
        <v>23425258</v>
      </c>
      <c r="L70" s="398">
        <v>23425258</v>
      </c>
      <c r="M70" s="1366">
        <f t="shared" si="18"/>
        <v>0</v>
      </c>
      <c r="N70" s="398">
        <v>23425258</v>
      </c>
      <c r="O70" s="398">
        <v>23425258</v>
      </c>
      <c r="P70" s="2184"/>
      <c r="Q70" s="399"/>
      <c r="R70" s="444"/>
      <c r="S70" s="444"/>
      <c r="T70" s="444"/>
      <c r="U70" s="444"/>
    </row>
    <row r="71" spans="1:21" ht="15.75" x14ac:dyDescent="0.25">
      <c r="A71" s="395"/>
      <c r="B71" s="396" t="s">
        <v>577</v>
      </c>
      <c r="C71" s="397"/>
      <c r="D71" s="375" t="s">
        <v>1878</v>
      </c>
      <c r="E71" s="398"/>
      <c r="F71" s="608">
        <v>2018</v>
      </c>
      <c r="G71" s="398"/>
      <c r="H71" s="398"/>
      <c r="I71" s="1366">
        <f t="shared" si="14"/>
        <v>0</v>
      </c>
      <c r="J71" s="398"/>
      <c r="K71" s="1582">
        <f t="shared" si="15"/>
        <v>2550905</v>
      </c>
      <c r="L71" s="398">
        <v>2550905</v>
      </c>
      <c r="M71" s="1366">
        <f t="shared" si="18"/>
        <v>0</v>
      </c>
      <c r="N71" s="398">
        <v>2550905</v>
      </c>
      <c r="O71" s="398">
        <v>2550905</v>
      </c>
      <c r="P71" s="2184"/>
      <c r="Q71" s="399"/>
    </row>
    <row r="72" spans="1:21" ht="15.75" x14ac:dyDescent="0.25">
      <c r="A72" s="395"/>
      <c r="B72" s="396" t="s">
        <v>578</v>
      </c>
      <c r="C72" s="397"/>
      <c r="D72" s="375" t="s">
        <v>1879</v>
      </c>
      <c r="E72" s="398"/>
      <c r="F72" s="608">
        <v>2018</v>
      </c>
      <c r="G72" s="398"/>
      <c r="H72" s="398"/>
      <c r="I72" s="1366">
        <f t="shared" si="14"/>
        <v>0</v>
      </c>
      <c r="J72" s="398"/>
      <c r="K72" s="1582">
        <f t="shared" si="15"/>
        <v>1976943</v>
      </c>
      <c r="L72" s="398">
        <v>1976943</v>
      </c>
      <c r="M72" s="1366">
        <f t="shared" si="18"/>
        <v>0</v>
      </c>
      <c r="N72" s="398">
        <v>1976943</v>
      </c>
      <c r="O72" s="398">
        <v>1976943</v>
      </c>
      <c r="P72" s="2184"/>
      <c r="Q72" s="399"/>
    </row>
    <row r="73" spans="1:21" ht="15.75" x14ac:dyDescent="0.25">
      <c r="A73" s="395"/>
      <c r="B73" s="396" t="s">
        <v>579</v>
      </c>
      <c r="C73" s="397"/>
      <c r="D73" s="375" t="s">
        <v>1880</v>
      </c>
      <c r="E73" s="398"/>
      <c r="F73" s="608">
        <v>2018</v>
      </c>
      <c r="G73" s="398"/>
      <c r="H73" s="398"/>
      <c r="I73" s="1366">
        <f t="shared" si="14"/>
        <v>0</v>
      </c>
      <c r="J73" s="398"/>
      <c r="K73" s="1582">
        <f t="shared" si="15"/>
        <v>1325245</v>
      </c>
      <c r="L73" s="398">
        <v>1325245</v>
      </c>
      <c r="M73" s="1366">
        <f t="shared" si="18"/>
        <v>0</v>
      </c>
      <c r="N73" s="398">
        <v>1325245</v>
      </c>
      <c r="O73" s="398">
        <v>1325245</v>
      </c>
      <c r="P73" s="2184"/>
      <c r="Q73" s="399"/>
    </row>
    <row r="74" spans="1:21" ht="15.75" x14ac:dyDescent="0.25">
      <c r="A74" s="395"/>
      <c r="B74" s="396" t="s">
        <v>580</v>
      </c>
      <c r="C74" s="397"/>
      <c r="D74" s="375" t="s">
        <v>1881</v>
      </c>
      <c r="E74" s="398"/>
      <c r="F74" s="608">
        <v>2018</v>
      </c>
      <c r="G74" s="398"/>
      <c r="H74" s="398"/>
      <c r="I74" s="1366">
        <f t="shared" si="14"/>
        <v>0</v>
      </c>
      <c r="J74" s="398"/>
      <c r="K74" s="1582">
        <f t="shared" si="15"/>
        <v>331470</v>
      </c>
      <c r="L74" s="398">
        <v>331470</v>
      </c>
      <c r="M74" s="1366">
        <f t="shared" si="18"/>
        <v>0</v>
      </c>
      <c r="N74" s="398">
        <v>331470</v>
      </c>
      <c r="O74" s="398">
        <v>331470</v>
      </c>
      <c r="P74" s="2184"/>
      <c r="Q74" s="399"/>
    </row>
    <row r="75" spans="1:21" ht="15.75" x14ac:dyDescent="0.25">
      <c r="A75" s="395"/>
      <c r="B75" s="396" t="s">
        <v>581</v>
      </c>
      <c r="C75" s="397"/>
      <c r="D75" s="375" t="s">
        <v>1882</v>
      </c>
      <c r="E75" s="398"/>
      <c r="F75" s="608">
        <v>2018</v>
      </c>
      <c r="G75" s="398"/>
      <c r="H75" s="398"/>
      <c r="I75" s="1366">
        <f t="shared" si="14"/>
        <v>0</v>
      </c>
      <c r="J75" s="398"/>
      <c r="K75" s="1582">
        <f t="shared" si="15"/>
        <v>508000</v>
      </c>
      <c r="L75" s="398">
        <v>508000</v>
      </c>
      <c r="M75" s="1366">
        <f t="shared" si="18"/>
        <v>0</v>
      </c>
      <c r="N75" s="398">
        <v>508000</v>
      </c>
      <c r="O75" s="398">
        <v>0</v>
      </c>
      <c r="P75" s="2184"/>
      <c r="Q75" s="399"/>
    </row>
    <row r="76" spans="1:21" ht="15.75" x14ac:dyDescent="0.25">
      <c r="A76" s="395"/>
      <c r="B76" s="396" t="s">
        <v>582</v>
      </c>
      <c r="C76" s="397"/>
      <c r="D76" s="375" t="s">
        <v>1977</v>
      </c>
      <c r="E76" s="398"/>
      <c r="F76" s="608">
        <v>2018</v>
      </c>
      <c r="G76" s="398"/>
      <c r="H76" s="398"/>
      <c r="I76" s="1366">
        <f t="shared" si="14"/>
        <v>0</v>
      </c>
      <c r="J76" s="398"/>
      <c r="K76" s="1366">
        <f t="shared" si="15"/>
        <v>59926906</v>
      </c>
      <c r="L76" s="398">
        <v>59926906</v>
      </c>
      <c r="M76" s="1366">
        <f t="shared" si="18"/>
        <v>0</v>
      </c>
      <c r="N76" s="398">
        <v>59926906</v>
      </c>
      <c r="O76" s="398">
        <v>0</v>
      </c>
      <c r="P76" s="2184"/>
      <c r="Q76" s="399"/>
    </row>
    <row r="77" spans="1:21" ht="15.75" x14ac:dyDescent="0.25">
      <c r="A77" s="395"/>
      <c r="B77" s="396" t="s">
        <v>583</v>
      </c>
      <c r="C77" s="397"/>
      <c r="D77" s="375" t="s">
        <v>1978</v>
      </c>
      <c r="E77" s="398"/>
      <c r="F77" s="608">
        <v>2018</v>
      </c>
      <c r="G77" s="398"/>
      <c r="H77" s="398"/>
      <c r="I77" s="1366">
        <f t="shared" si="14"/>
        <v>0</v>
      </c>
      <c r="J77" s="398"/>
      <c r="K77" s="1366">
        <f t="shared" si="15"/>
        <v>6477000</v>
      </c>
      <c r="L77" s="398">
        <v>6477000</v>
      </c>
      <c r="M77" s="1366">
        <f t="shared" si="18"/>
        <v>0</v>
      </c>
      <c r="N77" s="398">
        <v>6477000</v>
      </c>
      <c r="O77" s="398">
        <v>0</v>
      </c>
      <c r="P77" s="2184"/>
      <c r="Q77" s="399"/>
    </row>
    <row r="78" spans="1:21" ht="15.75" x14ac:dyDescent="0.25">
      <c r="A78" s="395"/>
      <c r="B78" s="396" t="s">
        <v>584</v>
      </c>
      <c r="C78" s="397"/>
      <c r="D78" s="375" t="s">
        <v>1979</v>
      </c>
      <c r="E78" s="398"/>
      <c r="F78" s="608">
        <v>2018</v>
      </c>
      <c r="G78" s="398"/>
      <c r="H78" s="398"/>
      <c r="I78" s="1366">
        <f t="shared" si="14"/>
        <v>0</v>
      </c>
      <c r="J78" s="398"/>
      <c r="K78" s="1366">
        <f t="shared" si="15"/>
        <v>16591147</v>
      </c>
      <c r="L78" s="398">
        <v>16591147</v>
      </c>
      <c r="M78" s="1366">
        <f t="shared" si="18"/>
        <v>0</v>
      </c>
      <c r="N78" s="398">
        <v>16591147</v>
      </c>
      <c r="O78" s="398">
        <v>16591147</v>
      </c>
      <c r="P78" s="2184"/>
      <c r="Q78" s="399"/>
    </row>
    <row r="79" spans="1:21" ht="15.75" x14ac:dyDescent="0.25">
      <c r="A79" s="395"/>
      <c r="B79" s="396" t="s">
        <v>585</v>
      </c>
      <c r="C79" s="397"/>
      <c r="D79" s="375" t="s">
        <v>1980</v>
      </c>
      <c r="E79" s="398"/>
      <c r="F79" s="608">
        <v>2018</v>
      </c>
      <c r="G79" s="398"/>
      <c r="H79" s="398"/>
      <c r="I79" s="1366">
        <f t="shared" si="14"/>
        <v>0</v>
      </c>
      <c r="J79" s="398"/>
      <c r="K79" s="1366">
        <f t="shared" si="15"/>
        <v>6278387</v>
      </c>
      <c r="L79" s="398">
        <v>6278387</v>
      </c>
      <c r="M79" s="1366">
        <f t="shared" si="18"/>
        <v>0</v>
      </c>
      <c r="N79" s="398">
        <v>6278387</v>
      </c>
      <c r="O79" s="398">
        <v>6278387</v>
      </c>
      <c r="P79" s="2184"/>
      <c r="Q79" s="399"/>
    </row>
    <row r="80" spans="1:21" ht="16.5" x14ac:dyDescent="0.25">
      <c r="A80" s="685" t="s">
        <v>31</v>
      </c>
      <c r="B80" s="404"/>
      <c r="C80" s="405"/>
      <c r="D80" s="372" t="s">
        <v>1584</v>
      </c>
      <c r="E80" s="391"/>
      <c r="F80" s="1339">
        <v>2018</v>
      </c>
      <c r="G80" s="391"/>
      <c r="H80" s="391">
        <f>SUM(H81:H91)</f>
        <v>5000000</v>
      </c>
      <c r="I80" s="3006">
        <f t="shared" si="14"/>
        <v>6637029</v>
      </c>
      <c r="J80" s="391">
        <f t="shared" ref="J80:O80" si="19">SUM(J81:J96)</f>
        <v>11637029</v>
      </c>
      <c r="K80" s="3160">
        <f t="shared" si="19"/>
        <v>11581453</v>
      </c>
      <c r="L80" s="391">
        <f t="shared" ref="L80" si="20">SUM(L81:L96)</f>
        <v>23218482</v>
      </c>
      <c r="M80" s="3006">
        <f t="shared" si="19"/>
        <v>0</v>
      </c>
      <c r="N80" s="391">
        <f t="shared" si="19"/>
        <v>23218482</v>
      </c>
      <c r="O80" s="391">
        <f t="shared" si="19"/>
        <v>17214786</v>
      </c>
      <c r="P80" s="2182"/>
      <c r="Q80" s="682"/>
    </row>
    <row r="81" spans="1:17" ht="15.75" x14ac:dyDescent="0.25">
      <c r="A81" s="395"/>
      <c r="B81" s="396" t="s">
        <v>319</v>
      </c>
      <c r="C81" s="397"/>
      <c r="D81" s="699" t="s">
        <v>1096</v>
      </c>
      <c r="E81" s="221"/>
      <c r="F81" s="608">
        <v>2018</v>
      </c>
      <c r="G81" s="398"/>
      <c r="H81" s="220">
        <v>5000000</v>
      </c>
      <c r="I81" s="1366">
        <f t="shared" si="14"/>
        <v>-335280</v>
      </c>
      <c r="J81" s="607">
        <v>4664720</v>
      </c>
      <c r="K81" s="1582">
        <f t="shared" ref="K81:K98" si="21">SUM(L81-J81)</f>
        <v>-4664720</v>
      </c>
      <c r="L81" s="607">
        <v>0</v>
      </c>
      <c r="M81" s="1366">
        <f t="shared" ref="M81:M98" si="22">SUM(N81-L81)</f>
        <v>0</v>
      </c>
      <c r="N81" s="607">
        <v>0</v>
      </c>
      <c r="O81" s="376">
        <v>0</v>
      </c>
      <c r="P81" s="2184"/>
      <c r="Q81" s="399"/>
    </row>
    <row r="82" spans="1:17" ht="15.75" x14ac:dyDescent="0.25">
      <c r="A82" s="395"/>
      <c r="B82" s="396" t="s">
        <v>321</v>
      </c>
      <c r="C82" s="397"/>
      <c r="D82" s="700" t="s">
        <v>1097</v>
      </c>
      <c r="E82" s="221"/>
      <c r="F82" s="608">
        <v>2018</v>
      </c>
      <c r="G82" s="398"/>
      <c r="H82" s="376">
        <v>0</v>
      </c>
      <c r="I82" s="1366">
        <f t="shared" si="14"/>
        <v>0</v>
      </c>
      <c r="J82" s="376"/>
      <c r="K82" s="1582">
        <f t="shared" si="21"/>
        <v>0</v>
      </c>
      <c r="L82" s="376"/>
      <c r="M82" s="1366">
        <f t="shared" si="22"/>
        <v>0</v>
      </c>
      <c r="N82" s="376"/>
      <c r="O82" s="376"/>
      <c r="P82" s="2184"/>
      <c r="Q82" s="399"/>
    </row>
    <row r="83" spans="1:17" ht="15.75" x14ac:dyDescent="0.25">
      <c r="A83" s="395"/>
      <c r="B83" s="396" t="s">
        <v>586</v>
      </c>
      <c r="C83" s="397"/>
      <c r="D83" s="379" t="s">
        <v>1588</v>
      </c>
      <c r="E83" s="221"/>
      <c r="F83" s="608">
        <v>2018</v>
      </c>
      <c r="G83" s="398"/>
      <c r="H83" s="398"/>
      <c r="I83" s="1366">
        <f t="shared" si="14"/>
        <v>4013478</v>
      </c>
      <c r="J83" s="398">
        <v>4013478</v>
      </c>
      <c r="K83" s="1582">
        <f t="shared" si="21"/>
        <v>6218640</v>
      </c>
      <c r="L83" s="398">
        <v>10232118</v>
      </c>
      <c r="M83" s="1366">
        <f t="shared" si="22"/>
        <v>0</v>
      </c>
      <c r="N83" s="398">
        <v>10232118</v>
      </c>
      <c r="O83" s="376">
        <v>10232118</v>
      </c>
      <c r="P83" s="2184"/>
      <c r="Q83" s="399"/>
    </row>
    <row r="84" spans="1:17" ht="15.75" x14ac:dyDescent="0.25">
      <c r="A84" s="2532"/>
      <c r="B84" s="2533" t="s">
        <v>587</v>
      </c>
      <c r="C84" s="2534"/>
      <c r="D84" s="400" t="s">
        <v>1605</v>
      </c>
      <c r="E84" s="512"/>
      <c r="F84" s="2535">
        <v>2018</v>
      </c>
      <c r="G84" s="1193"/>
      <c r="H84" s="1193"/>
      <c r="I84" s="2536">
        <f t="shared" si="14"/>
        <v>192469</v>
      </c>
      <c r="J84" s="1193">
        <v>192469</v>
      </c>
      <c r="K84" s="1582">
        <f t="shared" si="21"/>
        <v>0</v>
      </c>
      <c r="L84" s="1193">
        <v>192469</v>
      </c>
      <c r="M84" s="2536">
        <f t="shared" si="22"/>
        <v>0</v>
      </c>
      <c r="N84" s="1193">
        <v>192469</v>
      </c>
      <c r="O84" s="2537">
        <v>192469</v>
      </c>
      <c r="P84" s="2538"/>
      <c r="Q84" s="399"/>
    </row>
    <row r="85" spans="1:17" ht="15.75" x14ac:dyDescent="0.25">
      <c r="A85" s="395"/>
      <c r="B85" s="396" t="s">
        <v>588</v>
      </c>
      <c r="C85" s="397"/>
      <c r="D85" s="379" t="s">
        <v>1615</v>
      </c>
      <c r="E85" s="221"/>
      <c r="F85" s="608">
        <v>2018</v>
      </c>
      <c r="G85" s="412"/>
      <c r="H85" s="412"/>
      <c r="I85" s="1366">
        <f t="shared" si="14"/>
        <v>1000000</v>
      </c>
      <c r="J85" s="412">
        <v>1000000</v>
      </c>
      <c r="K85" s="1582">
        <f t="shared" si="21"/>
        <v>-1000000</v>
      </c>
      <c r="L85" s="412"/>
      <c r="M85" s="1366">
        <f t="shared" si="22"/>
        <v>0</v>
      </c>
      <c r="N85" s="412"/>
      <c r="O85" s="376">
        <v>0</v>
      </c>
      <c r="P85" s="2184"/>
      <c r="Q85" s="399"/>
    </row>
    <row r="86" spans="1:17" ht="16.5" thickBot="1" x14ac:dyDescent="0.3">
      <c r="A86" s="2539"/>
      <c r="B86" s="2540" t="s">
        <v>589</v>
      </c>
      <c r="C86" s="2541"/>
      <c r="D86" s="2542" t="s">
        <v>1625</v>
      </c>
      <c r="E86" s="2543"/>
      <c r="F86" s="2544">
        <v>2018</v>
      </c>
      <c r="G86" s="2545"/>
      <c r="H86" s="2545"/>
      <c r="I86" s="2546">
        <f t="shared" si="14"/>
        <v>1766362</v>
      </c>
      <c r="J86" s="2545">
        <v>1766362</v>
      </c>
      <c r="K86" s="1582">
        <f t="shared" si="21"/>
        <v>0</v>
      </c>
      <c r="L86" s="2545">
        <v>1766362</v>
      </c>
      <c r="M86" s="2546">
        <f t="shared" si="22"/>
        <v>0</v>
      </c>
      <c r="N86" s="2545">
        <v>1766362</v>
      </c>
      <c r="O86" s="2547">
        <v>1766362</v>
      </c>
      <c r="P86" s="2548"/>
      <c r="Q86" s="399"/>
    </row>
    <row r="87" spans="1:17" ht="15.75" x14ac:dyDescent="0.25">
      <c r="A87" s="2532"/>
      <c r="B87" s="2533" t="s">
        <v>653</v>
      </c>
      <c r="C87" s="2534"/>
      <c r="D87" s="3129" t="s">
        <v>1884</v>
      </c>
      <c r="E87" s="512"/>
      <c r="F87" s="2535">
        <v>2018</v>
      </c>
      <c r="G87" s="1193"/>
      <c r="H87" s="1193"/>
      <c r="I87" s="2536">
        <f t="shared" si="14"/>
        <v>0</v>
      </c>
      <c r="J87" s="1193"/>
      <c r="K87" s="1582">
        <f t="shared" si="21"/>
        <v>403873</v>
      </c>
      <c r="L87" s="1193">
        <v>403873</v>
      </c>
      <c r="M87" s="2536">
        <f t="shared" si="22"/>
        <v>0</v>
      </c>
      <c r="N87" s="1193">
        <v>403873</v>
      </c>
      <c r="O87" s="2537">
        <v>403873</v>
      </c>
      <c r="P87" s="2538"/>
      <c r="Q87" s="399"/>
    </row>
    <row r="88" spans="1:17" ht="15.75" x14ac:dyDescent="0.25">
      <c r="A88" s="395"/>
      <c r="B88" s="396" t="s">
        <v>655</v>
      </c>
      <c r="C88" s="397"/>
      <c r="D88" s="375" t="s">
        <v>1890</v>
      </c>
      <c r="E88" s="221"/>
      <c r="F88" s="608">
        <v>2018</v>
      </c>
      <c r="G88" s="398"/>
      <c r="H88" s="376"/>
      <c r="I88" s="1366">
        <f t="shared" si="14"/>
        <v>0</v>
      </c>
      <c r="J88" s="376"/>
      <c r="K88" s="1582">
        <f t="shared" si="21"/>
        <v>1892300</v>
      </c>
      <c r="L88" s="376">
        <v>1892300</v>
      </c>
      <c r="M88" s="1366">
        <f t="shared" si="22"/>
        <v>0</v>
      </c>
      <c r="N88" s="376">
        <v>1892300</v>
      </c>
      <c r="O88" s="376">
        <v>1892300</v>
      </c>
      <c r="P88" s="2184"/>
      <c r="Q88" s="399"/>
    </row>
    <row r="89" spans="1:17" ht="15.75" x14ac:dyDescent="0.25">
      <c r="A89" s="395"/>
      <c r="B89" s="396" t="s">
        <v>657</v>
      </c>
      <c r="C89" s="397"/>
      <c r="D89" s="375" t="s">
        <v>1891</v>
      </c>
      <c r="E89" s="221"/>
      <c r="F89" s="608">
        <v>2018</v>
      </c>
      <c r="G89" s="398"/>
      <c r="H89" s="376"/>
      <c r="I89" s="1366">
        <f t="shared" si="14"/>
        <v>0</v>
      </c>
      <c r="J89" s="376"/>
      <c r="K89" s="1582">
        <f t="shared" si="21"/>
        <v>3077310</v>
      </c>
      <c r="L89" s="376">
        <v>3077310</v>
      </c>
      <c r="M89" s="1366">
        <f t="shared" si="22"/>
        <v>0</v>
      </c>
      <c r="N89" s="376">
        <v>3077310</v>
      </c>
      <c r="O89" s="376">
        <v>2427309</v>
      </c>
      <c r="P89" s="2184"/>
      <c r="Q89" s="399"/>
    </row>
    <row r="90" spans="1:17" ht="15.75" x14ac:dyDescent="0.25">
      <c r="A90" s="395"/>
      <c r="B90" s="396" t="s">
        <v>662</v>
      </c>
      <c r="C90" s="397"/>
      <c r="D90" s="375" t="s">
        <v>1892</v>
      </c>
      <c r="E90" s="221"/>
      <c r="F90" s="608">
        <v>2018</v>
      </c>
      <c r="G90" s="398"/>
      <c r="H90" s="376"/>
      <c r="I90" s="1366">
        <f t="shared" si="14"/>
        <v>0</v>
      </c>
      <c r="J90" s="376"/>
      <c r="K90" s="1582">
        <f t="shared" si="21"/>
        <v>5654050</v>
      </c>
      <c r="L90" s="376">
        <v>5654050</v>
      </c>
      <c r="M90" s="1366">
        <f t="shared" si="22"/>
        <v>0</v>
      </c>
      <c r="N90" s="376">
        <v>5654050</v>
      </c>
      <c r="O90" s="376">
        <v>300355</v>
      </c>
      <c r="P90" s="2184"/>
      <c r="Q90" s="399"/>
    </row>
    <row r="91" spans="1:17" ht="15.75" x14ac:dyDescent="0.25">
      <c r="A91" s="395"/>
      <c r="B91" s="396" t="s">
        <v>664</v>
      </c>
      <c r="C91" s="397"/>
      <c r="D91" s="400"/>
      <c r="E91" s="402">
        <v>0</v>
      </c>
      <c r="F91" s="608">
        <v>2018</v>
      </c>
      <c r="G91" s="398"/>
      <c r="H91" s="398">
        <v>0</v>
      </c>
      <c r="I91" s="1366">
        <f t="shared" si="14"/>
        <v>0</v>
      </c>
      <c r="J91" s="398"/>
      <c r="K91" s="1366">
        <f t="shared" si="21"/>
        <v>0</v>
      </c>
      <c r="L91" s="398"/>
      <c r="M91" s="1366">
        <f t="shared" si="22"/>
        <v>0</v>
      </c>
      <c r="N91" s="398"/>
      <c r="O91" s="398">
        <v>0</v>
      </c>
      <c r="P91" s="2184"/>
      <c r="Q91" s="399"/>
    </row>
    <row r="92" spans="1:17" ht="15.75" x14ac:dyDescent="0.25">
      <c r="A92" s="395"/>
      <c r="B92" s="396" t="s">
        <v>922</v>
      </c>
      <c r="C92" s="397"/>
      <c r="D92" s="379"/>
      <c r="E92" s="1193"/>
      <c r="F92" s="608">
        <v>2018</v>
      </c>
      <c r="G92" s="412"/>
      <c r="H92" s="412"/>
      <c r="I92" s="1366">
        <f t="shared" si="14"/>
        <v>0</v>
      </c>
      <c r="J92" s="412"/>
      <c r="K92" s="1366">
        <f t="shared" si="21"/>
        <v>0</v>
      </c>
      <c r="L92" s="412"/>
      <c r="M92" s="1366">
        <f t="shared" si="22"/>
        <v>0</v>
      </c>
      <c r="N92" s="412"/>
      <c r="O92" s="376">
        <v>0</v>
      </c>
      <c r="P92" s="2184"/>
      <c r="Q92" s="399"/>
    </row>
    <row r="93" spans="1:17" ht="15.75" x14ac:dyDescent="0.25">
      <c r="A93" s="395"/>
      <c r="B93" s="396" t="s">
        <v>684</v>
      </c>
      <c r="C93" s="397"/>
      <c r="D93" s="379"/>
      <c r="E93" s="1193"/>
      <c r="F93" s="608">
        <v>2018</v>
      </c>
      <c r="G93" s="412"/>
      <c r="H93" s="412"/>
      <c r="I93" s="1366">
        <f t="shared" si="14"/>
        <v>0</v>
      </c>
      <c r="J93" s="412"/>
      <c r="K93" s="1366">
        <f t="shared" si="21"/>
        <v>0</v>
      </c>
      <c r="L93" s="412"/>
      <c r="M93" s="1366">
        <f t="shared" si="22"/>
        <v>0</v>
      </c>
      <c r="N93" s="412"/>
      <c r="O93" s="412"/>
      <c r="P93" s="2184"/>
      <c r="Q93" s="399"/>
    </row>
    <row r="94" spans="1:17" ht="15.75" x14ac:dyDescent="0.25">
      <c r="A94" s="395"/>
      <c r="B94" s="396" t="s">
        <v>686</v>
      </c>
      <c r="C94" s="397"/>
      <c r="D94" s="379"/>
      <c r="E94" s="1193"/>
      <c r="F94" s="608">
        <v>2018</v>
      </c>
      <c r="G94" s="412"/>
      <c r="H94" s="412"/>
      <c r="I94" s="1366">
        <f t="shared" si="14"/>
        <v>0</v>
      </c>
      <c r="J94" s="412"/>
      <c r="K94" s="1366">
        <f t="shared" si="21"/>
        <v>0</v>
      </c>
      <c r="L94" s="412"/>
      <c r="M94" s="1366">
        <f t="shared" si="22"/>
        <v>0</v>
      </c>
      <c r="N94" s="412"/>
      <c r="O94" s="412"/>
      <c r="P94" s="2184"/>
      <c r="Q94" s="399"/>
    </row>
    <row r="95" spans="1:17" ht="15.75" x14ac:dyDescent="0.25">
      <c r="A95" s="395"/>
      <c r="B95" s="396" t="s">
        <v>688</v>
      </c>
      <c r="C95" s="397"/>
      <c r="D95" s="576"/>
      <c r="E95" s="1193"/>
      <c r="F95" s="608">
        <v>2018</v>
      </c>
      <c r="G95" s="412"/>
      <c r="H95" s="412"/>
      <c r="I95" s="1366">
        <f t="shared" si="14"/>
        <v>0</v>
      </c>
      <c r="J95" s="412"/>
      <c r="K95" s="1366">
        <f t="shared" si="21"/>
        <v>0</v>
      </c>
      <c r="L95" s="412"/>
      <c r="M95" s="1366">
        <f t="shared" si="22"/>
        <v>0</v>
      </c>
      <c r="N95" s="412"/>
      <c r="O95" s="412"/>
      <c r="P95" s="2184"/>
      <c r="Q95" s="399"/>
    </row>
    <row r="96" spans="1:17" ht="15.75" x14ac:dyDescent="0.25">
      <c r="A96" s="395"/>
      <c r="B96" s="396" t="s">
        <v>690</v>
      </c>
      <c r="C96" s="397"/>
      <c r="D96" s="576"/>
      <c r="E96" s="1193"/>
      <c r="F96" s="608">
        <v>2018</v>
      </c>
      <c r="G96" s="412"/>
      <c r="H96" s="412"/>
      <c r="I96" s="1366">
        <f t="shared" si="14"/>
        <v>0</v>
      </c>
      <c r="J96" s="412"/>
      <c r="K96" s="1366">
        <f t="shared" si="21"/>
        <v>0</v>
      </c>
      <c r="L96" s="412"/>
      <c r="M96" s="1366">
        <f t="shared" si="22"/>
        <v>0</v>
      </c>
      <c r="N96" s="412"/>
      <c r="O96" s="412"/>
      <c r="P96" s="2184"/>
      <c r="Q96" s="399"/>
    </row>
    <row r="97" spans="1:17" ht="16.5" x14ac:dyDescent="0.25">
      <c r="A97" s="685" t="s">
        <v>45</v>
      </c>
      <c r="B97" s="404"/>
      <c r="C97" s="405"/>
      <c r="D97" s="372" t="s">
        <v>590</v>
      </c>
      <c r="E97" s="403">
        <f>SUM(E98:E98)</f>
        <v>0</v>
      </c>
      <c r="F97" s="1339">
        <v>2018</v>
      </c>
      <c r="G97" s="403"/>
      <c r="H97" s="391">
        <f>SUM(H98:H121)</f>
        <v>0</v>
      </c>
      <c r="I97" s="3006">
        <f t="shared" si="14"/>
        <v>67742254</v>
      </c>
      <c r="J97" s="391">
        <f t="shared" ref="J97:O97" si="23">SUM(J98:J121)</f>
        <v>67742254</v>
      </c>
      <c r="K97" s="3160">
        <f t="shared" si="23"/>
        <v>-18741079</v>
      </c>
      <c r="L97" s="391">
        <f>SUM(L98:L121)</f>
        <v>49001175</v>
      </c>
      <c r="M97" s="3006">
        <f t="shared" si="23"/>
        <v>0</v>
      </c>
      <c r="N97" s="391">
        <f>SUM(N98:N121)</f>
        <v>49001175</v>
      </c>
      <c r="O97" s="391">
        <f t="shared" si="23"/>
        <v>27585315</v>
      </c>
      <c r="P97" s="2181"/>
      <c r="Q97" s="392"/>
    </row>
    <row r="98" spans="1:17" ht="15.75" x14ac:dyDescent="0.25">
      <c r="A98" s="395"/>
      <c r="B98" s="698" t="s">
        <v>591</v>
      </c>
      <c r="C98" s="397"/>
      <c r="D98" s="700" t="s">
        <v>1582</v>
      </c>
      <c r="E98" s="575"/>
      <c r="F98" s="608">
        <v>2018</v>
      </c>
      <c r="G98" s="412"/>
      <c r="H98" s="789"/>
      <c r="I98" s="1366">
        <f t="shared" si="14"/>
        <v>671806</v>
      </c>
      <c r="J98" s="1283">
        <v>671806</v>
      </c>
      <c r="K98" s="1582">
        <f t="shared" si="21"/>
        <v>0</v>
      </c>
      <c r="L98" s="1283">
        <v>671806</v>
      </c>
      <c r="M98" s="1366">
        <f t="shared" si="22"/>
        <v>0</v>
      </c>
      <c r="N98" s="1283">
        <v>671806</v>
      </c>
      <c r="O98" s="1283">
        <v>671806</v>
      </c>
      <c r="P98" s="2184"/>
      <c r="Q98" s="399"/>
    </row>
    <row r="99" spans="1:17" ht="16.5" customHeight="1" x14ac:dyDescent="0.25">
      <c r="A99" s="395"/>
      <c r="B99" s="698" t="s">
        <v>1167</v>
      </c>
      <c r="C99" s="397"/>
      <c r="D99" s="699" t="s">
        <v>1583</v>
      </c>
      <c r="E99" s="376"/>
      <c r="F99" s="608">
        <v>2018</v>
      </c>
      <c r="G99" s="398"/>
      <c r="H99" s="789"/>
      <c r="I99" s="1366">
        <f t="shared" ref="I99:I111" si="24">SUM(J99-H99)</f>
        <v>376000</v>
      </c>
      <c r="J99" s="775">
        <v>376000</v>
      </c>
      <c r="K99" s="1582">
        <f t="shared" ref="K99:K111" si="25">SUM(L99-J99)</f>
        <v>0</v>
      </c>
      <c r="L99" s="775">
        <v>376000</v>
      </c>
      <c r="M99" s="1366">
        <f t="shared" ref="M99:M111" si="26">SUM(N99-L99)</f>
        <v>0</v>
      </c>
      <c r="N99" s="775">
        <v>376000</v>
      </c>
      <c r="O99" s="775">
        <v>375920</v>
      </c>
      <c r="P99" s="2184"/>
      <c r="Q99" s="399"/>
    </row>
    <row r="100" spans="1:17" ht="15.75" x14ac:dyDescent="0.25">
      <c r="A100" s="395"/>
      <c r="B100" s="698" t="s">
        <v>1168</v>
      </c>
      <c r="C100" s="397"/>
      <c r="D100" s="699" t="s">
        <v>1589</v>
      </c>
      <c r="E100" s="376"/>
      <c r="F100" s="608">
        <v>2018</v>
      </c>
      <c r="G100" s="398"/>
      <c r="H100" s="789"/>
      <c r="I100" s="1366">
        <f t="shared" si="24"/>
        <v>40000000</v>
      </c>
      <c r="J100" s="775">
        <v>40000000</v>
      </c>
      <c r="K100" s="1582">
        <f t="shared" si="25"/>
        <v>-20000000</v>
      </c>
      <c r="L100" s="775">
        <v>20000000</v>
      </c>
      <c r="M100" s="1366">
        <f t="shared" si="26"/>
        <v>0</v>
      </c>
      <c r="N100" s="775">
        <v>20000000</v>
      </c>
      <c r="O100" s="775">
        <v>0</v>
      </c>
      <c r="P100" s="2184"/>
      <c r="Q100" s="399"/>
    </row>
    <row r="101" spans="1:17" ht="16.5" customHeight="1" x14ac:dyDescent="0.25">
      <c r="A101" s="395"/>
      <c r="B101" s="698" t="s">
        <v>1169</v>
      </c>
      <c r="C101" s="397"/>
      <c r="D101" s="699" t="s">
        <v>1590</v>
      </c>
      <c r="E101" s="376"/>
      <c r="F101" s="608">
        <v>2018</v>
      </c>
      <c r="G101" s="398"/>
      <c r="H101" s="789"/>
      <c r="I101" s="1366">
        <f t="shared" si="24"/>
        <v>6316480</v>
      </c>
      <c r="J101" s="775">
        <v>6316480</v>
      </c>
      <c r="K101" s="1582">
        <f t="shared" si="25"/>
        <v>0</v>
      </c>
      <c r="L101" s="775">
        <v>6316480</v>
      </c>
      <c r="M101" s="1366">
        <f t="shared" si="26"/>
        <v>0</v>
      </c>
      <c r="N101" s="775">
        <v>6316480</v>
      </c>
      <c r="O101" s="775">
        <v>6316480</v>
      </c>
      <c r="P101" s="2184"/>
      <c r="Q101" s="399"/>
    </row>
    <row r="102" spans="1:17" ht="16.5" customHeight="1" x14ac:dyDescent="0.25">
      <c r="A102" s="395"/>
      <c r="B102" s="698" t="s">
        <v>1592</v>
      </c>
      <c r="C102" s="397"/>
      <c r="D102" s="699" t="s">
        <v>1593</v>
      </c>
      <c r="E102" s="376"/>
      <c r="F102" s="608">
        <v>2018</v>
      </c>
      <c r="G102" s="398"/>
      <c r="H102" s="789"/>
      <c r="I102" s="1366">
        <f t="shared" si="24"/>
        <v>14201</v>
      </c>
      <c r="J102" s="775">
        <v>14201</v>
      </c>
      <c r="K102" s="1582">
        <f t="shared" si="25"/>
        <v>0</v>
      </c>
      <c r="L102" s="775">
        <v>14201</v>
      </c>
      <c r="M102" s="1366">
        <f t="shared" si="26"/>
        <v>0</v>
      </c>
      <c r="N102" s="775">
        <v>14201</v>
      </c>
      <c r="O102" s="775">
        <v>0</v>
      </c>
      <c r="P102" s="2184"/>
      <c r="Q102" s="399"/>
    </row>
    <row r="103" spans="1:17" ht="16.5" customHeight="1" x14ac:dyDescent="0.25">
      <c r="A103" s="395"/>
      <c r="B103" s="698" t="s">
        <v>1594</v>
      </c>
      <c r="C103" s="397"/>
      <c r="D103" s="699" t="s">
        <v>1595</v>
      </c>
      <c r="E103" s="376"/>
      <c r="F103" s="608">
        <v>2018</v>
      </c>
      <c r="G103" s="398"/>
      <c r="H103" s="789"/>
      <c r="I103" s="1366">
        <f t="shared" si="24"/>
        <v>9545989</v>
      </c>
      <c r="J103" s="775">
        <v>9545989</v>
      </c>
      <c r="K103" s="1582">
        <f t="shared" si="25"/>
        <v>0</v>
      </c>
      <c r="L103" s="775">
        <v>9545989</v>
      </c>
      <c r="M103" s="1366">
        <f t="shared" si="26"/>
        <v>0</v>
      </c>
      <c r="N103" s="775">
        <v>9545989</v>
      </c>
      <c r="O103" s="775">
        <v>9545989</v>
      </c>
      <c r="P103" s="2184"/>
      <c r="Q103" s="399"/>
    </row>
    <row r="104" spans="1:17" ht="16.5" customHeight="1" x14ac:dyDescent="0.25">
      <c r="A104" s="395"/>
      <c r="B104" s="698" t="s">
        <v>1597</v>
      </c>
      <c r="C104" s="397"/>
      <c r="D104" s="699" t="s">
        <v>1598</v>
      </c>
      <c r="E104" s="376"/>
      <c r="F104" s="608">
        <v>2018</v>
      </c>
      <c r="G104" s="398"/>
      <c r="H104" s="789"/>
      <c r="I104" s="1366">
        <f t="shared" si="24"/>
        <v>518169</v>
      </c>
      <c r="J104" s="775">
        <v>518169</v>
      </c>
      <c r="K104" s="1582">
        <f t="shared" si="25"/>
        <v>0</v>
      </c>
      <c r="L104" s="775">
        <v>518169</v>
      </c>
      <c r="M104" s="1366">
        <f t="shared" si="26"/>
        <v>0</v>
      </c>
      <c r="N104" s="775">
        <v>518169</v>
      </c>
      <c r="O104" s="775">
        <v>518169</v>
      </c>
      <c r="P104" s="2184"/>
      <c r="Q104" s="399"/>
    </row>
    <row r="105" spans="1:17" ht="16.5" customHeight="1" x14ac:dyDescent="0.25">
      <c r="A105" s="395"/>
      <c r="B105" s="698" t="s">
        <v>1599</v>
      </c>
      <c r="C105" s="397"/>
      <c r="D105" s="699" t="s">
        <v>1600</v>
      </c>
      <c r="E105" s="376"/>
      <c r="F105" s="608">
        <v>2018</v>
      </c>
      <c r="G105" s="398"/>
      <c r="H105" s="789"/>
      <c r="I105" s="1366">
        <f t="shared" si="24"/>
        <v>1317879</v>
      </c>
      <c r="J105" s="775">
        <v>1317879</v>
      </c>
      <c r="K105" s="1582">
        <f t="shared" si="25"/>
        <v>0</v>
      </c>
      <c r="L105" s="775">
        <v>1317879</v>
      </c>
      <c r="M105" s="1366">
        <f t="shared" si="26"/>
        <v>0</v>
      </c>
      <c r="N105" s="775">
        <v>1317879</v>
      </c>
      <c r="O105" s="775">
        <v>1317879</v>
      </c>
      <c r="P105" s="2184"/>
      <c r="Q105" s="399"/>
    </row>
    <row r="106" spans="1:17" ht="16.5" customHeight="1" x14ac:dyDescent="0.25">
      <c r="A106" s="395"/>
      <c r="B106" s="698" t="s">
        <v>1603</v>
      </c>
      <c r="C106" s="397"/>
      <c r="D106" s="699" t="s">
        <v>1604</v>
      </c>
      <c r="E106" s="376"/>
      <c r="F106" s="608">
        <v>2018</v>
      </c>
      <c r="G106" s="398"/>
      <c r="H106" s="789"/>
      <c r="I106" s="1366">
        <f t="shared" si="24"/>
        <v>142646</v>
      </c>
      <c r="J106" s="775">
        <v>142646</v>
      </c>
      <c r="K106" s="1582">
        <f t="shared" si="25"/>
        <v>0</v>
      </c>
      <c r="L106" s="775">
        <v>142646</v>
      </c>
      <c r="M106" s="1366">
        <f t="shared" si="26"/>
        <v>0</v>
      </c>
      <c r="N106" s="775">
        <v>142646</v>
      </c>
      <c r="O106" s="775">
        <v>142646</v>
      </c>
      <c r="P106" s="2184"/>
      <c r="Q106" s="399"/>
    </row>
    <row r="107" spans="1:17" ht="16.5" customHeight="1" x14ac:dyDescent="0.25">
      <c r="A107" s="395"/>
      <c r="B107" s="698" t="s">
        <v>1606</v>
      </c>
      <c r="C107" s="397"/>
      <c r="D107" s="699" t="s">
        <v>1607</v>
      </c>
      <c r="E107" s="376"/>
      <c r="F107" s="608">
        <v>2018</v>
      </c>
      <c r="G107" s="398"/>
      <c r="H107" s="789"/>
      <c r="I107" s="1366">
        <f t="shared" si="24"/>
        <v>98365</v>
      </c>
      <c r="J107" s="775">
        <v>98365</v>
      </c>
      <c r="K107" s="1582">
        <f t="shared" si="25"/>
        <v>0</v>
      </c>
      <c r="L107" s="775">
        <v>98365</v>
      </c>
      <c r="M107" s="1366">
        <f t="shared" si="26"/>
        <v>0</v>
      </c>
      <c r="N107" s="775">
        <v>98365</v>
      </c>
      <c r="O107" s="775">
        <v>98365</v>
      </c>
      <c r="P107" s="2184"/>
      <c r="Q107" s="399"/>
    </row>
    <row r="108" spans="1:17" ht="16.5" customHeight="1" x14ac:dyDescent="0.25">
      <c r="A108" s="395"/>
      <c r="B108" s="698" t="s">
        <v>1608</v>
      </c>
      <c r="C108" s="397"/>
      <c r="D108" s="699" t="s">
        <v>1609</v>
      </c>
      <c r="E108" s="376"/>
      <c r="F108" s="608">
        <v>2018</v>
      </c>
      <c r="G108" s="398"/>
      <c r="H108" s="789"/>
      <c r="I108" s="1366">
        <f>SUM(J108-H108)</f>
        <v>99060</v>
      </c>
      <c r="J108" s="775">
        <v>99060</v>
      </c>
      <c r="K108" s="1582">
        <f>SUM(L108-J108)</f>
        <v>0</v>
      </c>
      <c r="L108" s="775">
        <v>99060</v>
      </c>
      <c r="M108" s="1366">
        <f>SUM(N108-L108)</f>
        <v>0</v>
      </c>
      <c r="N108" s="775">
        <v>99060</v>
      </c>
      <c r="O108" s="775">
        <v>99060</v>
      </c>
      <c r="P108" s="2184"/>
      <c r="Q108" s="399"/>
    </row>
    <row r="109" spans="1:17" ht="16.5" customHeight="1" x14ac:dyDescent="0.25">
      <c r="A109" s="395"/>
      <c r="B109" s="698" t="s">
        <v>1616</v>
      </c>
      <c r="C109" s="397"/>
      <c r="D109" s="699" t="s">
        <v>1617</v>
      </c>
      <c r="E109" s="376"/>
      <c r="F109" s="608">
        <v>2018</v>
      </c>
      <c r="G109" s="398"/>
      <c r="H109" s="789"/>
      <c r="I109" s="1366">
        <f>SUM(J109-H109)</f>
        <v>817000</v>
      </c>
      <c r="J109" s="775">
        <v>817000</v>
      </c>
      <c r="K109" s="1582">
        <f>SUM(L109-J109)</f>
        <v>0</v>
      </c>
      <c r="L109" s="775">
        <v>817000</v>
      </c>
      <c r="M109" s="1366">
        <f>SUM(N109-L109)</f>
        <v>0</v>
      </c>
      <c r="N109" s="775">
        <v>817000</v>
      </c>
      <c r="O109" s="775">
        <v>816991</v>
      </c>
      <c r="P109" s="2184"/>
      <c r="Q109" s="399"/>
    </row>
    <row r="110" spans="1:17" ht="16.5" customHeight="1" x14ac:dyDescent="0.25">
      <c r="A110" s="395"/>
      <c r="B110" s="698" t="s">
        <v>1619</v>
      </c>
      <c r="C110" s="397"/>
      <c r="D110" s="699" t="s">
        <v>1621</v>
      </c>
      <c r="E110" s="376"/>
      <c r="F110" s="608">
        <v>2018</v>
      </c>
      <c r="G110" s="398"/>
      <c r="H110" s="789"/>
      <c r="I110" s="1366">
        <f t="shared" si="24"/>
        <v>3527298</v>
      </c>
      <c r="J110" s="775">
        <v>3527298</v>
      </c>
      <c r="K110" s="1582">
        <f t="shared" si="25"/>
        <v>0</v>
      </c>
      <c r="L110" s="775">
        <v>3527298</v>
      </c>
      <c r="M110" s="1366">
        <f t="shared" si="26"/>
        <v>0</v>
      </c>
      <c r="N110" s="775">
        <v>3527298</v>
      </c>
      <c r="O110" s="775">
        <v>3527298</v>
      </c>
      <c r="P110" s="2184"/>
      <c r="Q110" s="399"/>
    </row>
    <row r="111" spans="1:17" ht="16.5" customHeight="1" x14ac:dyDescent="0.25">
      <c r="A111" s="395"/>
      <c r="B111" s="698" t="s">
        <v>1620</v>
      </c>
      <c r="C111" s="397"/>
      <c r="D111" s="699" t="s">
        <v>1622</v>
      </c>
      <c r="E111" s="376"/>
      <c r="F111" s="608">
        <v>2018</v>
      </c>
      <c r="G111" s="398"/>
      <c r="H111" s="789"/>
      <c r="I111" s="1366">
        <f t="shared" si="24"/>
        <v>2507361</v>
      </c>
      <c r="J111" s="775">
        <v>2507361</v>
      </c>
      <c r="K111" s="1582">
        <f t="shared" si="25"/>
        <v>0</v>
      </c>
      <c r="L111" s="775">
        <v>2507361</v>
      </c>
      <c r="M111" s="1366">
        <f t="shared" si="26"/>
        <v>0</v>
      </c>
      <c r="N111" s="775">
        <v>2507361</v>
      </c>
      <c r="O111" s="775">
        <v>1253681</v>
      </c>
      <c r="P111" s="2184"/>
      <c r="Q111" s="399"/>
    </row>
    <row r="112" spans="1:17" ht="16.5" customHeight="1" x14ac:dyDescent="0.25">
      <c r="A112" s="395"/>
      <c r="B112" s="698" t="s">
        <v>1628</v>
      </c>
      <c r="C112" s="397"/>
      <c r="D112" s="699" t="s">
        <v>1629</v>
      </c>
      <c r="E112" s="376"/>
      <c r="F112" s="608">
        <v>2018</v>
      </c>
      <c r="G112" s="398"/>
      <c r="H112" s="789"/>
      <c r="I112" s="1366">
        <f t="shared" ref="I112:I125" si="27">SUM(J112-H112)</f>
        <v>1790000</v>
      </c>
      <c r="J112" s="775">
        <v>1790000</v>
      </c>
      <c r="K112" s="1582">
        <f t="shared" ref="K112:K121" si="28">SUM(L112-J112)</f>
        <v>0</v>
      </c>
      <c r="L112" s="775">
        <v>1790000</v>
      </c>
      <c r="M112" s="1366">
        <f t="shared" ref="M112:M121" si="29">SUM(N112-L112)</f>
        <v>0</v>
      </c>
      <c r="N112" s="775">
        <v>1790000</v>
      </c>
      <c r="O112" s="775">
        <v>1789430</v>
      </c>
      <c r="P112" s="2184"/>
      <c r="Q112" s="399"/>
    </row>
    <row r="113" spans="1:20" ht="16.5" customHeight="1" x14ac:dyDescent="0.25">
      <c r="A113" s="395"/>
      <c r="B113" s="698" t="s">
        <v>1887</v>
      </c>
      <c r="C113" s="397"/>
      <c r="D113" s="699" t="s">
        <v>1888</v>
      </c>
      <c r="E113" s="376"/>
      <c r="F113" s="608">
        <v>2018</v>
      </c>
      <c r="G113" s="398"/>
      <c r="H113" s="789"/>
      <c r="I113" s="1366">
        <f t="shared" si="27"/>
        <v>0</v>
      </c>
      <c r="J113" s="775">
        <v>0</v>
      </c>
      <c r="K113" s="1582">
        <f t="shared" si="28"/>
        <v>66675</v>
      </c>
      <c r="L113" s="775">
        <v>66675</v>
      </c>
      <c r="M113" s="1366">
        <f t="shared" si="29"/>
        <v>0</v>
      </c>
      <c r="N113" s="775">
        <v>66675</v>
      </c>
      <c r="O113" s="775">
        <v>66675</v>
      </c>
      <c r="P113" s="2184"/>
      <c r="Q113" s="399"/>
    </row>
    <row r="114" spans="1:20" ht="16.5" customHeight="1" x14ac:dyDescent="0.25">
      <c r="A114" s="395"/>
      <c r="B114" s="698" t="s">
        <v>1893</v>
      </c>
      <c r="C114" s="397"/>
      <c r="D114" s="699" t="s">
        <v>1894</v>
      </c>
      <c r="E114" s="376"/>
      <c r="F114" s="608">
        <v>2018</v>
      </c>
      <c r="G114" s="398"/>
      <c r="H114" s="789"/>
      <c r="I114" s="1366">
        <f>SUM(J114-H114)</f>
        <v>0</v>
      </c>
      <c r="J114" s="775">
        <v>0</v>
      </c>
      <c r="K114" s="1582">
        <f t="shared" si="28"/>
        <v>229540</v>
      </c>
      <c r="L114" s="775">
        <v>229540</v>
      </c>
      <c r="M114" s="1366">
        <f t="shared" si="29"/>
        <v>0</v>
      </c>
      <c r="N114" s="775">
        <v>229540</v>
      </c>
      <c r="O114" s="775">
        <v>229540</v>
      </c>
      <c r="P114" s="2184"/>
      <c r="Q114" s="399"/>
    </row>
    <row r="115" spans="1:20" ht="16.5" customHeight="1" x14ac:dyDescent="0.25">
      <c r="A115" s="395"/>
      <c r="B115" s="698" t="s">
        <v>1981</v>
      </c>
      <c r="C115" s="397"/>
      <c r="D115" s="699" t="s">
        <v>1982</v>
      </c>
      <c r="E115" s="376"/>
      <c r="F115" s="608">
        <v>2018</v>
      </c>
      <c r="G115" s="398"/>
      <c r="H115" s="789"/>
      <c r="I115" s="1366">
        <f t="shared" ref="I115:I120" si="30">SUM(J115-H115)</f>
        <v>0</v>
      </c>
      <c r="J115" s="775">
        <v>0</v>
      </c>
      <c r="K115" s="1582">
        <f t="shared" si="28"/>
        <v>8180</v>
      </c>
      <c r="L115" s="775">
        <v>8180</v>
      </c>
      <c r="M115" s="1366">
        <f t="shared" si="29"/>
        <v>0</v>
      </c>
      <c r="N115" s="775">
        <v>8180</v>
      </c>
      <c r="O115" s="775">
        <v>8180</v>
      </c>
      <c r="P115" s="2184"/>
      <c r="Q115" s="399"/>
    </row>
    <row r="116" spans="1:20" ht="16.5" customHeight="1" x14ac:dyDescent="0.25">
      <c r="A116" s="395"/>
      <c r="B116" s="698" t="s">
        <v>1984</v>
      </c>
      <c r="C116" s="397"/>
      <c r="D116" s="699" t="s">
        <v>1985</v>
      </c>
      <c r="E116" s="376"/>
      <c r="F116" s="608">
        <v>2018</v>
      </c>
      <c r="G116" s="398"/>
      <c r="H116" s="789"/>
      <c r="I116" s="1366">
        <f t="shared" si="30"/>
        <v>0</v>
      </c>
      <c r="J116" s="775">
        <v>0</v>
      </c>
      <c r="K116" s="1582">
        <f t="shared" si="28"/>
        <v>147320</v>
      </c>
      <c r="L116" s="775">
        <v>147320</v>
      </c>
      <c r="M116" s="1366">
        <f t="shared" si="29"/>
        <v>0</v>
      </c>
      <c r="N116" s="775">
        <v>147320</v>
      </c>
      <c r="O116" s="775">
        <v>0</v>
      </c>
      <c r="P116" s="2184"/>
      <c r="Q116" s="399"/>
    </row>
    <row r="117" spans="1:20" ht="16.5" customHeight="1" x14ac:dyDescent="0.25">
      <c r="A117" s="395"/>
      <c r="B117" s="698" t="s">
        <v>1986</v>
      </c>
      <c r="C117" s="397"/>
      <c r="D117" s="699" t="s">
        <v>1987</v>
      </c>
      <c r="E117" s="376"/>
      <c r="F117" s="608">
        <v>2018</v>
      </c>
      <c r="G117" s="398"/>
      <c r="H117" s="789"/>
      <c r="I117" s="1366">
        <f t="shared" si="30"/>
        <v>0</v>
      </c>
      <c r="J117" s="775">
        <v>0</v>
      </c>
      <c r="K117" s="1582">
        <f t="shared" si="28"/>
        <v>76990</v>
      </c>
      <c r="L117" s="775">
        <v>76990</v>
      </c>
      <c r="M117" s="1366">
        <f t="shared" si="29"/>
        <v>0</v>
      </c>
      <c r="N117" s="775">
        <v>76990</v>
      </c>
      <c r="O117" s="775">
        <v>76990</v>
      </c>
      <c r="P117" s="2184"/>
      <c r="Q117" s="399"/>
    </row>
    <row r="118" spans="1:20" ht="16.5" customHeight="1" x14ac:dyDescent="0.25">
      <c r="A118" s="395"/>
      <c r="B118" s="698" t="s">
        <v>1988</v>
      </c>
      <c r="C118" s="397"/>
      <c r="D118" s="699" t="s">
        <v>1989</v>
      </c>
      <c r="E118" s="376"/>
      <c r="F118" s="608">
        <v>2018</v>
      </c>
      <c r="G118" s="398"/>
      <c r="H118" s="789"/>
      <c r="I118" s="1366">
        <f t="shared" si="30"/>
        <v>0</v>
      </c>
      <c r="J118" s="775">
        <v>0</v>
      </c>
      <c r="K118" s="1582">
        <f t="shared" si="28"/>
        <v>196850</v>
      </c>
      <c r="L118" s="775">
        <v>196850</v>
      </c>
      <c r="M118" s="1366">
        <f t="shared" si="29"/>
        <v>0</v>
      </c>
      <c r="N118" s="775">
        <v>196850</v>
      </c>
      <c r="O118" s="775">
        <v>196850</v>
      </c>
      <c r="P118" s="2184"/>
      <c r="Q118" s="399"/>
    </row>
    <row r="119" spans="1:20" ht="16.5" customHeight="1" x14ac:dyDescent="0.25">
      <c r="A119" s="395"/>
      <c r="B119" s="698" t="s">
        <v>1990</v>
      </c>
      <c r="C119" s="397"/>
      <c r="D119" s="699" t="s">
        <v>1991</v>
      </c>
      <c r="E119" s="376"/>
      <c r="F119" s="608">
        <v>2018</v>
      </c>
      <c r="G119" s="398"/>
      <c r="H119" s="789"/>
      <c r="I119" s="1366">
        <f t="shared" si="30"/>
        <v>0</v>
      </c>
      <c r="J119" s="775">
        <v>0</v>
      </c>
      <c r="K119" s="1582">
        <f t="shared" si="28"/>
        <v>419100</v>
      </c>
      <c r="L119" s="775">
        <v>419100</v>
      </c>
      <c r="M119" s="1366">
        <f t="shared" si="29"/>
        <v>0</v>
      </c>
      <c r="N119" s="775">
        <v>419100</v>
      </c>
      <c r="O119" s="775">
        <v>419100</v>
      </c>
      <c r="P119" s="2184"/>
      <c r="Q119" s="399"/>
    </row>
    <row r="120" spans="1:20" ht="16.5" customHeight="1" x14ac:dyDescent="0.25">
      <c r="A120" s="395"/>
      <c r="B120" s="698" t="s">
        <v>1992</v>
      </c>
      <c r="C120" s="397"/>
      <c r="D120" s="699" t="s">
        <v>1993</v>
      </c>
      <c r="E120" s="376"/>
      <c r="F120" s="608">
        <v>2018</v>
      </c>
      <c r="G120" s="398"/>
      <c r="H120" s="789"/>
      <c r="I120" s="1366">
        <f t="shared" si="30"/>
        <v>0</v>
      </c>
      <c r="J120" s="775">
        <v>0</v>
      </c>
      <c r="K120" s="1582">
        <f t="shared" si="28"/>
        <v>18000</v>
      </c>
      <c r="L120" s="775">
        <v>18000</v>
      </c>
      <c r="M120" s="1366">
        <f t="shared" si="29"/>
        <v>0</v>
      </c>
      <c r="N120" s="775">
        <v>18000</v>
      </c>
      <c r="O120" s="775">
        <v>18000</v>
      </c>
      <c r="P120" s="2184"/>
      <c r="Q120" s="399"/>
    </row>
    <row r="121" spans="1:20" ht="16.5" customHeight="1" x14ac:dyDescent="0.25">
      <c r="A121" s="395"/>
      <c r="B121" s="698" t="s">
        <v>1994</v>
      </c>
      <c r="C121" s="397"/>
      <c r="D121" s="699" t="s">
        <v>1995</v>
      </c>
      <c r="E121" s="376"/>
      <c r="F121" s="608">
        <v>2018</v>
      </c>
      <c r="G121" s="398"/>
      <c r="H121" s="789"/>
      <c r="I121" s="1366">
        <f t="shared" si="27"/>
        <v>0</v>
      </c>
      <c r="J121" s="775">
        <v>0</v>
      </c>
      <c r="K121" s="1582">
        <f t="shared" si="28"/>
        <v>96266</v>
      </c>
      <c r="L121" s="775">
        <v>96266</v>
      </c>
      <c r="M121" s="1366">
        <f t="shared" si="29"/>
        <v>0</v>
      </c>
      <c r="N121" s="775">
        <v>96266</v>
      </c>
      <c r="O121" s="775">
        <v>96266</v>
      </c>
      <c r="P121" s="2184"/>
      <c r="Q121" s="399"/>
    </row>
    <row r="122" spans="1:20" ht="16.5" x14ac:dyDescent="0.25">
      <c r="A122" s="685" t="s">
        <v>67</v>
      </c>
      <c r="B122" s="404"/>
      <c r="C122" s="405"/>
      <c r="D122" s="372" t="s">
        <v>412</v>
      </c>
      <c r="E122" s="403">
        <f>SUM(E124:E125)</f>
        <v>0</v>
      </c>
      <c r="F122" s="1339">
        <v>2018</v>
      </c>
      <c r="G122" s="403"/>
      <c r="H122" s="927">
        <f>H123+H130</f>
        <v>6985000</v>
      </c>
      <c r="I122" s="3006">
        <f t="shared" si="27"/>
        <v>7891380</v>
      </c>
      <c r="J122" s="927">
        <f t="shared" ref="J122:O122" si="31">SUM(J123+J130)</f>
        <v>14876380</v>
      </c>
      <c r="K122" s="3160">
        <f t="shared" si="31"/>
        <v>-3349124</v>
      </c>
      <c r="L122" s="927">
        <f t="shared" ref="L122" si="32">SUM(L123+L130)</f>
        <v>13114339</v>
      </c>
      <c r="M122" s="3006">
        <f t="shared" si="31"/>
        <v>0</v>
      </c>
      <c r="N122" s="927">
        <f t="shared" si="31"/>
        <v>13114339</v>
      </c>
      <c r="O122" s="927">
        <f t="shared" si="31"/>
        <v>12346760</v>
      </c>
      <c r="P122" s="2181"/>
      <c r="Q122" s="2176"/>
      <c r="R122" s="450"/>
      <c r="S122" s="94"/>
      <c r="T122" s="94"/>
    </row>
    <row r="123" spans="1:20" ht="16.5" x14ac:dyDescent="0.25">
      <c r="A123" s="395"/>
      <c r="B123" s="698" t="s">
        <v>47</v>
      </c>
      <c r="C123" s="397"/>
      <c r="D123" s="928" t="s">
        <v>755</v>
      </c>
      <c r="E123" s="929"/>
      <c r="F123" s="608">
        <v>2018</v>
      </c>
      <c r="G123" s="929"/>
      <c r="H123" s="4053">
        <f>SUM(H124:H125)</f>
        <v>1905000</v>
      </c>
      <c r="I123" s="1366">
        <f t="shared" si="27"/>
        <v>4761580</v>
      </c>
      <c r="J123" s="4054">
        <f t="shared" ref="J123:O123" si="33">SUM(J126:J129)</f>
        <v>6666580</v>
      </c>
      <c r="K123" s="3160">
        <f t="shared" si="33"/>
        <v>1499909</v>
      </c>
      <c r="L123" s="4053">
        <f t="shared" ref="L123" si="34">SUM(L126:L129)</f>
        <v>8166489</v>
      </c>
      <c r="M123" s="1366">
        <f>SUM(M126:M129)</f>
        <v>0</v>
      </c>
      <c r="N123" s="4053">
        <f t="shared" si="33"/>
        <v>8166489</v>
      </c>
      <c r="O123" s="4053">
        <f t="shared" si="33"/>
        <v>8029770</v>
      </c>
      <c r="P123" s="2186"/>
      <c r="Q123" s="2176"/>
      <c r="R123" s="94"/>
      <c r="S123" s="94"/>
      <c r="T123" s="94"/>
    </row>
    <row r="124" spans="1:20" ht="15.75" hidden="1" x14ac:dyDescent="0.25">
      <c r="A124" s="395"/>
      <c r="B124" s="698" t="s">
        <v>939</v>
      </c>
      <c r="C124" s="397"/>
      <c r="D124" s="379" t="s">
        <v>755</v>
      </c>
      <c r="E124" s="376"/>
      <c r="F124" s="608">
        <v>2018</v>
      </c>
      <c r="G124" s="398"/>
      <c r="H124" s="376">
        <v>1905000</v>
      </c>
      <c r="I124" s="1366">
        <f t="shared" si="27"/>
        <v>-1905000</v>
      </c>
      <c r="J124" s="376"/>
      <c r="K124" s="1366">
        <f>SUM(L124-J124)</f>
        <v>0</v>
      </c>
      <c r="L124" s="376"/>
      <c r="M124" s="1366">
        <f>SUM(N124-L124)</f>
        <v>0</v>
      </c>
      <c r="N124" s="376"/>
      <c r="O124" s="376">
        <v>0</v>
      </c>
      <c r="P124" s="2184"/>
      <c r="Q124" s="399"/>
    </row>
    <row r="125" spans="1:20" ht="15.75" hidden="1" x14ac:dyDescent="0.25">
      <c r="A125" s="395"/>
      <c r="B125" s="698" t="s">
        <v>940</v>
      </c>
      <c r="C125" s="397"/>
      <c r="D125" s="379"/>
      <c r="E125" s="376"/>
      <c r="F125" s="608">
        <v>2018</v>
      </c>
      <c r="G125" s="398"/>
      <c r="H125" s="376"/>
      <c r="I125" s="1366">
        <f t="shared" si="27"/>
        <v>0</v>
      </c>
      <c r="J125" s="412"/>
      <c r="K125" s="1366">
        <f>SUM(L125-J125)</f>
        <v>0</v>
      </c>
      <c r="L125" s="412"/>
      <c r="M125" s="1366">
        <f>SUM(N125-L125)</f>
        <v>0</v>
      </c>
      <c r="N125" s="412"/>
      <c r="O125" s="412"/>
      <c r="P125" s="2184"/>
      <c r="Q125" s="399"/>
    </row>
    <row r="126" spans="1:20" ht="15.75" x14ac:dyDescent="0.25">
      <c r="A126" s="395"/>
      <c r="B126" s="698" t="s">
        <v>1187</v>
      </c>
      <c r="C126" s="397"/>
      <c r="D126" s="379" t="s">
        <v>1707</v>
      </c>
      <c r="E126" s="376"/>
      <c r="F126" s="608">
        <v>2018</v>
      </c>
      <c r="G126" s="398"/>
      <c r="H126" s="575"/>
      <c r="I126" s="1366"/>
      <c r="J126" s="412">
        <v>1370769</v>
      </c>
      <c r="K126" s="1582">
        <f>L126-J126</f>
        <v>1329856</v>
      </c>
      <c r="L126" s="412">
        <v>2700625</v>
      </c>
      <c r="M126" s="1366">
        <f t="shared" ref="M126:M136" si="35">SUM(N126-L126)</f>
        <v>0</v>
      </c>
      <c r="N126" s="412">
        <v>2700625</v>
      </c>
      <c r="O126" s="412">
        <v>2563906</v>
      </c>
      <c r="P126" s="2184"/>
      <c r="Q126" s="399"/>
    </row>
    <row r="127" spans="1:20" ht="15.75" x14ac:dyDescent="0.25">
      <c r="A127" s="395"/>
      <c r="B127" s="698" t="s">
        <v>1701</v>
      </c>
      <c r="C127" s="397"/>
      <c r="D127" s="379" t="s">
        <v>1708</v>
      </c>
      <c r="E127" s="376"/>
      <c r="F127" s="608">
        <v>2018</v>
      </c>
      <c r="G127" s="398"/>
      <c r="H127" s="575"/>
      <c r="I127" s="1366"/>
      <c r="J127" s="412">
        <v>332143</v>
      </c>
      <c r="K127" s="1582">
        <f>L127-J127</f>
        <v>0</v>
      </c>
      <c r="L127" s="412">
        <v>332143</v>
      </c>
      <c r="M127" s="1366">
        <f t="shared" si="35"/>
        <v>0</v>
      </c>
      <c r="N127" s="412">
        <v>332143</v>
      </c>
      <c r="O127" s="412">
        <v>332143</v>
      </c>
      <c r="P127" s="2184"/>
      <c r="Q127" s="399"/>
    </row>
    <row r="128" spans="1:20" ht="15.75" x14ac:dyDescent="0.25">
      <c r="A128" s="395"/>
      <c r="B128" s="698" t="s">
        <v>1702</v>
      </c>
      <c r="C128" s="397"/>
      <c r="D128" s="379" t="s">
        <v>1709</v>
      </c>
      <c r="E128" s="376"/>
      <c r="F128" s="608">
        <v>2018</v>
      </c>
      <c r="G128" s="398"/>
      <c r="H128" s="575"/>
      <c r="I128" s="1366"/>
      <c r="J128" s="412">
        <v>272288</v>
      </c>
      <c r="K128" s="1582">
        <f>L128-J128</f>
        <v>170053</v>
      </c>
      <c r="L128" s="412">
        <v>442341</v>
      </c>
      <c r="M128" s="1366">
        <f t="shared" si="35"/>
        <v>0</v>
      </c>
      <c r="N128" s="412">
        <v>442341</v>
      </c>
      <c r="O128" s="412">
        <v>442341</v>
      </c>
      <c r="P128" s="2184"/>
      <c r="Q128" s="399"/>
    </row>
    <row r="129" spans="1:20" ht="15.75" x14ac:dyDescent="0.25">
      <c r="A129" s="395"/>
      <c r="B129" s="698" t="s">
        <v>1703</v>
      </c>
      <c r="C129" s="397"/>
      <c r="D129" s="379" t="s">
        <v>1710</v>
      </c>
      <c r="E129" s="376"/>
      <c r="F129" s="608">
        <v>2018</v>
      </c>
      <c r="G129" s="398"/>
      <c r="H129" s="575"/>
      <c r="I129" s="1366"/>
      <c r="J129" s="412">
        <v>4691380</v>
      </c>
      <c r="K129" s="1582">
        <f>L129-J129</f>
        <v>0</v>
      </c>
      <c r="L129" s="412">
        <v>4691380</v>
      </c>
      <c r="M129" s="1366">
        <f t="shared" si="35"/>
        <v>0</v>
      </c>
      <c r="N129" s="412">
        <v>4691380</v>
      </c>
      <c r="O129" s="412">
        <v>4691380</v>
      </c>
      <c r="P129" s="2184"/>
      <c r="Q129" s="399"/>
    </row>
    <row r="130" spans="1:20" s="778" customFormat="1" ht="15.75" x14ac:dyDescent="0.25">
      <c r="A130" s="395"/>
      <c r="B130" s="698" t="s">
        <v>1154</v>
      </c>
      <c r="C130" s="397"/>
      <c r="D130" s="928" t="s">
        <v>1155</v>
      </c>
      <c r="E130" s="607"/>
      <c r="F130" s="608">
        <v>2018</v>
      </c>
      <c r="G130" s="777"/>
      <c r="H130" s="412">
        <v>5080000</v>
      </c>
      <c r="I130" s="412">
        <f>SUM(J130-H130)</f>
        <v>3129800</v>
      </c>
      <c r="J130" s="412">
        <f>SUM(J131:J134)</f>
        <v>8209800</v>
      </c>
      <c r="K130" s="3257">
        <f>SUM(K131:K134)</f>
        <v>-4849033</v>
      </c>
      <c r="L130" s="4222">
        <f>SUM(L131:L136)</f>
        <v>4947850</v>
      </c>
      <c r="M130" s="1366">
        <f t="shared" si="35"/>
        <v>0</v>
      </c>
      <c r="N130">
        <f>SUM(N131:N136)</f>
        <v>4947850</v>
      </c>
      <c r="O130">
        <f>SUM(O131:O136)</f>
        <v>4316990</v>
      </c>
      <c r="P130" s="2186"/>
      <c r="Q130" s="776"/>
    </row>
    <row r="131" spans="1:20" s="778" customFormat="1" ht="16.5" x14ac:dyDescent="0.25">
      <c r="A131" s="395"/>
      <c r="B131" s="698" t="s">
        <v>1195</v>
      </c>
      <c r="C131" s="397"/>
      <c r="D131" s="2846" t="s">
        <v>1711</v>
      </c>
      <c r="E131" s="2847"/>
      <c r="F131" s="608">
        <v>2018</v>
      </c>
      <c r="G131" s="2848"/>
      <c r="H131" s="929"/>
      <c r="I131" s="2849"/>
      <c r="J131" s="777">
        <v>2375770</v>
      </c>
      <c r="K131" s="1582">
        <f>L131-J131</f>
        <v>-1649033</v>
      </c>
      <c r="L131" s="777">
        <v>726737</v>
      </c>
      <c r="M131" s="1366">
        <f t="shared" si="35"/>
        <v>0</v>
      </c>
      <c r="N131" s="777">
        <v>726737</v>
      </c>
      <c r="O131" s="777">
        <v>726737</v>
      </c>
      <c r="P131" s="2186"/>
      <c r="Q131" s="776"/>
    </row>
    <row r="132" spans="1:20" s="778" customFormat="1" ht="16.5" x14ac:dyDescent="0.25">
      <c r="A132" s="395"/>
      <c r="B132" s="698" t="s">
        <v>1704</v>
      </c>
      <c r="C132" s="397"/>
      <c r="D132" s="2846" t="s">
        <v>1712</v>
      </c>
      <c r="E132" s="2847"/>
      <c r="F132" s="608">
        <v>2018</v>
      </c>
      <c r="G132" s="2848"/>
      <c r="H132" s="929"/>
      <c r="I132" s="2849"/>
      <c r="J132" s="777">
        <v>234391</v>
      </c>
      <c r="K132" s="1582">
        <f>L132-J132</f>
        <v>0</v>
      </c>
      <c r="L132" s="777">
        <v>234391</v>
      </c>
      <c r="M132" s="1366">
        <f t="shared" si="35"/>
        <v>0</v>
      </c>
      <c r="N132" s="777">
        <v>234391</v>
      </c>
      <c r="O132" s="777">
        <v>234391</v>
      </c>
      <c r="P132" s="2186"/>
      <c r="Q132" s="776"/>
    </row>
    <row r="133" spans="1:20" s="778" customFormat="1" ht="16.5" x14ac:dyDescent="0.25">
      <c r="A133" s="395"/>
      <c r="B133" s="698" t="s">
        <v>1705</v>
      </c>
      <c r="C133" s="397"/>
      <c r="D133" s="2846" t="s">
        <v>1713</v>
      </c>
      <c r="E133" s="2847"/>
      <c r="F133" s="608">
        <v>2018</v>
      </c>
      <c r="G133" s="2848"/>
      <c r="H133" s="929"/>
      <c r="I133" s="2849"/>
      <c r="J133" s="777">
        <v>3200000</v>
      </c>
      <c r="K133" s="1582">
        <f>L133-J133</f>
        <v>-3200000</v>
      </c>
      <c r="L133" s="777"/>
      <c r="M133" s="1366">
        <f t="shared" si="35"/>
        <v>0</v>
      </c>
      <c r="N133" s="777"/>
      <c r="O133" s="777">
        <v>0</v>
      </c>
      <c r="P133" s="2186"/>
      <c r="Q133" s="776"/>
    </row>
    <row r="134" spans="1:20" s="778" customFormat="1" ht="16.5" x14ac:dyDescent="0.25">
      <c r="A134" s="395"/>
      <c r="B134" s="698" t="s">
        <v>1706</v>
      </c>
      <c r="C134" s="397"/>
      <c r="D134" s="2846" t="s">
        <v>1714</v>
      </c>
      <c r="E134" s="2847"/>
      <c r="F134" s="608">
        <v>2018</v>
      </c>
      <c r="G134" s="2848"/>
      <c r="H134" s="929"/>
      <c r="I134" s="2849"/>
      <c r="J134" s="777">
        <v>2399639</v>
      </c>
      <c r="K134" s="1582">
        <f>L134-J134</f>
        <v>0</v>
      </c>
      <c r="L134" s="777">
        <v>2399639</v>
      </c>
      <c r="M134" s="1366">
        <f t="shared" si="35"/>
        <v>0</v>
      </c>
      <c r="N134" s="777">
        <v>2399639</v>
      </c>
      <c r="O134" s="777">
        <v>2399639</v>
      </c>
      <c r="P134" s="2186"/>
      <c r="Q134" s="776"/>
    </row>
    <row r="135" spans="1:20" s="778" customFormat="1" ht="16.5" x14ac:dyDescent="0.25">
      <c r="A135" s="395"/>
      <c r="B135" s="698" t="s">
        <v>1925</v>
      </c>
      <c r="C135" s="397"/>
      <c r="D135" s="2846" t="s">
        <v>1926</v>
      </c>
      <c r="E135" s="2847"/>
      <c r="F135" s="608">
        <v>2018</v>
      </c>
      <c r="G135" s="2848"/>
      <c r="H135" s="929"/>
      <c r="I135" s="2855"/>
      <c r="J135" s="777"/>
      <c r="K135" s="1582"/>
      <c r="L135" s="777">
        <v>956223</v>
      </c>
      <c r="M135" s="1366">
        <f t="shared" si="35"/>
        <v>0</v>
      </c>
      <c r="N135" s="777">
        <v>956223</v>
      </c>
      <c r="O135" s="777">
        <v>956223</v>
      </c>
      <c r="P135" s="2186"/>
      <c r="Q135" s="776"/>
    </row>
    <row r="136" spans="1:20" s="778" customFormat="1" ht="16.5" x14ac:dyDescent="0.25">
      <c r="A136" s="395"/>
      <c r="B136" s="698" t="s">
        <v>2013</v>
      </c>
      <c r="C136" s="397"/>
      <c r="D136" s="2846" t="s">
        <v>2014</v>
      </c>
      <c r="E136" s="2847"/>
      <c r="F136" s="608">
        <v>2018</v>
      </c>
      <c r="G136" s="2848"/>
      <c r="H136" s="929"/>
      <c r="I136" s="2855"/>
      <c r="J136" s="777"/>
      <c r="K136" s="1582"/>
      <c r="L136" s="777">
        <v>630860</v>
      </c>
      <c r="M136" s="1366">
        <f t="shared" si="35"/>
        <v>0</v>
      </c>
      <c r="N136" s="777">
        <v>630860</v>
      </c>
      <c r="O136" s="777"/>
      <c r="P136" s="2186"/>
      <c r="Q136" s="776"/>
    </row>
    <row r="137" spans="1:20" ht="16.5" x14ac:dyDescent="0.25">
      <c r="A137" s="685" t="s">
        <v>79</v>
      </c>
      <c r="B137" s="404"/>
      <c r="C137" s="405"/>
      <c r="D137" s="372" t="s">
        <v>470</v>
      </c>
      <c r="E137" s="1201">
        <f>SUM(E138:E139)</f>
        <v>0</v>
      </c>
      <c r="F137" s="1340">
        <v>2018</v>
      </c>
      <c r="G137" s="1201"/>
      <c r="H137" s="927">
        <f>SUM(H138+H139+H141)</f>
        <v>635000</v>
      </c>
      <c r="I137" s="3006">
        <f>SUM(J137-H137)</f>
        <v>372000</v>
      </c>
      <c r="J137" s="1202">
        <f t="shared" ref="J137:O137" si="36">SUM(J138:J141)</f>
        <v>1007000</v>
      </c>
      <c r="K137" s="3299">
        <f t="shared" si="36"/>
        <v>-225832</v>
      </c>
      <c r="L137" s="927">
        <f>SUM(L138:L141)</f>
        <v>781168</v>
      </c>
      <c r="M137" s="3520">
        <f t="shared" si="36"/>
        <v>0</v>
      </c>
      <c r="N137" s="927">
        <f>SUM(N138:N141)</f>
        <v>781168</v>
      </c>
      <c r="O137" s="927">
        <f t="shared" si="36"/>
        <v>781168</v>
      </c>
      <c r="P137" s="2181"/>
      <c r="Q137" s="399"/>
    </row>
    <row r="138" spans="1:20" ht="21" customHeight="1" x14ac:dyDescent="0.25">
      <c r="A138" s="686"/>
      <c r="B138" s="396" t="s">
        <v>69</v>
      </c>
      <c r="C138" s="396"/>
      <c r="D138" s="379" t="s">
        <v>755</v>
      </c>
      <c r="E138" s="398"/>
      <c r="F138" s="608">
        <v>2018</v>
      </c>
      <c r="G138" s="398"/>
      <c r="H138" s="398">
        <v>101600</v>
      </c>
      <c r="I138" s="1366">
        <f>SUM(J138-H138)</f>
        <v>0</v>
      </c>
      <c r="J138" s="398">
        <v>101600</v>
      </c>
      <c r="K138" s="1582">
        <f>SUM(L138-J138)</f>
        <v>-1609</v>
      </c>
      <c r="L138" s="398">
        <v>99991</v>
      </c>
      <c r="M138" s="1366">
        <f>SUM(N138-L138)</f>
        <v>0</v>
      </c>
      <c r="N138" s="398">
        <v>99991</v>
      </c>
      <c r="O138" s="398">
        <v>99991</v>
      </c>
      <c r="P138" s="2186"/>
      <c r="Q138" s="2177"/>
      <c r="S138" s="385"/>
      <c r="T138" s="385"/>
    </row>
    <row r="139" spans="1:20" ht="15.75" x14ac:dyDescent="0.25">
      <c r="A139" s="395"/>
      <c r="B139" s="396" t="s">
        <v>73</v>
      </c>
      <c r="C139" s="397"/>
      <c r="D139" s="379" t="s">
        <v>862</v>
      </c>
      <c r="E139" s="398"/>
      <c r="F139" s="608">
        <v>2018</v>
      </c>
      <c r="G139" s="398"/>
      <c r="H139" s="398">
        <v>533400</v>
      </c>
      <c r="I139" s="1366">
        <f>SUM(J139-H139)</f>
        <v>-309892</v>
      </c>
      <c r="J139" s="398">
        <v>223508</v>
      </c>
      <c r="K139" s="1582">
        <f>SUM(L139-J139)</f>
        <v>-223508</v>
      </c>
      <c r="L139" s="398"/>
      <c r="M139" s="1366">
        <f>SUM(N139-L139)</f>
        <v>0</v>
      </c>
      <c r="N139" s="398"/>
      <c r="O139" s="398">
        <v>0</v>
      </c>
      <c r="P139" s="2184"/>
      <c r="Q139" s="399"/>
    </row>
    <row r="140" spans="1:20" ht="15.75" x14ac:dyDescent="0.25">
      <c r="A140" s="395"/>
      <c r="B140" s="396" t="s">
        <v>71</v>
      </c>
      <c r="C140" s="397"/>
      <c r="D140" s="576" t="s">
        <v>1697</v>
      </c>
      <c r="E140" s="399"/>
      <c r="F140" s="608"/>
      <c r="G140" s="399"/>
      <c r="H140" s="399"/>
      <c r="I140" s="1366"/>
      <c r="J140" s="399">
        <v>309892</v>
      </c>
      <c r="K140" s="1582">
        <f>SUM(L140-J140)</f>
        <v>0</v>
      </c>
      <c r="L140" s="399">
        <v>309892</v>
      </c>
      <c r="M140" s="1366">
        <f>SUM(N140-L140)</f>
        <v>0</v>
      </c>
      <c r="N140" s="399">
        <v>309892</v>
      </c>
      <c r="O140" s="399">
        <v>309892</v>
      </c>
      <c r="P140" s="2184"/>
      <c r="Q140" s="399"/>
    </row>
    <row r="141" spans="1:20" ht="15.75" x14ac:dyDescent="0.25">
      <c r="A141" s="395"/>
      <c r="B141" s="396" t="s">
        <v>1696</v>
      </c>
      <c r="C141" s="397"/>
      <c r="D141" s="576" t="s">
        <v>1695</v>
      </c>
      <c r="E141" s="399"/>
      <c r="F141" s="608">
        <v>2018</v>
      </c>
      <c r="G141" s="399"/>
      <c r="H141" s="399"/>
      <c r="I141" s="1366">
        <f t="shared" ref="I141:I172" si="37">SUM(J141-H141)</f>
        <v>372000</v>
      </c>
      <c r="J141" s="399">
        <v>372000</v>
      </c>
      <c r="K141" s="1582">
        <f>SUM(L141-J141)</f>
        <v>-715</v>
      </c>
      <c r="L141" s="399">
        <v>371285</v>
      </c>
      <c r="M141" s="1366">
        <f>SUM(N141-L141)</f>
        <v>0</v>
      </c>
      <c r="N141" s="399">
        <v>371285</v>
      </c>
      <c r="O141" s="399">
        <v>371285</v>
      </c>
      <c r="P141" s="2184"/>
      <c r="Q141" s="399"/>
    </row>
    <row r="142" spans="1:20" ht="16.5" x14ac:dyDescent="0.25">
      <c r="A142" s="596" t="s">
        <v>89</v>
      </c>
      <c r="B142" s="597"/>
      <c r="C142" s="597"/>
      <c r="D142" s="372" t="s">
        <v>471</v>
      </c>
      <c r="E142" s="392">
        <f>SUM(E143)</f>
        <v>0</v>
      </c>
      <c r="F142" s="1339">
        <v>2018</v>
      </c>
      <c r="G142" s="392"/>
      <c r="H142" s="392">
        <f>SUM(H143:H144)</f>
        <v>635000</v>
      </c>
      <c r="I142" s="3006">
        <f t="shared" si="37"/>
        <v>0</v>
      </c>
      <c r="J142" s="392">
        <f>SUM(J143:J144)</f>
        <v>635000</v>
      </c>
      <c r="K142" s="1582">
        <f t="shared" ref="K142:P142" si="38">SUM(K143:K144)</f>
        <v>152428</v>
      </c>
      <c r="L142" s="392">
        <f>SUM(L143:L144)</f>
        <v>787428</v>
      </c>
      <c r="M142" s="3520">
        <f t="shared" si="38"/>
        <v>0</v>
      </c>
      <c r="N142" s="392">
        <f>SUM(N143:N144)</f>
        <v>787428</v>
      </c>
      <c r="O142" s="392">
        <f t="shared" si="38"/>
        <v>787428</v>
      </c>
      <c r="P142" s="392">
        <f t="shared" si="38"/>
        <v>0</v>
      </c>
      <c r="Q142" s="399"/>
    </row>
    <row r="143" spans="1:20" ht="16.5" x14ac:dyDescent="0.25">
      <c r="A143" s="686"/>
      <c r="B143" s="396" t="s">
        <v>592</v>
      </c>
      <c r="C143" s="396"/>
      <c r="D143" s="379" t="s">
        <v>755</v>
      </c>
      <c r="E143" s="398"/>
      <c r="F143" s="608">
        <v>2018</v>
      </c>
      <c r="G143" s="398"/>
      <c r="H143" s="398">
        <v>381000</v>
      </c>
      <c r="I143" s="1366">
        <f t="shared" si="37"/>
        <v>0</v>
      </c>
      <c r="J143" s="398">
        <v>381000</v>
      </c>
      <c r="K143" s="1582">
        <f>SUM(L143-J143)</f>
        <v>406428</v>
      </c>
      <c r="L143" s="398">
        <v>787428</v>
      </c>
      <c r="M143" s="1366">
        <f>SUM(N143-L143)</f>
        <v>0</v>
      </c>
      <c r="N143" s="398">
        <v>787428</v>
      </c>
      <c r="O143" s="398">
        <v>787428</v>
      </c>
      <c r="P143" s="2181"/>
      <c r="Q143" s="2176"/>
    </row>
    <row r="144" spans="1:20" ht="15.75" x14ac:dyDescent="0.25">
      <c r="A144" s="686"/>
      <c r="B144" s="396" t="s">
        <v>593</v>
      </c>
      <c r="C144" s="396"/>
      <c r="D144" s="379" t="s">
        <v>862</v>
      </c>
      <c r="E144" s="398"/>
      <c r="F144" s="608">
        <v>2018</v>
      </c>
      <c r="G144" s="398"/>
      <c r="H144" s="398">
        <v>254000</v>
      </c>
      <c r="I144" s="1366">
        <f t="shared" si="37"/>
        <v>0</v>
      </c>
      <c r="J144" s="398">
        <v>254000</v>
      </c>
      <c r="K144" s="1582">
        <f>SUM(L144-J144)</f>
        <v>-254000</v>
      </c>
      <c r="L144" s="398"/>
      <c r="M144" s="1366">
        <f>SUM(N144-L144)</f>
        <v>0</v>
      </c>
      <c r="N144" s="398"/>
      <c r="O144" s="398">
        <v>0</v>
      </c>
      <c r="P144" s="2184"/>
      <c r="Q144" s="399"/>
    </row>
    <row r="145" spans="1:19" ht="16.5" x14ac:dyDescent="0.25">
      <c r="A145" s="596" t="s">
        <v>99</v>
      </c>
      <c r="B145" s="597"/>
      <c r="C145" s="597"/>
      <c r="D145" s="372" t="s">
        <v>488</v>
      </c>
      <c r="E145" s="392">
        <f>SUM(E146:E147)</f>
        <v>0</v>
      </c>
      <c r="F145" s="1339">
        <v>2018</v>
      </c>
      <c r="G145" s="392"/>
      <c r="H145" s="392">
        <f>SUM(H146:H147)</f>
        <v>1905000</v>
      </c>
      <c r="I145" s="3006">
        <f t="shared" si="37"/>
        <v>0</v>
      </c>
      <c r="J145" s="374">
        <f t="shared" ref="J145:O145" si="39">SUM(J146:J147)</f>
        <v>1905000</v>
      </c>
      <c r="K145" s="1582">
        <f t="shared" si="39"/>
        <v>-919985</v>
      </c>
      <c r="L145" s="374">
        <f>SUM(L146:L147)</f>
        <v>985015</v>
      </c>
      <c r="M145" s="3520">
        <f t="shared" si="39"/>
        <v>0</v>
      </c>
      <c r="N145" s="374">
        <f>SUM(N146:N147)</f>
        <v>985015</v>
      </c>
      <c r="O145" s="374">
        <f t="shared" si="39"/>
        <v>985015</v>
      </c>
      <c r="P145" s="2184"/>
      <c r="Q145" s="399"/>
    </row>
    <row r="146" spans="1:19" ht="16.5" x14ac:dyDescent="0.25">
      <c r="A146" s="2639"/>
      <c r="B146" s="2586" t="s">
        <v>91</v>
      </c>
      <c r="C146" s="2640"/>
      <c r="D146" s="379" t="s">
        <v>755</v>
      </c>
      <c r="E146" s="398"/>
      <c r="F146" s="608">
        <v>2018</v>
      </c>
      <c r="G146" s="398"/>
      <c r="H146" s="398">
        <v>1270000</v>
      </c>
      <c r="I146" s="1366">
        <f t="shared" si="37"/>
        <v>0</v>
      </c>
      <c r="J146" s="398">
        <v>1270000</v>
      </c>
      <c r="K146" s="1582">
        <f>SUM(L146-J146)</f>
        <v>-887485</v>
      </c>
      <c r="L146" s="398">
        <v>382515</v>
      </c>
      <c r="M146" s="1366">
        <f>SUM(N146-L146)</f>
        <v>0</v>
      </c>
      <c r="N146" s="398">
        <v>382515</v>
      </c>
      <c r="O146" s="777">
        <v>382515</v>
      </c>
      <c r="P146" s="2181"/>
      <c r="Q146" s="2178"/>
      <c r="S146" s="38">
        <f>SUM(N137+N142+N145+N148+N154+N158+N167+N173+N176+N184)</f>
        <v>64047643</v>
      </c>
    </row>
    <row r="147" spans="1:19" ht="16.5" x14ac:dyDescent="0.25">
      <c r="A147" s="2639"/>
      <c r="B147" s="2586" t="s">
        <v>93</v>
      </c>
      <c r="C147" s="2640"/>
      <c r="D147" s="379" t="s">
        <v>862</v>
      </c>
      <c r="E147" s="398"/>
      <c r="F147" s="608">
        <v>2018</v>
      </c>
      <c r="G147" s="398"/>
      <c r="H147" s="398">
        <v>635000</v>
      </c>
      <c r="I147" s="1366">
        <f t="shared" si="37"/>
        <v>0</v>
      </c>
      <c r="J147" s="398">
        <v>635000</v>
      </c>
      <c r="K147" s="1582">
        <f>SUM(L147-J147)</f>
        <v>-32500</v>
      </c>
      <c r="L147" s="398">
        <v>602500</v>
      </c>
      <c r="M147" s="1366">
        <f>SUM(N147-L147)</f>
        <v>0</v>
      </c>
      <c r="N147" s="398">
        <v>602500</v>
      </c>
      <c r="O147" s="777">
        <v>602500</v>
      </c>
      <c r="P147" s="2181"/>
      <c r="Q147" s="2178"/>
    </row>
    <row r="148" spans="1:19" ht="16.5" x14ac:dyDescent="0.25">
      <c r="A148" s="596" t="s">
        <v>101</v>
      </c>
      <c r="B148" s="597"/>
      <c r="C148" s="597"/>
      <c r="D148" s="372" t="s">
        <v>485</v>
      </c>
      <c r="E148" s="392">
        <f>SUM(E149:E150)</f>
        <v>0</v>
      </c>
      <c r="F148" s="1339">
        <v>2018</v>
      </c>
      <c r="G148" s="392"/>
      <c r="H148" s="392">
        <f>SUM(H149:H153)</f>
        <v>2890000</v>
      </c>
      <c r="I148" s="3006">
        <f t="shared" si="37"/>
        <v>0</v>
      </c>
      <c r="J148" s="374">
        <f t="shared" ref="J148:O148" si="40">SUM(J149:J153)</f>
        <v>2890000</v>
      </c>
      <c r="K148" s="1582">
        <f t="shared" si="40"/>
        <v>1344053</v>
      </c>
      <c r="L148" s="374">
        <f>SUM(L149:L153)</f>
        <v>4234053</v>
      </c>
      <c r="M148" s="3520">
        <f t="shared" si="40"/>
        <v>0</v>
      </c>
      <c r="N148" s="374">
        <f>SUM(N149:N153)</f>
        <v>4234053</v>
      </c>
      <c r="O148" s="374">
        <f t="shared" si="40"/>
        <v>4234053</v>
      </c>
      <c r="P148" s="2184"/>
      <c r="Q148" s="399"/>
    </row>
    <row r="149" spans="1:19" ht="16.5" x14ac:dyDescent="0.25">
      <c r="A149" s="2639"/>
      <c r="B149" s="2586" t="s">
        <v>824</v>
      </c>
      <c r="C149" s="2640"/>
      <c r="D149" s="379" t="s">
        <v>755</v>
      </c>
      <c r="E149" s="398"/>
      <c r="F149" s="608">
        <v>2018</v>
      </c>
      <c r="G149" s="398"/>
      <c r="H149" s="398">
        <v>127000</v>
      </c>
      <c r="I149" s="1366">
        <f t="shared" si="37"/>
        <v>0</v>
      </c>
      <c r="J149" s="398">
        <v>127000</v>
      </c>
      <c r="K149" s="1582">
        <f>SUM(L149-J149)</f>
        <v>-47300</v>
      </c>
      <c r="L149" s="777">
        <v>79700</v>
      </c>
      <c r="M149" s="1366">
        <f>SUM(N149-L149)</f>
        <v>0</v>
      </c>
      <c r="N149" s="777">
        <v>79700</v>
      </c>
      <c r="O149" s="777">
        <v>79700</v>
      </c>
      <c r="P149" s="2181"/>
      <c r="Q149" s="2178"/>
      <c r="R149" s="630"/>
    </row>
    <row r="150" spans="1:19" ht="16.5" x14ac:dyDescent="0.25">
      <c r="A150" s="2639"/>
      <c r="B150" s="2586" t="s">
        <v>594</v>
      </c>
      <c r="C150" s="2640"/>
      <c r="D150" s="379" t="s">
        <v>862</v>
      </c>
      <c r="E150" s="398"/>
      <c r="F150" s="608">
        <v>2018</v>
      </c>
      <c r="G150" s="398"/>
      <c r="H150" s="398">
        <v>190500</v>
      </c>
      <c r="I150" s="1366">
        <f t="shared" si="37"/>
        <v>0</v>
      </c>
      <c r="J150" s="398">
        <v>190500</v>
      </c>
      <c r="K150" s="1582">
        <f>SUM(L150-J150)</f>
        <v>394982</v>
      </c>
      <c r="L150" s="398">
        <v>585482</v>
      </c>
      <c r="M150" s="1366">
        <f>SUM(N150-L150)</f>
        <v>0</v>
      </c>
      <c r="N150" s="398">
        <v>585482</v>
      </c>
      <c r="O150" s="398">
        <v>585482</v>
      </c>
      <c r="P150" s="2181"/>
      <c r="Q150" s="2178"/>
    </row>
    <row r="151" spans="1:19" ht="15.75" hidden="1" x14ac:dyDescent="0.25">
      <c r="A151" s="2641"/>
      <c r="B151" s="2586" t="s">
        <v>594</v>
      </c>
      <c r="C151" s="2642"/>
      <c r="D151" s="379"/>
      <c r="E151" s="398"/>
      <c r="F151" s="608">
        <v>2018</v>
      </c>
      <c r="G151" s="398"/>
      <c r="H151" s="398"/>
      <c r="I151" s="1366">
        <f t="shared" si="37"/>
        <v>0</v>
      </c>
      <c r="J151" s="398"/>
      <c r="K151" s="1582">
        <f>SUM(L151-J151)</f>
        <v>0</v>
      </c>
      <c r="L151" s="398"/>
      <c r="M151" s="1366">
        <f>SUM(N151-L151)</f>
        <v>0</v>
      </c>
      <c r="N151" s="398"/>
      <c r="O151" s="398"/>
      <c r="P151" s="2184"/>
      <c r="Q151" s="399"/>
    </row>
    <row r="152" spans="1:19" ht="15.75" hidden="1" x14ac:dyDescent="0.25">
      <c r="A152" s="2641"/>
      <c r="B152" s="2586" t="s">
        <v>595</v>
      </c>
      <c r="C152" s="2642"/>
      <c r="D152" s="379"/>
      <c r="E152" s="398"/>
      <c r="F152" s="608">
        <v>2018</v>
      </c>
      <c r="G152" s="398"/>
      <c r="H152" s="398"/>
      <c r="I152" s="1366">
        <f t="shared" si="37"/>
        <v>0</v>
      </c>
      <c r="J152" s="398"/>
      <c r="K152" s="1582">
        <f>SUM(L152-J152)</f>
        <v>0</v>
      </c>
      <c r="L152" s="398"/>
      <c r="M152" s="1366">
        <f>SUM(N152-L152)</f>
        <v>0</v>
      </c>
      <c r="N152" s="398"/>
      <c r="O152" s="398"/>
      <c r="P152" s="2184"/>
      <c r="Q152" s="399"/>
    </row>
    <row r="153" spans="1:19" ht="15.75" x14ac:dyDescent="0.25">
      <c r="A153" s="2641"/>
      <c r="B153" s="2586" t="s">
        <v>595</v>
      </c>
      <c r="C153" s="2642"/>
      <c r="D153" s="379" t="s">
        <v>1156</v>
      </c>
      <c r="E153" s="399"/>
      <c r="F153" s="608">
        <v>2018</v>
      </c>
      <c r="G153" s="398"/>
      <c r="H153" s="398">
        <v>2572500</v>
      </c>
      <c r="I153" s="1366">
        <f t="shared" si="37"/>
        <v>0</v>
      </c>
      <c r="J153" s="398">
        <v>2572500</v>
      </c>
      <c r="K153" s="1582">
        <f>SUM(L153-J153)</f>
        <v>996371</v>
      </c>
      <c r="L153" s="398">
        <v>3568871</v>
      </c>
      <c r="M153" s="1366">
        <f>SUM(N153-L153)</f>
        <v>0</v>
      </c>
      <c r="N153" s="398">
        <v>3568871</v>
      </c>
      <c r="O153" s="398">
        <v>3568871</v>
      </c>
      <c r="P153" s="2184"/>
      <c r="Q153" s="399"/>
    </row>
    <row r="154" spans="1:19" ht="16.5" x14ac:dyDescent="0.25">
      <c r="A154" s="685" t="s">
        <v>109</v>
      </c>
      <c r="B154" s="404"/>
      <c r="C154" s="405"/>
      <c r="D154" s="372" t="s">
        <v>1002</v>
      </c>
      <c r="E154" s="392">
        <f>SUM(E155)</f>
        <v>0</v>
      </c>
      <c r="F154" s="1339">
        <v>2018</v>
      </c>
      <c r="G154" s="382"/>
      <c r="H154" s="374">
        <f>SUM(H155:H157)</f>
        <v>762000</v>
      </c>
      <c r="I154" s="3006">
        <f t="shared" si="37"/>
        <v>973000</v>
      </c>
      <c r="J154" s="374">
        <f t="shared" ref="J154:O154" si="41">SUM(J155:J157)</f>
        <v>1735000</v>
      </c>
      <c r="K154" s="1582">
        <f t="shared" si="41"/>
        <v>83580</v>
      </c>
      <c r="L154" s="374">
        <f>SUM(L155:L157)</f>
        <v>1818580</v>
      </c>
      <c r="M154" s="3520">
        <f t="shared" si="41"/>
        <v>0</v>
      </c>
      <c r="N154" s="374">
        <f>SUM(N155:N157)</f>
        <v>1818580</v>
      </c>
      <c r="O154" s="374">
        <f t="shared" si="41"/>
        <v>1681450</v>
      </c>
      <c r="P154" s="2181"/>
      <c r="Q154" s="2176"/>
    </row>
    <row r="155" spans="1:19" ht="15.75" x14ac:dyDescent="0.25">
      <c r="A155" s="395"/>
      <c r="B155" s="396" t="s">
        <v>596</v>
      </c>
      <c r="C155" s="397"/>
      <c r="D155" s="379" t="s">
        <v>755</v>
      </c>
      <c r="E155" s="398"/>
      <c r="F155" s="608">
        <v>2018</v>
      </c>
      <c r="G155" s="398"/>
      <c r="H155" s="398">
        <v>381000</v>
      </c>
      <c r="I155" s="1366">
        <f t="shared" si="37"/>
        <v>0</v>
      </c>
      <c r="J155" s="777">
        <v>381000</v>
      </c>
      <c r="K155" s="1582">
        <f>SUM(L155-J155)</f>
        <v>153021</v>
      </c>
      <c r="L155" s="945">
        <v>534021</v>
      </c>
      <c r="M155" s="1366">
        <f>SUM(N155-L155)</f>
        <v>0</v>
      </c>
      <c r="N155" s="945">
        <v>534021</v>
      </c>
      <c r="O155" s="777">
        <v>396891</v>
      </c>
      <c r="P155" s="2184"/>
      <c r="Q155" s="399"/>
    </row>
    <row r="156" spans="1:19" ht="15.75" x14ac:dyDescent="0.25">
      <c r="A156" s="395"/>
      <c r="B156" s="396" t="s">
        <v>863</v>
      </c>
      <c r="C156" s="397"/>
      <c r="D156" s="379" t="s">
        <v>873</v>
      </c>
      <c r="E156" s="398"/>
      <c r="F156" s="608">
        <v>2018</v>
      </c>
      <c r="G156" s="398"/>
      <c r="H156" s="398">
        <v>381000</v>
      </c>
      <c r="I156" s="1366">
        <f t="shared" si="37"/>
        <v>0</v>
      </c>
      <c r="J156" s="777">
        <v>381000</v>
      </c>
      <c r="K156" s="1582">
        <f>SUM(L156-J156)</f>
        <v>-68499</v>
      </c>
      <c r="L156" s="945">
        <v>312501</v>
      </c>
      <c r="M156" s="1366">
        <f>SUM(N156-L156)</f>
        <v>0</v>
      </c>
      <c r="N156" s="945">
        <v>312501</v>
      </c>
      <c r="O156" s="777">
        <v>312501</v>
      </c>
      <c r="P156" s="2184"/>
      <c r="Q156" s="399"/>
    </row>
    <row r="157" spans="1:19" ht="15.75" x14ac:dyDescent="0.25">
      <c r="A157" s="395"/>
      <c r="B157" s="396" t="s">
        <v>874</v>
      </c>
      <c r="C157" s="397"/>
      <c r="D157" s="379" t="s">
        <v>1698</v>
      </c>
      <c r="E157" s="398"/>
      <c r="F157" s="608">
        <v>2018</v>
      </c>
      <c r="G157" s="398"/>
      <c r="H157" s="398"/>
      <c r="I157" s="1366">
        <f t="shared" si="37"/>
        <v>973000</v>
      </c>
      <c r="J157" s="3256">
        <v>973000</v>
      </c>
      <c r="K157" s="1582">
        <f>SUM(L157-J157)</f>
        <v>-942</v>
      </c>
      <c r="L157" s="946">
        <v>972058</v>
      </c>
      <c r="M157" s="1366">
        <f>SUM(N157-L157)</f>
        <v>0</v>
      </c>
      <c r="N157" s="946">
        <v>972058</v>
      </c>
      <c r="O157" s="3256">
        <v>972058</v>
      </c>
      <c r="P157" s="2184"/>
      <c r="Q157" s="399"/>
    </row>
    <row r="158" spans="1:19" ht="16.5" x14ac:dyDescent="0.25">
      <c r="A158" s="685" t="s">
        <v>119</v>
      </c>
      <c r="B158" s="404"/>
      <c r="C158" s="405"/>
      <c r="D158" s="372" t="s">
        <v>597</v>
      </c>
      <c r="E158" s="392">
        <f>SUM(E159:E166)</f>
        <v>0</v>
      </c>
      <c r="F158" s="1339">
        <v>2018</v>
      </c>
      <c r="G158" s="382"/>
      <c r="H158" s="374">
        <f>SUM(H159:H160)</f>
        <v>1016000</v>
      </c>
      <c r="I158" s="3006">
        <f t="shared" si="37"/>
        <v>-134800</v>
      </c>
      <c r="J158" s="374">
        <f t="shared" ref="J158:O158" si="42">SUM(J159:J166)</f>
        <v>881200</v>
      </c>
      <c r="K158" s="1582">
        <f t="shared" si="42"/>
        <v>928091</v>
      </c>
      <c r="L158" s="374">
        <f>SUM(L159:L166)</f>
        <v>1809291</v>
      </c>
      <c r="M158" s="3520">
        <f t="shared" si="42"/>
        <v>0</v>
      </c>
      <c r="N158" s="374">
        <f>SUM(N159:N166)</f>
        <v>1809291</v>
      </c>
      <c r="O158" s="374">
        <f t="shared" si="42"/>
        <v>1809291</v>
      </c>
      <c r="P158" s="2187"/>
      <c r="Q158" s="684"/>
    </row>
    <row r="159" spans="1:19" ht="15.75" x14ac:dyDescent="0.25">
      <c r="A159" s="395"/>
      <c r="B159" s="396" t="s">
        <v>598</v>
      </c>
      <c r="C159" s="397"/>
      <c r="D159" s="379" t="s">
        <v>755</v>
      </c>
      <c r="E159" s="398"/>
      <c r="F159" s="608">
        <v>2018</v>
      </c>
      <c r="G159" s="398"/>
      <c r="H159" s="398">
        <v>508000</v>
      </c>
      <c r="I159" s="1366">
        <f t="shared" si="37"/>
        <v>-134800</v>
      </c>
      <c r="J159" s="398">
        <v>373200</v>
      </c>
      <c r="K159" s="1582">
        <f t="shared" ref="K159:K166" si="43">SUM(L159-J159)</f>
        <v>71508</v>
      </c>
      <c r="L159" s="398">
        <v>444708</v>
      </c>
      <c r="M159" s="1366">
        <f t="shared" ref="M159:M166" si="44">SUM(N159-L159)</f>
        <v>0</v>
      </c>
      <c r="N159" s="398">
        <v>444708</v>
      </c>
      <c r="O159" s="398">
        <v>444708</v>
      </c>
      <c r="P159" s="2184"/>
      <c r="Q159" s="399"/>
    </row>
    <row r="160" spans="1:19" ht="15.75" x14ac:dyDescent="0.25">
      <c r="A160" s="395"/>
      <c r="B160" s="396" t="s">
        <v>599</v>
      </c>
      <c r="C160" s="397"/>
      <c r="D160" s="379" t="s">
        <v>827</v>
      </c>
      <c r="E160" s="398"/>
      <c r="F160" s="608">
        <v>2018</v>
      </c>
      <c r="G160" s="398"/>
      <c r="H160" s="398">
        <v>508000</v>
      </c>
      <c r="I160" s="1366">
        <f t="shared" si="37"/>
        <v>0</v>
      </c>
      <c r="J160" s="398">
        <v>508000</v>
      </c>
      <c r="K160" s="1582">
        <f t="shared" si="43"/>
        <v>856583</v>
      </c>
      <c r="L160" s="398">
        <v>1364583</v>
      </c>
      <c r="M160" s="1366">
        <f t="shared" si="44"/>
        <v>0</v>
      </c>
      <c r="N160" s="398">
        <v>1364583</v>
      </c>
      <c r="O160" s="398">
        <v>1364583</v>
      </c>
      <c r="P160" s="2184"/>
      <c r="Q160" s="399"/>
    </row>
    <row r="161" spans="1:17" ht="15.75" hidden="1" x14ac:dyDescent="0.25">
      <c r="A161" s="395"/>
      <c r="B161" s="396" t="s">
        <v>600</v>
      </c>
      <c r="C161" s="397"/>
      <c r="D161" s="379"/>
      <c r="E161" s="398"/>
      <c r="F161" s="608">
        <v>2018</v>
      </c>
      <c r="G161" s="398"/>
      <c r="H161" s="398"/>
      <c r="I161" s="1366">
        <f t="shared" si="37"/>
        <v>0</v>
      </c>
      <c r="J161" s="398"/>
      <c r="K161" s="1582">
        <f t="shared" si="43"/>
        <v>0</v>
      </c>
      <c r="L161" s="398"/>
      <c r="M161" s="1366">
        <f t="shared" si="44"/>
        <v>0</v>
      </c>
      <c r="N161" s="398"/>
      <c r="O161" s="398"/>
      <c r="P161" s="2184"/>
      <c r="Q161" s="399"/>
    </row>
    <row r="162" spans="1:17" ht="15.75" hidden="1" x14ac:dyDescent="0.25">
      <c r="A162" s="395"/>
      <c r="B162" s="396" t="s">
        <v>601</v>
      </c>
      <c r="C162" s="397"/>
      <c r="D162" s="379"/>
      <c r="E162" s="398"/>
      <c r="F162" s="608">
        <v>2018</v>
      </c>
      <c r="G162" s="398"/>
      <c r="H162" s="398"/>
      <c r="I162" s="1366">
        <f t="shared" si="37"/>
        <v>0</v>
      </c>
      <c r="J162" s="398"/>
      <c r="K162" s="1582">
        <f t="shared" si="43"/>
        <v>0</v>
      </c>
      <c r="L162" s="398"/>
      <c r="M162" s="1366">
        <f t="shared" si="44"/>
        <v>0</v>
      </c>
      <c r="N162" s="398"/>
      <c r="O162" s="398"/>
      <c r="P162" s="2184"/>
      <c r="Q162" s="399"/>
    </row>
    <row r="163" spans="1:17" ht="15.75" hidden="1" x14ac:dyDescent="0.25">
      <c r="A163" s="395"/>
      <c r="B163" s="396" t="s">
        <v>602</v>
      </c>
      <c r="C163" s="397"/>
      <c r="D163" s="379"/>
      <c r="E163" s="398"/>
      <c r="F163" s="608">
        <v>2018</v>
      </c>
      <c r="G163" s="398"/>
      <c r="H163" s="398"/>
      <c r="I163" s="1366">
        <f t="shared" si="37"/>
        <v>0</v>
      </c>
      <c r="J163" s="398"/>
      <c r="K163" s="1582">
        <f t="shared" si="43"/>
        <v>0</v>
      </c>
      <c r="L163" s="398"/>
      <c r="M163" s="1366">
        <f t="shared" si="44"/>
        <v>0</v>
      </c>
      <c r="N163" s="398"/>
      <c r="O163" s="398"/>
      <c r="P163" s="2184"/>
      <c r="Q163" s="399"/>
    </row>
    <row r="164" spans="1:17" ht="15.75" hidden="1" x14ac:dyDescent="0.25">
      <c r="A164" s="395"/>
      <c r="B164" s="396" t="s">
        <v>603</v>
      </c>
      <c r="C164" s="397"/>
      <c r="D164" s="379"/>
      <c r="E164" s="398"/>
      <c r="F164" s="608">
        <v>2018</v>
      </c>
      <c r="G164" s="398"/>
      <c r="H164" s="398"/>
      <c r="I164" s="1366">
        <f t="shared" si="37"/>
        <v>0</v>
      </c>
      <c r="J164" s="398"/>
      <c r="K164" s="1582">
        <f t="shared" si="43"/>
        <v>0</v>
      </c>
      <c r="L164" s="398"/>
      <c r="M164" s="1366">
        <f t="shared" si="44"/>
        <v>0</v>
      </c>
      <c r="N164" s="398"/>
      <c r="O164" s="398"/>
      <c r="P164" s="2184"/>
      <c r="Q164" s="399"/>
    </row>
    <row r="165" spans="1:17" ht="15.75" hidden="1" x14ac:dyDescent="0.25">
      <c r="A165" s="395"/>
      <c r="B165" s="396" t="s">
        <v>604</v>
      </c>
      <c r="C165" s="397"/>
      <c r="D165" s="379"/>
      <c r="E165" s="398"/>
      <c r="F165" s="608">
        <v>2018</v>
      </c>
      <c r="G165" s="398"/>
      <c r="H165" s="398"/>
      <c r="I165" s="1366">
        <f t="shared" si="37"/>
        <v>0</v>
      </c>
      <c r="J165" s="398"/>
      <c r="K165" s="1582">
        <f t="shared" si="43"/>
        <v>0</v>
      </c>
      <c r="L165" s="398"/>
      <c r="M165" s="1366">
        <f t="shared" si="44"/>
        <v>0</v>
      </c>
      <c r="N165" s="398"/>
      <c r="O165" s="398"/>
      <c r="P165" s="2184"/>
      <c r="Q165" s="399"/>
    </row>
    <row r="166" spans="1:17" ht="15.75" hidden="1" x14ac:dyDescent="0.25">
      <c r="A166" s="395"/>
      <c r="B166" s="396" t="s">
        <v>605</v>
      </c>
      <c r="C166" s="397"/>
      <c r="D166" s="379"/>
      <c r="E166" s="398"/>
      <c r="F166" s="608">
        <v>2018</v>
      </c>
      <c r="G166" s="398"/>
      <c r="H166" s="398"/>
      <c r="I166" s="1366">
        <f t="shared" si="37"/>
        <v>0</v>
      </c>
      <c r="J166" s="398"/>
      <c r="K166" s="1582">
        <f t="shared" si="43"/>
        <v>0</v>
      </c>
      <c r="L166" s="398"/>
      <c r="M166" s="1366">
        <f t="shared" si="44"/>
        <v>0</v>
      </c>
      <c r="N166" s="398"/>
      <c r="O166" s="398"/>
      <c r="P166" s="2184"/>
      <c r="Q166" s="399"/>
    </row>
    <row r="167" spans="1:17" ht="16.5" x14ac:dyDescent="0.25">
      <c r="A167" s="685" t="s">
        <v>125</v>
      </c>
      <c r="B167" s="404"/>
      <c r="C167" s="405"/>
      <c r="D167" s="1143" t="s">
        <v>472</v>
      </c>
      <c r="E167" s="521">
        <f>SUM(E168)</f>
        <v>0</v>
      </c>
      <c r="F167" s="1339">
        <v>2018</v>
      </c>
      <c r="G167" s="521"/>
      <c r="H167" s="521">
        <f>SUM(H168:H172)</f>
        <v>1270000</v>
      </c>
      <c r="I167" s="3006">
        <f t="shared" si="37"/>
        <v>2274260</v>
      </c>
      <c r="J167" s="374">
        <f t="shared" ref="J167:O167" si="45">SUM(J168:J171)</f>
        <v>3544260</v>
      </c>
      <c r="K167" s="1582">
        <f t="shared" si="45"/>
        <v>-1092856</v>
      </c>
      <c r="L167" s="374">
        <f>SUM(L168:L171)</f>
        <v>2451404</v>
      </c>
      <c r="M167" s="3520">
        <f>SUM(M168:M171)</f>
        <v>0</v>
      </c>
      <c r="N167" s="374">
        <f>SUM(N168:N171)</f>
        <v>2451404</v>
      </c>
      <c r="O167" s="374">
        <f t="shared" si="45"/>
        <v>2451404</v>
      </c>
      <c r="P167" s="2181"/>
      <c r="Q167" s="2178"/>
    </row>
    <row r="168" spans="1:17" ht="15.75" x14ac:dyDescent="0.25">
      <c r="A168" s="395"/>
      <c r="B168" s="396" t="s">
        <v>606</v>
      </c>
      <c r="C168" s="397"/>
      <c r="D168" s="379" t="s">
        <v>755</v>
      </c>
      <c r="E168" s="622"/>
      <c r="F168" s="608">
        <v>2018</v>
      </c>
      <c r="G168" s="398"/>
      <c r="H168" s="522">
        <v>1270000</v>
      </c>
      <c r="I168" s="1366">
        <f t="shared" si="37"/>
        <v>74260</v>
      </c>
      <c r="J168" s="398">
        <v>1344260</v>
      </c>
      <c r="K168" s="1582">
        <f>SUM(L168-J168)</f>
        <v>-1055286</v>
      </c>
      <c r="L168" s="398">
        <v>288974</v>
      </c>
      <c r="M168" s="1366">
        <f>SUM(N168-L168)</f>
        <v>0</v>
      </c>
      <c r="N168" s="398">
        <v>288974</v>
      </c>
      <c r="O168" s="398">
        <v>288974</v>
      </c>
      <c r="P168" s="2184"/>
      <c r="Q168" s="399"/>
    </row>
    <row r="169" spans="1:17" ht="15.75" x14ac:dyDescent="0.25">
      <c r="A169" s="395"/>
      <c r="B169" s="396" t="s">
        <v>864</v>
      </c>
      <c r="C169" s="397"/>
      <c r="D169" s="379" t="s">
        <v>827</v>
      </c>
      <c r="E169" s="622"/>
      <c r="F169" s="608">
        <v>2018</v>
      </c>
      <c r="G169" s="398"/>
      <c r="H169" s="522"/>
      <c r="I169" s="1366">
        <f t="shared" si="37"/>
        <v>0</v>
      </c>
      <c r="J169" s="398"/>
      <c r="K169" s="1582">
        <f>SUM(L169-J169)</f>
        <v>0</v>
      </c>
      <c r="L169" s="398"/>
      <c r="M169" s="1366">
        <f>SUM(N169-L169)</f>
        <v>0</v>
      </c>
      <c r="N169" s="398"/>
      <c r="O169" s="398"/>
      <c r="P169" s="2184"/>
      <c r="Q169" s="399"/>
    </row>
    <row r="170" spans="1:17" ht="15.75" x14ac:dyDescent="0.25">
      <c r="A170" s="395"/>
      <c r="B170" s="396" t="s">
        <v>865</v>
      </c>
      <c r="C170" s="397"/>
      <c r="D170" s="379" t="s">
        <v>1700</v>
      </c>
      <c r="E170" s="622"/>
      <c r="F170" s="608">
        <v>2018</v>
      </c>
      <c r="G170" s="398"/>
      <c r="H170" s="522"/>
      <c r="I170" s="1366">
        <f t="shared" si="37"/>
        <v>2200000</v>
      </c>
      <c r="J170" s="398">
        <v>2200000</v>
      </c>
      <c r="K170" s="1582">
        <f>SUM(L170-J170)</f>
        <v>-37570</v>
      </c>
      <c r="L170" s="398">
        <v>2162430</v>
      </c>
      <c r="M170" s="1366">
        <f>SUM(N170-L170)</f>
        <v>0</v>
      </c>
      <c r="N170" s="398">
        <v>2162430</v>
      </c>
      <c r="O170" s="398">
        <v>2162430</v>
      </c>
      <c r="P170" s="2184"/>
      <c r="Q170" s="399"/>
    </row>
    <row r="171" spans="1:17" ht="15.75" hidden="1" x14ac:dyDescent="0.25">
      <c r="A171" s="395"/>
      <c r="B171" s="396" t="s">
        <v>956</v>
      </c>
      <c r="C171" s="397"/>
      <c r="D171" s="379"/>
      <c r="E171" s="622"/>
      <c r="F171" s="608">
        <v>2018</v>
      </c>
      <c r="G171" s="398"/>
      <c r="H171" s="522"/>
      <c r="I171" s="1366">
        <f t="shared" si="37"/>
        <v>0</v>
      </c>
      <c r="J171" s="398"/>
      <c r="K171" s="1582">
        <f>SUM(L171-J171)</f>
        <v>0</v>
      </c>
      <c r="L171" s="398"/>
      <c r="M171" s="1366">
        <f>SUM(N171-L171)</f>
        <v>0</v>
      </c>
      <c r="N171" s="398"/>
      <c r="O171" s="398"/>
      <c r="P171" s="2184"/>
      <c r="Q171" s="399"/>
    </row>
    <row r="172" spans="1:17" ht="15.75" hidden="1" x14ac:dyDescent="0.25">
      <c r="A172" s="395"/>
      <c r="B172" s="396"/>
      <c r="C172" s="397"/>
      <c r="D172" s="379"/>
      <c r="E172" s="622"/>
      <c r="F172" s="608">
        <v>2018</v>
      </c>
      <c r="G172" s="398"/>
      <c r="H172" s="398"/>
      <c r="I172" s="1366">
        <f t="shared" si="37"/>
        <v>0</v>
      </c>
      <c r="J172" s="398"/>
      <c r="K172" s="1582">
        <f>SUM(L172-J172)</f>
        <v>0</v>
      </c>
      <c r="L172" s="398"/>
      <c r="M172" s="1366">
        <f>SUM(N172-L172)</f>
        <v>0</v>
      </c>
      <c r="N172" s="398"/>
      <c r="O172" s="398"/>
      <c r="P172" s="2184"/>
      <c r="Q172" s="399"/>
    </row>
    <row r="173" spans="1:17" ht="16.5" x14ac:dyDescent="0.25">
      <c r="A173" s="685" t="s">
        <v>143</v>
      </c>
      <c r="B173" s="404"/>
      <c r="C173" s="405"/>
      <c r="D173" s="372" t="s">
        <v>607</v>
      </c>
      <c r="E173" s="521">
        <f>SUM(E174)</f>
        <v>0</v>
      </c>
      <c r="F173" s="1339">
        <v>2018</v>
      </c>
      <c r="G173" s="382"/>
      <c r="H173" s="391">
        <f>SUM(H174:H175)</f>
        <v>190500</v>
      </c>
      <c r="I173" s="3006">
        <f t="shared" ref="I173:I192" si="46">SUM(J173-H173)</f>
        <v>0</v>
      </c>
      <c r="J173" s="374">
        <f t="shared" ref="J173:O173" si="47">SUM(J174:J175)</f>
        <v>190500</v>
      </c>
      <c r="K173" s="1582">
        <f t="shared" si="47"/>
        <v>14045</v>
      </c>
      <c r="L173" s="374">
        <f>SUM(L174:L175)</f>
        <v>204545</v>
      </c>
      <c r="M173" s="3520">
        <f t="shared" si="47"/>
        <v>0</v>
      </c>
      <c r="N173" s="374">
        <f>SUM(N174:N175)</f>
        <v>204545</v>
      </c>
      <c r="O173" s="374">
        <f t="shared" si="47"/>
        <v>204545</v>
      </c>
      <c r="P173" s="2181"/>
      <c r="Q173" s="2178"/>
    </row>
    <row r="174" spans="1:17" ht="15.75" x14ac:dyDescent="0.25">
      <c r="A174" s="395"/>
      <c r="B174" s="396" t="s">
        <v>608</v>
      </c>
      <c r="C174" s="397"/>
      <c r="D174" s="379" t="s">
        <v>755</v>
      </c>
      <c r="E174" s="398"/>
      <c r="F174" s="608">
        <v>2018</v>
      </c>
      <c r="G174" s="398"/>
      <c r="H174" s="398">
        <v>190500</v>
      </c>
      <c r="I174" s="1366">
        <f t="shared" si="46"/>
        <v>0</v>
      </c>
      <c r="J174" s="398">
        <v>190500</v>
      </c>
      <c r="K174" s="1582">
        <f>SUM(L174-J174)</f>
        <v>-34855</v>
      </c>
      <c r="L174" s="398">
        <v>155645</v>
      </c>
      <c r="M174" s="1366">
        <f>SUM(N174-L174)</f>
        <v>0</v>
      </c>
      <c r="N174" s="398">
        <v>155645</v>
      </c>
      <c r="O174" s="398">
        <v>155645</v>
      </c>
      <c r="P174" s="2184"/>
      <c r="Q174" s="399"/>
    </row>
    <row r="175" spans="1:17" ht="15.75" x14ac:dyDescent="0.25">
      <c r="A175" s="395"/>
      <c r="B175" s="396" t="s">
        <v>825</v>
      </c>
      <c r="C175" s="397"/>
      <c r="D175" s="379" t="s">
        <v>827</v>
      </c>
      <c r="E175" s="399"/>
      <c r="F175" s="608">
        <v>2018</v>
      </c>
      <c r="G175" s="398"/>
      <c r="H175" s="412"/>
      <c r="I175" s="1366">
        <f t="shared" si="46"/>
        <v>0</v>
      </c>
      <c r="J175" s="412">
        <v>0</v>
      </c>
      <c r="K175" s="1582">
        <f>SUM(L175-J175)</f>
        <v>48900</v>
      </c>
      <c r="L175" s="412">
        <v>48900</v>
      </c>
      <c r="M175" s="1366">
        <f>SUM(N175-L175)</f>
        <v>0</v>
      </c>
      <c r="N175" s="412">
        <v>48900</v>
      </c>
      <c r="O175" s="412">
        <v>48900</v>
      </c>
      <c r="P175" s="2184"/>
      <c r="Q175" s="399"/>
    </row>
    <row r="176" spans="1:17" ht="16.5" x14ac:dyDescent="0.25">
      <c r="A176" s="685" t="s">
        <v>145</v>
      </c>
      <c r="B176" s="404"/>
      <c r="C176" s="405"/>
      <c r="D176" s="372" t="s">
        <v>1000</v>
      </c>
      <c r="E176" s="392">
        <f>SUM(E177)</f>
        <v>0</v>
      </c>
      <c r="F176" s="1339">
        <v>2018</v>
      </c>
      <c r="G176" s="382"/>
      <c r="H176" s="391">
        <f>SUM(H177:H178)</f>
        <v>355600</v>
      </c>
      <c r="I176" s="3006">
        <f t="shared" si="46"/>
        <v>0</v>
      </c>
      <c r="J176" s="391">
        <f t="shared" ref="J176:O176" si="48">SUM(J177:J178)</f>
        <v>355600</v>
      </c>
      <c r="K176" s="1582">
        <f t="shared" si="48"/>
        <v>-32140</v>
      </c>
      <c r="L176" s="391">
        <f>SUM(L177:L178)</f>
        <v>323460</v>
      </c>
      <c r="M176" s="3520">
        <f t="shared" si="48"/>
        <v>0</v>
      </c>
      <c r="N176" s="391">
        <f>SUM(N177:N178)</f>
        <v>323460</v>
      </c>
      <c r="O176" s="391">
        <f t="shared" si="48"/>
        <v>323460</v>
      </c>
      <c r="P176" s="2181"/>
      <c r="Q176" s="2176"/>
    </row>
    <row r="177" spans="1:22" ht="15.75" x14ac:dyDescent="0.25">
      <c r="A177" s="395"/>
      <c r="B177" s="396" t="s">
        <v>609</v>
      </c>
      <c r="C177" s="397"/>
      <c r="D177" s="379" t="s">
        <v>755</v>
      </c>
      <c r="E177" s="398"/>
      <c r="F177" s="608">
        <v>2018</v>
      </c>
      <c r="G177" s="398"/>
      <c r="H177" s="398">
        <v>127000</v>
      </c>
      <c r="I177" s="1366">
        <f t="shared" si="46"/>
        <v>110950</v>
      </c>
      <c r="J177" s="398">
        <v>237950</v>
      </c>
      <c r="K177" s="1582">
        <f t="shared" ref="K177:K183" si="49">SUM(L177-J177)</f>
        <v>85510</v>
      </c>
      <c r="L177" s="398">
        <v>323460</v>
      </c>
      <c r="M177" s="1366">
        <f t="shared" ref="M177:M183" si="50">SUM(N177-L177)</f>
        <v>0</v>
      </c>
      <c r="N177" s="398">
        <v>323460</v>
      </c>
      <c r="O177" s="398">
        <v>323460</v>
      </c>
      <c r="P177" s="2184"/>
      <c r="Q177" s="399"/>
    </row>
    <row r="178" spans="1:22" ht="15.75" x14ac:dyDescent="0.25">
      <c r="A178" s="687"/>
      <c r="B178" s="396" t="s">
        <v>826</v>
      </c>
      <c r="C178" s="94"/>
      <c r="D178" s="379" t="s">
        <v>827</v>
      </c>
      <c r="E178" s="622"/>
      <c r="F178" s="608">
        <v>2018</v>
      </c>
      <c r="G178" s="398"/>
      <c r="H178" s="398">
        <v>228600</v>
      </c>
      <c r="I178" s="1366">
        <f t="shared" si="46"/>
        <v>-110950</v>
      </c>
      <c r="J178" s="398">
        <v>117650</v>
      </c>
      <c r="K178" s="1582">
        <f t="shared" si="49"/>
        <v>-117650</v>
      </c>
      <c r="L178" s="398"/>
      <c r="M178" s="1366">
        <f t="shared" si="50"/>
        <v>0</v>
      </c>
      <c r="N178" s="398"/>
      <c r="O178" s="398" t="s">
        <v>875</v>
      </c>
      <c r="P178" s="2188"/>
    </row>
    <row r="179" spans="1:22" ht="15.75" hidden="1" x14ac:dyDescent="0.25">
      <c r="A179" s="687"/>
      <c r="B179" s="94"/>
      <c r="C179" s="94"/>
      <c r="D179" s="688"/>
      <c r="E179" s="94"/>
      <c r="F179" s="608">
        <v>2018</v>
      </c>
      <c r="G179" s="94"/>
      <c r="H179" s="94"/>
      <c r="I179" s="1366">
        <f t="shared" si="46"/>
        <v>0</v>
      </c>
      <c r="J179" s="94"/>
      <c r="K179" s="1582">
        <f t="shared" si="49"/>
        <v>0</v>
      </c>
      <c r="L179" s="94"/>
      <c r="M179" s="1366">
        <f t="shared" si="50"/>
        <v>0</v>
      </c>
      <c r="N179" s="94"/>
      <c r="O179" s="94"/>
      <c r="P179" s="2188"/>
    </row>
    <row r="180" spans="1:22" ht="15.75" hidden="1" x14ac:dyDescent="0.25">
      <c r="A180" s="687"/>
      <c r="B180" s="94"/>
      <c r="C180" s="94"/>
      <c r="D180" s="688"/>
      <c r="E180" s="94"/>
      <c r="F180" s="608">
        <v>2018</v>
      </c>
      <c r="G180" s="94"/>
      <c r="H180" s="94"/>
      <c r="I180" s="1366">
        <f t="shared" si="46"/>
        <v>0</v>
      </c>
      <c r="J180" s="94"/>
      <c r="K180" s="1582">
        <f t="shared" si="49"/>
        <v>0</v>
      </c>
      <c r="L180" s="94"/>
      <c r="M180" s="1366">
        <f t="shared" si="50"/>
        <v>0</v>
      </c>
      <c r="N180" s="94"/>
      <c r="O180" s="94"/>
      <c r="P180" s="2188"/>
    </row>
    <row r="181" spans="1:22" ht="15.75" hidden="1" x14ac:dyDescent="0.25">
      <c r="A181" s="687"/>
      <c r="B181" s="94"/>
      <c r="C181" s="94"/>
      <c r="D181" s="688"/>
      <c r="E181" s="94"/>
      <c r="F181" s="608">
        <v>2018</v>
      </c>
      <c r="G181" s="94"/>
      <c r="H181" s="94"/>
      <c r="I181" s="1366">
        <f t="shared" si="46"/>
        <v>0</v>
      </c>
      <c r="J181" s="94"/>
      <c r="K181" s="1582">
        <f t="shared" si="49"/>
        <v>0</v>
      </c>
      <c r="L181" s="94"/>
      <c r="M181" s="1366">
        <f t="shared" si="50"/>
        <v>0</v>
      </c>
      <c r="N181" s="94"/>
      <c r="O181" s="94"/>
      <c r="P181" s="2188"/>
    </row>
    <row r="182" spans="1:22" ht="16.5" hidden="1" x14ac:dyDescent="0.25">
      <c r="A182" s="689"/>
      <c r="B182" s="408"/>
      <c r="C182" s="404"/>
      <c r="D182" s="219"/>
      <c r="E182" s="401"/>
      <c r="F182" s="608">
        <v>2018</v>
      </c>
      <c r="G182" s="401"/>
      <c r="H182" s="401"/>
      <c r="I182" s="1366">
        <f t="shared" si="46"/>
        <v>0</v>
      </c>
      <c r="J182" s="401"/>
      <c r="K182" s="1582">
        <f t="shared" si="49"/>
        <v>0</v>
      </c>
      <c r="L182" s="401"/>
      <c r="M182" s="1366">
        <f t="shared" si="50"/>
        <v>0</v>
      </c>
      <c r="N182" s="401"/>
      <c r="O182" s="401"/>
      <c r="P182" s="2189"/>
      <c r="Q182" s="399"/>
    </row>
    <row r="183" spans="1:22" s="407" customFormat="1" ht="17.25" hidden="1" x14ac:dyDescent="0.25">
      <c r="A183" s="690"/>
      <c r="B183" s="410"/>
      <c r="C183" s="406"/>
      <c r="D183" s="223"/>
      <c r="E183" s="409"/>
      <c r="F183" s="608">
        <v>2018</v>
      </c>
      <c r="G183" s="409"/>
      <c r="H183" s="409"/>
      <c r="I183" s="1366">
        <f t="shared" si="46"/>
        <v>0</v>
      </c>
      <c r="J183" s="409"/>
      <c r="K183" s="1582">
        <f t="shared" si="49"/>
        <v>0</v>
      </c>
      <c r="L183" s="409"/>
      <c r="M183" s="1366">
        <f t="shared" si="50"/>
        <v>0</v>
      </c>
      <c r="N183" s="409"/>
      <c r="O183" s="409"/>
      <c r="P183" s="2190"/>
      <c r="Q183" s="399"/>
    </row>
    <row r="184" spans="1:22" ht="16.5" x14ac:dyDescent="0.25">
      <c r="A184" s="685" t="s">
        <v>147</v>
      </c>
      <c r="B184" s="404"/>
      <c r="C184" s="405"/>
      <c r="D184" s="382" t="s">
        <v>491</v>
      </c>
      <c r="E184" s="373">
        <f>SUM(E185:E189)</f>
        <v>0</v>
      </c>
      <c r="F184" s="1339">
        <v>2018</v>
      </c>
      <c r="G184" s="373">
        <f>G185+G186+G187+G188+G189</f>
        <v>0</v>
      </c>
      <c r="H184" s="373">
        <f>H185+H186+H187+H188+H189</f>
        <v>3000000</v>
      </c>
      <c r="I184" s="3006">
        <f t="shared" si="46"/>
        <v>15880496</v>
      </c>
      <c r="J184" s="373">
        <f t="shared" ref="J184:O184" si="51">SUM(J185:J195)</f>
        <v>18880496</v>
      </c>
      <c r="K184" s="1582">
        <f t="shared" si="51"/>
        <v>31772203</v>
      </c>
      <c r="L184" s="373">
        <f>SUM(L185:L195)</f>
        <v>50652699</v>
      </c>
      <c r="M184" s="3520">
        <f t="shared" si="51"/>
        <v>0</v>
      </c>
      <c r="N184" s="373">
        <f>SUM(N185:N195)</f>
        <v>50652699</v>
      </c>
      <c r="O184" s="373">
        <f t="shared" si="51"/>
        <v>16538976</v>
      </c>
      <c r="P184" s="2181"/>
      <c r="Q184" s="392"/>
    </row>
    <row r="185" spans="1:22" ht="15.75" x14ac:dyDescent="0.25">
      <c r="A185" s="395"/>
      <c r="B185" s="396" t="s">
        <v>756</v>
      </c>
      <c r="C185" s="397"/>
      <c r="D185" s="379" t="s">
        <v>755</v>
      </c>
      <c r="E185" s="398"/>
      <c r="F185" s="608">
        <v>2018</v>
      </c>
      <c r="G185" s="398"/>
      <c r="H185" s="398">
        <v>3000000</v>
      </c>
      <c r="I185" s="1366">
        <f t="shared" si="46"/>
        <v>-1905006</v>
      </c>
      <c r="J185" s="398">
        <v>1094994</v>
      </c>
      <c r="K185" s="1582">
        <f t="shared" ref="K185:K195" si="52">SUM(L185-J185)</f>
        <v>1229936</v>
      </c>
      <c r="L185" s="398">
        <v>2324930</v>
      </c>
      <c r="M185" s="1366">
        <f t="shared" ref="M185:M194" si="53">SUM(N185-L185)</f>
        <v>0</v>
      </c>
      <c r="N185" s="398">
        <v>2324930</v>
      </c>
      <c r="O185" s="398">
        <v>751702</v>
      </c>
      <c r="P185" s="2184"/>
      <c r="Q185" s="399"/>
      <c r="R185" s="4670"/>
      <c r="S185" s="4670"/>
      <c r="T185" s="4670"/>
      <c r="U185" s="4670"/>
      <c r="V185" s="4670"/>
    </row>
    <row r="186" spans="1:22" ht="17.25" customHeight="1" x14ac:dyDescent="0.25">
      <c r="A186" s="395"/>
      <c r="B186" s="396" t="s">
        <v>757</v>
      </c>
      <c r="C186" s="397"/>
      <c r="D186" s="379" t="s">
        <v>1723</v>
      </c>
      <c r="E186" s="398"/>
      <c r="F186" s="608">
        <v>2018</v>
      </c>
      <c r="G186" s="398"/>
      <c r="H186" s="398"/>
      <c r="I186" s="1366">
        <f t="shared" si="46"/>
        <v>1453896</v>
      </c>
      <c r="J186" s="398">
        <v>1453896</v>
      </c>
      <c r="K186" s="1582">
        <f t="shared" si="52"/>
        <v>10604054</v>
      </c>
      <c r="L186" s="398">
        <v>12057950</v>
      </c>
      <c r="M186" s="1366">
        <f t="shared" si="53"/>
        <v>0</v>
      </c>
      <c r="N186" s="398">
        <v>12057950</v>
      </c>
      <c r="O186" s="398">
        <v>4955982</v>
      </c>
      <c r="P186" s="2184"/>
      <c r="Q186" s="399"/>
      <c r="R186" s="4670"/>
      <c r="S186" s="4670"/>
      <c r="T186" s="4670"/>
      <c r="U186" s="4670"/>
      <c r="V186" s="4670"/>
    </row>
    <row r="187" spans="1:22" ht="18.75" customHeight="1" x14ac:dyDescent="0.25">
      <c r="A187" s="395"/>
      <c r="B187" s="396" t="s">
        <v>758</v>
      </c>
      <c r="C187" s="397"/>
      <c r="D187" s="379" t="s">
        <v>1724</v>
      </c>
      <c r="E187" s="398"/>
      <c r="F187" s="608">
        <v>2018</v>
      </c>
      <c r="G187" s="398"/>
      <c r="H187" s="398"/>
      <c r="I187" s="1366">
        <f t="shared" si="46"/>
        <v>0</v>
      </c>
      <c r="J187" s="398"/>
      <c r="K187" s="1582">
        <f t="shared" si="52"/>
        <v>487970</v>
      </c>
      <c r="L187" s="398">
        <v>487970</v>
      </c>
      <c r="M187" s="1366">
        <f t="shared" si="53"/>
        <v>0</v>
      </c>
      <c r="N187" s="398">
        <v>487970</v>
      </c>
      <c r="O187" s="398">
        <v>487970</v>
      </c>
      <c r="P187" s="2184"/>
      <c r="Q187" s="399"/>
      <c r="R187" s="4670"/>
      <c r="S187" s="4670"/>
      <c r="T187" s="4670"/>
      <c r="U187" s="4670"/>
      <c r="V187" s="4670"/>
    </row>
    <row r="188" spans="1:22" ht="16.5" hidden="1" x14ac:dyDescent="0.25">
      <c r="A188" s="689"/>
      <c r="B188" s="396" t="s">
        <v>1720</v>
      </c>
      <c r="C188" s="404"/>
      <c r="D188" s="219"/>
      <c r="E188" s="398"/>
      <c r="F188" s="608">
        <v>2017</v>
      </c>
      <c r="G188" s="401"/>
      <c r="H188" s="401"/>
      <c r="I188" s="1366">
        <f t="shared" si="46"/>
        <v>0</v>
      </c>
      <c r="J188" s="401"/>
      <c r="K188" s="1582">
        <f t="shared" si="52"/>
        <v>0</v>
      </c>
      <c r="L188" s="401"/>
      <c r="M188" s="1366">
        <f t="shared" si="53"/>
        <v>0</v>
      </c>
      <c r="N188" s="401"/>
      <c r="O188" s="401"/>
      <c r="P188" s="2190"/>
      <c r="Q188" s="399"/>
    </row>
    <row r="189" spans="1:22" s="407" customFormat="1" ht="17.25" hidden="1" x14ac:dyDescent="0.25">
      <c r="A189" s="690"/>
      <c r="B189" s="396" t="s">
        <v>1721</v>
      </c>
      <c r="C189" s="406"/>
      <c r="D189" s="219"/>
      <c r="E189" s="398"/>
      <c r="F189" s="608">
        <v>2017</v>
      </c>
      <c r="G189" s="401"/>
      <c r="H189" s="401"/>
      <c r="I189" s="1366">
        <f t="shared" si="46"/>
        <v>0</v>
      </c>
      <c r="J189" s="401"/>
      <c r="K189" s="1582">
        <f t="shared" si="52"/>
        <v>0</v>
      </c>
      <c r="L189" s="401"/>
      <c r="M189" s="1366">
        <f t="shared" si="53"/>
        <v>0</v>
      </c>
      <c r="N189" s="401"/>
      <c r="O189" s="401"/>
      <c r="P189" s="2190"/>
      <c r="Q189" s="399"/>
    </row>
    <row r="190" spans="1:22" ht="16.5" hidden="1" x14ac:dyDescent="0.25">
      <c r="A190" s="689"/>
      <c r="B190" s="396" t="s">
        <v>1722</v>
      </c>
      <c r="C190" s="404"/>
      <c r="D190" s="219"/>
      <c r="E190" s="401"/>
      <c r="F190" s="608">
        <v>2017</v>
      </c>
      <c r="G190" s="401"/>
      <c r="H190" s="401"/>
      <c r="I190" s="1366">
        <f t="shared" si="46"/>
        <v>0</v>
      </c>
      <c r="J190" s="401"/>
      <c r="K190" s="1582">
        <f t="shared" si="52"/>
        <v>0</v>
      </c>
      <c r="L190" s="401"/>
      <c r="M190" s="1366">
        <f t="shared" si="53"/>
        <v>0</v>
      </c>
      <c r="N190" s="401"/>
      <c r="O190" s="401"/>
      <c r="P190" s="2190"/>
      <c r="Q190" s="399"/>
    </row>
    <row r="191" spans="1:22" ht="16.5" hidden="1" x14ac:dyDescent="0.25">
      <c r="A191" s="689"/>
      <c r="B191" s="396" t="s">
        <v>759</v>
      </c>
      <c r="C191" s="413"/>
      <c r="D191" s="414"/>
      <c r="E191" s="411"/>
      <c r="F191" s="608">
        <v>2017</v>
      </c>
      <c r="G191" s="411"/>
      <c r="H191" s="411"/>
      <c r="I191" s="1366">
        <f t="shared" si="46"/>
        <v>0</v>
      </c>
      <c r="J191" s="411"/>
      <c r="K191" s="1582">
        <f t="shared" si="52"/>
        <v>0</v>
      </c>
      <c r="L191" s="411"/>
      <c r="M191" s="1366">
        <f t="shared" si="53"/>
        <v>0</v>
      </c>
      <c r="N191" s="411"/>
      <c r="O191" s="411"/>
      <c r="P191" s="2185"/>
      <c r="Q191" s="411"/>
    </row>
    <row r="192" spans="1:22" ht="16.5" hidden="1" x14ac:dyDescent="0.25">
      <c r="A192" s="689"/>
      <c r="B192" s="396" t="s">
        <v>760</v>
      </c>
      <c r="C192" s="413"/>
      <c r="D192" s="229"/>
      <c r="E192" s="411"/>
      <c r="F192" s="608">
        <v>2017</v>
      </c>
      <c r="G192" s="411"/>
      <c r="H192" s="411"/>
      <c r="I192" s="1366">
        <f t="shared" si="46"/>
        <v>0</v>
      </c>
      <c r="J192" s="411"/>
      <c r="K192" s="1582">
        <f t="shared" si="52"/>
        <v>0</v>
      </c>
      <c r="L192" s="411"/>
      <c r="M192" s="1366">
        <f t="shared" si="53"/>
        <v>0</v>
      </c>
      <c r="N192" s="411"/>
      <c r="O192" s="411"/>
      <c r="P192" s="2185"/>
      <c r="Q192" s="411"/>
      <c r="S192" s="38" t="s">
        <v>828</v>
      </c>
      <c r="T192" s="38" t="s">
        <v>289</v>
      </c>
    </row>
    <row r="193" spans="1:20" ht="16.5" x14ac:dyDescent="0.25">
      <c r="A193" s="689"/>
      <c r="B193" s="396" t="s">
        <v>1720</v>
      </c>
      <c r="C193" s="413"/>
      <c r="D193" s="219" t="s">
        <v>1726</v>
      </c>
      <c r="E193" s="411"/>
      <c r="F193" s="2854"/>
      <c r="G193" s="411"/>
      <c r="H193" s="411"/>
      <c r="I193" s="2855"/>
      <c r="J193" s="411">
        <v>14506616</v>
      </c>
      <c r="K193" s="1582">
        <f t="shared" si="52"/>
        <v>-997577</v>
      </c>
      <c r="L193" s="411">
        <v>13509039</v>
      </c>
      <c r="M193" s="1366">
        <f t="shared" si="53"/>
        <v>0</v>
      </c>
      <c r="N193" s="411">
        <v>13509039</v>
      </c>
      <c r="O193" s="411">
        <v>2114818</v>
      </c>
      <c r="P193" s="2185"/>
      <c r="Q193" s="411"/>
    </row>
    <row r="194" spans="1:20" ht="16.5" x14ac:dyDescent="0.25">
      <c r="A194" s="689"/>
      <c r="B194" s="396" t="s">
        <v>1721</v>
      </c>
      <c r="C194" s="413"/>
      <c r="D194" s="219" t="s">
        <v>1725</v>
      </c>
      <c r="E194" s="411"/>
      <c r="F194" s="2854"/>
      <c r="G194" s="411"/>
      <c r="H194" s="411"/>
      <c r="I194" s="2855"/>
      <c r="J194" s="411">
        <v>1824990</v>
      </c>
      <c r="K194" s="1582">
        <f t="shared" si="52"/>
        <v>20447820</v>
      </c>
      <c r="L194" s="411">
        <v>22272810</v>
      </c>
      <c r="M194" s="1366">
        <f t="shared" si="53"/>
        <v>0</v>
      </c>
      <c r="N194" s="411">
        <v>22272810</v>
      </c>
      <c r="O194" s="411">
        <v>8228504</v>
      </c>
      <c r="P194" s="2185"/>
      <c r="Q194" s="411"/>
    </row>
    <row r="195" spans="1:20" ht="16.5" x14ac:dyDescent="0.25">
      <c r="A195" s="689"/>
      <c r="B195" s="396" t="s">
        <v>1722</v>
      </c>
      <c r="C195" s="413"/>
      <c r="D195" s="219" t="s">
        <v>1727</v>
      </c>
      <c r="E195" s="411"/>
      <c r="F195" s="2854"/>
      <c r="G195" s="411"/>
      <c r="H195" s="411"/>
      <c r="I195" s="2855"/>
      <c r="J195" s="411"/>
      <c r="K195" s="1582">
        <f t="shared" si="52"/>
        <v>0</v>
      </c>
      <c r="L195" s="411"/>
      <c r="M195" s="2855"/>
      <c r="N195" s="411"/>
      <c r="O195" s="411"/>
      <c r="P195" s="2185"/>
      <c r="Q195" s="411"/>
    </row>
    <row r="196" spans="1:20" s="383" customFormat="1" ht="19.5" thickBot="1" x14ac:dyDescent="0.35">
      <c r="A196" s="2643"/>
      <c r="B196" s="2644"/>
      <c r="C196" s="2645"/>
      <c r="D196" s="415" t="s">
        <v>610</v>
      </c>
      <c r="E196" s="1341">
        <f>E3+E184+E176+E173+E167+E158+E154+E148+E145+E142+E137+E122</f>
        <v>0</v>
      </c>
      <c r="F196" s="416"/>
      <c r="G196" s="416"/>
      <c r="H196" s="416">
        <f>H3+H184+H176+H173+H167+H158+H154+H148+H145+H142+H137+H122</f>
        <v>1179484400</v>
      </c>
      <c r="I196" s="3128">
        <f>SUM(J196-H196)</f>
        <v>336502970</v>
      </c>
      <c r="J196" s="416">
        <f t="shared" ref="J196:P196" si="54">J3+J184+J176+J173+J167+J158+J154+J148+J145+J142+J137+J122</f>
        <v>1515987370</v>
      </c>
      <c r="K196" s="1581">
        <f t="shared" si="54"/>
        <v>282120635</v>
      </c>
      <c r="L196" s="416">
        <f t="shared" ref="L196" si="55">L3+L184+L176+L173+L167+L158+L154+L148+L145+L142+L137+L122</f>
        <v>1799695088</v>
      </c>
      <c r="M196" s="3519">
        <f>SUM(N196-L196)</f>
        <v>0</v>
      </c>
      <c r="N196" s="416">
        <f t="shared" si="54"/>
        <v>1799695088</v>
      </c>
      <c r="O196" s="416">
        <f t="shared" si="54"/>
        <v>970156969</v>
      </c>
      <c r="P196" s="416">
        <f t="shared" si="54"/>
        <v>0</v>
      </c>
      <c r="Q196" s="417"/>
      <c r="T196" s="383">
        <v>398955400</v>
      </c>
    </row>
    <row r="197" spans="1:20" x14ac:dyDescent="0.2">
      <c r="K197" s="778"/>
    </row>
    <row r="198" spans="1:20" x14ac:dyDescent="0.2">
      <c r="K198" s="778"/>
    </row>
    <row r="200" spans="1:20" ht="18.75" x14ac:dyDescent="0.2">
      <c r="D200" s="384" t="s">
        <v>879</v>
      </c>
      <c r="F200" s="385"/>
      <c r="H200" s="385">
        <f>SUM('2. sz. mell'!F68)</f>
        <v>1179484400</v>
      </c>
      <c r="I200" s="1367"/>
      <c r="J200" s="385">
        <f>SUM('2. sz. mell'!H68)</f>
        <v>1515987370</v>
      </c>
      <c r="K200" s="1367"/>
      <c r="L200" s="385">
        <f>SUM('2. sz. mell'!J68)</f>
        <v>1799695088</v>
      </c>
      <c r="M200" s="385">
        <f>SUM('2. sz. mell'!K68)</f>
        <v>0</v>
      </c>
      <c r="N200" s="519">
        <f>SUM('2. sz. mell'!L68)</f>
        <v>1799695088</v>
      </c>
      <c r="O200" s="519">
        <f>SUM('2. sz. mell'!M68)</f>
        <v>970156969</v>
      </c>
      <c r="P200" s="519">
        <f>SUM(O200/N200*100)</f>
        <v>53.906740951220513</v>
      </c>
    </row>
    <row r="201" spans="1:20" ht="20.25" x14ac:dyDescent="0.2">
      <c r="D201" s="633" t="s">
        <v>880</v>
      </c>
      <c r="E201" s="634"/>
      <c r="F201" s="635"/>
      <c r="G201" s="635"/>
      <c r="H201" s="520">
        <f>SUM(H200-H196)</f>
        <v>0</v>
      </c>
      <c r="I201" s="1368"/>
      <c r="J201" s="520">
        <f>SUM(J200-J196)</f>
        <v>0</v>
      </c>
      <c r="K201" s="1368"/>
      <c r="L201" s="520">
        <f>SUM(L200-L196)</f>
        <v>0</v>
      </c>
      <c r="M201" s="520">
        <f>SUM(M200-M196)</f>
        <v>0</v>
      </c>
      <c r="N201" s="520">
        <f>SUM(N200-N196)</f>
        <v>0</v>
      </c>
      <c r="O201" s="520">
        <f>SUM(O200-O196)</f>
        <v>0</v>
      </c>
      <c r="P201" s="519"/>
    </row>
    <row r="202" spans="1:20" ht="18.75" x14ac:dyDescent="0.2">
      <c r="D202" s="384"/>
      <c r="F202" s="451"/>
      <c r="G202" s="451"/>
      <c r="H202" s="451"/>
      <c r="I202" s="1369"/>
      <c r="J202" s="451"/>
      <c r="K202" s="1369"/>
      <c r="L202" s="451"/>
      <c r="M202" s="1369"/>
      <c r="N202" s="1369"/>
      <c r="O202" s="1369"/>
      <c r="P202" s="519"/>
    </row>
    <row r="203" spans="1:20" ht="18.75" x14ac:dyDescent="0.2">
      <c r="D203" s="384" t="s">
        <v>881</v>
      </c>
      <c r="F203" s="452"/>
      <c r="G203" s="452"/>
      <c r="H203" s="385">
        <f>SUM('3. sz. mell'!F55)</f>
        <v>1159840300</v>
      </c>
      <c r="I203" s="1367"/>
      <c r="J203" s="385">
        <f>SUM('3. sz. mell'!H55)</f>
        <v>1469086934</v>
      </c>
      <c r="K203" s="1367"/>
      <c r="L203" s="385">
        <f>SUM('3. sz. mell'!J55)</f>
        <v>1722533106</v>
      </c>
      <c r="M203" s="385">
        <f>SUM('3. sz. mell'!K55)</f>
        <v>0</v>
      </c>
      <c r="N203" s="519">
        <f>SUM('3. sz. mell'!L55)</f>
        <v>1722533106</v>
      </c>
      <c r="O203" s="519">
        <f>SUM('3. sz. mell'!M55)</f>
        <v>928013419</v>
      </c>
      <c r="P203" s="519">
        <f t="shared" ref="P203:P209" si="56">SUM(O203/N203*100)</f>
        <v>53.874925002457395</v>
      </c>
    </row>
    <row r="204" spans="1:20" ht="20.25" x14ac:dyDescent="0.2">
      <c r="D204" s="633" t="s">
        <v>880</v>
      </c>
      <c r="H204" s="520">
        <f>SUM(H203-H3)</f>
        <v>0</v>
      </c>
      <c r="I204" s="1368"/>
      <c r="J204" s="520">
        <f>SUM(J203-J3)</f>
        <v>0</v>
      </c>
      <c r="K204" s="1368"/>
      <c r="L204" s="520">
        <f>SUM(L203-L3)</f>
        <v>0</v>
      </c>
      <c r="M204" s="520">
        <f>SUM(M203-M3)</f>
        <v>0</v>
      </c>
      <c r="N204" s="520">
        <f>SUM(N203-N3)</f>
        <v>0</v>
      </c>
      <c r="O204" s="520">
        <f>SUM(O203-O3)</f>
        <v>0</v>
      </c>
      <c r="P204" s="519"/>
    </row>
    <row r="205" spans="1:20" ht="18.75" x14ac:dyDescent="0.2">
      <c r="M205" s="38"/>
      <c r="P205" s="519"/>
    </row>
    <row r="206" spans="1:20" ht="18.75" x14ac:dyDescent="0.2">
      <c r="D206" s="384" t="s">
        <v>882</v>
      </c>
      <c r="H206" s="385">
        <f>SUM('4. sz. mell.'!F54)</f>
        <v>6985000</v>
      </c>
      <c r="I206" s="1367"/>
      <c r="J206" s="385">
        <f>SUM('4. sz. mell.'!H54)</f>
        <v>14876380</v>
      </c>
      <c r="K206" s="1367"/>
      <c r="L206" s="385">
        <f>SUM('4. sz. mell.'!J54)</f>
        <v>13114339</v>
      </c>
      <c r="M206" s="385">
        <f>SUM('4. sz. mell.'!K54)</f>
        <v>0</v>
      </c>
      <c r="N206" s="519">
        <f>SUM('4. sz. mell.'!L54)</f>
        <v>13114339</v>
      </c>
      <c r="O206" s="519">
        <f>SUM('4. sz. mell.'!M54)</f>
        <v>12346760</v>
      </c>
      <c r="P206" s="519">
        <f t="shared" si="56"/>
        <v>94.147024871020946</v>
      </c>
    </row>
    <row r="207" spans="1:20" ht="20.25" x14ac:dyDescent="0.2">
      <c r="D207" s="633" t="s">
        <v>880</v>
      </c>
      <c r="H207" s="520">
        <f>SUM(H206-H122)</f>
        <v>0</v>
      </c>
      <c r="I207" s="1368"/>
      <c r="J207" s="520">
        <f>SUM(J206-J122)</f>
        <v>0</v>
      </c>
      <c r="K207" s="1368"/>
      <c r="L207" s="520">
        <f>SUM(L206-L122)</f>
        <v>0</v>
      </c>
      <c r="M207" s="520">
        <f>SUM(M206-M122)</f>
        <v>0</v>
      </c>
      <c r="N207" s="520">
        <f>SUM(N206-N122)</f>
        <v>0</v>
      </c>
      <c r="O207" s="520">
        <f>SUM(O206-O122)</f>
        <v>0</v>
      </c>
      <c r="P207" s="519"/>
    </row>
    <row r="208" spans="1:20" ht="18.75" x14ac:dyDescent="0.2">
      <c r="D208" s="384"/>
      <c r="M208" s="38"/>
      <c r="P208" s="519"/>
    </row>
    <row r="209" spans="1:19" ht="18.75" x14ac:dyDescent="0.2">
      <c r="D209" s="384" t="s">
        <v>883</v>
      </c>
      <c r="H209" s="385">
        <f>SUM('5. sz. mell. '!F54)</f>
        <v>12659100</v>
      </c>
      <c r="I209" s="1367"/>
      <c r="J209" s="385">
        <f>SUM('5. sz. mell. '!H54)</f>
        <v>32024056</v>
      </c>
      <c r="K209" s="1367"/>
      <c r="L209" s="385">
        <f>SUM('5. sz. mell. '!J54)</f>
        <v>64047643</v>
      </c>
      <c r="M209" s="385">
        <f>SUM('5. sz. mell. '!K54)</f>
        <v>0</v>
      </c>
      <c r="N209" s="519">
        <f>SUM('5. sz. mell. '!L54)</f>
        <v>64047643</v>
      </c>
      <c r="O209" s="519">
        <f>SUM('5. sz. mell. '!M54)</f>
        <v>29796790</v>
      </c>
      <c r="P209" s="519">
        <f t="shared" si="56"/>
        <v>46.52285174647254</v>
      </c>
    </row>
    <row r="210" spans="1:19" ht="20.25" x14ac:dyDescent="0.2">
      <c r="D210" s="633" t="s">
        <v>880</v>
      </c>
      <c r="H210" s="520">
        <f>SUM(H209-H137-H142-H145-H148-H154-H158-H167-H173-H176-H184)</f>
        <v>0</v>
      </c>
      <c r="I210" s="1368"/>
      <c r="J210" s="520">
        <f>SUM(J209-J137-J142-J145-J148-J154-J158-J167-J173-J176-J184)</f>
        <v>0</v>
      </c>
      <c r="K210" s="1368"/>
      <c r="L210" s="520">
        <f>SUM(L209-L137-L142-L145-L148-L154-L158-L167-L173-L176-L184)</f>
        <v>0</v>
      </c>
      <c r="M210" s="520">
        <f>SUM(M209-M137-M142-M145-M148-M154-M158-M167-M173-M176-M184)</f>
        <v>0</v>
      </c>
      <c r="N210" s="520">
        <f>SUM(N209-N137-N142-N145-N148-N154-N158-N167-N173-N176-N184)</f>
        <v>0</v>
      </c>
      <c r="O210" s="520">
        <f>SUM(O209-O137-O142-O145-O148-O154-O158-O167-O173-O176-O184)</f>
        <v>0</v>
      </c>
      <c r="P210" s="519"/>
    </row>
    <row r="211" spans="1:19" ht="18.75" x14ac:dyDescent="0.2">
      <c r="D211" s="384"/>
    </row>
    <row r="213" spans="1:19" s="385" customFormat="1" ht="18.75" x14ac:dyDescent="0.2">
      <c r="D213" s="384"/>
      <c r="F213" s="519"/>
      <c r="G213" s="519"/>
      <c r="H213" s="519" t="s">
        <v>867</v>
      </c>
      <c r="I213" s="1586" t="s">
        <v>1577</v>
      </c>
      <c r="J213" s="385" t="s">
        <v>1962</v>
      </c>
      <c r="K213" s="1367"/>
      <c r="M213" s="1367"/>
      <c r="N213" s="385" t="s">
        <v>828</v>
      </c>
      <c r="O213" s="385" t="s">
        <v>289</v>
      </c>
      <c r="P213" s="386"/>
    </row>
    <row r="214" spans="1:19" s="366" customFormat="1" ht="19.5" customHeight="1" x14ac:dyDescent="0.2">
      <c r="A214" s="2653" t="s">
        <v>3</v>
      </c>
      <c r="B214" s="2654"/>
      <c r="C214" s="2655"/>
      <c r="D214" s="382" t="s">
        <v>545</v>
      </c>
      <c r="E214" s="794"/>
      <c r="F214" s="794"/>
      <c r="G214" s="794"/>
      <c r="H214" s="795">
        <f>SUM(H215:H220)</f>
        <v>1159840300</v>
      </c>
      <c r="I214" s="795">
        <f>J214-H214</f>
        <v>309246634</v>
      </c>
      <c r="J214" s="795">
        <f t="shared" ref="J214:O214" si="57">SUM(J215:J220)</f>
        <v>1469086934</v>
      </c>
      <c r="K214" s="1581">
        <f t="shared" si="57"/>
        <v>253446172</v>
      </c>
      <c r="L214" s="795">
        <f>SUM(L215:L220)</f>
        <v>1722533106</v>
      </c>
      <c r="M214" s="795">
        <f t="shared" si="57"/>
        <v>0</v>
      </c>
      <c r="N214" s="795">
        <f t="shared" si="57"/>
        <v>1722533106</v>
      </c>
      <c r="O214" s="795">
        <f t="shared" si="57"/>
        <v>928013419</v>
      </c>
      <c r="P214" s="795">
        <f>SUM(P219:P257)</f>
        <v>0</v>
      </c>
      <c r="Q214" s="392" t="e">
        <f>SUM(#REF!)</f>
        <v>#REF!</v>
      </c>
      <c r="R214" s="373" t="e">
        <f>SUM(#REF!)</f>
        <v>#REF!</v>
      </c>
      <c r="S214" s="374" t="e">
        <f>R214/Q214*100</f>
        <v>#REF!</v>
      </c>
    </row>
    <row r="215" spans="1:19" s="366" customFormat="1" ht="19.5" customHeight="1" x14ac:dyDescent="0.2">
      <c r="A215" s="2653"/>
      <c r="B215" s="2654"/>
      <c r="C215" s="2655"/>
      <c r="D215" s="382" t="s">
        <v>1572</v>
      </c>
      <c r="E215" s="794"/>
      <c r="F215" s="794"/>
      <c r="G215" s="794"/>
      <c r="H215" s="795">
        <f>H60+H59+H58+H57+H61</f>
        <v>37500000</v>
      </c>
      <c r="I215" s="795">
        <f t="shared" ref="I215:I220" si="58">J215-H215</f>
        <v>74323366</v>
      </c>
      <c r="J215" s="795">
        <f>J60+J59+J58+J61+J65+J66+J67+J68+J69</f>
        <v>111823366</v>
      </c>
      <c r="K215" s="1581">
        <f t="shared" ref="K215:K220" si="59">L215-J215</f>
        <v>51685177</v>
      </c>
      <c r="L215" s="795">
        <f>L60+L59+L58+L61+L65+L66+L67+L68+L69+L70+L71+L72+L73+L74+L75+L76+L77+L78+L79</f>
        <v>163508543</v>
      </c>
      <c r="M215" s="795">
        <f>M60+M59+M58+M61+M65+M66+M67+M68+M69</f>
        <v>0</v>
      </c>
      <c r="N215" s="795">
        <f>N60+N59+N58+N61+N65+N66+N67+N68+N69+N70+N71+N72+N73+N74+N75+N76+N77+N78+N79</f>
        <v>163508543</v>
      </c>
      <c r="O215" s="795">
        <f>O60+O59+O58+O61+O65+O66+O67+O68+O69+O70+O71+O72+O73+O74+O75+O76+O77+O78+O79</f>
        <v>94515204</v>
      </c>
      <c r="P215" s="795"/>
      <c r="Q215" s="392"/>
      <c r="R215" s="373"/>
      <c r="S215" s="374"/>
    </row>
    <row r="216" spans="1:19" s="366" customFormat="1" ht="19.5" customHeight="1" x14ac:dyDescent="0.2">
      <c r="A216" s="2653"/>
      <c r="B216" s="2654"/>
      <c r="C216" s="2655"/>
      <c r="D216" s="382" t="s">
        <v>1573</v>
      </c>
      <c r="E216" s="794"/>
      <c r="F216" s="794"/>
      <c r="G216" s="794"/>
      <c r="H216" s="795">
        <f>H11</f>
        <v>3000000</v>
      </c>
      <c r="I216" s="795">
        <f t="shared" si="58"/>
        <v>700000</v>
      </c>
      <c r="J216" s="795">
        <f>J11</f>
        <v>3700000</v>
      </c>
      <c r="K216" s="1581">
        <f t="shared" si="59"/>
        <v>-3700000</v>
      </c>
      <c r="L216" s="795">
        <f>L11</f>
        <v>0</v>
      </c>
      <c r="M216" s="795">
        <f>M11</f>
        <v>0</v>
      </c>
      <c r="N216" s="795">
        <f>N11</f>
        <v>0</v>
      </c>
      <c r="O216" s="795">
        <f>O11</f>
        <v>0</v>
      </c>
      <c r="P216" s="795"/>
      <c r="Q216" s="392"/>
      <c r="R216" s="373"/>
      <c r="S216" s="374"/>
    </row>
    <row r="217" spans="1:19" s="366" customFormat="1" ht="19.5" customHeight="1" x14ac:dyDescent="0.2">
      <c r="A217" s="2653"/>
      <c r="B217" s="2654"/>
      <c r="C217" s="2655"/>
      <c r="D217" s="382" t="s">
        <v>1571</v>
      </c>
      <c r="E217" s="794"/>
      <c r="F217" s="794"/>
      <c r="G217" s="794"/>
      <c r="H217" s="795">
        <f>SUM(H5:H55)-H11+SUM(H63:H64)+H81</f>
        <v>1119340300</v>
      </c>
      <c r="I217" s="795">
        <f t="shared" si="58"/>
        <v>233175462</v>
      </c>
      <c r="J217" s="795">
        <f>SUM(J4)-J11+SUM(J63:J64)+J57+J80+J97-J98-J99</f>
        <v>1352515762</v>
      </c>
      <c r="K217" s="1581">
        <f t="shared" si="59"/>
        <v>205452815</v>
      </c>
      <c r="L217" s="795">
        <f>SUM(L4)-L11+SUM(L63:L64)+L57+L80+L97-L98-L99-L115</f>
        <v>1557968577</v>
      </c>
      <c r="M217" s="795">
        <f>SUM(M4)-M11+SUM(M63:M64)+M57+M80+M97-M98-M99</f>
        <v>0</v>
      </c>
      <c r="N217" s="795">
        <f>SUM(N4)-N11+SUM(N63:N64)+N57+N80+N97-N98-N99-N115</f>
        <v>1557968577</v>
      </c>
      <c r="O217" s="795">
        <f>SUM(O4)-O11+SUM(O63:O64)+O57+O80+O97-O98-O99-O115</f>
        <v>832442309</v>
      </c>
      <c r="P217" s="795"/>
      <c r="Q217" s="392"/>
      <c r="R217" s="373"/>
      <c r="S217" s="374"/>
    </row>
    <row r="218" spans="1:19" s="366" customFormat="1" ht="19.5" customHeight="1" x14ac:dyDescent="0.2">
      <c r="A218" s="2653"/>
      <c r="B218" s="2654"/>
      <c r="C218" s="2655"/>
      <c r="D218" s="382" t="s">
        <v>1574</v>
      </c>
      <c r="E218" s="794"/>
      <c r="F218" s="794"/>
      <c r="G218" s="794"/>
      <c r="H218" s="795"/>
      <c r="I218" s="795">
        <f t="shared" si="58"/>
        <v>671806</v>
      </c>
      <c r="J218" s="795">
        <f>J98</f>
        <v>671806</v>
      </c>
      <c r="K218" s="1581">
        <f t="shared" si="59"/>
        <v>0</v>
      </c>
      <c r="L218" s="795">
        <f>L98</f>
        <v>671806</v>
      </c>
      <c r="M218" s="795">
        <f>M98</f>
        <v>0</v>
      </c>
      <c r="N218" s="795">
        <f>N98</f>
        <v>671806</v>
      </c>
      <c r="O218" s="795">
        <f>O98</f>
        <v>671806</v>
      </c>
      <c r="P218" s="795"/>
      <c r="Q218" s="392"/>
      <c r="R218" s="373"/>
      <c r="S218" s="374"/>
    </row>
    <row r="219" spans="1:19" s="366" customFormat="1" ht="19.5" customHeight="1" x14ac:dyDescent="0.2">
      <c r="A219" s="2653"/>
      <c r="B219" s="2654"/>
      <c r="C219" s="2655"/>
      <c r="D219" s="382" t="s">
        <v>1575</v>
      </c>
      <c r="E219" s="794"/>
      <c r="F219" s="794"/>
      <c r="G219" s="794"/>
      <c r="H219" s="795"/>
      <c r="I219" s="795">
        <f t="shared" si="58"/>
        <v>188000</v>
      </c>
      <c r="J219" s="795">
        <f>J99/2</f>
        <v>188000</v>
      </c>
      <c r="K219" s="1581">
        <f t="shared" si="59"/>
        <v>176971</v>
      </c>
      <c r="L219" s="795">
        <f>(L99+L115)*95%</f>
        <v>364971</v>
      </c>
      <c r="M219" s="795">
        <f>M99/2</f>
        <v>0</v>
      </c>
      <c r="N219" s="795">
        <f>(N99+N115)*95%</f>
        <v>364971</v>
      </c>
      <c r="O219" s="795">
        <f>(O99+O115)*95%</f>
        <v>364895</v>
      </c>
      <c r="P219" s="795"/>
      <c r="Q219" s="392"/>
      <c r="R219" s="373"/>
      <c r="S219" s="374"/>
    </row>
    <row r="220" spans="1:19" s="366" customFormat="1" ht="19.5" customHeight="1" x14ac:dyDescent="0.2">
      <c r="A220" s="2653"/>
      <c r="B220" s="2654"/>
      <c r="C220" s="2655"/>
      <c r="D220" s="382" t="s">
        <v>1576</v>
      </c>
      <c r="E220" s="794"/>
      <c r="F220" s="794"/>
      <c r="G220" s="794"/>
      <c r="H220" s="795"/>
      <c r="I220" s="795">
        <f t="shared" si="58"/>
        <v>188000</v>
      </c>
      <c r="J220" s="795">
        <f>J99/2</f>
        <v>188000</v>
      </c>
      <c r="K220" s="1581">
        <f t="shared" si="59"/>
        <v>-168791</v>
      </c>
      <c r="L220" s="795">
        <f>(L99+L115)*5%</f>
        <v>19209</v>
      </c>
      <c r="M220" s="795">
        <f>M99/2</f>
        <v>0</v>
      </c>
      <c r="N220" s="795">
        <f>(N99+N115)*5%</f>
        <v>19209</v>
      </c>
      <c r="O220" s="795">
        <f>(O99+O115)*5%</f>
        <v>19205</v>
      </c>
      <c r="P220" s="795"/>
      <c r="Q220" s="392"/>
      <c r="R220" s="373"/>
      <c r="S220" s="374"/>
    </row>
    <row r="221" spans="1:19" x14ac:dyDescent="0.2">
      <c r="P221" s="366"/>
    </row>
    <row r="222" spans="1:19" x14ac:dyDescent="0.2">
      <c r="D222" s="4668" t="s">
        <v>279</v>
      </c>
      <c r="E222" s="4668"/>
      <c r="F222" s="4668"/>
      <c r="G222" s="4668"/>
      <c r="H222" s="92">
        <f t="shared" ref="H222:O222" si="60">H214-H3</f>
        <v>0</v>
      </c>
      <c r="I222" s="92">
        <f t="shared" si="60"/>
        <v>0</v>
      </c>
      <c r="J222" s="92">
        <f t="shared" si="60"/>
        <v>0</v>
      </c>
      <c r="K222" s="1420">
        <f t="shared" si="60"/>
        <v>0</v>
      </c>
      <c r="L222" s="92">
        <f t="shared" si="60"/>
        <v>0</v>
      </c>
      <c r="M222" s="92">
        <f t="shared" si="60"/>
        <v>0</v>
      </c>
      <c r="N222" s="92">
        <f t="shared" si="60"/>
        <v>0</v>
      </c>
      <c r="O222" s="92">
        <f t="shared" si="60"/>
        <v>0</v>
      </c>
      <c r="P222" s="366"/>
    </row>
  </sheetData>
  <mergeCells count="6">
    <mergeCell ref="D222:G222"/>
    <mergeCell ref="R185:V185"/>
    <mergeCell ref="R186:V186"/>
    <mergeCell ref="R187:V187"/>
    <mergeCell ref="A1:C1"/>
    <mergeCell ref="A3:D3"/>
  </mergeCells>
  <printOptions horizontalCentered="1"/>
  <pageMargins left="0.19685039370078741" right="0.19685039370078741" top="0.74803149606299213" bottom="0.47244094488188981" header="0.31496062992125984" footer="0.31496062992125984"/>
  <pageSetup paperSize="9" scale="65" firstPageNumber="104" orientation="landscape" useFirstPageNumber="1" r:id="rId1"/>
  <headerFooter>
    <oddHeader xml:space="preserve">&amp;C&amp;"Times New Roman CE,Félkövér"&amp;14Vecsés Város  beruházási kiadásainak előirányzata beruházásonként&amp;R&amp;12 &amp;"Arial,Normál" 6.2. sz. melléklet
</oddHeader>
    <oddFooter>&amp;C- &amp;P -</oddFooter>
  </headerFooter>
  <rowBreaks count="4" manualBreakCount="4">
    <brk id="31" max="16383" man="1"/>
    <brk id="69" max="14" man="1"/>
    <brk id="121" max="14" man="1"/>
    <brk id="157" max="14" man="1"/>
  </rowBreaks>
  <colBreaks count="1" manualBreakCount="1">
    <brk id="17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W106"/>
  <sheetViews>
    <sheetView view="pageBreakPreview" topLeftCell="C10" zoomScale="116" zoomScaleNormal="100" zoomScaleSheetLayoutView="116" zoomScalePageLayoutView="60" workbookViewId="0">
      <selection activeCell="R40" sqref="R40"/>
    </sheetView>
  </sheetViews>
  <sheetFormatPr defaultColWidth="9.33203125" defaultRowHeight="12.75" x14ac:dyDescent="0.2"/>
  <cols>
    <col min="1" max="1" width="3.33203125" style="605" customWidth="1"/>
    <col min="2" max="2" width="4" style="605" customWidth="1"/>
    <col min="3" max="3" width="8" style="605" customWidth="1"/>
    <col min="4" max="4" width="58" style="605" customWidth="1"/>
    <col min="5" max="9" width="9.33203125" style="605" hidden="1" customWidth="1"/>
    <col min="10" max="10" width="12.33203125" style="605" customWidth="1"/>
    <col min="11" max="11" width="15.1640625" style="1362" hidden="1" customWidth="1"/>
    <col min="12" max="12" width="12.5" style="207" hidden="1" customWidth="1"/>
    <col min="13" max="13" width="12.33203125" style="1362" hidden="1" customWidth="1"/>
    <col min="14" max="14" width="13" style="207" customWidth="1"/>
    <col min="15" max="15" width="14.83203125" style="207" customWidth="1"/>
    <col min="16" max="16" width="13.5" style="4233" customWidth="1"/>
    <col min="17" max="16384" width="9.33203125" style="207"/>
  </cols>
  <sheetData>
    <row r="1" spans="1:23" ht="48" customHeight="1" thickBot="1" x14ac:dyDescent="0.25">
      <c r="A1" s="4673" t="s">
        <v>332</v>
      </c>
      <c r="B1" s="4673"/>
      <c r="C1" s="4673"/>
      <c r="D1" s="4269" t="s">
        <v>283</v>
      </c>
      <c r="E1" s="4269" t="s">
        <v>611</v>
      </c>
      <c r="F1" s="4269" t="s">
        <v>612</v>
      </c>
      <c r="G1" s="4269" t="s">
        <v>613</v>
      </c>
      <c r="H1" s="4269" t="s">
        <v>497</v>
      </c>
      <c r="I1" s="4270" t="s">
        <v>614</v>
      </c>
      <c r="J1" s="4271" t="s">
        <v>1083</v>
      </c>
      <c r="K1" s="2424" t="s">
        <v>1030</v>
      </c>
      <c r="L1" s="4272" t="s">
        <v>1028</v>
      </c>
      <c r="M1" s="4223" t="s">
        <v>1034</v>
      </c>
      <c r="N1" s="4272" t="s">
        <v>1028</v>
      </c>
      <c r="O1" s="2424" t="s">
        <v>2626</v>
      </c>
      <c r="P1" s="4273" t="s">
        <v>234</v>
      </c>
    </row>
    <row r="2" spans="1:23" ht="17.25" hidden="1" customHeight="1" x14ac:dyDescent="0.2">
      <c r="A2" s="2560"/>
      <c r="B2" s="2561"/>
      <c r="C2" s="2562"/>
      <c r="D2" s="3148"/>
      <c r="E2" s="3149"/>
      <c r="F2" s="3149"/>
      <c r="G2" s="3149"/>
      <c r="H2" s="3149"/>
      <c r="I2" s="3149"/>
      <c r="J2" s="4264"/>
      <c r="K2" s="4265"/>
      <c r="L2" s="4266"/>
      <c r="M2" s="4265"/>
      <c r="N2" s="4266"/>
      <c r="O2" s="4267"/>
      <c r="P2" s="4268"/>
    </row>
    <row r="3" spans="1:23" ht="17.25" customHeight="1" x14ac:dyDescent="0.2">
      <c r="A3" s="611" t="s">
        <v>3</v>
      </c>
      <c r="B3" s="2565"/>
      <c r="C3" s="2566"/>
      <c r="D3" s="2563" t="s">
        <v>615</v>
      </c>
      <c r="E3" s="2564" t="e">
        <v>#NAME?</v>
      </c>
      <c r="F3" s="2564" t="e">
        <v>#NAME?</v>
      </c>
      <c r="G3" s="2564" t="e">
        <v>#NAME?</v>
      </c>
      <c r="H3" s="2564" t="e">
        <v>#NAME?</v>
      </c>
      <c r="I3" s="2564">
        <f>SUM(I4)</f>
        <v>1000</v>
      </c>
      <c r="J3" s="2622">
        <f>SUM(J4)</f>
        <v>1000000</v>
      </c>
      <c r="K3" s="2191">
        <f>SUM(L3-J3)</f>
        <v>20787770</v>
      </c>
      <c r="L3" s="2196">
        <f>SUM(L4)</f>
        <v>21787770</v>
      </c>
      <c r="M3" s="2191">
        <f>SUM(M4)</f>
        <v>3424614</v>
      </c>
      <c r="N3" s="787">
        <f>SUM(N4)</f>
        <v>25212384</v>
      </c>
      <c r="O3" s="4263">
        <f t="shared" ref="O3:O34" si="0">SUM(P3-N3)</f>
        <v>0</v>
      </c>
      <c r="P3" s="4274">
        <f>SUM(P4)</f>
        <v>25212384</v>
      </c>
    </row>
    <row r="4" spans="1:23" ht="17.25" customHeight="1" x14ac:dyDescent="0.2">
      <c r="A4" s="611"/>
      <c r="B4" s="612" t="s">
        <v>152</v>
      </c>
      <c r="C4" s="2567"/>
      <c r="D4" s="614" t="s">
        <v>616</v>
      </c>
      <c r="E4" s="615">
        <v>28633</v>
      </c>
      <c r="F4" s="615">
        <v>5000</v>
      </c>
      <c r="G4" s="615" t="e">
        <v>#NAME?</v>
      </c>
      <c r="H4" s="615" t="e">
        <v>#NAME?</v>
      </c>
      <c r="I4" s="615">
        <f>SUM(I5)</f>
        <v>1000</v>
      </c>
      <c r="J4" s="2623">
        <f>SUM(J5+J10+J11+J12+J13+J14+J15)</f>
        <v>1000000</v>
      </c>
      <c r="K4" s="2192">
        <f>SUM(L4-J4)</f>
        <v>20787770</v>
      </c>
      <c r="L4" s="2197">
        <f>SUM(L5+L10+L11+L12+L13+L14+L15+L7+L8+L9)</f>
        <v>21787770</v>
      </c>
      <c r="M4" s="2192">
        <f>SUM(M5+M10+M11+M12+M13+M14+M15+M7+M8+M9)</f>
        <v>3424614</v>
      </c>
      <c r="N4" s="420">
        <f>SUM(N5+N10+N11+N12+N13+N14+N15+N7+N8+N9)</f>
        <v>25212384</v>
      </c>
      <c r="O4" s="2192">
        <f t="shared" si="0"/>
        <v>0</v>
      </c>
      <c r="P4" s="4231">
        <f>SUM(P5+P10+P11+P12+P13+P14+P15+P7+P8+P9)</f>
        <v>25212384</v>
      </c>
    </row>
    <row r="5" spans="1:23" s="218" customFormat="1" ht="15" x14ac:dyDescent="0.2">
      <c r="A5" s="2568"/>
      <c r="B5" s="2590" t="s">
        <v>519</v>
      </c>
      <c r="C5" s="2570"/>
      <c r="D5" s="601" t="s">
        <v>831</v>
      </c>
      <c r="E5" s="602"/>
      <c r="F5" s="602">
        <f>SUM(F17:F23)</f>
        <v>2000</v>
      </c>
      <c r="G5" s="602">
        <f>SUM(G6:G9)</f>
        <v>1800</v>
      </c>
      <c r="H5" s="603">
        <f>SUM(H6:H9)</f>
        <v>2000</v>
      </c>
      <c r="I5" s="603">
        <f>SUM(I6+I9+I7)</f>
        <v>1000</v>
      </c>
      <c r="J5" s="2628">
        <f>SUM(J6+J9+J7)</f>
        <v>1000000</v>
      </c>
      <c r="K5" s="1364">
        <f t="shared" ref="K5:K68" si="1">SUM(L5-J5)</f>
        <v>0</v>
      </c>
      <c r="L5" s="2198">
        <f>SUM(L6)</f>
        <v>1000000</v>
      </c>
      <c r="M5" s="1364">
        <f>SUM(M6)</f>
        <v>-1000000</v>
      </c>
      <c r="N5" s="421">
        <f>SUM(N6)</f>
        <v>0</v>
      </c>
      <c r="O5" s="1364">
        <f t="shared" si="0"/>
        <v>0</v>
      </c>
      <c r="P5" s="4232">
        <f>SUM(P6)</f>
        <v>0</v>
      </c>
    </row>
    <row r="6" spans="1:23" ht="17.25" customHeight="1" x14ac:dyDescent="0.2">
      <c r="A6" s="2571"/>
      <c r="B6" s="3136" t="s">
        <v>334</v>
      </c>
      <c r="C6" s="2573"/>
      <c r="D6" s="2574" t="s">
        <v>617</v>
      </c>
      <c r="E6" s="602"/>
      <c r="F6" s="602"/>
      <c r="G6" s="602">
        <v>800</v>
      </c>
      <c r="H6" s="603">
        <v>800</v>
      </c>
      <c r="I6" s="603"/>
      <c r="J6" s="2628">
        <v>1000000</v>
      </c>
      <c r="K6" s="1364">
        <f t="shared" si="1"/>
        <v>0</v>
      </c>
      <c r="L6" s="2198">
        <v>1000000</v>
      </c>
      <c r="M6" s="1364">
        <f t="shared" ref="M6:M34" si="2">SUM(N6-L6)</f>
        <v>-1000000</v>
      </c>
      <c r="N6" s="421">
        <v>0</v>
      </c>
      <c r="O6" s="1364">
        <f t="shared" si="0"/>
        <v>0</v>
      </c>
      <c r="P6" s="4232">
        <v>0</v>
      </c>
    </row>
    <row r="7" spans="1:23" s="218" customFormat="1" ht="36.75" hidden="1" customHeight="1" x14ac:dyDescent="0.2">
      <c r="A7" s="2568"/>
      <c r="B7" s="2590"/>
      <c r="C7" s="2570"/>
      <c r="D7" s="601"/>
      <c r="E7" s="602"/>
      <c r="F7" s="602">
        <v>150</v>
      </c>
      <c r="G7" s="602">
        <v>0</v>
      </c>
      <c r="H7" s="603">
        <v>400</v>
      </c>
      <c r="I7" s="603"/>
      <c r="J7" s="2628"/>
      <c r="K7" s="2192">
        <f t="shared" si="1"/>
        <v>0</v>
      </c>
      <c r="L7" s="2198"/>
      <c r="M7" s="1364">
        <f t="shared" si="2"/>
        <v>0</v>
      </c>
      <c r="N7" s="421"/>
      <c r="O7" s="1364">
        <f t="shared" si="0"/>
        <v>0</v>
      </c>
      <c r="P7" s="4232"/>
      <c r="V7" s="207"/>
      <c r="W7" s="207"/>
    </row>
    <row r="8" spans="1:23" s="218" customFormat="1" ht="15" hidden="1" x14ac:dyDescent="0.2">
      <c r="A8" s="2568"/>
      <c r="B8" s="2590"/>
      <c r="C8" s="2570"/>
      <c r="D8" s="601"/>
      <c r="E8" s="602"/>
      <c r="F8" s="602"/>
      <c r="G8" s="602">
        <v>500</v>
      </c>
      <c r="H8" s="603">
        <v>500</v>
      </c>
      <c r="I8" s="603"/>
      <c r="J8" s="2628"/>
      <c r="K8" s="2192">
        <f t="shared" si="1"/>
        <v>0</v>
      </c>
      <c r="L8" s="2198"/>
      <c r="M8" s="1364">
        <f t="shared" si="2"/>
        <v>0</v>
      </c>
      <c r="N8" s="421"/>
      <c r="O8" s="1364">
        <f t="shared" si="0"/>
        <v>0</v>
      </c>
      <c r="P8" s="4232"/>
      <c r="V8" s="207"/>
      <c r="W8" s="207"/>
    </row>
    <row r="9" spans="1:23" s="218" customFormat="1" ht="15" hidden="1" x14ac:dyDescent="0.2">
      <c r="A9" s="2568"/>
      <c r="B9" s="2590"/>
      <c r="C9" s="2570"/>
      <c r="D9" s="601"/>
      <c r="E9" s="602"/>
      <c r="F9" s="602"/>
      <c r="G9" s="602">
        <v>500</v>
      </c>
      <c r="H9" s="603">
        <v>300</v>
      </c>
      <c r="I9" s="603">
        <v>1000</v>
      </c>
      <c r="J9" s="2628"/>
      <c r="K9" s="2192">
        <f t="shared" si="1"/>
        <v>0</v>
      </c>
      <c r="L9" s="2198"/>
      <c r="M9" s="1364">
        <f t="shared" si="2"/>
        <v>0</v>
      </c>
      <c r="N9" s="421"/>
      <c r="O9" s="1364">
        <f t="shared" si="0"/>
        <v>0</v>
      </c>
      <c r="P9" s="4232"/>
      <c r="U9" s="207"/>
      <c r="V9" s="207"/>
      <c r="W9" s="207"/>
    </row>
    <row r="10" spans="1:23" s="218" customFormat="1" ht="15" x14ac:dyDescent="0.2">
      <c r="A10" s="2568"/>
      <c r="B10" s="2590" t="s">
        <v>618</v>
      </c>
      <c r="C10" s="2570"/>
      <c r="D10" s="601" t="s">
        <v>1483</v>
      </c>
      <c r="E10" s="602"/>
      <c r="F10" s="602">
        <f>SUM(F22:F28)</f>
        <v>800</v>
      </c>
      <c r="G10" s="602">
        <f>SUM(G11:G14)</f>
        <v>0</v>
      </c>
      <c r="H10" s="603">
        <f>SUM(H11:H14)</f>
        <v>0</v>
      </c>
      <c r="I10" s="603"/>
      <c r="J10" s="2628"/>
      <c r="K10" s="2192">
        <f t="shared" si="1"/>
        <v>11111418</v>
      </c>
      <c r="L10" s="2198">
        <v>11111418</v>
      </c>
      <c r="M10" s="2192">
        <f t="shared" si="2"/>
        <v>0</v>
      </c>
      <c r="N10" s="421">
        <v>11111418</v>
      </c>
      <c r="O10" s="2192">
        <f t="shared" si="0"/>
        <v>0</v>
      </c>
      <c r="P10" s="4232">
        <v>11111418</v>
      </c>
      <c r="U10" s="207"/>
      <c r="V10" s="207"/>
      <c r="W10" s="207"/>
    </row>
    <row r="11" spans="1:23" s="218" customFormat="1" ht="15" x14ac:dyDescent="0.2">
      <c r="A11" s="2568"/>
      <c r="B11" s="2590" t="s">
        <v>619</v>
      </c>
      <c r="C11" s="2570"/>
      <c r="D11" s="601" t="s">
        <v>1484</v>
      </c>
      <c r="E11" s="602"/>
      <c r="F11" s="602" t="e">
        <f>SUM(F23:F29)</f>
        <v>#NAME?</v>
      </c>
      <c r="G11" s="602">
        <f>SUM(G12:G16)</f>
        <v>0</v>
      </c>
      <c r="H11" s="603">
        <f>SUM(H12:H16)</f>
        <v>0</v>
      </c>
      <c r="I11" s="603"/>
      <c r="J11" s="2628"/>
      <c r="K11" s="2192">
        <f t="shared" si="1"/>
        <v>3375202</v>
      </c>
      <c r="L11" s="2198">
        <v>3375202</v>
      </c>
      <c r="M11" s="2192">
        <f t="shared" si="2"/>
        <v>-250704</v>
      </c>
      <c r="N11" s="421">
        <v>3124498</v>
      </c>
      <c r="O11" s="2192">
        <f t="shared" si="0"/>
        <v>0</v>
      </c>
      <c r="P11" s="4232">
        <v>3124498</v>
      </c>
      <c r="U11" s="207"/>
      <c r="V11" s="207"/>
      <c r="W11" s="207"/>
    </row>
    <row r="12" spans="1:23" s="218" customFormat="1" ht="15" x14ac:dyDescent="0.2">
      <c r="A12" s="2568"/>
      <c r="B12" s="2590" t="s">
        <v>620</v>
      </c>
      <c r="C12" s="2570"/>
      <c r="D12" s="601" t="s">
        <v>1485</v>
      </c>
      <c r="E12" s="602"/>
      <c r="F12" s="602" t="e">
        <f>SUM(F24:F30)</f>
        <v>#NAME?</v>
      </c>
      <c r="G12" s="602">
        <f>SUM(G13:G17)</f>
        <v>0</v>
      </c>
      <c r="H12" s="603">
        <f>SUM(H13:H17)</f>
        <v>0</v>
      </c>
      <c r="I12" s="603"/>
      <c r="J12" s="2628"/>
      <c r="K12" s="2192">
        <f t="shared" si="1"/>
        <v>6301150</v>
      </c>
      <c r="L12" s="2198">
        <v>6301150</v>
      </c>
      <c r="M12" s="2192">
        <f t="shared" si="2"/>
        <v>1408251</v>
      </c>
      <c r="N12" s="421">
        <v>7709401</v>
      </c>
      <c r="O12" s="2192">
        <f t="shared" si="0"/>
        <v>0</v>
      </c>
      <c r="P12" s="4232">
        <v>7709401</v>
      </c>
      <c r="U12" s="207"/>
      <c r="V12" s="207"/>
      <c r="W12" s="207"/>
    </row>
    <row r="13" spans="1:23" s="218" customFormat="1" ht="15" x14ac:dyDescent="0.2">
      <c r="A13" s="2568"/>
      <c r="B13" s="2590" t="s">
        <v>706</v>
      </c>
      <c r="C13" s="2570"/>
      <c r="D13" s="601" t="s">
        <v>1954</v>
      </c>
      <c r="E13" s="602"/>
      <c r="F13" s="602"/>
      <c r="G13" s="602"/>
      <c r="H13" s="603"/>
      <c r="I13" s="603"/>
      <c r="J13" s="2628"/>
      <c r="K13" s="2192">
        <f t="shared" si="1"/>
        <v>0</v>
      </c>
      <c r="L13" s="2198"/>
      <c r="M13" s="2192">
        <f t="shared" si="2"/>
        <v>3267067</v>
      </c>
      <c r="N13" s="421">
        <v>3267067</v>
      </c>
      <c r="O13" s="2192">
        <f t="shared" si="0"/>
        <v>0</v>
      </c>
      <c r="P13" s="4232">
        <v>3267067</v>
      </c>
      <c r="U13" s="207"/>
      <c r="V13" s="207"/>
      <c r="W13" s="207"/>
    </row>
    <row r="14" spans="1:23" s="218" customFormat="1" ht="15" hidden="1" x14ac:dyDescent="0.2">
      <c r="A14" s="2568"/>
      <c r="B14" s="2569"/>
      <c r="C14" s="2570"/>
      <c r="D14" s="601"/>
      <c r="E14" s="602"/>
      <c r="F14" s="602"/>
      <c r="G14" s="602"/>
      <c r="H14" s="603"/>
      <c r="I14" s="603"/>
      <c r="J14" s="2628"/>
      <c r="K14" s="2192">
        <f t="shared" si="1"/>
        <v>0</v>
      </c>
      <c r="L14" s="2198"/>
      <c r="M14" s="2192">
        <f t="shared" si="2"/>
        <v>0</v>
      </c>
      <c r="N14" s="421"/>
      <c r="O14" s="2192">
        <f t="shared" si="0"/>
        <v>0</v>
      </c>
      <c r="P14" s="4232"/>
      <c r="U14" s="207"/>
      <c r="V14" s="207"/>
      <c r="W14" s="207"/>
    </row>
    <row r="15" spans="1:23" s="218" customFormat="1" ht="15" hidden="1" x14ac:dyDescent="0.2">
      <c r="A15" s="2568"/>
      <c r="B15" s="2569"/>
      <c r="C15" s="2570"/>
      <c r="D15" s="601"/>
      <c r="E15" s="602"/>
      <c r="F15" s="602"/>
      <c r="G15" s="602"/>
      <c r="H15" s="603"/>
      <c r="I15" s="603"/>
      <c r="J15" s="2628"/>
      <c r="K15" s="2192">
        <f t="shared" si="1"/>
        <v>0</v>
      </c>
      <c r="L15" s="2198"/>
      <c r="M15" s="2192">
        <f t="shared" si="2"/>
        <v>0</v>
      </c>
      <c r="N15" s="421"/>
      <c r="O15" s="2192">
        <f t="shared" si="0"/>
        <v>0</v>
      </c>
      <c r="P15" s="4232"/>
      <c r="U15" s="207"/>
      <c r="V15" s="207"/>
      <c r="W15" s="207"/>
    </row>
    <row r="16" spans="1:23" ht="12.75" hidden="1" customHeight="1" x14ac:dyDescent="0.2">
      <c r="A16" s="2571"/>
      <c r="B16" s="2572"/>
      <c r="C16" s="2573"/>
      <c r="D16" s="2575" t="s">
        <v>621</v>
      </c>
      <c r="E16" s="602"/>
      <c r="F16" s="602"/>
      <c r="G16" s="602"/>
      <c r="H16" s="603"/>
      <c r="I16" s="603"/>
      <c r="J16" s="2628"/>
      <c r="K16" s="2192">
        <f t="shared" si="1"/>
        <v>0</v>
      </c>
      <c r="L16" s="2198"/>
      <c r="M16" s="2192">
        <f t="shared" si="2"/>
        <v>0</v>
      </c>
      <c r="N16" s="421"/>
      <c r="O16" s="2192">
        <f t="shared" si="0"/>
        <v>0</v>
      </c>
      <c r="P16" s="4232"/>
    </row>
    <row r="17" spans="1:16" ht="12.75" hidden="1" customHeight="1" x14ac:dyDescent="0.2">
      <c r="A17" s="2571"/>
      <c r="B17" s="2572"/>
      <c r="C17" s="2576"/>
      <c r="D17" s="2577" t="s">
        <v>622</v>
      </c>
      <c r="E17" s="602"/>
      <c r="F17" s="602">
        <v>400</v>
      </c>
      <c r="G17" s="602"/>
      <c r="H17" s="603"/>
      <c r="I17" s="603"/>
      <c r="J17" s="2628"/>
      <c r="K17" s="2192">
        <f t="shared" si="1"/>
        <v>0</v>
      </c>
      <c r="L17" s="2198"/>
      <c r="M17" s="2192">
        <f t="shared" si="2"/>
        <v>0</v>
      </c>
      <c r="N17" s="421"/>
      <c r="O17" s="2192">
        <f t="shared" si="0"/>
        <v>0</v>
      </c>
      <c r="P17" s="4232"/>
    </row>
    <row r="18" spans="1:16" ht="12.75" hidden="1" customHeight="1" x14ac:dyDescent="0.2">
      <c r="A18" s="2571"/>
      <c r="B18" s="2572"/>
      <c r="C18" s="2576"/>
      <c r="D18" s="2577" t="s">
        <v>623</v>
      </c>
      <c r="E18" s="602"/>
      <c r="F18" s="602">
        <v>200</v>
      </c>
      <c r="G18" s="602"/>
      <c r="H18" s="603"/>
      <c r="I18" s="603"/>
      <c r="J18" s="2628"/>
      <c r="K18" s="2192">
        <f t="shared" si="1"/>
        <v>0</v>
      </c>
      <c r="L18" s="2198"/>
      <c r="M18" s="2192">
        <f t="shared" si="2"/>
        <v>0</v>
      </c>
      <c r="N18" s="421"/>
      <c r="O18" s="2192">
        <f t="shared" si="0"/>
        <v>0</v>
      </c>
      <c r="P18" s="4232"/>
    </row>
    <row r="19" spans="1:16" ht="12.75" hidden="1" customHeight="1" x14ac:dyDescent="0.2">
      <c r="A19" s="2571"/>
      <c r="B19" s="2572"/>
      <c r="C19" s="2576"/>
      <c r="D19" s="2577" t="s">
        <v>624</v>
      </c>
      <c r="E19" s="602"/>
      <c r="F19" s="602">
        <v>100</v>
      </c>
      <c r="G19" s="602"/>
      <c r="H19" s="603"/>
      <c r="I19" s="603"/>
      <c r="J19" s="2628"/>
      <c r="K19" s="2192">
        <f t="shared" si="1"/>
        <v>0</v>
      </c>
      <c r="L19" s="2198"/>
      <c r="M19" s="2192">
        <f t="shared" si="2"/>
        <v>0</v>
      </c>
      <c r="N19" s="421"/>
      <c r="O19" s="2192">
        <f t="shared" si="0"/>
        <v>0</v>
      </c>
      <c r="P19" s="4232"/>
    </row>
    <row r="20" spans="1:16" ht="12.75" hidden="1" customHeight="1" x14ac:dyDescent="0.2">
      <c r="A20" s="2571"/>
      <c r="B20" s="2572"/>
      <c r="C20" s="2576"/>
      <c r="D20" s="2577" t="s">
        <v>625</v>
      </c>
      <c r="E20" s="602"/>
      <c r="F20" s="602">
        <v>300</v>
      </c>
      <c r="G20" s="602"/>
      <c r="H20" s="603"/>
      <c r="I20" s="603"/>
      <c r="J20" s="2628"/>
      <c r="K20" s="2192">
        <f t="shared" si="1"/>
        <v>0</v>
      </c>
      <c r="L20" s="2198"/>
      <c r="M20" s="2192">
        <f t="shared" si="2"/>
        <v>0</v>
      </c>
      <c r="N20" s="421"/>
      <c r="O20" s="2192">
        <f t="shared" si="0"/>
        <v>0</v>
      </c>
      <c r="P20" s="4232"/>
    </row>
    <row r="21" spans="1:16" ht="12.75" hidden="1" customHeight="1" x14ac:dyDescent="0.2">
      <c r="A21" s="2571"/>
      <c r="B21" s="2572"/>
      <c r="C21" s="2576"/>
      <c r="D21" s="2577" t="s">
        <v>626</v>
      </c>
      <c r="E21" s="602"/>
      <c r="F21" s="602">
        <v>200</v>
      </c>
      <c r="G21" s="602"/>
      <c r="H21" s="603"/>
      <c r="I21" s="603"/>
      <c r="J21" s="2628"/>
      <c r="K21" s="2192">
        <f t="shared" si="1"/>
        <v>0</v>
      </c>
      <c r="L21" s="2198"/>
      <c r="M21" s="2192">
        <f t="shared" si="2"/>
        <v>0</v>
      </c>
      <c r="N21" s="421"/>
      <c r="O21" s="2192">
        <f t="shared" si="0"/>
        <v>0</v>
      </c>
      <c r="P21" s="4232"/>
    </row>
    <row r="22" spans="1:16" ht="12.75" hidden="1" customHeight="1" x14ac:dyDescent="0.2">
      <c r="A22" s="2571"/>
      <c r="B22" s="2572"/>
      <c r="C22" s="2576"/>
      <c r="D22" s="2577" t="s">
        <v>627</v>
      </c>
      <c r="E22" s="602"/>
      <c r="F22" s="602">
        <v>500</v>
      </c>
      <c r="G22" s="602"/>
      <c r="H22" s="603"/>
      <c r="I22" s="603"/>
      <c r="J22" s="2628"/>
      <c r="K22" s="2192">
        <f t="shared" si="1"/>
        <v>0</v>
      </c>
      <c r="L22" s="2198"/>
      <c r="M22" s="2192">
        <f t="shared" si="2"/>
        <v>0</v>
      </c>
      <c r="N22" s="421"/>
      <c r="O22" s="2192">
        <f t="shared" si="0"/>
        <v>0</v>
      </c>
      <c r="P22" s="4232"/>
    </row>
    <row r="23" spans="1:16" ht="12.75" hidden="1" customHeight="1" x14ac:dyDescent="0.2">
      <c r="A23" s="2571"/>
      <c r="B23" s="2572"/>
      <c r="C23" s="2576"/>
      <c r="D23" s="2577" t="s">
        <v>628</v>
      </c>
      <c r="E23" s="602"/>
      <c r="F23" s="602">
        <v>300</v>
      </c>
      <c r="G23" s="602"/>
      <c r="H23" s="603"/>
      <c r="I23" s="603"/>
      <c r="J23" s="2628"/>
      <c r="K23" s="2192">
        <f t="shared" si="1"/>
        <v>0</v>
      </c>
      <c r="L23" s="2198"/>
      <c r="M23" s="2192">
        <f t="shared" si="2"/>
        <v>0</v>
      </c>
      <c r="N23" s="421"/>
      <c r="O23" s="2192">
        <f t="shared" si="0"/>
        <v>0</v>
      </c>
      <c r="P23" s="4232"/>
    </row>
    <row r="24" spans="1:16" ht="12.75" hidden="1" customHeight="1" x14ac:dyDescent="0.25">
      <c r="A24" s="611"/>
      <c r="B24" s="612"/>
      <c r="C24" s="613"/>
      <c r="D24" s="2578" t="s">
        <v>629</v>
      </c>
      <c r="E24" s="602"/>
      <c r="F24" s="602"/>
      <c r="G24" s="602">
        <v>0</v>
      </c>
      <c r="H24" s="603"/>
      <c r="I24" s="603"/>
      <c r="J24" s="2628"/>
      <c r="K24" s="2192">
        <f t="shared" si="1"/>
        <v>0</v>
      </c>
      <c r="L24" s="2198"/>
      <c r="M24" s="2192">
        <f t="shared" si="2"/>
        <v>0</v>
      </c>
      <c r="N24" s="421"/>
      <c r="O24" s="2192">
        <f t="shared" si="0"/>
        <v>0</v>
      </c>
      <c r="P24" s="4232"/>
    </row>
    <row r="25" spans="1:16" ht="12.75" hidden="1" customHeight="1" x14ac:dyDescent="0.25">
      <c r="A25" s="611"/>
      <c r="B25" s="612"/>
      <c r="C25" s="2570"/>
      <c r="D25" s="2578" t="s">
        <v>630</v>
      </c>
      <c r="E25" s="602"/>
      <c r="F25" s="602"/>
      <c r="G25" s="602"/>
      <c r="H25" s="603"/>
      <c r="I25" s="603"/>
      <c r="J25" s="2628"/>
      <c r="K25" s="2192">
        <f t="shared" si="1"/>
        <v>0</v>
      </c>
      <c r="L25" s="2198"/>
      <c r="M25" s="2192">
        <f t="shared" si="2"/>
        <v>0</v>
      </c>
      <c r="N25" s="421"/>
      <c r="O25" s="2192">
        <f t="shared" si="0"/>
        <v>0</v>
      </c>
      <c r="P25" s="4232"/>
    </row>
    <row r="26" spans="1:16" ht="15" hidden="1" x14ac:dyDescent="0.2">
      <c r="A26" s="2579"/>
      <c r="B26" s="2580"/>
      <c r="C26" s="2580"/>
      <c r="D26" s="2580"/>
      <c r="E26" s="2580"/>
      <c r="F26" s="2580"/>
      <c r="G26" s="2580"/>
      <c r="H26" s="2580"/>
      <c r="I26" s="2580"/>
      <c r="J26" s="2629"/>
      <c r="K26" s="2192">
        <f t="shared" si="1"/>
        <v>0</v>
      </c>
      <c r="L26" s="2199"/>
      <c r="M26" s="2192">
        <f t="shared" si="2"/>
        <v>0</v>
      </c>
      <c r="O26" s="2192">
        <f t="shared" si="0"/>
        <v>0</v>
      </c>
    </row>
    <row r="27" spans="1:16" ht="15" hidden="1" x14ac:dyDescent="0.2">
      <c r="A27" s="2579"/>
      <c r="B27" s="2580"/>
      <c r="C27" s="2580"/>
      <c r="D27" s="2580"/>
      <c r="E27" s="2580"/>
      <c r="F27" s="2580"/>
      <c r="G27" s="2580"/>
      <c r="H27" s="2580"/>
      <c r="I27" s="2580"/>
      <c r="J27" s="2629"/>
      <c r="K27" s="2192">
        <f t="shared" si="1"/>
        <v>0</v>
      </c>
      <c r="L27" s="2199"/>
      <c r="M27" s="2192">
        <f t="shared" si="2"/>
        <v>0</v>
      </c>
      <c r="O27" s="2192">
        <f t="shared" si="0"/>
        <v>0</v>
      </c>
    </row>
    <row r="28" spans="1:16" ht="15" hidden="1" x14ac:dyDescent="0.2">
      <c r="A28" s="2579"/>
      <c r="B28" s="2580"/>
      <c r="C28" s="2580"/>
      <c r="D28" s="2580"/>
      <c r="E28" s="2580"/>
      <c r="F28" s="2580"/>
      <c r="G28" s="2580"/>
      <c r="H28" s="2580"/>
      <c r="I28" s="2580"/>
      <c r="J28" s="2629"/>
      <c r="K28" s="2192">
        <f t="shared" si="1"/>
        <v>0</v>
      </c>
      <c r="L28" s="2199"/>
      <c r="M28" s="2192">
        <f t="shared" si="2"/>
        <v>0</v>
      </c>
      <c r="O28" s="2192">
        <f t="shared" si="0"/>
        <v>0</v>
      </c>
    </row>
    <row r="29" spans="1:16" ht="17.25" customHeight="1" x14ac:dyDescent="0.2">
      <c r="A29" s="611" t="s">
        <v>17</v>
      </c>
      <c r="B29" s="2581"/>
      <c r="C29" s="2567"/>
      <c r="D29" s="2582" t="s">
        <v>631</v>
      </c>
      <c r="E29" s="2583" t="e">
        <v>#NAME?</v>
      </c>
      <c r="F29" s="2583" t="e">
        <v>#NAME?</v>
      </c>
      <c r="G29" s="2583" t="e">
        <v>#NAME?</v>
      </c>
      <c r="H29" s="2583" t="e">
        <v>#NAME?</v>
      </c>
      <c r="I29" s="2583">
        <f>SUM(I38+I37+I31+I30)</f>
        <v>4350</v>
      </c>
      <c r="J29" s="2630">
        <f>SUM(J38+J37+J31+J30)</f>
        <v>4250000</v>
      </c>
      <c r="K29" s="2193">
        <f t="shared" si="1"/>
        <v>-2215742</v>
      </c>
      <c r="L29" s="2200">
        <f>SUM(L38+L37+L31+L30)</f>
        <v>2034258</v>
      </c>
      <c r="M29" s="2193">
        <f>SUM(M38+M37+M31+M30)</f>
        <v>-782602</v>
      </c>
      <c r="N29" s="2200">
        <f>SUM(N38+N37+N31+N30)</f>
        <v>1251656</v>
      </c>
      <c r="O29" s="2194">
        <f>SUM(O38+O37+O31+O30)</f>
        <v>0</v>
      </c>
      <c r="P29" s="4234">
        <f>SUM(P38+P37+P31+P30)</f>
        <v>1251656</v>
      </c>
    </row>
    <row r="30" spans="1:16" ht="12.75" hidden="1" customHeight="1" x14ac:dyDescent="0.2">
      <c r="A30" s="611"/>
      <c r="B30" s="612" t="s">
        <v>5</v>
      </c>
      <c r="C30" s="2567"/>
      <c r="D30" s="2584"/>
      <c r="E30" s="615">
        <v>9330</v>
      </c>
      <c r="F30" s="615">
        <v>4740</v>
      </c>
      <c r="G30" s="615">
        <v>5431</v>
      </c>
      <c r="H30" s="2585">
        <v>5862</v>
      </c>
      <c r="I30" s="2585">
        <v>0</v>
      </c>
      <c r="J30" s="2631"/>
      <c r="K30" s="2192">
        <f t="shared" si="1"/>
        <v>0</v>
      </c>
      <c r="L30" s="2201"/>
      <c r="M30" s="2192">
        <f t="shared" si="2"/>
        <v>0</v>
      </c>
      <c r="N30" s="422"/>
      <c r="O30" s="2192">
        <f t="shared" si="0"/>
        <v>0</v>
      </c>
      <c r="P30" s="4235"/>
    </row>
    <row r="31" spans="1:16" ht="12.75" hidden="1" customHeight="1" x14ac:dyDescent="0.2">
      <c r="A31" s="611"/>
      <c r="B31" s="612" t="s">
        <v>7</v>
      </c>
      <c r="C31" s="2567"/>
      <c r="D31" s="2584"/>
      <c r="E31" s="615">
        <v>12055</v>
      </c>
      <c r="F31" s="615">
        <v>2009</v>
      </c>
      <c r="G31" s="615">
        <v>1950</v>
      </c>
      <c r="H31" s="2585">
        <v>2005</v>
      </c>
      <c r="I31" s="2585">
        <f>SUM(I32:I36)</f>
        <v>0</v>
      </c>
      <c r="J31" s="2631">
        <f>SUM(J32:J36)</f>
        <v>0</v>
      </c>
      <c r="K31" s="2192">
        <f t="shared" si="1"/>
        <v>0</v>
      </c>
      <c r="L31" s="2201">
        <f>SUM(L32:L36)</f>
        <v>0</v>
      </c>
      <c r="M31" s="2192">
        <f t="shared" si="2"/>
        <v>0</v>
      </c>
      <c r="N31" s="422">
        <f>SUM(N32:N36)</f>
        <v>0</v>
      </c>
      <c r="O31" s="2192">
        <f t="shared" si="0"/>
        <v>0</v>
      </c>
      <c r="P31" s="4235">
        <f>SUM(P32:P36)</f>
        <v>0</v>
      </c>
    </row>
    <row r="32" spans="1:16" ht="12.75" hidden="1" customHeight="1" x14ac:dyDescent="0.2">
      <c r="A32" s="611"/>
      <c r="B32" s="2586" t="s">
        <v>512</v>
      </c>
      <c r="C32" s="2567"/>
      <c r="D32" s="2587"/>
      <c r="E32" s="615"/>
      <c r="F32" s="615"/>
      <c r="G32" s="615"/>
      <c r="H32" s="2585">
        <v>2005</v>
      </c>
      <c r="I32" s="2585"/>
      <c r="J32" s="2631"/>
      <c r="K32" s="2192">
        <f t="shared" si="1"/>
        <v>0</v>
      </c>
      <c r="L32" s="2201"/>
      <c r="M32" s="2192">
        <f t="shared" si="2"/>
        <v>0</v>
      </c>
      <c r="N32" s="422"/>
      <c r="O32" s="2192">
        <f t="shared" si="0"/>
        <v>0</v>
      </c>
      <c r="P32" s="4235"/>
    </row>
    <row r="33" spans="1:16" ht="12.75" hidden="1" customHeight="1" x14ac:dyDescent="0.2">
      <c r="A33" s="611"/>
      <c r="B33" s="2586" t="s">
        <v>514</v>
      </c>
      <c r="C33" s="2567"/>
      <c r="D33" s="2587"/>
      <c r="E33" s="615"/>
      <c r="F33" s="615"/>
      <c r="G33" s="615"/>
      <c r="H33" s="2585"/>
      <c r="I33" s="2585"/>
      <c r="J33" s="2631"/>
      <c r="K33" s="2192">
        <f t="shared" si="1"/>
        <v>0</v>
      </c>
      <c r="L33" s="2201"/>
      <c r="M33" s="2192">
        <f t="shared" si="2"/>
        <v>0</v>
      </c>
      <c r="N33" s="422"/>
      <c r="O33" s="2192">
        <f t="shared" si="0"/>
        <v>0</v>
      </c>
      <c r="P33" s="4235"/>
    </row>
    <row r="34" spans="1:16" ht="12.75" hidden="1" customHeight="1" x14ac:dyDescent="0.2">
      <c r="A34" s="611"/>
      <c r="B34" s="2586" t="s">
        <v>516</v>
      </c>
      <c r="C34" s="2567"/>
      <c r="D34" s="2587"/>
      <c r="E34" s="615"/>
      <c r="F34" s="615"/>
      <c r="G34" s="615"/>
      <c r="H34" s="2585"/>
      <c r="I34" s="2585"/>
      <c r="J34" s="2631"/>
      <c r="K34" s="2192">
        <f t="shared" si="1"/>
        <v>0</v>
      </c>
      <c r="L34" s="2201"/>
      <c r="M34" s="2192">
        <f t="shared" si="2"/>
        <v>0</v>
      </c>
      <c r="N34" s="422"/>
      <c r="O34" s="2192">
        <f t="shared" si="0"/>
        <v>0</v>
      </c>
      <c r="P34" s="4235"/>
    </row>
    <row r="35" spans="1:16" ht="12.75" hidden="1" customHeight="1" x14ac:dyDescent="0.2">
      <c r="A35" s="611"/>
      <c r="B35" s="2586" t="s">
        <v>632</v>
      </c>
      <c r="C35" s="2567"/>
      <c r="D35" s="2587"/>
      <c r="E35" s="615"/>
      <c r="F35" s="615"/>
      <c r="G35" s="615"/>
      <c r="H35" s="2585"/>
      <c r="I35" s="2585"/>
      <c r="J35" s="2631"/>
      <c r="K35" s="2192">
        <f t="shared" si="1"/>
        <v>0</v>
      </c>
      <c r="L35" s="2201"/>
      <c r="M35" s="2192">
        <f t="shared" ref="M35:M66" si="3">SUM(N35-L35)</f>
        <v>0</v>
      </c>
      <c r="N35" s="422"/>
      <c r="O35" s="2192">
        <f t="shared" ref="O35:O66" si="4">SUM(P35-N35)</f>
        <v>0</v>
      </c>
      <c r="P35" s="4235"/>
    </row>
    <row r="36" spans="1:16" ht="12.75" hidden="1" customHeight="1" x14ac:dyDescent="0.2">
      <c r="A36" s="611"/>
      <c r="B36" s="2586" t="s">
        <v>633</v>
      </c>
      <c r="C36" s="2567"/>
      <c r="D36" s="2587"/>
      <c r="E36" s="615"/>
      <c r="F36" s="615"/>
      <c r="G36" s="615"/>
      <c r="H36" s="2585"/>
      <c r="I36" s="2585"/>
      <c r="J36" s="2631"/>
      <c r="K36" s="2192">
        <f t="shared" si="1"/>
        <v>0</v>
      </c>
      <c r="L36" s="2201"/>
      <c r="M36" s="2192">
        <f t="shared" si="3"/>
        <v>0</v>
      </c>
      <c r="N36" s="422"/>
      <c r="O36" s="2192">
        <f t="shared" si="4"/>
        <v>0</v>
      </c>
      <c r="P36" s="4235"/>
    </row>
    <row r="37" spans="1:16" ht="17.25" customHeight="1" x14ac:dyDescent="0.2">
      <c r="A37" s="611"/>
      <c r="B37" s="2586" t="s">
        <v>5</v>
      </c>
      <c r="C37" s="2567"/>
      <c r="D37" s="2588" t="s">
        <v>634</v>
      </c>
      <c r="E37" s="615">
        <v>2500</v>
      </c>
      <c r="F37" s="615">
        <v>2600</v>
      </c>
      <c r="G37" s="615">
        <v>2601</v>
      </c>
      <c r="H37" s="2585">
        <v>1850</v>
      </c>
      <c r="I37" s="2585">
        <v>500</v>
      </c>
      <c r="J37" s="2631">
        <v>1000000</v>
      </c>
      <c r="K37" s="2192">
        <f t="shared" si="1"/>
        <v>-1000000</v>
      </c>
      <c r="L37" s="2201">
        <v>0</v>
      </c>
      <c r="M37" s="2192">
        <f t="shared" si="3"/>
        <v>0</v>
      </c>
      <c r="N37" s="422"/>
      <c r="O37" s="2192">
        <f t="shared" si="4"/>
        <v>0</v>
      </c>
      <c r="P37" s="4235"/>
    </row>
    <row r="38" spans="1:16" ht="17.25" customHeight="1" x14ac:dyDescent="0.2">
      <c r="A38" s="611"/>
      <c r="B38" s="612" t="s">
        <v>311</v>
      </c>
      <c r="C38" s="2567"/>
      <c r="D38" s="2588" t="s">
        <v>635</v>
      </c>
      <c r="E38" s="615">
        <f t="shared" ref="E38:M38" si="5">SUM(E39:E46)</f>
        <v>8500</v>
      </c>
      <c r="F38" s="615">
        <f t="shared" si="5"/>
        <v>8500</v>
      </c>
      <c r="G38" s="615">
        <f t="shared" si="5"/>
        <v>8500</v>
      </c>
      <c r="H38" s="615">
        <f t="shared" si="5"/>
        <v>3900</v>
      </c>
      <c r="I38" s="615">
        <f t="shared" si="5"/>
        <v>3850</v>
      </c>
      <c r="J38" s="2623">
        <f>SUM(J39:J46)</f>
        <v>3250000</v>
      </c>
      <c r="K38" s="2192">
        <f t="shared" si="1"/>
        <v>-1215742</v>
      </c>
      <c r="L38" s="2197">
        <f t="shared" si="5"/>
        <v>2034258</v>
      </c>
      <c r="M38" s="2192">
        <f t="shared" si="5"/>
        <v>-782602</v>
      </c>
      <c r="N38" s="420">
        <f>SUM(N39:N46)</f>
        <v>1251656</v>
      </c>
      <c r="O38" s="2192">
        <f t="shared" si="4"/>
        <v>0</v>
      </c>
      <c r="P38" s="4231">
        <f>SUM(P39:P46)</f>
        <v>1251656</v>
      </c>
    </row>
    <row r="39" spans="1:16" ht="17.25" customHeight="1" x14ac:dyDescent="0.2">
      <c r="A39" s="2589"/>
      <c r="B39" s="4672" t="s">
        <v>512</v>
      </c>
      <c r="C39" s="4672"/>
      <c r="D39" s="2587" t="s">
        <v>636</v>
      </c>
      <c r="E39" s="1336">
        <v>1200</v>
      </c>
      <c r="F39" s="1336">
        <v>1400</v>
      </c>
      <c r="G39" s="1336">
        <v>1400</v>
      </c>
      <c r="H39" s="2591">
        <v>1600</v>
      </c>
      <c r="I39" s="2591">
        <v>1600</v>
      </c>
      <c r="J39" s="2632">
        <v>1000000</v>
      </c>
      <c r="K39" s="1364">
        <f t="shared" si="1"/>
        <v>-217398</v>
      </c>
      <c r="L39" s="2202">
        <v>782602</v>
      </c>
      <c r="M39" s="2192">
        <f t="shared" si="3"/>
        <v>-782602</v>
      </c>
      <c r="N39" s="425">
        <v>0</v>
      </c>
      <c r="O39" s="2192">
        <f t="shared" si="4"/>
        <v>0</v>
      </c>
      <c r="P39" s="4236">
        <v>0</v>
      </c>
    </row>
    <row r="40" spans="1:16" ht="17.25" customHeight="1" x14ac:dyDescent="0.2">
      <c r="A40" s="2589"/>
      <c r="B40" s="4672" t="s">
        <v>514</v>
      </c>
      <c r="C40" s="4672"/>
      <c r="D40" s="2587" t="s">
        <v>637</v>
      </c>
      <c r="E40" s="1336">
        <v>2500</v>
      </c>
      <c r="F40" s="1336">
        <v>2800</v>
      </c>
      <c r="G40" s="1336">
        <v>2800</v>
      </c>
      <c r="H40" s="603"/>
      <c r="I40" s="603"/>
      <c r="J40" s="2628"/>
      <c r="K40" s="1364">
        <f t="shared" si="1"/>
        <v>0</v>
      </c>
      <c r="L40" s="2198">
        <v>0</v>
      </c>
      <c r="M40" s="2192">
        <f t="shared" si="3"/>
        <v>0</v>
      </c>
      <c r="N40" s="421">
        <v>0</v>
      </c>
      <c r="O40" s="2192">
        <f t="shared" si="4"/>
        <v>0</v>
      </c>
      <c r="P40" s="4232">
        <v>0</v>
      </c>
    </row>
    <row r="41" spans="1:16" ht="17.25" customHeight="1" x14ac:dyDescent="0.2">
      <c r="A41" s="2589"/>
      <c r="B41" s="4672" t="s">
        <v>516</v>
      </c>
      <c r="C41" s="4672"/>
      <c r="D41" s="2587" t="s">
        <v>638</v>
      </c>
      <c r="E41" s="1336">
        <v>500</v>
      </c>
      <c r="F41" s="1336">
        <v>500</v>
      </c>
      <c r="G41" s="1336">
        <v>500</v>
      </c>
      <c r="H41" s="2591">
        <v>500</v>
      </c>
      <c r="I41" s="2591">
        <v>1000</v>
      </c>
      <c r="J41" s="2632">
        <v>1000000</v>
      </c>
      <c r="K41" s="1364">
        <f t="shared" si="1"/>
        <v>-998344</v>
      </c>
      <c r="L41" s="2202">
        <v>1656</v>
      </c>
      <c r="M41" s="1364">
        <f t="shared" si="3"/>
        <v>0</v>
      </c>
      <c r="N41" s="425">
        <v>1656</v>
      </c>
      <c r="O41" s="1364">
        <f t="shared" si="4"/>
        <v>0</v>
      </c>
      <c r="P41" s="4236">
        <v>1656</v>
      </c>
    </row>
    <row r="42" spans="1:16" ht="17.25" customHeight="1" x14ac:dyDescent="0.2">
      <c r="A42" s="2589"/>
      <c r="B42" s="4672" t="s">
        <v>632</v>
      </c>
      <c r="C42" s="4672"/>
      <c r="D42" s="2587" t="s">
        <v>639</v>
      </c>
      <c r="E42" s="1336">
        <v>200</v>
      </c>
      <c r="F42" s="1336">
        <v>200</v>
      </c>
      <c r="G42" s="1336">
        <v>200</v>
      </c>
      <c r="H42" s="2591">
        <v>200</v>
      </c>
      <c r="I42" s="2591"/>
      <c r="J42" s="2632"/>
      <c r="K42" s="1364">
        <f t="shared" si="1"/>
        <v>0</v>
      </c>
      <c r="L42" s="2202">
        <v>0</v>
      </c>
      <c r="M42" s="1364">
        <f t="shared" si="3"/>
        <v>0</v>
      </c>
      <c r="N42" s="425">
        <v>0</v>
      </c>
      <c r="O42" s="1364">
        <f t="shared" si="4"/>
        <v>0</v>
      </c>
      <c r="P42" s="4236">
        <v>0</v>
      </c>
    </row>
    <row r="43" spans="1:16" ht="17.25" customHeight="1" x14ac:dyDescent="0.2">
      <c r="A43" s="2589"/>
      <c r="B43" s="4672" t="s">
        <v>633</v>
      </c>
      <c r="C43" s="4672"/>
      <c r="D43" s="2587" t="s">
        <v>640</v>
      </c>
      <c r="E43" s="1336">
        <v>1500</v>
      </c>
      <c r="F43" s="1336">
        <v>1000</v>
      </c>
      <c r="G43" s="1336">
        <v>1000</v>
      </c>
      <c r="H43" s="2591">
        <v>1000</v>
      </c>
      <c r="I43" s="2591"/>
      <c r="J43" s="2632"/>
      <c r="K43" s="1364">
        <f t="shared" si="1"/>
        <v>0</v>
      </c>
      <c r="L43" s="2202">
        <v>0</v>
      </c>
      <c r="M43" s="1364">
        <f t="shared" si="3"/>
        <v>0</v>
      </c>
      <c r="N43" s="425">
        <v>0</v>
      </c>
      <c r="O43" s="1364">
        <f t="shared" si="4"/>
        <v>0</v>
      </c>
      <c r="P43" s="4236">
        <v>0</v>
      </c>
    </row>
    <row r="44" spans="1:16" ht="17.25" customHeight="1" x14ac:dyDescent="0.2">
      <c r="A44" s="2589"/>
      <c r="B44" s="4672" t="s">
        <v>641</v>
      </c>
      <c r="C44" s="4672"/>
      <c r="D44" s="2587" t="s">
        <v>642</v>
      </c>
      <c r="E44" s="1336">
        <v>2000</v>
      </c>
      <c r="F44" s="1336">
        <v>2000</v>
      </c>
      <c r="G44" s="1336">
        <v>2000</v>
      </c>
      <c r="H44" s="2592"/>
      <c r="I44" s="603">
        <v>350</v>
      </c>
      <c r="J44" s="2628">
        <v>350000</v>
      </c>
      <c r="K44" s="1364">
        <f t="shared" si="1"/>
        <v>0</v>
      </c>
      <c r="L44" s="2198">
        <v>350000</v>
      </c>
      <c r="M44" s="1364">
        <f t="shared" si="3"/>
        <v>0</v>
      </c>
      <c r="N44" s="421">
        <v>350000</v>
      </c>
      <c r="O44" s="1364">
        <f t="shared" si="4"/>
        <v>0</v>
      </c>
      <c r="P44" s="4232">
        <v>350000</v>
      </c>
    </row>
    <row r="45" spans="1:16" ht="17.25" customHeight="1" x14ac:dyDescent="0.2">
      <c r="A45" s="2589"/>
      <c r="B45" s="4672" t="s">
        <v>643</v>
      </c>
      <c r="C45" s="4672"/>
      <c r="D45" s="2587" t="s">
        <v>644</v>
      </c>
      <c r="E45" s="1336"/>
      <c r="F45" s="1336"/>
      <c r="G45" s="2592"/>
      <c r="H45" s="2593">
        <v>0</v>
      </c>
      <c r="I45" s="2591">
        <v>350</v>
      </c>
      <c r="J45" s="2632">
        <v>350000</v>
      </c>
      <c r="K45" s="1364">
        <f t="shared" si="1"/>
        <v>0</v>
      </c>
      <c r="L45" s="2202">
        <v>350000</v>
      </c>
      <c r="M45" s="1364">
        <f t="shared" si="3"/>
        <v>0</v>
      </c>
      <c r="N45" s="425">
        <v>350000</v>
      </c>
      <c r="O45" s="1364">
        <f t="shared" si="4"/>
        <v>0</v>
      </c>
      <c r="P45" s="4236">
        <v>350000</v>
      </c>
    </row>
    <row r="46" spans="1:16" ht="17.25" customHeight="1" x14ac:dyDescent="0.2">
      <c r="A46" s="2589"/>
      <c r="B46" s="4672" t="s">
        <v>645</v>
      </c>
      <c r="C46" s="4672"/>
      <c r="D46" s="2587" t="s">
        <v>646</v>
      </c>
      <c r="E46" s="1336">
        <v>600</v>
      </c>
      <c r="F46" s="1336">
        <v>600</v>
      </c>
      <c r="G46" s="1336">
        <v>600</v>
      </c>
      <c r="H46" s="2591">
        <v>600</v>
      </c>
      <c r="I46" s="2591">
        <v>550</v>
      </c>
      <c r="J46" s="2632">
        <v>550000</v>
      </c>
      <c r="K46" s="1364">
        <f t="shared" si="1"/>
        <v>0</v>
      </c>
      <c r="L46" s="2202">
        <v>550000</v>
      </c>
      <c r="M46" s="1364">
        <f t="shared" si="3"/>
        <v>0</v>
      </c>
      <c r="N46" s="425">
        <v>550000</v>
      </c>
      <c r="O46" s="1364">
        <f t="shared" si="4"/>
        <v>0</v>
      </c>
      <c r="P46" s="4236">
        <v>550000</v>
      </c>
    </row>
    <row r="47" spans="1:16" ht="17.25" customHeight="1" x14ac:dyDescent="0.2">
      <c r="A47" s="611" t="s">
        <v>31</v>
      </c>
      <c r="B47" s="2581"/>
      <c r="C47" s="2567"/>
      <c r="D47" s="2563" t="s">
        <v>647</v>
      </c>
      <c r="E47" s="2564" t="e">
        <v>#NAME?</v>
      </c>
      <c r="F47" s="2564" t="e">
        <v>#NAME?</v>
      </c>
      <c r="G47" s="2564" t="e">
        <v>#NAME?</v>
      </c>
      <c r="H47" s="2564" t="e">
        <v>#NAME?</v>
      </c>
      <c r="I47" s="2564" t="e">
        <f>SUM(I50+I48+I49+I51+I52+I53+I54+I55+I56+I61+I74+#REF!+#REF!+#REF!+#REF!+#REF!+#REF!+#REF!+#REF!+#REF!+#REF!+#REF!+#REF!+#REF!+I60+#REF!+#REF!)+#REF!</f>
        <v>#REF!</v>
      </c>
      <c r="J47" s="2625">
        <f>SUM(J48+J49+J50+J51+J52+J53+J54+J55+J56+J60+J73+J74+J75+J76+J77+J78+J83+J84+J85+J86+J87+J88+J89+J90+J95)+J82+J96+J101+J59+J92+J93+J94+J97</f>
        <v>113723000</v>
      </c>
      <c r="K47" s="2194">
        <f t="shared" si="1"/>
        <v>-6639153</v>
      </c>
      <c r="L47" s="2203">
        <f>SUM(L48+L49+L50+L51+L52+L53+L54+L55+L56+L60+L73+L74+L75+L76+L77+L78+L83+L84+L85+L86+L87+L88+L89+L90+L95)+L82+L96+L101+L59+L92+L93+L94+L97+L98+L99+L100+L91</f>
        <v>107083847</v>
      </c>
      <c r="M47" s="2194">
        <f>SUM(M48+M49+M50+M51+M52+M53+M54+M55+M56+M60+M73+M74+M75+M76+M77+M78+M83+M84+M85+M86+M87+M88+M89+M90+M95)+M82+M96+M101+M59+M92+M93+M94+M97+M98+M99+M100+M91</f>
        <v>-66854445</v>
      </c>
      <c r="N47" s="419">
        <f>SUM(N48+N49+N50+N51+N52+N53+N54+N55+N56+N60+N73+N74+N75+N76+N77+N78+N83+N84+N85+N86+N87+N88+N89+N90+N95)+N82+N96+N101+N59+N97+N98+N99+N100+N91+N92+N93+N94</f>
        <v>40229402</v>
      </c>
      <c r="O47" s="2194">
        <f t="shared" si="4"/>
        <v>0</v>
      </c>
      <c r="P47" s="4237">
        <f>SUM(P48+P49+P50+P51+P52+P53+P54+P55+P56+P60+P73+P74+P75+P76+P77+P78+P83+P84+P85+P86+P87+P88+P89+P90+P95)+P82+P96+P101+P59+P97+P98+P99+P100+P91+P92+P93+P94</f>
        <v>40229402</v>
      </c>
    </row>
    <row r="48" spans="1:16" ht="17.25" customHeight="1" x14ac:dyDescent="0.2">
      <c r="A48" s="611"/>
      <c r="B48" s="612" t="s">
        <v>319</v>
      </c>
      <c r="C48" s="613"/>
      <c r="D48" s="614" t="s">
        <v>648</v>
      </c>
      <c r="E48" s="615">
        <v>1000</v>
      </c>
      <c r="F48" s="615">
        <v>1000</v>
      </c>
      <c r="G48" s="615">
        <v>1000</v>
      </c>
      <c r="H48" s="2585">
        <v>1400</v>
      </c>
      <c r="I48" s="2585">
        <v>1400</v>
      </c>
      <c r="J48" s="2631">
        <v>2000000</v>
      </c>
      <c r="K48" s="2192">
        <f t="shared" si="1"/>
        <v>-607114</v>
      </c>
      <c r="L48" s="2201">
        <v>1392886</v>
      </c>
      <c r="M48" s="2192">
        <f t="shared" si="3"/>
        <v>-1224954</v>
      </c>
      <c r="N48" s="422">
        <v>167932</v>
      </c>
      <c r="O48" s="2192">
        <f t="shared" si="4"/>
        <v>0</v>
      </c>
      <c r="P48" s="4235">
        <v>167932</v>
      </c>
    </row>
    <row r="49" spans="1:16" ht="17.25" customHeight="1" x14ac:dyDescent="0.2">
      <c r="A49" s="611"/>
      <c r="B49" s="612" t="s">
        <v>321</v>
      </c>
      <c r="C49" s="613"/>
      <c r="D49" s="614" t="s">
        <v>649</v>
      </c>
      <c r="E49" s="615">
        <v>3500</v>
      </c>
      <c r="F49" s="615">
        <v>3500</v>
      </c>
      <c r="G49" s="615">
        <v>3500</v>
      </c>
      <c r="H49" s="2585">
        <v>3500</v>
      </c>
      <c r="I49" s="2585">
        <v>2800</v>
      </c>
      <c r="J49" s="2631">
        <v>3000000</v>
      </c>
      <c r="K49" s="2192">
        <f t="shared" si="1"/>
        <v>-985834</v>
      </c>
      <c r="L49" s="2201">
        <v>2014166</v>
      </c>
      <c r="M49" s="2192">
        <f t="shared" si="3"/>
        <v>-2014166</v>
      </c>
      <c r="N49" s="422">
        <v>0</v>
      </c>
      <c r="O49" s="2192">
        <f t="shared" si="4"/>
        <v>0</v>
      </c>
      <c r="P49" s="4235">
        <v>0</v>
      </c>
    </row>
    <row r="50" spans="1:16" ht="17.25" customHeight="1" x14ac:dyDescent="0.2">
      <c r="A50" s="611"/>
      <c r="B50" s="612" t="s">
        <v>586</v>
      </c>
      <c r="C50" s="613"/>
      <c r="D50" s="614" t="s">
        <v>650</v>
      </c>
      <c r="E50" s="1336"/>
      <c r="F50" s="1336"/>
      <c r="G50" s="1336"/>
      <c r="H50" s="2591"/>
      <c r="I50" s="2585">
        <v>1500</v>
      </c>
      <c r="J50" s="2631">
        <v>1500000</v>
      </c>
      <c r="K50" s="2192">
        <f t="shared" si="1"/>
        <v>-500000</v>
      </c>
      <c r="L50" s="2201">
        <v>1000000</v>
      </c>
      <c r="M50" s="2192">
        <f t="shared" si="3"/>
        <v>-1000000</v>
      </c>
      <c r="N50" s="422">
        <v>0</v>
      </c>
      <c r="O50" s="2192">
        <f t="shared" si="4"/>
        <v>0</v>
      </c>
      <c r="P50" s="4235">
        <v>0</v>
      </c>
    </row>
    <row r="51" spans="1:16" ht="17.25" customHeight="1" x14ac:dyDescent="0.2">
      <c r="A51" s="611"/>
      <c r="B51" s="612" t="s">
        <v>587</v>
      </c>
      <c r="C51" s="613"/>
      <c r="D51" s="614" t="s">
        <v>990</v>
      </c>
      <c r="E51" s="615">
        <v>550</v>
      </c>
      <c r="F51" s="615">
        <v>550</v>
      </c>
      <c r="G51" s="615">
        <v>550</v>
      </c>
      <c r="H51" s="2585">
        <v>600</v>
      </c>
      <c r="I51" s="2585">
        <v>480</v>
      </c>
      <c r="J51" s="2631">
        <v>750000</v>
      </c>
      <c r="K51" s="2192">
        <f t="shared" si="1"/>
        <v>431985</v>
      </c>
      <c r="L51" s="2201">
        <v>1181985</v>
      </c>
      <c r="M51" s="2192">
        <f t="shared" si="3"/>
        <v>-737760</v>
      </c>
      <c r="N51" s="422">
        <v>444225</v>
      </c>
      <c r="O51" s="2192">
        <f t="shared" si="4"/>
        <v>0</v>
      </c>
      <c r="P51" s="4235">
        <v>444225</v>
      </c>
    </row>
    <row r="52" spans="1:16" ht="17.25" customHeight="1" x14ac:dyDescent="0.2">
      <c r="A52" s="611"/>
      <c r="B52" s="612" t="s">
        <v>588</v>
      </c>
      <c r="C52" s="613"/>
      <c r="D52" s="2594" t="s">
        <v>651</v>
      </c>
      <c r="E52" s="615">
        <v>800</v>
      </c>
      <c r="F52" s="616">
        <v>800</v>
      </c>
      <c r="G52" s="616">
        <v>800</v>
      </c>
      <c r="H52" s="599">
        <v>800</v>
      </c>
      <c r="I52" s="599">
        <v>800</v>
      </c>
      <c r="J52" s="2633">
        <v>800000</v>
      </c>
      <c r="K52" s="2192">
        <f t="shared" si="1"/>
        <v>0</v>
      </c>
      <c r="L52" s="2204">
        <v>800000</v>
      </c>
      <c r="M52" s="2192">
        <f t="shared" si="3"/>
        <v>0</v>
      </c>
      <c r="N52" s="427">
        <v>800000</v>
      </c>
      <c r="O52" s="2192">
        <f t="shared" si="4"/>
        <v>0</v>
      </c>
      <c r="P52" s="4225">
        <v>800000</v>
      </c>
    </row>
    <row r="53" spans="1:16" ht="17.25" customHeight="1" x14ac:dyDescent="0.2">
      <c r="A53" s="611"/>
      <c r="B53" s="612" t="s">
        <v>589</v>
      </c>
      <c r="C53" s="613"/>
      <c r="D53" s="614" t="s">
        <v>652</v>
      </c>
      <c r="E53" s="615"/>
      <c r="F53" s="616">
        <v>30000</v>
      </c>
      <c r="G53" s="616">
        <v>30000</v>
      </c>
      <c r="H53" s="599">
        <v>0</v>
      </c>
      <c r="I53" s="599">
        <v>0</v>
      </c>
      <c r="J53" s="2633"/>
      <c r="K53" s="2192">
        <f t="shared" si="1"/>
        <v>0</v>
      </c>
      <c r="L53" s="2204">
        <v>0</v>
      </c>
      <c r="M53" s="2192">
        <f t="shared" si="3"/>
        <v>0</v>
      </c>
      <c r="N53" s="427"/>
      <c r="O53" s="2192">
        <f t="shared" si="4"/>
        <v>0</v>
      </c>
      <c r="P53" s="4225"/>
    </row>
    <row r="54" spans="1:16" ht="30" x14ac:dyDescent="0.2">
      <c r="A54" s="611"/>
      <c r="B54" s="612" t="s">
        <v>653</v>
      </c>
      <c r="C54" s="613"/>
      <c r="D54" s="614" t="s">
        <v>654</v>
      </c>
      <c r="E54" s="615"/>
      <c r="F54" s="616">
        <v>5000</v>
      </c>
      <c r="G54" s="616">
        <v>5000</v>
      </c>
      <c r="H54" s="599">
        <v>2000</v>
      </c>
      <c r="I54" s="599">
        <v>2000</v>
      </c>
      <c r="J54" s="2633">
        <v>5000000</v>
      </c>
      <c r="K54" s="2192">
        <f t="shared" si="1"/>
        <v>4653000</v>
      </c>
      <c r="L54" s="2633">
        <v>9653000</v>
      </c>
      <c r="M54" s="2192">
        <f t="shared" si="3"/>
        <v>-4975160</v>
      </c>
      <c r="N54" s="4224">
        <v>4677840</v>
      </c>
      <c r="O54" s="2192">
        <f t="shared" si="4"/>
        <v>0</v>
      </c>
      <c r="P54" s="4224">
        <v>4677840</v>
      </c>
    </row>
    <row r="55" spans="1:16" ht="17.25" customHeight="1" x14ac:dyDescent="0.2">
      <c r="A55" s="611"/>
      <c r="B55" s="612" t="s">
        <v>655</v>
      </c>
      <c r="C55" s="613"/>
      <c r="D55" s="614" t="s">
        <v>656</v>
      </c>
      <c r="E55" s="615"/>
      <c r="F55" s="616">
        <v>1000</v>
      </c>
      <c r="G55" s="616">
        <v>1000</v>
      </c>
      <c r="H55" s="599">
        <v>1000</v>
      </c>
      <c r="I55" s="599">
        <v>500</v>
      </c>
      <c r="J55" s="2633">
        <v>500000</v>
      </c>
      <c r="K55" s="2192">
        <f t="shared" si="1"/>
        <v>0</v>
      </c>
      <c r="L55" s="2204">
        <v>500000</v>
      </c>
      <c r="M55" s="2192">
        <f t="shared" si="3"/>
        <v>0</v>
      </c>
      <c r="N55" s="427">
        <v>500000</v>
      </c>
      <c r="O55" s="2192">
        <f t="shared" si="4"/>
        <v>0</v>
      </c>
      <c r="P55" s="4225">
        <v>500000</v>
      </c>
    </row>
    <row r="56" spans="1:16" ht="17.25" customHeight="1" x14ac:dyDescent="0.2">
      <c r="A56" s="611"/>
      <c r="B56" s="612" t="s">
        <v>657</v>
      </c>
      <c r="C56" s="2595"/>
      <c r="D56" s="614" t="s">
        <v>658</v>
      </c>
      <c r="E56" s="615"/>
      <c r="F56" s="617"/>
      <c r="G56" s="616">
        <f>SUM(G57:G59)</f>
        <v>8000</v>
      </c>
      <c r="H56" s="616">
        <f>SUM(H57:H59)</f>
        <v>8000</v>
      </c>
      <c r="I56" s="616">
        <f>SUM(I57:I59)</f>
        <v>5000</v>
      </c>
      <c r="J56" s="2634">
        <f>SUM(J57:J58)</f>
        <v>4000000</v>
      </c>
      <c r="K56" s="2192">
        <f t="shared" si="1"/>
        <v>-2000000</v>
      </c>
      <c r="L56" s="2205">
        <f>SUM(L57:L58)</f>
        <v>2000000</v>
      </c>
      <c r="M56" s="2192">
        <f>SUM(M57:M58)</f>
        <v>-1200000</v>
      </c>
      <c r="N56" s="426">
        <f>SUM(N57:N58)</f>
        <v>800000</v>
      </c>
      <c r="O56" s="2192">
        <f t="shared" si="4"/>
        <v>0</v>
      </c>
      <c r="P56" s="4238">
        <f>SUM(P57:P58)</f>
        <v>800000</v>
      </c>
    </row>
    <row r="57" spans="1:16" ht="17.25" customHeight="1" x14ac:dyDescent="0.2">
      <c r="A57" s="2589"/>
      <c r="B57" s="2596" t="s">
        <v>659</v>
      </c>
      <c r="C57" s="2590"/>
      <c r="D57" s="2597" t="s">
        <v>1111</v>
      </c>
      <c r="E57" s="1336"/>
      <c r="F57" s="2598"/>
      <c r="G57" s="2599">
        <v>4000</v>
      </c>
      <c r="H57" s="2600">
        <v>4000</v>
      </c>
      <c r="I57" s="2600">
        <v>2000</v>
      </c>
      <c r="J57" s="2635">
        <v>2000000</v>
      </c>
      <c r="K57" s="2192">
        <f t="shared" si="1"/>
        <v>-2000000</v>
      </c>
      <c r="L57" s="2206">
        <v>0</v>
      </c>
      <c r="M57" s="1364">
        <f t="shared" si="3"/>
        <v>0</v>
      </c>
      <c r="N57" s="429">
        <v>0</v>
      </c>
      <c r="O57" s="1364">
        <f t="shared" si="4"/>
        <v>0</v>
      </c>
      <c r="P57" s="4226">
        <v>0</v>
      </c>
    </row>
    <row r="58" spans="1:16" ht="17.25" customHeight="1" x14ac:dyDescent="0.2">
      <c r="A58" s="2589"/>
      <c r="B58" s="2596" t="s">
        <v>660</v>
      </c>
      <c r="C58" s="2590"/>
      <c r="D58" s="2597" t="s">
        <v>661</v>
      </c>
      <c r="E58" s="1336"/>
      <c r="F58" s="2598"/>
      <c r="G58" s="2599">
        <v>3000</v>
      </c>
      <c r="H58" s="2600">
        <v>3000</v>
      </c>
      <c r="I58" s="2600">
        <v>2000</v>
      </c>
      <c r="J58" s="2635">
        <v>2000000</v>
      </c>
      <c r="K58" s="2192">
        <f t="shared" si="1"/>
        <v>0</v>
      </c>
      <c r="L58" s="2206">
        <v>2000000</v>
      </c>
      <c r="M58" s="1364">
        <f t="shared" si="3"/>
        <v>-1200000</v>
      </c>
      <c r="N58" s="429">
        <v>800000</v>
      </c>
      <c r="O58" s="1364">
        <f t="shared" si="4"/>
        <v>0</v>
      </c>
      <c r="P58" s="4226">
        <v>800000</v>
      </c>
    </row>
    <row r="59" spans="1:16" ht="17.25" customHeight="1" x14ac:dyDescent="0.2">
      <c r="A59" s="611"/>
      <c r="B59" s="2601" t="s">
        <v>662</v>
      </c>
      <c r="C59" s="2601"/>
      <c r="D59" s="614" t="s">
        <v>663</v>
      </c>
      <c r="E59" s="615"/>
      <c r="F59" s="617"/>
      <c r="G59" s="616">
        <v>1000</v>
      </c>
      <c r="H59" s="599">
        <v>1000</v>
      </c>
      <c r="I59" s="599">
        <v>1000</v>
      </c>
      <c r="J59" s="2633">
        <v>1000000</v>
      </c>
      <c r="K59" s="2192">
        <f t="shared" si="1"/>
        <v>4541324</v>
      </c>
      <c r="L59" s="2204">
        <v>5541324</v>
      </c>
      <c r="M59" s="2192">
        <f t="shared" si="3"/>
        <v>-5471135</v>
      </c>
      <c r="N59" s="427">
        <v>70189</v>
      </c>
      <c r="O59" s="2192">
        <f t="shared" si="4"/>
        <v>0</v>
      </c>
      <c r="P59" s="4225">
        <v>70189</v>
      </c>
    </row>
    <row r="60" spans="1:16" ht="17.25" customHeight="1" x14ac:dyDescent="0.2">
      <c r="A60" s="2602"/>
      <c r="B60" s="2601" t="s">
        <v>664</v>
      </c>
      <c r="C60" s="2601"/>
      <c r="D60" s="614" t="s">
        <v>665</v>
      </c>
      <c r="E60" s="615"/>
      <c r="F60" s="617"/>
      <c r="G60" s="616" t="e">
        <v>#NAME?</v>
      </c>
      <c r="H60" s="616" t="e">
        <v>#NAME?</v>
      </c>
      <c r="I60" s="616">
        <f>SUM(I61:I71)</f>
        <v>3470</v>
      </c>
      <c r="J60" s="2634">
        <f>SUM(J61:J72)</f>
        <v>9020000</v>
      </c>
      <c r="K60" s="2192">
        <f t="shared" si="1"/>
        <v>-3860950</v>
      </c>
      <c r="L60" s="2205">
        <f>SUM(L61:L72)</f>
        <v>5159050</v>
      </c>
      <c r="M60" s="2192">
        <f>SUM(M61:M72)</f>
        <v>-4225057</v>
      </c>
      <c r="N60" s="426">
        <f>SUM(N61:N72)</f>
        <v>933993</v>
      </c>
      <c r="O60" s="2192">
        <f t="shared" si="4"/>
        <v>0</v>
      </c>
      <c r="P60" s="4238">
        <f>SUM(P61:P72)</f>
        <v>933993</v>
      </c>
    </row>
    <row r="61" spans="1:16" ht="19.5" customHeight="1" x14ac:dyDescent="0.2">
      <c r="A61" s="611"/>
      <c r="B61" s="2596" t="s">
        <v>666</v>
      </c>
      <c r="C61" s="2590"/>
      <c r="D61" s="2603" t="s">
        <v>667</v>
      </c>
      <c r="E61" s="615"/>
      <c r="F61" s="617"/>
      <c r="G61" s="616">
        <v>260</v>
      </c>
      <c r="H61" s="599">
        <v>350</v>
      </c>
      <c r="I61" s="599">
        <v>400</v>
      </c>
      <c r="J61" s="2633">
        <v>500000</v>
      </c>
      <c r="K61" s="2192">
        <f t="shared" si="1"/>
        <v>-419713</v>
      </c>
      <c r="L61" s="2633">
        <v>80287</v>
      </c>
      <c r="M61" s="2192">
        <f t="shared" si="3"/>
        <v>-19103</v>
      </c>
      <c r="N61" s="4224">
        <v>61184</v>
      </c>
      <c r="O61" s="2192">
        <f t="shared" si="4"/>
        <v>0</v>
      </c>
      <c r="P61" s="4224">
        <v>61184</v>
      </c>
    </row>
    <row r="62" spans="1:16" ht="17.25" customHeight="1" x14ac:dyDescent="0.2">
      <c r="A62" s="611"/>
      <c r="B62" s="2596" t="s">
        <v>668</v>
      </c>
      <c r="C62" s="2590"/>
      <c r="D62" s="2604">
        <v>38791</v>
      </c>
      <c r="E62" s="615"/>
      <c r="F62" s="617"/>
      <c r="G62" s="616">
        <v>300</v>
      </c>
      <c r="H62" s="599">
        <v>320</v>
      </c>
      <c r="I62" s="599">
        <v>300</v>
      </c>
      <c r="J62" s="2633">
        <v>400000</v>
      </c>
      <c r="K62" s="2192">
        <f t="shared" si="1"/>
        <v>-217060</v>
      </c>
      <c r="L62" s="2633">
        <v>182940</v>
      </c>
      <c r="M62" s="2192">
        <f t="shared" si="3"/>
        <v>-182940</v>
      </c>
      <c r="N62" s="4224">
        <v>0</v>
      </c>
      <c r="O62" s="2192">
        <f t="shared" si="4"/>
        <v>0</v>
      </c>
      <c r="P62" s="4224">
        <v>0</v>
      </c>
    </row>
    <row r="63" spans="1:16" ht="18" customHeight="1" x14ac:dyDescent="0.2">
      <c r="A63" s="611"/>
      <c r="B63" s="2596" t="s">
        <v>669</v>
      </c>
      <c r="C63" s="2590"/>
      <c r="D63" s="2603" t="s">
        <v>670</v>
      </c>
      <c r="E63" s="615"/>
      <c r="F63" s="617"/>
      <c r="G63" s="616">
        <v>690</v>
      </c>
      <c r="H63" s="599">
        <v>900</v>
      </c>
      <c r="I63" s="599">
        <v>1000</v>
      </c>
      <c r="J63" s="2633">
        <v>1200000</v>
      </c>
      <c r="K63" s="2192">
        <f t="shared" si="1"/>
        <v>-1073548</v>
      </c>
      <c r="L63" s="2633">
        <v>126452</v>
      </c>
      <c r="M63" s="2192">
        <f t="shared" si="3"/>
        <v>-126452</v>
      </c>
      <c r="N63" s="4224">
        <v>0</v>
      </c>
      <c r="O63" s="2192">
        <f t="shared" si="4"/>
        <v>0</v>
      </c>
      <c r="P63" s="4224">
        <v>0</v>
      </c>
    </row>
    <row r="64" spans="1:16" ht="17.25" customHeight="1" x14ac:dyDescent="0.2">
      <c r="A64" s="611"/>
      <c r="B64" s="2596" t="s">
        <v>671</v>
      </c>
      <c r="C64" s="2590"/>
      <c r="D64" s="2603" t="s">
        <v>915</v>
      </c>
      <c r="E64" s="615"/>
      <c r="F64" s="617"/>
      <c r="G64" s="616"/>
      <c r="H64" s="599"/>
      <c r="I64" s="599"/>
      <c r="J64" s="2633">
        <v>200000</v>
      </c>
      <c r="K64" s="2192">
        <f t="shared" si="1"/>
        <v>-200000</v>
      </c>
      <c r="L64" s="2633">
        <v>0</v>
      </c>
      <c r="M64" s="2192">
        <f t="shared" si="3"/>
        <v>0</v>
      </c>
      <c r="N64" s="4224"/>
      <c r="O64" s="2192">
        <f t="shared" si="4"/>
        <v>0</v>
      </c>
      <c r="P64" s="4224"/>
    </row>
    <row r="65" spans="1:16" ht="17.25" customHeight="1" x14ac:dyDescent="0.2">
      <c r="A65" s="611"/>
      <c r="B65" s="2596" t="s">
        <v>673</v>
      </c>
      <c r="C65" s="2590"/>
      <c r="D65" s="2603" t="s">
        <v>672</v>
      </c>
      <c r="E65" s="615"/>
      <c r="F65" s="617"/>
      <c r="G65" s="616">
        <v>570</v>
      </c>
      <c r="H65" s="599">
        <v>600</v>
      </c>
      <c r="I65" s="599">
        <v>310</v>
      </c>
      <c r="J65" s="2633">
        <v>400000</v>
      </c>
      <c r="K65" s="2192">
        <f t="shared" si="1"/>
        <v>-249221</v>
      </c>
      <c r="L65" s="2633">
        <v>150779</v>
      </c>
      <c r="M65" s="2192">
        <f t="shared" si="3"/>
        <v>-109443</v>
      </c>
      <c r="N65" s="4224">
        <v>41336</v>
      </c>
      <c r="O65" s="2192">
        <f t="shared" si="4"/>
        <v>0</v>
      </c>
      <c r="P65" s="4224">
        <v>41336</v>
      </c>
    </row>
    <row r="66" spans="1:16" ht="17.25" customHeight="1" x14ac:dyDescent="0.2">
      <c r="A66" s="611"/>
      <c r="B66" s="2596" t="s">
        <v>675</v>
      </c>
      <c r="C66" s="2590"/>
      <c r="D66" s="2605" t="s">
        <v>674</v>
      </c>
      <c r="E66" s="615"/>
      <c r="F66" s="617"/>
      <c r="G66" s="616">
        <v>520</v>
      </c>
      <c r="H66" s="599">
        <v>520</v>
      </c>
      <c r="I66" s="599">
        <v>350</v>
      </c>
      <c r="J66" s="2633">
        <v>500000</v>
      </c>
      <c r="K66" s="2192">
        <f t="shared" si="1"/>
        <v>0</v>
      </c>
      <c r="L66" s="2633">
        <v>500000</v>
      </c>
      <c r="M66" s="2192">
        <f t="shared" si="3"/>
        <v>-500000</v>
      </c>
      <c r="N66" s="4224">
        <v>0</v>
      </c>
      <c r="O66" s="2192">
        <f t="shared" si="4"/>
        <v>0</v>
      </c>
      <c r="P66" s="4224">
        <v>0</v>
      </c>
    </row>
    <row r="67" spans="1:16" ht="17.25" customHeight="1" x14ac:dyDescent="0.2">
      <c r="A67" s="611"/>
      <c r="B67" s="2596" t="s">
        <v>677</v>
      </c>
      <c r="C67" s="2590"/>
      <c r="D67" s="2605" t="s">
        <v>676</v>
      </c>
      <c r="E67" s="615"/>
      <c r="F67" s="617"/>
      <c r="G67" s="616">
        <v>190</v>
      </c>
      <c r="H67" s="599">
        <v>200</v>
      </c>
      <c r="I67" s="599">
        <v>220</v>
      </c>
      <c r="J67" s="2633">
        <v>300000</v>
      </c>
      <c r="K67" s="2192">
        <f t="shared" si="1"/>
        <v>0</v>
      </c>
      <c r="L67" s="2633">
        <v>300000</v>
      </c>
      <c r="M67" s="2192">
        <f t="shared" ref="M67:M101" si="6">SUM(N67-L67)</f>
        <v>-251140</v>
      </c>
      <c r="N67" s="4224">
        <v>48860</v>
      </c>
      <c r="O67" s="2192">
        <f t="shared" ref="O67:O101" si="7">SUM(P67-N67)</f>
        <v>0</v>
      </c>
      <c r="P67" s="4224">
        <v>48860</v>
      </c>
    </row>
    <row r="68" spans="1:16" s="218" customFormat="1" ht="17.25" customHeight="1" x14ac:dyDescent="0.2">
      <c r="A68" s="611"/>
      <c r="B68" s="2596" t="s">
        <v>679</v>
      </c>
      <c r="C68" s="2590"/>
      <c r="D68" s="2605" t="s">
        <v>678</v>
      </c>
      <c r="E68" s="615"/>
      <c r="F68" s="617"/>
      <c r="G68" s="616">
        <v>370</v>
      </c>
      <c r="H68" s="599">
        <v>370</v>
      </c>
      <c r="I68" s="599">
        <v>400</v>
      </c>
      <c r="J68" s="2633">
        <v>450000</v>
      </c>
      <c r="K68" s="2192">
        <f t="shared" si="1"/>
        <v>0</v>
      </c>
      <c r="L68" s="2633">
        <v>450000</v>
      </c>
      <c r="M68" s="2192">
        <f t="shared" si="6"/>
        <v>-303917</v>
      </c>
      <c r="N68" s="4224">
        <v>146083</v>
      </c>
      <c r="O68" s="2192">
        <f t="shared" si="7"/>
        <v>0</v>
      </c>
      <c r="P68" s="4224">
        <v>146083</v>
      </c>
    </row>
    <row r="69" spans="1:16" s="218" customFormat="1" ht="17.25" customHeight="1" x14ac:dyDescent="0.2">
      <c r="A69" s="611"/>
      <c r="B69" s="2596" t="s">
        <v>681</v>
      </c>
      <c r="C69" s="2590"/>
      <c r="D69" s="2605" t="s">
        <v>680</v>
      </c>
      <c r="E69" s="615"/>
      <c r="F69" s="617"/>
      <c r="G69" s="616"/>
      <c r="H69" s="599"/>
      <c r="I69" s="599">
        <v>0</v>
      </c>
      <c r="J69" s="2633">
        <v>1300000</v>
      </c>
      <c r="K69" s="2192">
        <f t="shared" ref="K69:K102" si="8">SUM(L69-J69)</f>
        <v>0</v>
      </c>
      <c r="L69" s="2633">
        <v>1300000</v>
      </c>
      <c r="M69" s="2192">
        <f t="shared" si="6"/>
        <v>-1296416</v>
      </c>
      <c r="N69" s="4224">
        <v>3584</v>
      </c>
      <c r="O69" s="2192">
        <f t="shared" si="7"/>
        <v>0</v>
      </c>
      <c r="P69" s="4224">
        <v>3584</v>
      </c>
    </row>
    <row r="70" spans="1:16" s="218" customFormat="1" ht="17.25" customHeight="1" x14ac:dyDescent="0.2">
      <c r="A70" s="611"/>
      <c r="B70" s="2596" t="s">
        <v>682</v>
      </c>
      <c r="C70" s="2590"/>
      <c r="D70" s="2605" t="s">
        <v>1117</v>
      </c>
      <c r="E70" s="615"/>
      <c r="F70" s="617"/>
      <c r="G70" s="616"/>
      <c r="H70" s="599"/>
      <c r="I70" s="599">
        <v>350</v>
      </c>
      <c r="J70" s="2633">
        <v>3000000</v>
      </c>
      <c r="K70" s="2192">
        <f t="shared" si="8"/>
        <v>-1553328</v>
      </c>
      <c r="L70" s="2633">
        <v>1446672</v>
      </c>
      <c r="M70" s="2192">
        <f t="shared" si="6"/>
        <v>-1435646</v>
      </c>
      <c r="N70" s="4224">
        <v>11026</v>
      </c>
      <c r="O70" s="2192">
        <f t="shared" si="7"/>
        <v>0</v>
      </c>
      <c r="P70" s="4224">
        <v>11026</v>
      </c>
    </row>
    <row r="71" spans="1:16" s="218" customFormat="1" ht="17.25" customHeight="1" x14ac:dyDescent="0.2">
      <c r="A71" s="611"/>
      <c r="B71" s="2596" t="s">
        <v>916</v>
      </c>
      <c r="C71" s="2590"/>
      <c r="D71" s="2605" t="s">
        <v>683</v>
      </c>
      <c r="E71" s="615"/>
      <c r="F71" s="617"/>
      <c r="G71" s="616"/>
      <c r="H71" s="599"/>
      <c r="I71" s="599">
        <v>140</v>
      </c>
      <c r="J71" s="2633">
        <v>170000</v>
      </c>
      <c r="K71" s="2192">
        <f t="shared" si="8"/>
        <v>0</v>
      </c>
      <c r="L71" s="2633">
        <v>170000</v>
      </c>
      <c r="M71" s="2192">
        <f t="shared" si="6"/>
        <v>0</v>
      </c>
      <c r="N71" s="4224">
        <v>170000</v>
      </c>
      <c r="O71" s="2192">
        <f t="shared" si="7"/>
        <v>0</v>
      </c>
      <c r="P71" s="4224">
        <v>170000</v>
      </c>
    </row>
    <row r="72" spans="1:16" s="218" customFormat="1" ht="17.25" customHeight="1" x14ac:dyDescent="0.2">
      <c r="A72" s="611"/>
      <c r="B72" s="2596" t="s">
        <v>1132</v>
      </c>
      <c r="C72" s="2590"/>
      <c r="D72" s="2605" t="s">
        <v>1133</v>
      </c>
      <c r="E72" s="615"/>
      <c r="F72" s="617"/>
      <c r="G72" s="616"/>
      <c r="H72" s="599"/>
      <c r="I72" s="599"/>
      <c r="J72" s="2633">
        <v>600000</v>
      </c>
      <c r="K72" s="2192">
        <f t="shared" si="8"/>
        <v>-148080</v>
      </c>
      <c r="L72" s="2633">
        <v>451920</v>
      </c>
      <c r="M72" s="2192">
        <f t="shared" si="6"/>
        <v>0</v>
      </c>
      <c r="N72" s="4224">
        <v>451920</v>
      </c>
      <c r="O72" s="2192">
        <f t="shared" si="7"/>
        <v>0</v>
      </c>
      <c r="P72" s="4224">
        <v>451920</v>
      </c>
    </row>
    <row r="73" spans="1:16" s="218" customFormat="1" ht="17.25" customHeight="1" x14ac:dyDescent="0.2">
      <c r="A73" s="611"/>
      <c r="B73" s="609" t="s">
        <v>922</v>
      </c>
      <c r="C73" s="609"/>
      <c r="D73" s="614" t="s">
        <v>685</v>
      </c>
      <c r="E73" s="615"/>
      <c r="F73" s="617"/>
      <c r="G73" s="616"/>
      <c r="H73" s="599"/>
      <c r="I73" s="599">
        <v>1000</v>
      </c>
      <c r="J73" s="2633">
        <v>5000000</v>
      </c>
      <c r="K73" s="2192">
        <f t="shared" si="8"/>
        <v>-963417</v>
      </c>
      <c r="L73" s="2633">
        <v>4036583</v>
      </c>
      <c r="M73" s="2192">
        <f t="shared" si="6"/>
        <v>-1849382</v>
      </c>
      <c r="N73" s="4225">
        <v>2187201</v>
      </c>
      <c r="O73" s="2192">
        <f t="shared" si="7"/>
        <v>0</v>
      </c>
      <c r="P73" s="4225">
        <v>2187201</v>
      </c>
    </row>
    <row r="74" spans="1:16" ht="17.25" customHeight="1" x14ac:dyDescent="0.2">
      <c r="A74" s="611"/>
      <c r="B74" s="609" t="s">
        <v>684</v>
      </c>
      <c r="C74" s="609"/>
      <c r="D74" s="614" t="s">
        <v>687</v>
      </c>
      <c r="E74" s="615"/>
      <c r="F74" s="617"/>
      <c r="G74" s="616">
        <v>1500</v>
      </c>
      <c r="H74" s="599">
        <v>1700</v>
      </c>
      <c r="I74" s="599">
        <v>1000</v>
      </c>
      <c r="J74" s="2633">
        <v>1400000</v>
      </c>
      <c r="K74" s="2192">
        <f t="shared" si="8"/>
        <v>0</v>
      </c>
      <c r="L74" s="2204">
        <v>1400000</v>
      </c>
      <c r="M74" s="2192">
        <f t="shared" si="6"/>
        <v>-1400000</v>
      </c>
      <c r="N74" s="4225"/>
      <c r="O74" s="2192">
        <f t="shared" si="7"/>
        <v>0</v>
      </c>
      <c r="P74" s="4225"/>
    </row>
    <row r="75" spans="1:16" ht="17.25" customHeight="1" x14ac:dyDescent="0.2">
      <c r="A75" s="611"/>
      <c r="B75" s="609" t="s">
        <v>686</v>
      </c>
      <c r="C75" s="609"/>
      <c r="D75" s="614" t="s">
        <v>689</v>
      </c>
      <c r="E75" s="615"/>
      <c r="F75" s="616"/>
      <c r="G75" s="616">
        <v>1000</v>
      </c>
      <c r="H75" s="599">
        <v>1000</v>
      </c>
      <c r="I75" s="599">
        <v>1500</v>
      </c>
      <c r="J75" s="2633">
        <v>1500000</v>
      </c>
      <c r="K75" s="2192">
        <f t="shared" si="8"/>
        <v>-1500000</v>
      </c>
      <c r="L75" s="2204">
        <v>0</v>
      </c>
      <c r="M75" s="2192">
        <f t="shared" si="6"/>
        <v>0</v>
      </c>
      <c r="N75" s="4225"/>
      <c r="O75" s="2192">
        <f t="shared" si="7"/>
        <v>0</v>
      </c>
      <c r="P75" s="4225"/>
    </row>
    <row r="76" spans="1:16" ht="17.25" customHeight="1" x14ac:dyDescent="0.2">
      <c r="A76" s="611"/>
      <c r="B76" s="609" t="s">
        <v>688</v>
      </c>
      <c r="C76" s="609"/>
      <c r="D76" s="614" t="s">
        <v>691</v>
      </c>
      <c r="E76" s="615"/>
      <c r="F76" s="616"/>
      <c r="G76" s="617"/>
      <c r="H76" s="599">
        <v>0</v>
      </c>
      <c r="I76" s="599">
        <v>500</v>
      </c>
      <c r="J76" s="2633">
        <v>600000</v>
      </c>
      <c r="K76" s="2192">
        <f t="shared" si="8"/>
        <v>219442</v>
      </c>
      <c r="L76" s="2204">
        <v>819442</v>
      </c>
      <c r="M76" s="2192">
        <f t="shared" si="6"/>
        <v>-144232</v>
      </c>
      <c r="N76" s="4225">
        <v>675210</v>
      </c>
      <c r="O76" s="2192">
        <f t="shared" si="7"/>
        <v>0</v>
      </c>
      <c r="P76" s="4225">
        <v>675210</v>
      </c>
    </row>
    <row r="77" spans="1:16" ht="30.75" customHeight="1" x14ac:dyDescent="0.2">
      <c r="A77" s="611"/>
      <c r="B77" s="2636" t="s">
        <v>690</v>
      </c>
      <c r="C77" s="2636"/>
      <c r="D77" s="2606" t="s">
        <v>693</v>
      </c>
      <c r="E77" s="2636"/>
      <c r="F77" s="2636"/>
      <c r="G77" s="2636"/>
      <c r="H77" s="2636"/>
      <c r="I77" s="2636">
        <v>525</v>
      </c>
      <c r="J77" s="2637">
        <v>525000</v>
      </c>
      <c r="K77" s="2192">
        <f t="shared" si="8"/>
        <v>0</v>
      </c>
      <c r="L77" s="2204">
        <v>525000</v>
      </c>
      <c r="M77" s="2192">
        <f t="shared" si="6"/>
        <v>-525000</v>
      </c>
      <c r="N77" s="4225"/>
      <c r="O77" s="2192">
        <f t="shared" si="7"/>
        <v>0</v>
      </c>
      <c r="P77" s="4225"/>
    </row>
    <row r="78" spans="1:16" ht="30" customHeight="1" x14ac:dyDescent="0.2">
      <c r="A78" s="611"/>
      <c r="B78" s="609" t="s">
        <v>692</v>
      </c>
      <c r="C78" s="609"/>
      <c r="D78" s="614" t="s">
        <v>992</v>
      </c>
      <c r="E78" s="615"/>
      <c r="F78" s="616"/>
      <c r="G78" s="616"/>
      <c r="H78" s="617"/>
      <c r="I78" s="599"/>
      <c r="J78" s="2633">
        <f>SUM(J79:J81)</f>
        <v>57378000</v>
      </c>
      <c r="K78" s="2192">
        <f t="shared" si="8"/>
        <v>-53477223</v>
      </c>
      <c r="L78" s="2633">
        <f>SUM(L79:L81)</f>
        <v>3900777</v>
      </c>
      <c r="M78" s="2192">
        <f>SUM(M79:M81)</f>
        <v>-3900000</v>
      </c>
      <c r="N78" s="4225">
        <f>SUM(N79:N81)</f>
        <v>777</v>
      </c>
      <c r="O78" s="2192">
        <f t="shared" si="7"/>
        <v>0</v>
      </c>
      <c r="P78" s="4225">
        <f>SUM(P79:P81)</f>
        <v>777</v>
      </c>
    </row>
    <row r="79" spans="1:16" ht="23.25" customHeight="1" x14ac:dyDescent="0.2">
      <c r="A79" s="611"/>
      <c r="B79" s="609" t="s">
        <v>994</v>
      </c>
      <c r="C79" s="609"/>
      <c r="D79" s="2366" t="s">
        <v>993</v>
      </c>
      <c r="E79" s="1336"/>
      <c r="F79" s="2599"/>
      <c r="G79" s="2599"/>
      <c r="H79" s="2598"/>
      <c r="I79" s="2600">
        <v>48000</v>
      </c>
      <c r="J79" s="2635">
        <v>43378000</v>
      </c>
      <c r="K79" s="1364">
        <f t="shared" si="8"/>
        <v>-43377993</v>
      </c>
      <c r="L79" s="2206">
        <v>7</v>
      </c>
      <c r="M79" s="1364">
        <f t="shared" si="6"/>
        <v>0</v>
      </c>
      <c r="N79" s="4226">
        <v>7</v>
      </c>
      <c r="O79" s="1364">
        <f t="shared" si="7"/>
        <v>0</v>
      </c>
      <c r="P79" s="4226">
        <v>7</v>
      </c>
    </row>
    <row r="80" spans="1:16" ht="20.25" customHeight="1" x14ac:dyDescent="0.25">
      <c r="A80" s="611"/>
      <c r="B80" s="609" t="s">
        <v>995</v>
      </c>
      <c r="C80" s="609"/>
      <c r="D80" s="2366" t="s">
        <v>1086</v>
      </c>
      <c r="E80" s="2367"/>
      <c r="F80" s="2368"/>
      <c r="G80" s="2368"/>
      <c r="H80" s="2369"/>
      <c r="I80" s="2370"/>
      <c r="J80" s="2638">
        <v>0</v>
      </c>
      <c r="K80" s="1364">
        <f t="shared" si="8"/>
        <v>0</v>
      </c>
      <c r="L80" s="2207">
        <v>0</v>
      </c>
      <c r="M80" s="1364">
        <f t="shared" si="6"/>
        <v>0</v>
      </c>
      <c r="N80" s="4227"/>
      <c r="O80" s="1364">
        <f t="shared" si="7"/>
        <v>0</v>
      </c>
      <c r="P80" s="4227"/>
    </row>
    <row r="81" spans="1:16" ht="20.25" customHeight="1" x14ac:dyDescent="0.25">
      <c r="A81" s="611"/>
      <c r="B81" s="609" t="s">
        <v>996</v>
      </c>
      <c r="C81" s="609"/>
      <c r="D81" s="2558" t="s">
        <v>991</v>
      </c>
      <c r="E81" s="2367"/>
      <c r="F81" s="2368"/>
      <c r="G81" s="2368"/>
      <c r="H81" s="2369"/>
      <c r="I81" s="2370"/>
      <c r="J81" s="2638">
        <v>14000000</v>
      </c>
      <c r="K81" s="1364">
        <f t="shared" si="8"/>
        <v>-10099230</v>
      </c>
      <c r="L81" s="2207">
        <v>3900770</v>
      </c>
      <c r="M81" s="1364">
        <f t="shared" si="6"/>
        <v>-3900000</v>
      </c>
      <c r="N81" s="4227">
        <v>770</v>
      </c>
      <c r="O81" s="1364">
        <f t="shared" si="7"/>
        <v>0</v>
      </c>
      <c r="P81" s="4227">
        <v>770</v>
      </c>
    </row>
    <row r="82" spans="1:16" ht="20.25" customHeight="1" x14ac:dyDescent="0.2">
      <c r="A82" s="2607"/>
      <c r="B82" s="609" t="s">
        <v>694</v>
      </c>
      <c r="C82" s="609"/>
      <c r="D82" s="2558" t="s">
        <v>697</v>
      </c>
      <c r="E82" s="600"/>
      <c r="F82" s="2559"/>
      <c r="G82" s="2559"/>
      <c r="H82" s="600"/>
      <c r="I82" s="600">
        <v>5000</v>
      </c>
      <c r="J82" s="2626">
        <v>5000000</v>
      </c>
      <c r="K82" s="2192">
        <f t="shared" si="8"/>
        <v>-3427765</v>
      </c>
      <c r="L82" s="2208">
        <v>1572235</v>
      </c>
      <c r="M82" s="2192">
        <f t="shared" si="6"/>
        <v>0</v>
      </c>
      <c r="N82" s="4228">
        <v>1572235</v>
      </c>
      <c r="O82" s="2192">
        <f t="shared" si="7"/>
        <v>0</v>
      </c>
      <c r="P82" s="4228">
        <v>1572235</v>
      </c>
    </row>
    <row r="83" spans="1:16" ht="17.25" customHeight="1" x14ac:dyDescent="0.2">
      <c r="A83" s="2607"/>
      <c r="B83" s="609" t="s">
        <v>695</v>
      </c>
      <c r="C83" s="609"/>
      <c r="D83" s="2558" t="s">
        <v>984</v>
      </c>
      <c r="E83" s="600"/>
      <c r="F83" s="2559"/>
      <c r="G83" s="2559"/>
      <c r="H83" s="600"/>
      <c r="I83" s="600">
        <v>3000</v>
      </c>
      <c r="J83" s="2626">
        <v>2500000</v>
      </c>
      <c r="K83" s="2192">
        <f t="shared" si="8"/>
        <v>0</v>
      </c>
      <c r="L83" s="2208">
        <v>2500000</v>
      </c>
      <c r="M83" s="2192">
        <f t="shared" si="6"/>
        <v>-2500000</v>
      </c>
      <c r="N83" s="4228"/>
      <c r="O83" s="2192">
        <f t="shared" si="7"/>
        <v>0</v>
      </c>
      <c r="P83" s="4228"/>
    </row>
    <row r="84" spans="1:16" ht="17.25" customHeight="1" x14ac:dyDescent="0.2">
      <c r="A84" s="2607"/>
      <c r="B84" s="609" t="s">
        <v>696</v>
      </c>
      <c r="C84" s="609"/>
      <c r="D84" s="2558" t="s">
        <v>921</v>
      </c>
      <c r="E84" s="600"/>
      <c r="F84" s="2559"/>
      <c r="G84" s="2559"/>
      <c r="H84" s="600"/>
      <c r="I84" s="600"/>
      <c r="J84" s="2626">
        <v>1200000</v>
      </c>
      <c r="K84" s="2192">
        <f t="shared" si="8"/>
        <v>0</v>
      </c>
      <c r="L84" s="2208">
        <v>1200000</v>
      </c>
      <c r="M84" s="2192">
        <f t="shared" si="6"/>
        <v>-1200000</v>
      </c>
      <c r="N84" s="4228"/>
      <c r="O84" s="2192">
        <f t="shared" si="7"/>
        <v>0</v>
      </c>
      <c r="P84" s="4228"/>
    </row>
    <row r="85" spans="1:16" ht="17.25" customHeight="1" x14ac:dyDescent="0.2">
      <c r="A85" s="2607"/>
      <c r="B85" s="609" t="s">
        <v>698</v>
      </c>
      <c r="C85" s="609"/>
      <c r="D85" s="2558" t="s">
        <v>701</v>
      </c>
      <c r="E85" s="600"/>
      <c r="F85" s="2559"/>
      <c r="G85" s="2559"/>
      <c r="H85" s="600"/>
      <c r="I85" s="600">
        <v>5000</v>
      </c>
      <c r="J85" s="2626">
        <v>5000000</v>
      </c>
      <c r="K85" s="2192">
        <f t="shared" si="8"/>
        <v>1593600</v>
      </c>
      <c r="L85" s="2208">
        <v>6593600</v>
      </c>
      <c r="M85" s="2192">
        <f t="shared" si="6"/>
        <v>-6593600</v>
      </c>
      <c r="N85" s="4228"/>
      <c r="O85" s="2192">
        <f t="shared" si="7"/>
        <v>0</v>
      </c>
      <c r="P85" s="4228"/>
    </row>
    <row r="86" spans="1:16" ht="31.5" customHeight="1" x14ac:dyDescent="0.2">
      <c r="A86" s="2607"/>
      <c r="B86" s="609" t="s">
        <v>699</v>
      </c>
      <c r="C86" s="609"/>
      <c r="D86" s="2558" t="s">
        <v>1110</v>
      </c>
      <c r="E86" s="600"/>
      <c r="F86" s="2559"/>
      <c r="G86" s="2559"/>
      <c r="H86" s="600"/>
      <c r="I86" s="600">
        <v>1000</v>
      </c>
      <c r="J86" s="2626">
        <v>0</v>
      </c>
      <c r="K86" s="2192">
        <f t="shared" si="8"/>
        <v>5000000</v>
      </c>
      <c r="L86" s="2208">
        <v>5000000</v>
      </c>
      <c r="M86" s="2192">
        <f t="shared" si="6"/>
        <v>-5000000</v>
      </c>
      <c r="N86" s="4228"/>
      <c r="O86" s="2192">
        <f t="shared" si="7"/>
        <v>0</v>
      </c>
      <c r="P86" s="4228"/>
    </row>
    <row r="87" spans="1:16" ht="15" x14ac:dyDescent="0.2">
      <c r="A87" s="2607"/>
      <c r="B87" s="609" t="s">
        <v>700</v>
      </c>
      <c r="C87" s="609"/>
      <c r="D87" s="2558" t="s">
        <v>703</v>
      </c>
      <c r="E87" s="600"/>
      <c r="F87" s="2559"/>
      <c r="G87" s="2559"/>
      <c r="H87" s="600"/>
      <c r="I87" s="600">
        <v>2780</v>
      </c>
      <c r="J87" s="2626">
        <v>1000000</v>
      </c>
      <c r="K87" s="2192">
        <f t="shared" si="8"/>
        <v>0</v>
      </c>
      <c r="L87" s="2208">
        <v>1000000</v>
      </c>
      <c r="M87" s="2192">
        <f t="shared" si="6"/>
        <v>-1000000</v>
      </c>
      <c r="N87" s="4228"/>
      <c r="O87" s="2192">
        <f t="shared" si="7"/>
        <v>0</v>
      </c>
      <c r="P87" s="4228"/>
    </row>
    <row r="88" spans="1:16" s="235" customFormat="1" ht="15" x14ac:dyDescent="0.2">
      <c r="A88" s="2607"/>
      <c r="B88" s="609" t="s">
        <v>702</v>
      </c>
      <c r="C88" s="609"/>
      <c r="D88" s="2558" t="s">
        <v>917</v>
      </c>
      <c r="E88" s="600"/>
      <c r="F88" s="2559"/>
      <c r="G88" s="2559"/>
      <c r="H88" s="600"/>
      <c r="I88" s="600"/>
      <c r="J88" s="2626">
        <v>5000000</v>
      </c>
      <c r="K88" s="2192">
        <f t="shared" ref="K88:K100" si="9">SUM(L88-J88)</f>
        <v>0</v>
      </c>
      <c r="L88" s="2208">
        <v>5000000</v>
      </c>
      <c r="M88" s="2192">
        <f t="shared" ref="M88:M100" si="10">SUM(N88-L88)</f>
        <v>-5000000</v>
      </c>
      <c r="N88" s="4228"/>
      <c r="O88" s="2192">
        <f t="shared" ref="O88:O100" si="11">SUM(P88-N88)</f>
        <v>0</v>
      </c>
      <c r="P88" s="4228"/>
    </row>
    <row r="89" spans="1:16" s="235" customFormat="1" ht="30" x14ac:dyDescent="0.2">
      <c r="A89" s="2607"/>
      <c r="B89" s="2608" t="s">
        <v>983</v>
      </c>
      <c r="C89" s="2609"/>
      <c r="D89" s="2558" t="s">
        <v>1428</v>
      </c>
      <c r="E89" s="600"/>
      <c r="F89" s="2559"/>
      <c r="G89" s="2559"/>
      <c r="H89" s="600"/>
      <c r="I89" s="600"/>
      <c r="J89" s="2626">
        <v>50000</v>
      </c>
      <c r="K89" s="2192">
        <f t="shared" si="9"/>
        <v>0</v>
      </c>
      <c r="L89" s="2626">
        <v>50000</v>
      </c>
      <c r="M89" s="2192">
        <f t="shared" si="10"/>
        <v>-50000</v>
      </c>
      <c r="N89" s="4229">
        <v>0</v>
      </c>
      <c r="O89" s="2192">
        <f t="shared" si="11"/>
        <v>0</v>
      </c>
      <c r="P89" s="4229">
        <v>0</v>
      </c>
    </row>
    <row r="90" spans="1:16" s="235" customFormat="1" ht="15" customHeight="1" x14ac:dyDescent="0.2">
      <c r="A90" s="2607"/>
      <c r="B90" s="2608" t="s">
        <v>1003</v>
      </c>
      <c r="C90" s="2609"/>
      <c r="D90" s="2558" t="s">
        <v>1486</v>
      </c>
      <c r="E90" s="600"/>
      <c r="F90" s="2559"/>
      <c r="G90" s="2559"/>
      <c r="H90" s="600"/>
      <c r="I90" s="600"/>
      <c r="J90" s="2626"/>
      <c r="K90" s="2192">
        <f t="shared" si="9"/>
        <v>411877</v>
      </c>
      <c r="L90" s="2626">
        <v>411877</v>
      </c>
      <c r="M90" s="2192">
        <f t="shared" si="10"/>
        <v>-411877</v>
      </c>
      <c r="N90" s="4229">
        <v>0</v>
      </c>
      <c r="O90" s="2192">
        <f t="shared" si="11"/>
        <v>0</v>
      </c>
      <c r="P90" s="4229">
        <v>0</v>
      </c>
    </row>
    <row r="91" spans="1:16" s="218" customFormat="1" ht="17.25" customHeight="1" x14ac:dyDescent="0.2">
      <c r="A91" s="611"/>
      <c r="B91" s="2608" t="s">
        <v>1004</v>
      </c>
      <c r="C91" s="609"/>
      <c r="D91" s="2558" t="s">
        <v>1487</v>
      </c>
      <c r="E91" s="615"/>
      <c r="F91" s="617"/>
      <c r="G91" s="616"/>
      <c r="H91" s="599"/>
      <c r="I91" s="599">
        <v>1000</v>
      </c>
      <c r="J91" s="2626"/>
      <c r="K91" s="2192">
        <f t="shared" si="9"/>
        <v>1500000</v>
      </c>
      <c r="L91" s="2633">
        <v>1500000</v>
      </c>
      <c r="M91" s="2192">
        <f t="shared" si="10"/>
        <v>-1000000</v>
      </c>
      <c r="N91" s="4225">
        <v>500000</v>
      </c>
      <c r="O91" s="2192">
        <f t="shared" si="11"/>
        <v>0</v>
      </c>
      <c r="P91" s="4225">
        <v>500000</v>
      </c>
    </row>
    <row r="92" spans="1:16" s="235" customFormat="1" ht="15" customHeight="1" x14ac:dyDescent="0.2">
      <c r="A92" s="2607"/>
      <c r="B92" s="2608" t="s">
        <v>1005</v>
      </c>
      <c r="C92" s="2609"/>
      <c r="D92" s="2558" t="s">
        <v>1488</v>
      </c>
      <c r="E92" s="600"/>
      <c r="F92" s="2559"/>
      <c r="G92" s="2559"/>
      <c r="H92" s="600"/>
      <c r="I92" s="600"/>
      <c r="J92" s="2626"/>
      <c r="K92" s="2192">
        <f>SUM(L92-J92)</f>
        <v>8293100</v>
      </c>
      <c r="L92" s="2626">
        <v>8293100</v>
      </c>
      <c r="M92" s="2192">
        <f>SUM(N92-L92)</f>
        <v>800000</v>
      </c>
      <c r="N92" s="4229">
        <v>9093100</v>
      </c>
      <c r="O92" s="2192">
        <f>SUM(P92-N92)</f>
        <v>0</v>
      </c>
      <c r="P92" s="4229">
        <v>9093100</v>
      </c>
    </row>
    <row r="93" spans="1:16" s="235" customFormat="1" ht="15" customHeight="1" x14ac:dyDescent="0.2">
      <c r="A93" s="2607"/>
      <c r="B93" s="2608" t="s">
        <v>1043</v>
      </c>
      <c r="C93" s="2609"/>
      <c r="D93" s="2558" t="s">
        <v>1489</v>
      </c>
      <c r="E93" s="600"/>
      <c r="F93" s="2559"/>
      <c r="G93" s="2559"/>
      <c r="H93" s="600"/>
      <c r="I93" s="600"/>
      <c r="J93" s="2626"/>
      <c r="K93" s="2192">
        <f>SUM(L93-J93)</f>
        <v>3500000</v>
      </c>
      <c r="L93" s="2626">
        <v>3500000</v>
      </c>
      <c r="M93" s="2192">
        <f>SUM(N93-L93)</f>
        <v>-2997990</v>
      </c>
      <c r="N93" s="4229">
        <v>502010</v>
      </c>
      <c r="O93" s="2192">
        <f>SUM(P93-N93)</f>
        <v>0</v>
      </c>
      <c r="P93" s="4229">
        <v>502010</v>
      </c>
    </row>
    <row r="94" spans="1:16" s="235" customFormat="1" ht="15" x14ac:dyDescent="0.2">
      <c r="A94" s="2607"/>
      <c r="B94" s="2608" t="s">
        <v>1044</v>
      </c>
      <c r="C94" s="2609"/>
      <c r="D94" s="2558" t="s">
        <v>1491</v>
      </c>
      <c r="E94" s="600"/>
      <c r="F94" s="2559"/>
      <c r="G94" s="2559"/>
      <c r="H94" s="600"/>
      <c r="I94" s="600"/>
      <c r="J94" s="2626"/>
      <c r="K94" s="2192">
        <f>SUM(L94-J94)</f>
        <v>865000</v>
      </c>
      <c r="L94" s="2626">
        <v>865000</v>
      </c>
      <c r="M94" s="2192">
        <f>SUM(N94-L94)</f>
        <v>0</v>
      </c>
      <c r="N94" s="4229">
        <v>865000</v>
      </c>
      <c r="O94" s="2192">
        <f>SUM(P94-N94)</f>
        <v>0</v>
      </c>
      <c r="P94" s="4229">
        <v>865000</v>
      </c>
    </row>
    <row r="95" spans="1:16" s="235" customFormat="1" ht="27" customHeight="1" x14ac:dyDescent="0.2">
      <c r="A95" s="2607"/>
      <c r="B95" s="2608" t="s">
        <v>1045</v>
      </c>
      <c r="C95" s="2609"/>
      <c r="D95" s="2558" t="s">
        <v>1499</v>
      </c>
      <c r="E95" s="600"/>
      <c r="F95" s="2559"/>
      <c r="G95" s="2559"/>
      <c r="H95" s="600"/>
      <c r="I95" s="600"/>
      <c r="J95" s="2626"/>
      <c r="K95" s="2192">
        <f t="shared" si="9"/>
        <v>14720000</v>
      </c>
      <c r="L95" s="2626">
        <v>14720000</v>
      </c>
      <c r="M95" s="2192">
        <f t="shared" si="10"/>
        <v>-14720000</v>
      </c>
      <c r="N95" s="4229">
        <v>0</v>
      </c>
      <c r="O95" s="2192">
        <f t="shared" si="11"/>
        <v>0</v>
      </c>
      <c r="P95" s="4229">
        <v>0</v>
      </c>
    </row>
    <row r="96" spans="1:16" s="235" customFormat="1" ht="30" x14ac:dyDescent="0.2">
      <c r="A96" s="2607"/>
      <c r="B96" s="2608" t="s">
        <v>1046</v>
      </c>
      <c r="C96" s="2609"/>
      <c r="D96" s="2558" t="s">
        <v>1955</v>
      </c>
      <c r="E96" s="600"/>
      <c r="F96" s="2559"/>
      <c r="G96" s="2559"/>
      <c r="H96" s="600"/>
      <c r="I96" s="600"/>
      <c r="J96" s="2626"/>
      <c r="K96" s="2192">
        <f t="shared" si="9"/>
        <v>0</v>
      </c>
      <c r="L96" s="2626"/>
      <c r="M96" s="2192">
        <f t="shared" si="10"/>
        <v>2555000</v>
      </c>
      <c r="N96" s="4229">
        <v>2555000</v>
      </c>
      <c r="O96" s="2192">
        <f t="shared" si="11"/>
        <v>0</v>
      </c>
      <c r="P96" s="4229">
        <v>2555000</v>
      </c>
    </row>
    <row r="97" spans="1:16" s="235" customFormat="1" ht="15" x14ac:dyDescent="0.2">
      <c r="A97" s="2607"/>
      <c r="B97" s="2608" t="s">
        <v>1049</v>
      </c>
      <c r="C97" s="2609"/>
      <c r="D97" s="2558" t="s">
        <v>1956</v>
      </c>
      <c r="E97" s="600"/>
      <c r="F97" s="2559"/>
      <c r="G97" s="2559"/>
      <c r="H97" s="600"/>
      <c r="I97" s="600"/>
      <c r="J97" s="2626"/>
      <c r="K97" s="2192">
        <f t="shared" si="9"/>
        <v>0</v>
      </c>
      <c r="L97" s="2626"/>
      <c r="M97" s="2192">
        <f t="shared" si="10"/>
        <v>632166</v>
      </c>
      <c r="N97" s="4229">
        <v>632166</v>
      </c>
      <c r="O97" s="2192">
        <f t="shared" si="11"/>
        <v>0</v>
      </c>
      <c r="P97" s="4229">
        <v>632166</v>
      </c>
    </row>
    <row r="98" spans="1:16" s="235" customFormat="1" ht="30" x14ac:dyDescent="0.2">
      <c r="A98" s="2607"/>
      <c r="B98" s="2608" t="s">
        <v>1490</v>
      </c>
      <c r="C98" s="2609"/>
      <c r="D98" s="2558" t="s">
        <v>1492</v>
      </c>
      <c r="E98" s="600"/>
      <c r="F98" s="2559"/>
      <c r="G98" s="2559"/>
      <c r="H98" s="600"/>
      <c r="I98" s="600"/>
      <c r="J98" s="2626"/>
      <c r="K98" s="2192">
        <f>SUM(L98-J98)</f>
        <v>175000</v>
      </c>
      <c r="L98" s="2626">
        <v>175000</v>
      </c>
      <c r="M98" s="2192">
        <f>SUM(N98-L98)</f>
        <v>749855</v>
      </c>
      <c r="N98" s="4229">
        <v>924855</v>
      </c>
      <c r="O98" s="2192">
        <f>SUM(P98-N98)</f>
        <v>0</v>
      </c>
      <c r="P98" s="4229">
        <v>924855</v>
      </c>
    </row>
    <row r="99" spans="1:16" s="235" customFormat="1" ht="15" x14ac:dyDescent="0.2">
      <c r="A99" s="2607"/>
      <c r="B99" s="2608" t="s">
        <v>1493</v>
      </c>
      <c r="C99" s="2609"/>
      <c r="D99" s="2558" t="s">
        <v>1494</v>
      </c>
      <c r="E99" s="600"/>
      <c r="F99" s="2559"/>
      <c r="G99" s="2559"/>
      <c r="H99" s="600"/>
      <c r="I99" s="600"/>
      <c r="J99" s="2626"/>
      <c r="K99" s="2192">
        <f>SUM(L99-J99)</f>
        <v>10000000</v>
      </c>
      <c r="L99" s="2626">
        <v>10000000</v>
      </c>
      <c r="M99" s="2192">
        <f>SUM(N99-L99)</f>
        <v>0</v>
      </c>
      <c r="N99" s="4229">
        <v>10000000</v>
      </c>
      <c r="O99" s="2192">
        <f>SUM(P99-N99)</f>
        <v>0</v>
      </c>
      <c r="P99" s="4229">
        <v>10000000</v>
      </c>
    </row>
    <row r="100" spans="1:16" s="235" customFormat="1" ht="15" x14ac:dyDescent="0.2">
      <c r="A100" s="2607"/>
      <c r="B100" s="2608" t="s">
        <v>1495</v>
      </c>
      <c r="C100" s="2609"/>
      <c r="D100" s="2558" t="s">
        <v>1497</v>
      </c>
      <c r="E100" s="600"/>
      <c r="F100" s="2559"/>
      <c r="G100" s="2559"/>
      <c r="H100" s="600"/>
      <c r="I100" s="600"/>
      <c r="J100" s="2626"/>
      <c r="K100" s="2192">
        <f t="shared" si="9"/>
        <v>217650</v>
      </c>
      <c r="L100" s="2626">
        <v>217650</v>
      </c>
      <c r="M100" s="2192">
        <f t="shared" si="10"/>
        <v>0</v>
      </c>
      <c r="N100" s="4229">
        <v>217650</v>
      </c>
      <c r="O100" s="2192">
        <f t="shared" si="11"/>
        <v>0</v>
      </c>
      <c r="P100" s="4229">
        <v>217650</v>
      </c>
    </row>
    <row r="101" spans="1:16" s="235" customFormat="1" ht="15" x14ac:dyDescent="0.2">
      <c r="A101" s="2607"/>
      <c r="B101" s="2608" t="s">
        <v>1496</v>
      </c>
      <c r="C101" s="2609"/>
      <c r="D101" s="2558" t="s">
        <v>1498</v>
      </c>
      <c r="E101" s="600"/>
      <c r="F101" s="2559"/>
      <c r="G101" s="2559"/>
      <c r="H101" s="600"/>
      <c r="I101" s="600"/>
      <c r="J101" s="2626"/>
      <c r="K101" s="2192">
        <f t="shared" si="8"/>
        <v>4561172</v>
      </c>
      <c r="L101" s="2626">
        <v>4561172</v>
      </c>
      <c r="M101" s="2192">
        <f t="shared" si="6"/>
        <v>-2451153</v>
      </c>
      <c r="N101" s="4229">
        <v>2110019</v>
      </c>
      <c r="O101" s="2192">
        <f t="shared" si="7"/>
        <v>0</v>
      </c>
      <c r="P101" s="4229">
        <v>2110019</v>
      </c>
    </row>
    <row r="102" spans="1:16" ht="16.5" thickBot="1" x14ac:dyDescent="0.25">
      <c r="A102" s="2610"/>
      <c r="B102" s="2611"/>
      <c r="C102" s="2612"/>
      <c r="D102" s="2613" t="s">
        <v>704</v>
      </c>
      <c r="E102" s="2614" t="e">
        <f t="shared" ref="E102:P102" si="12">SUM(E47+E29+E3)</f>
        <v>#NAME?</v>
      </c>
      <c r="F102" s="2614" t="e">
        <f t="shared" si="12"/>
        <v>#NAME?</v>
      </c>
      <c r="G102" s="2614" t="e">
        <f t="shared" si="12"/>
        <v>#NAME?</v>
      </c>
      <c r="H102" s="2614" t="e">
        <f t="shared" si="12"/>
        <v>#NAME?</v>
      </c>
      <c r="I102" s="2614" t="e">
        <f t="shared" si="12"/>
        <v>#REF!</v>
      </c>
      <c r="J102" s="2627">
        <f t="shared" si="12"/>
        <v>118973000</v>
      </c>
      <c r="K102" s="2195">
        <f t="shared" si="8"/>
        <v>11932875</v>
      </c>
      <c r="L102" s="2627">
        <f t="shared" si="12"/>
        <v>130905875</v>
      </c>
      <c r="M102" s="2195">
        <f t="shared" si="12"/>
        <v>-64212433</v>
      </c>
      <c r="N102" s="4230">
        <f t="shared" ref="N102" si="13">SUM(N47+N29+N3)</f>
        <v>66693442</v>
      </c>
      <c r="O102" s="2209">
        <f t="shared" si="12"/>
        <v>0</v>
      </c>
      <c r="P102" s="4230">
        <f t="shared" si="12"/>
        <v>66693442</v>
      </c>
    </row>
    <row r="103" spans="1:16" ht="14.25" x14ac:dyDescent="0.2">
      <c r="A103" s="2615"/>
      <c r="B103" s="2616"/>
      <c r="C103" s="2616"/>
      <c r="D103" s="2615"/>
      <c r="E103" s="2617"/>
      <c r="F103" s="2617"/>
    </row>
    <row r="104" spans="1:16" ht="14.25" x14ac:dyDescent="0.2">
      <c r="A104" s="2615"/>
      <c r="B104" s="2616"/>
      <c r="C104" s="2616"/>
      <c r="D104" s="2615"/>
      <c r="E104" s="2617"/>
      <c r="F104" s="2617"/>
    </row>
    <row r="105" spans="1:16" ht="14.25" x14ac:dyDescent="0.2">
      <c r="A105" s="2615"/>
      <c r="B105" s="2616"/>
      <c r="C105" s="2616"/>
      <c r="D105" s="2615"/>
      <c r="E105" s="2617"/>
      <c r="F105" s="2617"/>
    </row>
    <row r="106" spans="1:16" ht="14.25" x14ac:dyDescent="0.2">
      <c r="A106" s="2615"/>
      <c r="B106" s="2615"/>
      <c r="C106" s="2615"/>
      <c r="D106" s="2615"/>
      <c r="E106" s="2617"/>
      <c r="F106" s="2617"/>
      <c r="G106" s="2618" t="e">
        <v>#NAME?</v>
      </c>
      <c r="H106" s="2618"/>
      <c r="I106" s="2618"/>
      <c r="J106" s="2618"/>
      <c r="K106" s="1351"/>
      <c r="L106" s="231"/>
      <c r="M106" s="1351"/>
    </row>
  </sheetData>
  <mergeCells count="9">
    <mergeCell ref="B44:C44"/>
    <mergeCell ref="B45:C45"/>
    <mergeCell ref="B46:C46"/>
    <mergeCell ref="A1:C1"/>
    <mergeCell ref="B39:C39"/>
    <mergeCell ref="B40:C40"/>
    <mergeCell ref="B41:C41"/>
    <mergeCell ref="B42:C42"/>
    <mergeCell ref="B43:C43"/>
  </mergeCells>
  <printOptions horizontalCentered="1"/>
  <pageMargins left="0.19685039370078741" right="0.19685039370078741" top="1.0236220472440944" bottom="0.39370078740157483" header="0.35433070866141736" footer="0.19685039370078741"/>
  <pageSetup paperSize="9" scale="88" firstPageNumber="110" orientation="portrait" useFirstPageNumber="1" r:id="rId1"/>
  <headerFooter>
    <oddHeader>&amp;C&amp;"Times New Roman,Félkövér"&amp;14
Vecsés Város Önkormányzat 2018. évi tervezett működési céltartaléka&amp;R&amp;12 7.1. sz. melléklet
Forint</oddHeader>
    <oddFooter>&amp;C- &amp;P -</oddFooter>
  </headerFooter>
  <rowBreaks count="1" manualBreakCount="1">
    <brk id="67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M63"/>
  <sheetViews>
    <sheetView view="pageBreakPreview" zoomScale="98" zoomScaleNormal="100" zoomScaleSheetLayoutView="98" zoomScalePageLayoutView="60" workbookViewId="0">
      <selection activeCell="R15" sqref="R15"/>
    </sheetView>
  </sheetViews>
  <sheetFormatPr defaultColWidth="9.33203125" defaultRowHeight="12.75" x14ac:dyDescent="0.2"/>
  <cols>
    <col min="1" max="1" width="3.33203125" style="605" customWidth="1"/>
    <col min="2" max="2" width="4" style="605" customWidth="1"/>
    <col min="3" max="3" width="8" style="605" customWidth="1"/>
    <col min="4" max="4" width="58.33203125" style="605" customWidth="1"/>
    <col min="5" max="6" width="9.33203125" style="605" hidden="1" customWidth="1"/>
    <col min="7" max="7" width="13.83203125" style="605" customWidth="1"/>
    <col min="8" max="8" width="13.83203125" style="605" hidden="1" customWidth="1"/>
    <col min="9" max="9" width="14.6640625" style="207" hidden="1" customWidth="1"/>
    <col min="10" max="10" width="14.6640625" style="605" hidden="1" customWidth="1"/>
    <col min="11" max="11" width="16" style="207" customWidth="1"/>
    <col min="12" max="12" width="15.1640625" style="207" customWidth="1"/>
    <col min="13" max="13" width="15.83203125" style="207" customWidth="1"/>
    <col min="14" max="16384" width="9.33203125" style="207"/>
  </cols>
  <sheetData>
    <row r="1" spans="1:13" ht="48" customHeight="1" thickTop="1" thickBot="1" x14ac:dyDescent="0.25">
      <c r="A1" s="4674" t="s">
        <v>332</v>
      </c>
      <c r="B1" s="4675"/>
      <c r="C1" s="4675"/>
      <c r="D1" s="3150" t="s">
        <v>283</v>
      </c>
      <c r="E1" s="3150" t="s">
        <v>705</v>
      </c>
      <c r="F1" s="3145" t="s">
        <v>614</v>
      </c>
      <c r="G1" s="3145" t="s">
        <v>1083</v>
      </c>
      <c r="H1" s="3146" t="s">
        <v>1030</v>
      </c>
      <c r="I1" s="325" t="s">
        <v>234</v>
      </c>
      <c r="J1" s="3151" t="s">
        <v>1034</v>
      </c>
      <c r="K1" s="3147" t="s">
        <v>1028</v>
      </c>
      <c r="L1" s="3311" t="s">
        <v>1038</v>
      </c>
      <c r="M1" s="3408" t="s">
        <v>234</v>
      </c>
    </row>
    <row r="2" spans="1:13" ht="15.75" customHeight="1" x14ac:dyDescent="0.2">
      <c r="A2" s="2560" t="s">
        <v>3</v>
      </c>
      <c r="B2" s="2561"/>
      <c r="C2" s="2562"/>
      <c r="D2" s="3148" t="s">
        <v>615</v>
      </c>
      <c r="E2" s="3149">
        <f>SUM(E3)</f>
        <v>35352</v>
      </c>
      <c r="F2" s="3149">
        <f>SUM(F3)</f>
        <v>50000</v>
      </c>
      <c r="G2" s="2622">
        <f>SUM(G3)</f>
        <v>198575000</v>
      </c>
      <c r="H2" s="2191">
        <f t="shared" ref="H2:H43" si="0">SUM(I2-G2)</f>
        <v>24240839</v>
      </c>
      <c r="I2" s="2196">
        <f>SUM(I3)</f>
        <v>222815839</v>
      </c>
      <c r="J2" s="2191">
        <f>SUM(J3)</f>
        <v>-192478897</v>
      </c>
      <c r="K2" s="787">
        <f>SUM(K3)</f>
        <v>30336942</v>
      </c>
      <c r="L2" s="2191">
        <f t="shared" ref="L2:L21" si="1">SUM(M2-K2)</f>
        <v>0</v>
      </c>
      <c r="M2" s="787">
        <f>SUM(M3)</f>
        <v>30336942</v>
      </c>
    </row>
    <row r="3" spans="1:13" ht="17.25" customHeight="1" x14ac:dyDescent="0.2">
      <c r="A3" s="611"/>
      <c r="B3" s="612" t="s">
        <v>546</v>
      </c>
      <c r="C3" s="2567"/>
      <c r="D3" s="614" t="s">
        <v>616</v>
      </c>
      <c r="E3" s="615">
        <f>SUM(E5:E12)+E4</f>
        <v>35352</v>
      </c>
      <c r="F3" s="615">
        <f>SUM(F4+F5+F9+F8)</f>
        <v>50000</v>
      </c>
      <c r="G3" s="2623">
        <f>SUM(G4:G11)</f>
        <v>198575000</v>
      </c>
      <c r="H3" s="2192">
        <f t="shared" si="0"/>
        <v>24240839</v>
      </c>
      <c r="I3" s="2197">
        <f>SUM(I4:I19)</f>
        <v>222815839</v>
      </c>
      <c r="J3" s="2192">
        <f>SUM(J4:J19)</f>
        <v>-192478897</v>
      </c>
      <c r="K3" s="420">
        <f>SUM(K4+K5+K9+K8+K10+K11)+K12+K13+K18+K6+K19+K17+K7+K14+K15</f>
        <v>30336942</v>
      </c>
      <c r="L3" s="2192">
        <f t="shared" si="1"/>
        <v>0</v>
      </c>
      <c r="M3" s="420">
        <f>SUM(M4+M5+M9+M8+M10+M11)+M12+M13+M18+M6+M19+M17+M7+M14+M15</f>
        <v>30336942</v>
      </c>
    </row>
    <row r="4" spans="1:13" ht="17.25" customHeight="1" x14ac:dyDescent="0.2">
      <c r="A4" s="611"/>
      <c r="B4" s="2586" t="s">
        <v>333</v>
      </c>
      <c r="C4" s="2567"/>
      <c r="D4" s="614" t="s">
        <v>834</v>
      </c>
      <c r="E4" s="602">
        <v>27597</v>
      </c>
      <c r="F4" s="602">
        <v>50000</v>
      </c>
      <c r="G4" s="2624">
        <v>0</v>
      </c>
      <c r="H4" s="1364">
        <f t="shared" si="0"/>
        <v>5000000</v>
      </c>
      <c r="I4" s="3137">
        <v>5000000</v>
      </c>
      <c r="J4" s="1364">
        <f t="shared" ref="J4:J21" si="2">SUM(K4-I4)</f>
        <v>-5000000</v>
      </c>
      <c r="K4" s="424"/>
      <c r="L4" s="1364">
        <f t="shared" si="1"/>
        <v>0</v>
      </c>
      <c r="M4" s="424"/>
    </row>
    <row r="5" spans="1:13" ht="15" x14ac:dyDescent="0.2">
      <c r="A5" s="611"/>
      <c r="B5" s="2586" t="s">
        <v>618</v>
      </c>
      <c r="C5" s="2567"/>
      <c r="D5" s="614" t="s">
        <v>1103</v>
      </c>
      <c r="E5" s="2619"/>
      <c r="F5" s="602"/>
      <c r="G5" s="2624">
        <v>54000000</v>
      </c>
      <c r="H5" s="1364">
        <f t="shared" si="0"/>
        <v>0</v>
      </c>
      <c r="I5" s="3137">
        <v>54000000</v>
      </c>
      <c r="J5" s="1364">
        <f t="shared" si="2"/>
        <v>-54000000</v>
      </c>
      <c r="K5" s="424"/>
      <c r="L5" s="1364">
        <f t="shared" si="1"/>
        <v>0</v>
      </c>
      <c r="M5" s="424"/>
    </row>
    <row r="6" spans="1:13" ht="15" x14ac:dyDescent="0.2">
      <c r="A6" s="611"/>
      <c r="B6" s="2586" t="s">
        <v>619</v>
      </c>
      <c r="C6" s="2567"/>
      <c r="D6" s="614" t="s">
        <v>1153</v>
      </c>
      <c r="E6" s="2620"/>
      <c r="F6" s="602"/>
      <c r="G6" s="2624">
        <v>15500000</v>
      </c>
      <c r="H6" s="1364">
        <f t="shared" si="0"/>
        <v>5207100</v>
      </c>
      <c r="I6" s="2202">
        <v>20707100</v>
      </c>
      <c r="J6" s="1364">
        <f t="shared" si="2"/>
        <v>0</v>
      </c>
      <c r="K6" s="425">
        <v>20707100</v>
      </c>
      <c r="L6" s="1364">
        <f t="shared" si="1"/>
        <v>0</v>
      </c>
      <c r="M6" s="425">
        <v>20707100</v>
      </c>
    </row>
    <row r="7" spans="1:13" ht="30" x14ac:dyDescent="0.2">
      <c r="A7" s="611"/>
      <c r="B7" s="2586" t="s">
        <v>620</v>
      </c>
      <c r="C7" s="2567"/>
      <c r="D7" s="614" t="s">
        <v>1104</v>
      </c>
      <c r="E7" s="2619"/>
      <c r="F7" s="602"/>
      <c r="G7" s="2624">
        <v>50000000</v>
      </c>
      <c r="H7" s="1364">
        <f>SUM(I7-G7)</f>
        <v>0</v>
      </c>
      <c r="I7" s="3137">
        <v>50000000</v>
      </c>
      <c r="J7" s="1364">
        <f t="shared" si="2"/>
        <v>-50000000</v>
      </c>
      <c r="K7" s="424"/>
      <c r="L7" s="1364">
        <f t="shared" si="1"/>
        <v>0</v>
      </c>
      <c r="M7" s="424"/>
    </row>
    <row r="8" spans="1:13" ht="15" x14ac:dyDescent="0.2">
      <c r="A8" s="611"/>
      <c r="B8" s="2586" t="s">
        <v>706</v>
      </c>
      <c r="C8" s="2567"/>
      <c r="D8" s="614" t="s">
        <v>1105</v>
      </c>
      <c r="E8" s="602"/>
      <c r="F8" s="602"/>
      <c r="G8" s="2624">
        <v>15075000</v>
      </c>
      <c r="H8" s="1364">
        <f t="shared" si="0"/>
        <v>0</v>
      </c>
      <c r="I8" s="3138">
        <v>15075000</v>
      </c>
      <c r="J8" s="1364">
        <f t="shared" si="2"/>
        <v>-15000000</v>
      </c>
      <c r="K8" s="1337">
        <v>75000</v>
      </c>
      <c r="L8" s="1364">
        <f t="shared" si="1"/>
        <v>0</v>
      </c>
      <c r="M8" s="1337">
        <v>75000</v>
      </c>
    </row>
    <row r="9" spans="1:13" ht="30" x14ac:dyDescent="0.2">
      <c r="A9" s="611"/>
      <c r="B9" s="2586" t="s">
        <v>707</v>
      </c>
      <c r="C9" s="2567"/>
      <c r="D9" s="614" t="s">
        <v>1106</v>
      </c>
      <c r="E9" s="2619"/>
      <c r="F9" s="602">
        <f>SUM(F10:F12)</f>
        <v>0</v>
      </c>
      <c r="G9" s="2624">
        <v>9000000</v>
      </c>
      <c r="H9" s="1364">
        <f t="shared" si="0"/>
        <v>-127000</v>
      </c>
      <c r="I9" s="3137">
        <v>8873000</v>
      </c>
      <c r="J9" s="1364">
        <f t="shared" si="2"/>
        <v>0</v>
      </c>
      <c r="K9" s="424">
        <v>8873000</v>
      </c>
      <c r="L9" s="1364">
        <f t="shared" si="1"/>
        <v>0</v>
      </c>
      <c r="M9" s="424">
        <v>8873000</v>
      </c>
    </row>
    <row r="10" spans="1:13" ht="30" x14ac:dyDescent="0.2">
      <c r="A10" s="611"/>
      <c r="B10" s="2586" t="s">
        <v>341</v>
      </c>
      <c r="C10" s="2567"/>
      <c r="D10" s="614" t="s">
        <v>1107</v>
      </c>
      <c r="E10" s="2619"/>
      <c r="F10" s="602"/>
      <c r="G10" s="2624">
        <v>40000000</v>
      </c>
      <c r="H10" s="1364">
        <f t="shared" si="0"/>
        <v>-40000000</v>
      </c>
      <c r="I10" s="3137">
        <v>0</v>
      </c>
      <c r="J10" s="1364">
        <f t="shared" si="2"/>
        <v>0</v>
      </c>
      <c r="K10" s="424"/>
      <c r="L10" s="1364">
        <f t="shared" si="1"/>
        <v>0</v>
      </c>
      <c r="M10" s="424"/>
    </row>
    <row r="11" spans="1:13" ht="15.75" x14ac:dyDescent="0.25">
      <c r="A11" s="611"/>
      <c r="B11" s="2586" t="s">
        <v>342</v>
      </c>
      <c r="C11" s="2567"/>
      <c r="D11" s="606" t="s">
        <v>1108</v>
      </c>
      <c r="E11" s="2619">
        <v>1755</v>
      </c>
      <c r="F11" s="602"/>
      <c r="G11" s="2624">
        <v>15000000</v>
      </c>
      <c r="H11" s="1364">
        <f t="shared" si="0"/>
        <v>0</v>
      </c>
      <c r="I11" s="3137">
        <v>15000000</v>
      </c>
      <c r="J11" s="1364">
        <f t="shared" si="2"/>
        <v>-14603486</v>
      </c>
      <c r="K11" s="424">
        <v>396514</v>
      </c>
      <c r="L11" s="1364">
        <f t="shared" si="1"/>
        <v>0</v>
      </c>
      <c r="M11" s="424">
        <v>396514</v>
      </c>
    </row>
    <row r="12" spans="1:13" ht="15" x14ac:dyDescent="0.2">
      <c r="A12" s="611"/>
      <c r="B12" s="2586" t="s">
        <v>708</v>
      </c>
      <c r="C12" s="2567"/>
      <c r="D12" s="614" t="s">
        <v>1116</v>
      </c>
      <c r="E12" s="2619">
        <v>6000</v>
      </c>
      <c r="F12" s="602"/>
      <c r="G12" s="2624">
        <v>2000000</v>
      </c>
      <c r="H12" s="1364">
        <f t="shared" si="0"/>
        <v>-1708049</v>
      </c>
      <c r="I12" s="3137">
        <v>291951</v>
      </c>
      <c r="J12" s="1364">
        <f t="shared" si="2"/>
        <v>-8536</v>
      </c>
      <c r="K12" s="424">
        <v>283415</v>
      </c>
      <c r="L12" s="1364">
        <f t="shared" si="1"/>
        <v>0</v>
      </c>
      <c r="M12" s="424">
        <v>283415</v>
      </c>
    </row>
    <row r="13" spans="1:13" ht="15" x14ac:dyDescent="0.2">
      <c r="A13" s="611"/>
      <c r="B13" s="2586" t="s">
        <v>709</v>
      </c>
      <c r="C13" s="2567"/>
      <c r="D13" s="614" t="s">
        <v>1455</v>
      </c>
      <c r="E13" s="2619"/>
      <c r="F13" s="602"/>
      <c r="G13" s="2624">
        <v>0</v>
      </c>
      <c r="H13" s="1364">
        <f t="shared" si="0"/>
        <v>370000</v>
      </c>
      <c r="I13" s="3137">
        <v>370000</v>
      </c>
      <c r="J13" s="1364">
        <f t="shared" si="2"/>
        <v>-368400</v>
      </c>
      <c r="K13" s="424">
        <v>1600</v>
      </c>
      <c r="L13" s="1364">
        <f t="shared" si="1"/>
        <v>0</v>
      </c>
      <c r="M13" s="424">
        <v>1600</v>
      </c>
    </row>
    <row r="14" spans="1:13" ht="15" x14ac:dyDescent="0.2">
      <c r="A14" s="611"/>
      <c r="B14" s="2586" t="s">
        <v>1029</v>
      </c>
      <c r="C14" s="2567"/>
      <c r="D14" s="614" t="s">
        <v>1456</v>
      </c>
      <c r="E14" s="2619"/>
      <c r="F14" s="602"/>
      <c r="G14" s="2624"/>
      <c r="H14" s="1364">
        <f>SUM(I14-G14)</f>
        <v>144</v>
      </c>
      <c r="I14" s="3137">
        <v>144</v>
      </c>
      <c r="J14" s="1364">
        <f t="shared" si="2"/>
        <v>-143</v>
      </c>
      <c r="K14" s="424">
        <v>1</v>
      </c>
      <c r="L14" s="1364">
        <f t="shared" si="1"/>
        <v>0</v>
      </c>
      <c r="M14" s="424">
        <v>1</v>
      </c>
    </row>
    <row r="15" spans="1:13" ht="15" x14ac:dyDescent="0.2">
      <c r="A15" s="611"/>
      <c r="B15" s="2586" t="s">
        <v>1047</v>
      </c>
      <c r="C15" s="2567"/>
      <c r="D15" s="614" t="s">
        <v>1457</v>
      </c>
      <c r="E15" s="2619"/>
      <c r="F15" s="602"/>
      <c r="G15" s="2624"/>
      <c r="H15" s="1364">
        <f>SUM(I15-G15)</f>
        <v>191</v>
      </c>
      <c r="I15" s="3137">
        <v>191</v>
      </c>
      <c r="J15" s="1364">
        <f t="shared" si="2"/>
        <v>121</v>
      </c>
      <c r="K15" s="424">
        <v>312</v>
      </c>
      <c r="L15" s="1364">
        <f t="shared" si="1"/>
        <v>0</v>
      </c>
      <c r="M15" s="424">
        <v>312</v>
      </c>
    </row>
    <row r="16" spans="1:13" ht="15" x14ac:dyDescent="0.2">
      <c r="A16" s="611"/>
      <c r="B16" s="2586" t="s">
        <v>1458</v>
      </c>
      <c r="C16" s="2567"/>
      <c r="D16" s="614" t="s">
        <v>1459</v>
      </c>
      <c r="E16" s="2619"/>
      <c r="F16" s="602"/>
      <c r="G16" s="2624"/>
      <c r="H16" s="1364">
        <f>SUM(I16-G16)</f>
        <v>29963453</v>
      </c>
      <c r="I16" s="3137">
        <v>29963453</v>
      </c>
      <c r="J16" s="1364">
        <f t="shared" si="2"/>
        <v>-29963453</v>
      </c>
      <c r="K16" s="424"/>
      <c r="L16" s="1364">
        <f t="shared" si="1"/>
        <v>0</v>
      </c>
      <c r="M16" s="424"/>
    </row>
    <row r="17" spans="1:13" ht="15" x14ac:dyDescent="0.2">
      <c r="A17" s="611"/>
      <c r="B17" s="2586" t="s">
        <v>1460</v>
      </c>
      <c r="C17" s="2567"/>
      <c r="D17" s="614" t="s">
        <v>1463</v>
      </c>
      <c r="E17" s="2619"/>
      <c r="F17" s="602"/>
      <c r="G17" s="2624"/>
      <c r="H17" s="1364">
        <f t="shared" si="0"/>
        <v>8535000</v>
      </c>
      <c r="I17" s="3137">
        <v>8535000</v>
      </c>
      <c r="J17" s="1364">
        <f t="shared" si="2"/>
        <v>-8535000</v>
      </c>
      <c r="K17" s="424"/>
      <c r="L17" s="1364">
        <f t="shared" si="1"/>
        <v>0</v>
      </c>
      <c r="M17" s="424"/>
    </row>
    <row r="18" spans="1:13" ht="15" x14ac:dyDescent="0.2">
      <c r="A18" s="611"/>
      <c r="B18" s="2586" t="s">
        <v>1461</v>
      </c>
      <c r="C18" s="2567"/>
      <c r="D18" s="614" t="s">
        <v>615</v>
      </c>
      <c r="E18" s="2619"/>
      <c r="F18" s="602"/>
      <c r="G18" s="2624"/>
      <c r="H18" s="1364">
        <f t="shared" si="0"/>
        <v>5000000</v>
      </c>
      <c r="I18" s="3137">
        <v>5000000</v>
      </c>
      <c r="J18" s="1364">
        <f t="shared" si="2"/>
        <v>-5000000</v>
      </c>
      <c r="K18" s="424"/>
      <c r="L18" s="1364">
        <f t="shared" si="1"/>
        <v>0</v>
      </c>
      <c r="M18" s="424"/>
    </row>
    <row r="19" spans="1:13" ht="15" x14ac:dyDescent="0.2">
      <c r="A19" s="611"/>
      <c r="B19" s="2586" t="s">
        <v>1462</v>
      </c>
      <c r="C19" s="2567"/>
      <c r="D19" s="614" t="s">
        <v>1464</v>
      </c>
      <c r="E19" s="2619"/>
      <c r="F19" s="602"/>
      <c r="G19" s="2624"/>
      <c r="H19" s="1364">
        <f t="shared" si="0"/>
        <v>10000000</v>
      </c>
      <c r="I19" s="3137">
        <v>10000000</v>
      </c>
      <c r="J19" s="1364">
        <f t="shared" si="2"/>
        <v>-10000000</v>
      </c>
      <c r="K19" s="424"/>
      <c r="L19" s="1364">
        <f t="shared" si="1"/>
        <v>0</v>
      </c>
      <c r="M19" s="424"/>
    </row>
    <row r="20" spans="1:13" ht="17.25" customHeight="1" x14ac:dyDescent="0.2">
      <c r="A20" s="611" t="s">
        <v>17</v>
      </c>
      <c r="B20" s="2581"/>
      <c r="C20" s="2567"/>
      <c r="D20" s="2563" t="s">
        <v>647</v>
      </c>
      <c r="E20" s="2564" t="e">
        <f>SUM(E21+E32+#REF!+E33)</f>
        <v>#REF!</v>
      </c>
      <c r="F20" s="2564" t="e">
        <f>SUM(F21+F32+#REF!+F33+F46)+F34+F35+F36+F37+F38+F39+F40+F41+F42</f>
        <v>#REF!</v>
      </c>
      <c r="G20" s="2625">
        <f>SUM(G21:G34)</f>
        <v>20000000</v>
      </c>
      <c r="H20" s="2194">
        <f t="shared" si="0"/>
        <v>312152634</v>
      </c>
      <c r="I20" s="2203">
        <f>SUM(I21:I35)</f>
        <v>332152634</v>
      </c>
      <c r="J20" s="2194">
        <f>SUM(J21:J35)</f>
        <v>-314388276</v>
      </c>
      <c r="K20" s="419">
        <f>SUM(K21+K32+K33+K46)+K35+K36+K37+K38+K39+K40+K41+K42+K43+K44+K45+K22+K24+K25+K27+K34</f>
        <v>31366630</v>
      </c>
      <c r="L20" s="2194">
        <f t="shared" si="1"/>
        <v>0</v>
      </c>
      <c r="M20" s="419">
        <f>SUM(M21+M32+M33+M46)+M35+M36+M37+M38+M39+M40+M41+M42+M43+M44+M45+M22+M24+M25+M27+M34</f>
        <v>31366630</v>
      </c>
    </row>
    <row r="21" spans="1:13" ht="17.25" customHeight="1" x14ac:dyDescent="0.2">
      <c r="A21" s="611"/>
      <c r="B21" s="612" t="s">
        <v>309</v>
      </c>
      <c r="C21" s="613"/>
      <c r="D21" s="614" t="s">
        <v>710</v>
      </c>
      <c r="E21" s="615">
        <v>30000</v>
      </c>
      <c r="F21" s="615">
        <v>20000</v>
      </c>
      <c r="G21" s="2623">
        <v>5000000</v>
      </c>
      <c r="H21" s="2192">
        <f t="shared" si="0"/>
        <v>-2941000</v>
      </c>
      <c r="I21" s="2197">
        <v>2059000</v>
      </c>
      <c r="J21" s="2192">
        <f t="shared" si="2"/>
        <v>0</v>
      </c>
      <c r="K21" s="420">
        <v>2059000</v>
      </c>
      <c r="L21" s="2192">
        <f t="shared" si="1"/>
        <v>0</v>
      </c>
      <c r="M21" s="420">
        <v>2059000</v>
      </c>
    </row>
    <row r="22" spans="1:13" ht="15" x14ac:dyDescent="0.2">
      <c r="A22" s="611"/>
      <c r="B22" s="612" t="s">
        <v>311</v>
      </c>
      <c r="C22" s="613"/>
      <c r="D22" s="614" t="s">
        <v>711</v>
      </c>
      <c r="E22" s="615"/>
      <c r="F22" s="615">
        <v>10000</v>
      </c>
      <c r="G22" s="2623">
        <v>5000000</v>
      </c>
      <c r="H22" s="2192">
        <f t="shared" ref="H22:H31" si="3">SUM(I22-G22)</f>
        <v>0</v>
      </c>
      <c r="I22" s="2197">
        <v>5000000</v>
      </c>
      <c r="J22" s="2192">
        <f t="shared" ref="J22:J31" si="4">SUM(K22-I22)</f>
        <v>-4943603</v>
      </c>
      <c r="K22" s="420">
        <v>56397</v>
      </c>
      <c r="L22" s="2192">
        <f t="shared" ref="L22:L31" si="5">SUM(M22-K22)</f>
        <v>0</v>
      </c>
      <c r="M22" s="420">
        <v>56397</v>
      </c>
    </row>
    <row r="23" spans="1:13" ht="15" x14ac:dyDescent="0.2">
      <c r="A23" s="611"/>
      <c r="B23" s="612" t="s">
        <v>312</v>
      </c>
      <c r="C23" s="613"/>
      <c r="D23" s="614" t="s">
        <v>1109</v>
      </c>
      <c r="E23" s="615"/>
      <c r="F23" s="615"/>
      <c r="G23" s="2623">
        <v>10000000</v>
      </c>
      <c r="H23" s="2192">
        <f t="shared" si="3"/>
        <v>-10000000</v>
      </c>
      <c r="I23" s="2197">
        <v>0</v>
      </c>
      <c r="J23" s="2192">
        <f t="shared" si="4"/>
        <v>0</v>
      </c>
      <c r="K23" s="420">
        <v>0</v>
      </c>
      <c r="L23" s="2192">
        <f t="shared" si="5"/>
        <v>0</v>
      </c>
      <c r="M23" s="420">
        <v>0</v>
      </c>
    </row>
    <row r="24" spans="1:13" ht="15" x14ac:dyDescent="0.2">
      <c r="A24" s="611"/>
      <c r="B24" s="612" t="s">
        <v>563</v>
      </c>
      <c r="C24" s="613"/>
      <c r="D24" s="614" t="s">
        <v>1465</v>
      </c>
      <c r="E24" s="615"/>
      <c r="F24" s="615"/>
      <c r="G24" s="2623"/>
      <c r="H24" s="2192">
        <f t="shared" si="3"/>
        <v>10000000</v>
      </c>
      <c r="I24" s="2197">
        <v>10000000</v>
      </c>
      <c r="J24" s="2192">
        <f t="shared" si="4"/>
        <v>0</v>
      </c>
      <c r="K24" s="420">
        <v>10000000</v>
      </c>
      <c r="L24" s="2192">
        <f t="shared" si="5"/>
        <v>0</v>
      </c>
      <c r="M24" s="420">
        <v>10000000</v>
      </c>
    </row>
    <row r="25" spans="1:13" ht="15" x14ac:dyDescent="0.2">
      <c r="A25" s="611"/>
      <c r="B25" s="612" t="s">
        <v>564</v>
      </c>
      <c r="C25" s="613"/>
      <c r="D25" s="614" t="s">
        <v>1466</v>
      </c>
      <c r="E25" s="615"/>
      <c r="F25" s="615">
        <v>10000</v>
      </c>
      <c r="G25" s="2623"/>
      <c r="H25" s="2192">
        <f t="shared" si="3"/>
        <v>8500000</v>
      </c>
      <c r="I25" s="2197">
        <v>8500000</v>
      </c>
      <c r="J25" s="2192">
        <f t="shared" si="4"/>
        <v>-4573770</v>
      </c>
      <c r="K25" s="420">
        <v>3926230</v>
      </c>
      <c r="L25" s="2192">
        <f t="shared" si="5"/>
        <v>0</v>
      </c>
      <c r="M25" s="420">
        <v>3926230</v>
      </c>
    </row>
    <row r="26" spans="1:13" ht="15" x14ac:dyDescent="0.2">
      <c r="A26" s="611"/>
      <c r="B26" s="612" t="s">
        <v>566</v>
      </c>
      <c r="C26" s="613"/>
      <c r="D26" s="614" t="s">
        <v>1467</v>
      </c>
      <c r="E26" s="615"/>
      <c r="F26" s="615"/>
      <c r="G26" s="2623"/>
      <c r="H26" s="2192">
        <f t="shared" si="3"/>
        <v>31073632</v>
      </c>
      <c r="I26" s="2197">
        <v>31073632</v>
      </c>
      <c r="J26" s="2192">
        <f t="shared" si="4"/>
        <v>-31073632</v>
      </c>
      <c r="K26" s="420">
        <v>0</v>
      </c>
      <c r="L26" s="2192">
        <f t="shared" si="5"/>
        <v>0</v>
      </c>
      <c r="M26" s="420">
        <v>0</v>
      </c>
    </row>
    <row r="27" spans="1:13" ht="15" x14ac:dyDescent="0.2">
      <c r="A27" s="611"/>
      <c r="B27" s="612" t="s">
        <v>567</v>
      </c>
      <c r="C27" s="613"/>
      <c r="D27" s="614" t="s">
        <v>1468</v>
      </c>
      <c r="E27" s="615"/>
      <c r="F27" s="615"/>
      <c r="G27" s="2623"/>
      <c r="H27" s="2192">
        <f>SUM(I27-G27)</f>
        <v>1500000</v>
      </c>
      <c r="I27" s="2197">
        <v>1500000</v>
      </c>
      <c r="J27" s="2192">
        <f>SUM(K27-I27)</f>
        <v>0</v>
      </c>
      <c r="K27" s="420">
        <v>1500000</v>
      </c>
      <c r="L27" s="2192">
        <f>SUM(M27-K27)</f>
        <v>0</v>
      </c>
      <c r="M27" s="420">
        <v>1500000</v>
      </c>
    </row>
    <row r="28" spans="1:13" ht="15" x14ac:dyDescent="0.2">
      <c r="A28" s="611"/>
      <c r="B28" s="612" t="s">
        <v>568</v>
      </c>
      <c r="C28" s="613"/>
      <c r="D28" s="614" t="s">
        <v>1477</v>
      </c>
      <c r="E28" s="615"/>
      <c r="F28" s="615">
        <v>10000</v>
      </c>
      <c r="G28" s="2623"/>
      <c r="H28" s="2192">
        <f>SUM(I28-G28)</f>
        <v>7000000</v>
      </c>
      <c r="I28" s="2197">
        <v>7000000</v>
      </c>
      <c r="J28" s="2192">
        <f>SUM(K28-I28)</f>
        <v>-7000000</v>
      </c>
      <c r="K28" s="420">
        <v>0</v>
      </c>
      <c r="L28" s="2192">
        <f>SUM(M28-K28)</f>
        <v>0</v>
      </c>
      <c r="M28" s="420">
        <v>0</v>
      </c>
    </row>
    <row r="29" spans="1:13" ht="15" x14ac:dyDescent="0.2">
      <c r="A29" s="611"/>
      <c r="B29" s="612" t="s">
        <v>569</v>
      </c>
      <c r="C29" s="613"/>
      <c r="D29" s="614" t="s">
        <v>1478</v>
      </c>
      <c r="E29" s="615"/>
      <c r="F29" s="615"/>
      <c r="G29" s="2623"/>
      <c r="H29" s="2192">
        <f>SUM(I29-G29)</f>
        <v>3700000</v>
      </c>
      <c r="I29" s="2197">
        <v>3700000</v>
      </c>
      <c r="J29" s="2192">
        <f>SUM(K29-I29)</f>
        <v>-3700000</v>
      </c>
      <c r="K29" s="420">
        <v>0</v>
      </c>
      <c r="L29" s="2192">
        <f>SUM(M29-K29)</f>
        <v>0</v>
      </c>
      <c r="M29" s="420">
        <v>0</v>
      </c>
    </row>
    <row r="30" spans="1:13" ht="15" x14ac:dyDescent="0.2">
      <c r="A30" s="611"/>
      <c r="B30" s="612" t="s">
        <v>570</v>
      </c>
      <c r="C30" s="613"/>
      <c r="D30" s="614" t="s">
        <v>1479</v>
      </c>
      <c r="E30" s="615"/>
      <c r="F30" s="615"/>
      <c r="G30" s="2623"/>
      <c r="H30" s="2192">
        <f>SUM(I30-G30)</f>
        <v>4800000</v>
      </c>
      <c r="I30" s="2197">
        <v>4800000</v>
      </c>
      <c r="J30" s="2192">
        <f>SUM(K30-I30)</f>
        <v>-4800000</v>
      </c>
      <c r="K30" s="420">
        <v>0</v>
      </c>
      <c r="L30" s="2192">
        <f>SUM(M30-K30)</f>
        <v>0</v>
      </c>
      <c r="M30" s="420">
        <v>0</v>
      </c>
    </row>
    <row r="31" spans="1:13" ht="15" x14ac:dyDescent="0.2">
      <c r="A31" s="611"/>
      <c r="B31" s="612" t="s">
        <v>571</v>
      </c>
      <c r="C31" s="613"/>
      <c r="D31" s="614" t="s">
        <v>1480</v>
      </c>
      <c r="E31" s="615"/>
      <c r="F31" s="615"/>
      <c r="G31" s="2623"/>
      <c r="H31" s="2192">
        <f t="shared" si="3"/>
        <v>2000000</v>
      </c>
      <c r="I31" s="2197">
        <v>2000000</v>
      </c>
      <c r="J31" s="2192">
        <f t="shared" si="4"/>
        <v>-2000000</v>
      </c>
      <c r="K31" s="420">
        <v>0</v>
      </c>
      <c r="L31" s="2192">
        <f t="shared" si="5"/>
        <v>0</v>
      </c>
      <c r="M31" s="420">
        <v>0</v>
      </c>
    </row>
    <row r="32" spans="1:13" ht="15" x14ac:dyDescent="0.2">
      <c r="A32" s="611"/>
      <c r="B32" s="612" t="s">
        <v>572</v>
      </c>
      <c r="C32" s="613"/>
      <c r="D32" s="614" t="s">
        <v>1481</v>
      </c>
      <c r="E32" s="615"/>
      <c r="F32" s="615">
        <v>10000</v>
      </c>
      <c r="G32" s="2623"/>
      <c r="H32" s="2192">
        <f t="shared" si="0"/>
        <v>6520000</v>
      </c>
      <c r="I32" s="2197">
        <v>6520000</v>
      </c>
      <c r="J32" s="2192">
        <f t="shared" ref="J32:J46" si="6">SUM(K32-I32)</f>
        <v>-6297270</v>
      </c>
      <c r="K32" s="420">
        <v>222730</v>
      </c>
      <c r="L32" s="2192">
        <f t="shared" ref="L32:L47" si="7">SUM(M32-K32)</f>
        <v>0</v>
      </c>
      <c r="M32" s="420">
        <v>222730</v>
      </c>
    </row>
    <row r="33" spans="1:13" ht="15" x14ac:dyDescent="0.2">
      <c r="A33" s="611"/>
      <c r="B33" s="612" t="s">
        <v>1469</v>
      </c>
      <c r="C33" s="613"/>
      <c r="D33" s="614" t="s">
        <v>1840</v>
      </c>
      <c r="E33" s="615"/>
      <c r="F33" s="615"/>
      <c r="G33" s="2623"/>
      <c r="H33" s="2192">
        <f t="shared" si="0"/>
        <v>50000000</v>
      </c>
      <c r="I33" s="2197">
        <v>50000000</v>
      </c>
      <c r="J33" s="2192">
        <f t="shared" si="6"/>
        <v>-50000000</v>
      </c>
      <c r="K33" s="420">
        <v>0</v>
      </c>
      <c r="L33" s="2192">
        <f t="shared" si="7"/>
        <v>0</v>
      </c>
      <c r="M33" s="420">
        <v>0</v>
      </c>
    </row>
    <row r="34" spans="1:13" ht="15" x14ac:dyDescent="0.2">
      <c r="A34" s="611"/>
      <c r="B34" s="612" t="s">
        <v>1470</v>
      </c>
      <c r="C34" s="613"/>
      <c r="D34" s="614" t="s">
        <v>1482</v>
      </c>
      <c r="E34" s="615"/>
      <c r="F34" s="615"/>
      <c r="G34" s="2623"/>
      <c r="H34" s="2192">
        <f t="shared" si="0"/>
        <v>2</v>
      </c>
      <c r="I34" s="2197">
        <v>2</v>
      </c>
      <c r="J34" s="2192">
        <f t="shared" si="6"/>
        <v>-1</v>
      </c>
      <c r="K34" s="420">
        <v>1</v>
      </c>
      <c r="L34" s="2192">
        <f t="shared" si="7"/>
        <v>0</v>
      </c>
      <c r="M34" s="420">
        <v>1</v>
      </c>
    </row>
    <row r="35" spans="1:13" ht="15" x14ac:dyDescent="0.2">
      <c r="A35" s="611"/>
      <c r="B35" s="612" t="s">
        <v>1471</v>
      </c>
      <c r="C35" s="613"/>
      <c r="D35" s="614" t="s">
        <v>1823</v>
      </c>
      <c r="E35" s="1336"/>
      <c r="F35" s="1336"/>
      <c r="G35" s="2624"/>
      <c r="H35" s="2192">
        <f t="shared" si="0"/>
        <v>200000000</v>
      </c>
      <c r="I35" s="2197">
        <v>200000000</v>
      </c>
      <c r="J35" s="2192">
        <f t="shared" si="6"/>
        <v>-200000000</v>
      </c>
      <c r="K35" s="424"/>
      <c r="L35" s="1364">
        <f t="shared" si="7"/>
        <v>0</v>
      </c>
      <c r="M35" s="424"/>
    </row>
    <row r="36" spans="1:13" ht="15" x14ac:dyDescent="0.2">
      <c r="A36" s="611"/>
      <c r="B36" s="612" t="s">
        <v>1472</v>
      </c>
      <c r="C36" s="613"/>
      <c r="D36" s="614" t="s">
        <v>1839</v>
      </c>
      <c r="E36" s="1336"/>
      <c r="F36" s="1336"/>
      <c r="G36" s="2624"/>
      <c r="H36" s="1364">
        <f t="shared" si="0"/>
        <v>0</v>
      </c>
      <c r="I36" s="3137"/>
      <c r="J36" s="2192">
        <f t="shared" si="6"/>
        <v>2020000</v>
      </c>
      <c r="K36" s="424">
        <v>2020000</v>
      </c>
      <c r="L36" s="1364">
        <f t="shared" si="7"/>
        <v>0</v>
      </c>
      <c r="M36" s="424">
        <v>2020000</v>
      </c>
    </row>
    <row r="37" spans="1:13" ht="15" x14ac:dyDescent="0.2">
      <c r="A37" s="611"/>
      <c r="B37" s="612" t="s">
        <v>1473</v>
      </c>
      <c r="C37" s="613"/>
      <c r="D37" s="614" t="s">
        <v>1841</v>
      </c>
      <c r="E37" s="615"/>
      <c r="F37" s="615">
        <v>0</v>
      </c>
      <c r="G37" s="2623"/>
      <c r="H37" s="2192">
        <f t="shared" si="0"/>
        <v>0</v>
      </c>
      <c r="I37" s="2197"/>
      <c r="J37" s="2192">
        <f t="shared" si="6"/>
        <v>10399</v>
      </c>
      <c r="K37" s="424">
        <v>10399</v>
      </c>
      <c r="L37" s="2192">
        <f t="shared" si="7"/>
        <v>0</v>
      </c>
      <c r="M37" s="424">
        <v>10399</v>
      </c>
    </row>
    <row r="38" spans="1:13" ht="15" x14ac:dyDescent="0.2">
      <c r="A38" s="611"/>
      <c r="B38" s="612" t="s">
        <v>1474</v>
      </c>
      <c r="C38" s="613"/>
      <c r="D38" s="614" t="s">
        <v>1842</v>
      </c>
      <c r="E38" s="615"/>
      <c r="F38" s="615"/>
      <c r="G38" s="2623"/>
      <c r="H38" s="2192">
        <f t="shared" si="0"/>
        <v>0</v>
      </c>
      <c r="I38" s="2197"/>
      <c r="J38" s="2192">
        <f t="shared" si="6"/>
        <v>0</v>
      </c>
      <c r="K38" s="420"/>
      <c r="L38" s="2192">
        <f t="shared" si="7"/>
        <v>0</v>
      </c>
      <c r="M38" s="420"/>
    </row>
    <row r="39" spans="1:13" ht="15" x14ac:dyDescent="0.2">
      <c r="A39" s="611"/>
      <c r="B39" s="612" t="s">
        <v>1475</v>
      </c>
      <c r="C39" s="613"/>
      <c r="D39" s="614" t="s">
        <v>1843</v>
      </c>
      <c r="E39" s="615"/>
      <c r="F39" s="615"/>
      <c r="G39" s="2623"/>
      <c r="H39" s="2192">
        <f t="shared" si="0"/>
        <v>0</v>
      </c>
      <c r="I39" s="2197"/>
      <c r="J39" s="2192">
        <f t="shared" si="6"/>
        <v>0</v>
      </c>
      <c r="K39" s="420"/>
      <c r="L39" s="2192">
        <f t="shared" si="7"/>
        <v>0</v>
      </c>
      <c r="M39" s="420"/>
    </row>
    <row r="40" spans="1:13" ht="15" x14ac:dyDescent="0.2">
      <c r="A40" s="611"/>
      <c r="B40" s="612" t="s">
        <v>1476</v>
      </c>
      <c r="C40" s="613"/>
      <c r="D40" s="614" t="s">
        <v>1844</v>
      </c>
      <c r="E40" s="615"/>
      <c r="F40" s="615"/>
      <c r="G40" s="2623"/>
      <c r="H40" s="2192">
        <f t="shared" si="0"/>
        <v>0</v>
      </c>
      <c r="I40" s="2197"/>
      <c r="J40" s="2192">
        <f t="shared" si="6"/>
        <v>1571001</v>
      </c>
      <c r="K40" s="420">
        <v>1571001</v>
      </c>
      <c r="L40" s="2192">
        <f t="shared" si="7"/>
        <v>0</v>
      </c>
      <c r="M40" s="420">
        <v>1571001</v>
      </c>
    </row>
    <row r="41" spans="1:13" s="235" customFormat="1" ht="15" x14ac:dyDescent="0.2">
      <c r="A41" s="611"/>
      <c r="B41" s="612" t="s">
        <v>573</v>
      </c>
      <c r="C41" s="2570"/>
      <c r="D41" s="614" t="s">
        <v>1845</v>
      </c>
      <c r="E41" s="615"/>
      <c r="F41" s="615"/>
      <c r="G41" s="2623"/>
      <c r="H41" s="2192">
        <f t="shared" si="0"/>
        <v>0</v>
      </c>
      <c r="I41" s="2623"/>
      <c r="J41" s="2192">
        <f t="shared" si="6"/>
        <v>872</v>
      </c>
      <c r="K41" s="428">
        <v>872</v>
      </c>
      <c r="L41" s="2192">
        <f t="shared" si="7"/>
        <v>0</v>
      </c>
      <c r="M41" s="428">
        <v>872</v>
      </c>
    </row>
    <row r="42" spans="1:13" ht="18.75" customHeight="1" x14ac:dyDescent="0.2">
      <c r="A42" s="611"/>
      <c r="B42" s="612" t="s">
        <v>574</v>
      </c>
      <c r="C42" s="2570"/>
      <c r="D42" s="614" t="s">
        <v>1846</v>
      </c>
      <c r="E42" s="615"/>
      <c r="F42" s="615"/>
      <c r="G42" s="2623"/>
      <c r="H42" s="2192">
        <f t="shared" si="0"/>
        <v>0</v>
      </c>
      <c r="I42" s="2197"/>
      <c r="J42" s="2192">
        <f t="shared" si="6"/>
        <v>0</v>
      </c>
      <c r="K42" s="420"/>
      <c r="L42" s="2192">
        <f t="shared" si="7"/>
        <v>0</v>
      </c>
      <c r="M42" s="420"/>
    </row>
    <row r="43" spans="1:13" ht="15" x14ac:dyDescent="0.2">
      <c r="A43" s="611"/>
      <c r="B43" s="612" t="s">
        <v>575</v>
      </c>
      <c r="C43" s="2570"/>
      <c r="D43" s="614" t="s">
        <v>1847</v>
      </c>
      <c r="E43" s="615"/>
      <c r="F43" s="615"/>
      <c r="G43" s="2623"/>
      <c r="H43" s="2192">
        <f t="shared" si="0"/>
        <v>0</v>
      </c>
      <c r="I43" s="2197"/>
      <c r="J43" s="2192">
        <f t="shared" si="6"/>
        <v>10000000</v>
      </c>
      <c r="K43" s="420">
        <v>10000000</v>
      </c>
      <c r="L43" s="2192">
        <f t="shared" si="7"/>
        <v>0</v>
      </c>
      <c r="M43" s="420">
        <v>10000000</v>
      </c>
    </row>
    <row r="44" spans="1:13" ht="15" x14ac:dyDescent="0.2">
      <c r="A44" s="611"/>
      <c r="B44" s="612" t="s">
        <v>576</v>
      </c>
      <c r="C44" s="2570"/>
      <c r="D44" s="614" t="s">
        <v>1848</v>
      </c>
      <c r="E44" s="615"/>
      <c r="F44" s="615"/>
      <c r="G44" s="2623"/>
      <c r="H44" s="2192"/>
      <c r="I44" s="2197"/>
      <c r="J44" s="2192">
        <f t="shared" si="6"/>
        <v>0</v>
      </c>
      <c r="K44" s="420"/>
      <c r="L44" s="2192">
        <f t="shared" si="7"/>
        <v>0</v>
      </c>
      <c r="M44" s="420"/>
    </row>
    <row r="45" spans="1:13" ht="15" hidden="1" x14ac:dyDescent="0.2">
      <c r="A45" s="611"/>
      <c r="B45" s="612" t="s">
        <v>577</v>
      </c>
      <c r="C45" s="2570"/>
      <c r="D45" s="614"/>
      <c r="E45" s="615"/>
      <c r="F45" s="615"/>
      <c r="G45" s="2623"/>
      <c r="H45" s="2192"/>
      <c r="I45" s="2197"/>
      <c r="J45" s="2192">
        <f t="shared" si="6"/>
        <v>0</v>
      </c>
      <c r="K45" s="420"/>
      <c r="L45" s="2192">
        <f t="shared" si="7"/>
        <v>0</v>
      </c>
      <c r="M45" s="420"/>
    </row>
    <row r="46" spans="1:13" ht="15" hidden="1" x14ac:dyDescent="0.2">
      <c r="A46" s="2607"/>
      <c r="B46" s="612" t="s">
        <v>578</v>
      </c>
      <c r="C46" s="2621"/>
      <c r="D46" s="2558"/>
      <c r="E46" s="600"/>
      <c r="F46" s="600"/>
      <c r="G46" s="2626"/>
      <c r="H46" s="2192"/>
      <c r="I46" s="2208"/>
      <c r="J46" s="2192">
        <f t="shared" si="6"/>
        <v>0</v>
      </c>
      <c r="K46" s="430"/>
      <c r="L46" s="2192">
        <f t="shared" si="7"/>
        <v>0</v>
      </c>
      <c r="M46" s="430"/>
    </row>
    <row r="47" spans="1:13" ht="16.5" thickBot="1" x14ac:dyDescent="0.25">
      <c r="A47" s="2610"/>
      <c r="B47" s="2611"/>
      <c r="C47" s="2612"/>
      <c r="D47" s="2613" t="s">
        <v>704</v>
      </c>
      <c r="E47" s="2614" t="e">
        <f>SUM(E20+E2)</f>
        <v>#REF!</v>
      </c>
      <c r="F47" s="2614" t="e">
        <f>SUM(F20+F2)</f>
        <v>#REF!</v>
      </c>
      <c r="G47" s="2627">
        <f>SUM(G20+G2)</f>
        <v>218575000</v>
      </c>
      <c r="H47" s="3139">
        <f>SUM(I47-G47)</f>
        <v>336393473</v>
      </c>
      <c r="I47" s="2209">
        <f>SUM(I20+I2)</f>
        <v>554968473</v>
      </c>
      <c r="J47" s="3139">
        <f>SUM(J20+J2)</f>
        <v>-506867173</v>
      </c>
      <c r="K47" s="2209">
        <f>SUM(K20+K2)</f>
        <v>61703572</v>
      </c>
      <c r="L47" s="2194">
        <f t="shared" si="7"/>
        <v>0</v>
      </c>
      <c r="M47" s="2209">
        <f>SUM(M20+M2)</f>
        <v>61703572</v>
      </c>
    </row>
    <row r="48" spans="1:13" x14ac:dyDescent="0.2">
      <c r="A48" s="1365"/>
      <c r="B48" s="1365"/>
      <c r="C48" s="1365"/>
      <c r="D48" s="1365"/>
      <c r="E48" s="1365"/>
      <c r="F48" s="1365"/>
      <c r="G48" s="1365"/>
      <c r="H48" s="1365"/>
      <c r="I48" s="1107"/>
      <c r="J48" s="1365"/>
      <c r="K48" s="1107"/>
    </row>
    <row r="49" spans="1:11" x14ac:dyDescent="0.2">
      <c r="A49" s="1365"/>
      <c r="B49" s="1365"/>
      <c r="C49" s="1365"/>
      <c r="D49" s="1365"/>
      <c r="E49" s="1365"/>
      <c r="F49" s="1365"/>
      <c r="G49" s="1365"/>
      <c r="H49" s="1365"/>
      <c r="I49" s="1107"/>
      <c r="J49" s="1365"/>
      <c r="K49" s="1107"/>
    </row>
    <row r="50" spans="1:11" x14ac:dyDescent="0.2">
      <c r="A50" s="1365"/>
      <c r="B50" s="1365"/>
      <c r="C50" s="1365"/>
      <c r="D50" s="1365"/>
      <c r="E50" s="1365"/>
      <c r="F50" s="1365"/>
      <c r="G50" s="1365"/>
      <c r="H50" s="1365"/>
      <c r="I50" s="1107"/>
      <c r="J50" s="1365"/>
      <c r="K50" s="1107"/>
    </row>
    <row r="51" spans="1:11" x14ac:dyDescent="0.2">
      <c r="A51" s="1365"/>
      <c r="B51" s="1365"/>
      <c r="C51" s="1365"/>
      <c r="D51" s="1365"/>
      <c r="E51" s="1365"/>
      <c r="F51" s="1365"/>
      <c r="G51" s="1365"/>
      <c r="H51" s="1365"/>
      <c r="I51" s="1107"/>
      <c r="J51" s="1365"/>
      <c r="K51" s="1107"/>
    </row>
    <row r="52" spans="1:11" x14ac:dyDescent="0.2">
      <c r="A52" s="1365"/>
      <c r="B52" s="1365"/>
      <c r="C52" s="1365"/>
      <c r="D52" s="1365"/>
      <c r="E52" s="1365"/>
      <c r="F52" s="1365"/>
      <c r="G52" s="1365"/>
      <c r="H52" s="1365"/>
      <c r="I52" s="1107"/>
      <c r="J52" s="1365"/>
      <c r="K52" s="1107"/>
    </row>
    <row r="53" spans="1:11" x14ac:dyDescent="0.2">
      <c r="A53" s="1365"/>
      <c r="B53" s="1365"/>
      <c r="C53" s="1365"/>
      <c r="D53" s="1365"/>
      <c r="E53" s="1365"/>
      <c r="F53" s="1365"/>
      <c r="G53" s="1365"/>
      <c r="H53" s="1365"/>
      <c r="I53" s="1107"/>
      <c r="J53" s="1365"/>
      <c r="K53" s="1107"/>
    </row>
    <row r="54" spans="1:11" x14ac:dyDescent="0.2">
      <c r="A54" s="1365"/>
      <c r="B54" s="1365"/>
      <c r="C54" s="1365"/>
      <c r="D54" s="1365"/>
      <c r="E54" s="1365"/>
      <c r="F54" s="1365"/>
      <c r="G54" s="1365"/>
      <c r="H54" s="1365"/>
      <c r="I54" s="1107"/>
      <c r="J54" s="1365"/>
      <c r="K54" s="1107"/>
    </row>
    <row r="55" spans="1:11" x14ac:dyDescent="0.2">
      <c r="A55" s="1365"/>
      <c r="B55" s="1365"/>
      <c r="C55" s="1365"/>
      <c r="D55" s="1365"/>
      <c r="E55" s="1365"/>
      <c r="F55" s="1365"/>
      <c r="G55" s="1365"/>
      <c r="H55" s="1365"/>
      <c r="I55" s="1107"/>
      <c r="J55" s="1365"/>
      <c r="K55" s="1107"/>
    </row>
    <row r="56" spans="1:11" x14ac:dyDescent="0.2">
      <c r="A56" s="1365"/>
      <c r="B56" s="1365"/>
      <c r="C56" s="1365"/>
      <c r="D56" s="1365"/>
      <c r="E56" s="1365"/>
      <c r="F56" s="1365"/>
      <c r="G56" s="1365"/>
      <c r="H56" s="1365"/>
      <c r="I56" s="1107"/>
      <c r="J56" s="1365"/>
      <c r="K56" s="1107"/>
    </row>
    <row r="57" spans="1:11" x14ac:dyDescent="0.2">
      <c r="A57" s="1365"/>
      <c r="B57" s="1365"/>
      <c r="C57" s="1365"/>
      <c r="D57" s="1365"/>
      <c r="E57" s="1365"/>
      <c r="F57" s="1365"/>
      <c r="G57" s="1365"/>
      <c r="H57" s="1365"/>
      <c r="I57" s="1107"/>
      <c r="J57" s="1365"/>
      <c r="K57" s="1107"/>
    </row>
    <row r="58" spans="1:11" x14ac:dyDescent="0.2">
      <c r="A58" s="1365"/>
      <c r="B58" s="1365"/>
      <c r="C58" s="1365"/>
      <c r="D58" s="1365"/>
      <c r="E58" s="1365"/>
      <c r="F58" s="1365"/>
      <c r="G58" s="1365"/>
      <c r="H58" s="1365"/>
      <c r="I58" s="1107"/>
      <c r="J58" s="1365"/>
      <c r="K58" s="1107"/>
    </row>
    <row r="59" spans="1:11" x14ac:dyDescent="0.2">
      <c r="A59" s="1365"/>
      <c r="B59" s="1365"/>
      <c r="C59" s="1365"/>
      <c r="D59" s="1365"/>
      <c r="E59" s="1365"/>
      <c r="F59" s="1365"/>
      <c r="G59" s="1365"/>
      <c r="H59" s="1365"/>
      <c r="I59" s="1107"/>
      <c r="J59" s="1365"/>
      <c r="K59" s="1107"/>
    </row>
    <row r="60" spans="1:11" x14ac:dyDescent="0.2">
      <c r="A60" s="1365"/>
      <c r="B60" s="1365"/>
      <c r="C60" s="1365"/>
      <c r="D60" s="1365"/>
      <c r="E60" s="1365"/>
      <c r="F60" s="1365"/>
      <c r="G60" s="1365"/>
      <c r="H60" s="1365"/>
      <c r="I60" s="1107"/>
      <c r="J60" s="1365"/>
      <c r="K60" s="1107"/>
    </row>
    <row r="61" spans="1:11" x14ac:dyDescent="0.2">
      <c r="A61" s="1365"/>
      <c r="B61" s="1365"/>
      <c r="C61" s="1365"/>
      <c r="D61" s="1365"/>
      <c r="E61" s="1365"/>
      <c r="F61" s="1365"/>
      <c r="G61" s="1365"/>
      <c r="H61" s="1365"/>
      <c r="I61" s="1107"/>
      <c r="J61" s="1365"/>
      <c r="K61" s="1107"/>
    </row>
    <row r="62" spans="1:11" x14ac:dyDescent="0.2">
      <c r="A62" s="1365"/>
      <c r="B62" s="1365"/>
      <c r="C62" s="1365"/>
      <c r="D62" s="1365"/>
      <c r="E62" s="1365"/>
      <c r="F62" s="1365"/>
      <c r="G62" s="1365"/>
      <c r="H62" s="1365"/>
      <c r="I62" s="1107"/>
      <c r="J62" s="1365"/>
      <c r="K62" s="1107"/>
    </row>
    <row r="63" spans="1:11" x14ac:dyDescent="0.2">
      <c r="A63" s="1365"/>
      <c r="B63" s="1365"/>
      <c r="C63" s="1365"/>
      <c r="D63" s="1365"/>
      <c r="E63" s="1365"/>
      <c r="F63" s="1365"/>
      <c r="G63" s="1365"/>
      <c r="H63" s="1365"/>
      <c r="I63" s="1107"/>
      <c r="J63" s="1365"/>
      <c r="K63" s="1107"/>
    </row>
  </sheetData>
  <mergeCells count="1">
    <mergeCell ref="A1:C1"/>
  </mergeCells>
  <printOptions horizontalCentered="1"/>
  <pageMargins left="0.19685039370078741" right="0.19685039370078741" top="1.299212598425197" bottom="0.55118110236220474" header="0.35433070866141736" footer="0.23622047244094491"/>
  <pageSetup paperSize="9" scale="76" firstPageNumber="112" orientation="portrait" useFirstPageNumber="1" r:id="rId1"/>
  <headerFooter>
    <oddHeader>&amp;C&amp;"Times New Roman,Félkövér"&amp;14
Vecsés Város Önkormányzat 2018. évi tervezett felhalmozási céltartaléka&amp;R&amp;12 7.2. sz. melléklet
Forint</oddHeader>
    <oddFooter>&amp;C- &amp;P -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G12"/>
  <sheetViews>
    <sheetView workbookViewId="0">
      <selection activeCell="D9" sqref="D9"/>
    </sheetView>
  </sheetViews>
  <sheetFormatPr defaultRowHeight="12.75" x14ac:dyDescent="0.2"/>
  <cols>
    <col min="1" max="1" width="7.33203125" customWidth="1"/>
    <col min="2" max="2" width="46.5" customWidth="1"/>
    <col min="3" max="3" width="16" customWidth="1"/>
    <col min="4" max="4" width="15.83203125" customWidth="1"/>
    <col min="5" max="5" width="17.33203125" customWidth="1"/>
    <col min="6" max="6" width="16.83203125" customWidth="1"/>
    <col min="7" max="7" width="20.5" customWidth="1"/>
  </cols>
  <sheetData>
    <row r="1" spans="1:7" ht="47.45" customHeight="1" x14ac:dyDescent="0.2">
      <c r="A1" s="4676" t="s">
        <v>2036</v>
      </c>
      <c r="B1" s="4676"/>
      <c r="C1" s="4676"/>
      <c r="D1" s="4676"/>
      <c r="E1" s="4676"/>
      <c r="F1" s="4676"/>
      <c r="G1" s="4676"/>
    </row>
    <row r="2" spans="1:7" ht="16.5" thickBot="1" x14ac:dyDescent="0.3">
      <c r="A2" s="3570"/>
      <c r="B2" s="3570"/>
      <c r="C2" s="3570"/>
      <c r="D2" s="4677"/>
      <c r="E2" s="4677"/>
      <c r="F2" s="4678" t="s">
        <v>2061</v>
      </c>
      <c r="G2" s="4678"/>
    </row>
    <row r="3" spans="1:7" ht="15.75" x14ac:dyDescent="0.2">
      <c r="A3" s="4679" t="s">
        <v>1050</v>
      </c>
      <c r="B3" s="4681" t="s">
        <v>2037</v>
      </c>
      <c r="C3" s="4681" t="s">
        <v>2038</v>
      </c>
      <c r="D3" s="4681"/>
      <c r="E3" s="4681"/>
      <c r="F3" s="4681"/>
      <c r="G3" s="4683" t="s">
        <v>2039</v>
      </c>
    </row>
    <row r="4" spans="1:7" ht="31.5" x14ac:dyDescent="0.2">
      <c r="A4" s="4680"/>
      <c r="B4" s="4682"/>
      <c r="C4" s="3572" t="s">
        <v>2040</v>
      </c>
      <c r="D4" s="3572" t="s">
        <v>2041</v>
      </c>
      <c r="E4" s="3572" t="s">
        <v>2043</v>
      </c>
      <c r="F4" s="3572" t="s">
        <v>2044</v>
      </c>
      <c r="G4" s="4684"/>
    </row>
    <row r="5" spans="1:7" ht="13.5" thickBot="1" x14ac:dyDescent="0.25">
      <c r="A5" s="3573">
        <v>1</v>
      </c>
      <c r="B5" s="3574">
        <v>2</v>
      </c>
      <c r="C5" s="3574">
        <v>3</v>
      </c>
      <c r="D5" s="3574">
        <v>4</v>
      </c>
      <c r="E5" s="3574">
        <v>5</v>
      </c>
      <c r="F5" s="3574">
        <v>6</v>
      </c>
      <c r="G5" s="3575">
        <v>7</v>
      </c>
    </row>
    <row r="6" spans="1:7" ht="15.75" x14ac:dyDescent="0.25">
      <c r="A6" s="3576" t="s">
        <v>3</v>
      </c>
      <c r="B6" s="3577" t="s">
        <v>2362</v>
      </c>
      <c r="C6" s="3860"/>
      <c r="D6" s="3860"/>
      <c r="E6" s="3860"/>
      <c r="F6" s="3860"/>
      <c r="G6" s="3861">
        <f t="shared" ref="G6:G11" si="0">SUM(C6:F6)</f>
        <v>0</v>
      </c>
    </row>
    <row r="7" spans="1:7" ht="15.75" x14ac:dyDescent="0.25">
      <c r="A7" s="3578" t="s">
        <v>17</v>
      </c>
      <c r="B7" s="3859" t="s">
        <v>2363</v>
      </c>
      <c r="C7" s="3592">
        <v>0</v>
      </c>
      <c r="D7" s="3592">
        <v>0</v>
      </c>
      <c r="E7" s="3592">
        <v>0</v>
      </c>
      <c r="F7" s="3592">
        <v>1000000000</v>
      </c>
      <c r="G7" s="3862">
        <f t="shared" si="0"/>
        <v>1000000000</v>
      </c>
    </row>
    <row r="8" spans="1:7" ht="15.75" x14ac:dyDescent="0.25">
      <c r="A8" s="3578" t="s">
        <v>31</v>
      </c>
      <c r="B8" s="3859" t="s">
        <v>2364</v>
      </c>
      <c r="C8" s="3592">
        <v>0</v>
      </c>
      <c r="D8" s="3592">
        <v>5587333</v>
      </c>
      <c r="E8" s="3592">
        <v>10858889</v>
      </c>
      <c r="F8" s="3592">
        <v>82078561</v>
      </c>
      <c r="G8" s="3862">
        <f t="shared" si="0"/>
        <v>98524783</v>
      </c>
    </row>
    <row r="9" spans="1:7" ht="15.75" x14ac:dyDescent="0.25">
      <c r="A9" s="3578" t="s">
        <v>45</v>
      </c>
      <c r="B9" s="3579"/>
      <c r="C9" s="3592"/>
      <c r="D9" s="3592"/>
      <c r="E9" s="3592"/>
      <c r="F9" s="3592"/>
      <c r="G9" s="3862">
        <f t="shared" si="0"/>
        <v>0</v>
      </c>
    </row>
    <row r="10" spans="1:7" ht="15.75" x14ac:dyDescent="0.25">
      <c r="A10" s="3578" t="s">
        <v>67</v>
      </c>
      <c r="B10" s="3579"/>
      <c r="C10" s="3592"/>
      <c r="D10" s="3592"/>
      <c r="E10" s="3592"/>
      <c r="F10" s="3592"/>
      <c r="G10" s="3862">
        <f t="shared" si="0"/>
        <v>0</v>
      </c>
    </row>
    <row r="11" spans="1:7" ht="16.5" thickBot="1" x14ac:dyDescent="0.3">
      <c r="A11" s="3580"/>
      <c r="B11" s="3581"/>
      <c r="C11" s="3863"/>
      <c r="D11" s="3863"/>
      <c r="E11" s="3863"/>
      <c r="F11" s="3863"/>
      <c r="G11" s="3864">
        <f t="shared" si="0"/>
        <v>0</v>
      </c>
    </row>
    <row r="12" spans="1:7" ht="16.5" thickBot="1" x14ac:dyDescent="0.3">
      <c r="A12" s="3582"/>
      <c r="B12" s="3583" t="s">
        <v>2042</v>
      </c>
      <c r="C12" s="3865">
        <f>SUM(C6:C11)</f>
        <v>0</v>
      </c>
      <c r="D12" s="3865">
        <f>SUM(D6:D10)</f>
        <v>5587333</v>
      </c>
      <c r="E12" s="3865">
        <f>SUM(E6:E10)</f>
        <v>10858889</v>
      </c>
      <c r="F12" s="3865">
        <f>SUM(F6:F10)</f>
        <v>1082078561</v>
      </c>
      <c r="G12" s="3865">
        <f>SUM(G6:G10)</f>
        <v>1098524783</v>
      </c>
    </row>
  </sheetData>
  <mergeCells count="7">
    <mergeCell ref="A1:G1"/>
    <mergeCell ref="D2:E2"/>
    <mergeCell ref="F2:G2"/>
    <mergeCell ref="A3:A4"/>
    <mergeCell ref="B3:B4"/>
    <mergeCell ref="C3:F3"/>
    <mergeCell ref="G3:G4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113" orientation="landscape" useFirstPageNumber="1" r:id="rId1"/>
  <headerFooter>
    <oddHeader>&amp;R&amp;12 8.1. számú  melléklet</oddHeader>
    <oddFooter>&amp;C&amp;12- &amp;P -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E13"/>
  <sheetViews>
    <sheetView workbookViewId="0">
      <selection activeCell="C3" sqref="C3"/>
    </sheetView>
  </sheetViews>
  <sheetFormatPr defaultRowHeight="12.75" x14ac:dyDescent="0.2"/>
  <cols>
    <col min="1" max="1" width="7.1640625" customWidth="1"/>
    <col min="2" max="2" width="70.1640625" customWidth="1"/>
    <col min="3" max="5" width="17.5" bestFit="1" customWidth="1"/>
  </cols>
  <sheetData>
    <row r="1" spans="1:5" ht="18.75" x14ac:dyDescent="0.2">
      <c r="A1" s="4676" t="s">
        <v>2045</v>
      </c>
      <c r="B1" s="4676"/>
      <c r="C1" s="4676"/>
      <c r="D1" s="4676"/>
      <c r="E1" s="4676"/>
    </row>
    <row r="2" spans="1:5" ht="16.5" thickBot="1" x14ac:dyDescent="0.3">
      <c r="A2" s="3570"/>
      <c r="B2" s="3570"/>
      <c r="C2" s="4678" t="s">
        <v>2060</v>
      </c>
      <c r="D2" s="4678"/>
      <c r="E2" s="4678"/>
    </row>
    <row r="3" spans="1:5" ht="47.25" x14ac:dyDescent="0.2">
      <c r="A3" s="3584" t="s">
        <v>1050</v>
      </c>
      <c r="B3" s="3585" t="s">
        <v>2046</v>
      </c>
      <c r="C3" s="3585" t="s">
        <v>1084</v>
      </c>
      <c r="D3" s="3585" t="s">
        <v>2054</v>
      </c>
      <c r="E3" s="3586" t="s">
        <v>2055</v>
      </c>
    </row>
    <row r="4" spans="1:5" ht="15.75" x14ac:dyDescent="0.2">
      <c r="A4" s="3587">
        <v>1</v>
      </c>
      <c r="B4" s="3588">
        <v>2</v>
      </c>
      <c r="C4" s="3588">
        <v>3</v>
      </c>
      <c r="D4" s="3588">
        <v>4</v>
      </c>
      <c r="E4" s="3589">
        <v>5</v>
      </c>
    </row>
    <row r="5" spans="1:5" ht="15.75" x14ac:dyDescent="0.25">
      <c r="A5" s="3590" t="s">
        <v>3</v>
      </c>
      <c r="B5" s="3591" t="s">
        <v>32</v>
      </c>
      <c r="C5" s="3592">
        <f>SUM('3.1. Cofog'!L87-'3.1. Cofog'!L99)</f>
        <v>2590000000</v>
      </c>
      <c r="D5" s="3592">
        <f>SUM('3.1. Cofog'!L87)-D7</f>
        <v>2593965749</v>
      </c>
      <c r="E5" s="3593">
        <f>SUM('3.1. Cofog'!S87)-E7</f>
        <v>3589041780</v>
      </c>
    </row>
    <row r="6" spans="1:5" ht="15.75" x14ac:dyDescent="0.25">
      <c r="A6" s="3590" t="s">
        <v>17</v>
      </c>
      <c r="B6" s="3591" t="s">
        <v>2047</v>
      </c>
      <c r="C6" s="3592"/>
      <c r="D6" s="3592"/>
      <c r="E6" s="3593"/>
    </row>
    <row r="7" spans="1:5" ht="15.75" x14ac:dyDescent="0.25">
      <c r="A7" s="3590" t="s">
        <v>31</v>
      </c>
      <c r="B7" s="3591" t="s">
        <v>2048</v>
      </c>
      <c r="C7" s="3592">
        <f>SUM('3.1. Cofog'!L99)</f>
        <v>10000000</v>
      </c>
      <c r="D7" s="3592">
        <f>SUM('3.1. Cofog'!R99)</f>
        <v>6034251</v>
      </c>
      <c r="E7" s="3593">
        <f>SUM('3.1. Cofog'!S99)</f>
        <v>6034251</v>
      </c>
    </row>
    <row r="8" spans="1:5" ht="39" customHeight="1" x14ac:dyDescent="0.25">
      <c r="A8" s="3590" t="s">
        <v>45</v>
      </c>
      <c r="B8" s="3594" t="s">
        <v>2049</v>
      </c>
      <c r="C8" s="3592">
        <f>SUM('3.1. Cofog'!L14)</f>
        <v>200000000</v>
      </c>
      <c r="D8" s="3592">
        <f>SUM('3.1. Cofog'!R13)</f>
        <v>0</v>
      </c>
      <c r="E8" s="3593">
        <f>SUM('3.1. Cofog'!S13)</f>
        <v>0</v>
      </c>
    </row>
    <row r="9" spans="1:5" ht="15.75" x14ac:dyDescent="0.25">
      <c r="A9" s="3590" t="s">
        <v>67</v>
      </c>
      <c r="B9" s="3591" t="s">
        <v>2050</v>
      </c>
      <c r="C9" s="3592"/>
      <c r="D9" s="3592"/>
      <c r="E9" s="3593"/>
    </row>
    <row r="10" spans="1:5" ht="15.75" x14ac:dyDescent="0.25">
      <c r="A10" s="3590" t="s">
        <v>79</v>
      </c>
      <c r="B10" s="3591" t="s">
        <v>2051</v>
      </c>
      <c r="C10" s="3592"/>
      <c r="D10" s="3592"/>
      <c r="E10" s="3593"/>
    </row>
    <row r="11" spans="1:5" ht="15.75" x14ac:dyDescent="0.25">
      <c r="A11" s="3590" t="s">
        <v>89</v>
      </c>
      <c r="B11" s="3591" t="s">
        <v>2052</v>
      </c>
      <c r="C11" s="3592"/>
      <c r="D11" s="3592"/>
      <c r="E11" s="3593"/>
    </row>
    <row r="12" spans="1:5" ht="16.5" thickBot="1" x14ac:dyDescent="0.3">
      <c r="A12" s="4685" t="s">
        <v>2053</v>
      </c>
      <c r="B12" s="4686"/>
      <c r="C12" s="3595">
        <f>SUM(C5:C11)</f>
        <v>2800000000</v>
      </c>
      <c r="D12" s="3595">
        <f>SUM(D5:D11)</f>
        <v>2600000000</v>
      </c>
      <c r="E12" s="3596">
        <f>SUM(E5:E11)</f>
        <v>3595076031</v>
      </c>
    </row>
    <row r="13" spans="1:5" ht="15" x14ac:dyDescent="0.25">
      <c r="A13" s="4687"/>
      <c r="B13" s="4687"/>
      <c r="C13" s="4687"/>
      <c r="D13" s="3597"/>
      <c r="E13" s="3597"/>
    </row>
  </sheetData>
  <mergeCells count="4">
    <mergeCell ref="A1:E1"/>
    <mergeCell ref="C2:E2"/>
    <mergeCell ref="A12:B12"/>
    <mergeCell ref="A13:C13"/>
  </mergeCells>
  <pageMargins left="0.70866141732283472" right="0.70866141732283472" top="0.74803149606299213" bottom="0.74803149606299213" header="0.31496062992125984" footer="0.31496062992125984"/>
  <pageSetup paperSize="9" scale="75" firstPageNumber="114" orientation="portrait" useFirstPageNumber="1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C8"/>
  <sheetViews>
    <sheetView workbookViewId="0">
      <selection activeCell="C18" sqref="C18"/>
    </sheetView>
  </sheetViews>
  <sheetFormatPr defaultRowHeight="12.75" x14ac:dyDescent="0.2"/>
  <cols>
    <col min="1" max="1" width="7.83203125" customWidth="1"/>
    <col min="2" max="2" width="62.5" customWidth="1"/>
    <col min="3" max="3" width="27" customWidth="1"/>
  </cols>
  <sheetData>
    <row r="1" spans="1:3" ht="18.75" x14ac:dyDescent="0.2">
      <c r="A1" s="4676" t="s">
        <v>2059</v>
      </c>
      <c r="B1" s="4676"/>
      <c r="C1" s="4676"/>
    </row>
    <row r="2" spans="1:3" ht="16.5" thickBot="1" x14ac:dyDescent="0.3">
      <c r="A2" s="3570"/>
      <c r="B2" s="3570"/>
      <c r="C2" s="3571" t="s">
        <v>2061</v>
      </c>
    </row>
    <row r="3" spans="1:3" ht="31.5" x14ac:dyDescent="0.2">
      <c r="A3" s="3598" t="s">
        <v>1050</v>
      </c>
      <c r="B3" s="3599" t="s">
        <v>2056</v>
      </c>
      <c r="C3" s="3600" t="s">
        <v>2057</v>
      </c>
    </row>
    <row r="4" spans="1:3" ht="16.5" thickBot="1" x14ac:dyDescent="0.25">
      <c r="A4" s="3601">
        <v>1</v>
      </c>
      <c r="B4" s="3602">
        <v>2</v>
      </c>
      <c r="C4" s="3603">
        <v>3</v>
      </c>
    </row>
    <row r="5" spans="1:3" ht="15.75" x14ac:dyDescent="0.25">
      <c r="A5" s="3601" t="s">
        <v>3</v>
      </c>
      <c r="B5" s="3927" t="s">
        <v>2395</v>
      </c>
      <c r="C5" s="3928">
        <v>200000000</v>
      </c>
    </row>
    <row r="6" spans="1:3" ht="15.75" x14ac:dyDescent="0.25">
      <c r="A6" s="3601" t="s">
        <v>17</v>
      </c>
      <c r="B6" s="3604"/>
      <c r="C6" s="3605"/>
    </row>
    <row r="7" spans="1:3" ht="15.75" x14ac:dyDescent="0.25">
      <c r="A7" s="3601" t="s">
        <v>31</v>
      </c>
      <c r="B7" s="3604"/>
      <c r="C7" s="3605"/>
    </row>
    <row r="8" spans="1:3" ht="42.6" customHeight="1" thickBot="1" x14ac:dyDescent="0.3">
      <c r="A8" s="3606" t="s">
        <v>45</v>
      </c>
      <c r="B8" s="3607" t="s">
        <v>2058</v>
      </c>
      <c r="C8" s="3608">
        <f>SUM(C5:C7)</f>
        <v>200000000</v>
      </c>
    </row>
  </sheetData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9" firstPageNumber="115" orientation="portrait" useFirstPageNumber="1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D78"/>
  <sheetViews>
    <sheetView view="pageBreakPreview" topLeftCell="A70" zoomScale="90" zoomScaleNormal="100" zoomScaleSheetLayoutView="90" workbookViewId="0">
      <selection activeCell="C95" sqref="C95"/>
    </sheetView>
  </sheetViews>
  <sheetFormatPr defaultRowHeight="12.75" x14ac:dyDescent="0.2"/>
  <cols>
    <col min="1" max="1" width="6.6640625" customWidth="1"/>
    <col min="2" max="2" width="57.6640625" customWidth="1"/>
    <col min="3" max="3" width="24.33203125" customWidth="1"/>
    <col min="4" max="4" width="17.83203125" customWidth="1"/>
  </cols>
  <sheetData>
    <row r="1" spans="1:4" ht="47.25" x14ac:dyDescent="0.25">
      <c r="A1" s="3610" t="s">
        <v>1</v>
      </c>
      <c r="B1" s="3611" t="s">
        <v>2062</v>
      </c>
      <c r="C1" s="3611" t="s">
        <v>2063</v>
      </c>
      <c r="D1" s="3612" t="s">
        <v>2064</v>
      </c>
    </row>
    <row r="2" spans="1:4" ht="15.75" x14ac:dyDescent="0.2">
      <c r="A2" s="3613"/>
      <c r="B2" s="228"/>
      <c r="C2" s="3614"/>
      <c r="D2" s="3615"/>
    </row>
    <row r="3" spans="1:4" ht="20.45" customHeight="1" x14ac:dyDescent="0.25">
      <c r="A3" s="3613" t="s">
        <v>3</v>
      </c>
      <c r="B3" s="217" t="s">
        <v>380</v>
      </c>
      <c r="C3" s="220"/>
      <c r="D3" s="3866">
        <f t="shared" ref="D3" si="0">SUM(D4:D14)-D11</f>
        <v>16920000</v>
      </c>
    </row>
    <row r="4" spans="1:4" ht="20.45" customHeight="1" x14ac:dyDescent="0.25">
      <c r="A4" s="3613" t="s">
        <v>17</v>
      </c>
      <c r="B4" s="219" t="s">
        <v>381</v>
      </c>
      <c r="C4" s="220" t="s">
        <v>2065</v>
      </c>
      <c r="D4" s="3867">
        <v>3190000</v>
      </c>
    </row>
    <row r="5" spans="1:4" ht="20.45" customHeight="1" x14ac:dyDescent="0.25">
      <c r="A5" s="3613" t="s">
        <v>31</v>
      </c>
      <c r="B5" s="1847" t="s">
        <v>382</v>
      </c>
      <c r="C5" s="220" t="s">
        <v>2065</v>
      </c>
      <c r="D5" s="3867">
        <v>140000</v>
      </c>
    </row>
    <row r="6" spans="1:4" ht="20.45" customHeight="1" x14ac:dyDescent="0.25">
      <c r="A6" s="3613" t="s">
        <v>45</v>
      </c>
      <c r="B6" s="1847" t="s">
        <v>383</v>
      </c>
      <c r="C6" s="220" t="s">
        <v>2065</v>
      </c>
      <c r="D6" s="3867">
        <v>500000</v>
      </c>
    </row>
    <row r="7" spans="1:4" ht="20.45" customHeight="1" x14ac:dyDescent="0.25">
      <c r="A7" s="3613" t="s">
        <v>67</v>
      </c>
      <c r="B7" s="1847" t="s">
        <v>384</v>
      </c>
      <c r="C7" s="220" t="s">
        <v>2065</v>
      </c>
      <c r="D7" s="3867">
        <v>140000</v>
      </c>
    </row>
    <row r="8" spans="1:4" ht="20.45" customHeight="1" x14ac:dyDescent="0.25">
      <c r="A8" s="3613" t="s">
        <v>79</v>
      </c>
      <c r="B8" s="1847" t="s">
        <v>385</v>
      </c>
      <c r="C8" s="220" t="s">
        <v>2065</v>
      </c>
      <c r="D8" s="3867">
        <v>8750000</v>
      </c>
    </row>
    <row r="9" spans="1:4" ht="20.45" customHeight="1" x14ac:dyDescent="0.25">
      <c r="A9" s="3613" t="s">
        <v>89</v>
      </c>
      <c r="B9" s="1847" t="s">
        <v>386</v>
      </c>
      <c r="C9" s="220" t="s">
        <v>2065</v>
      </c>
      <c r="D9" s="3867">
        <v>450000</v>
      </c>
    </row>
    <row r="10" spans="1:4" ht="20.45" customHeight="1" x14ac:dyDescent="0.25">
      <c r="A10" s="3613" t="s">
        <v>99</v>
      </c>
      <c r="B10" s="1847" t="s">
        <v>387</v>
      </c>
      <c r="C10" s="220" t="s">
        <v>2065</v>
      </c>
      <c r="D10" s="3867">
        <f>SUM(D11)</f>
        <v>1250000</v>
      </c>
    </row>
    <row r="11" spans="1:4" ht="20.45" customHeight="1" x14ac:dyDescent="0.25">
      <c r="A11" s="3613" t="s">
        <v>101</v>
      </c>
      <c r="B11" s="1848" t="s">
        <v>388</v>
      </c>
      <c r="C11" s="220" t="s">
        <v>2065</v>
      </c>
      <c r="D11" s="3867">
        <v>1250000</v>
      </c>
    </row>
    <row r="12" spans="1:4" ht="20.45" customHeight="1" x14ac:dyDescent="0.25">
      <c r="A12" s="3613" t="s">
        <v>109</v>
      </c>
      <c r="B12" s="3868" t="s">
        <v>396</v>
      </c>
      <c r="C12" s="220" t="s">
        <v>2065</v>
      </c>
      <c r="D12" s="3867">
        <v>500000</v>
      </c>
    </row>
    <row r="13" spans="1:4" ht="20.45" customHeight="1" x14ac:dyDescent="0.25">
      <c r="A13" s="3613" t="s">
        <v>119</v>
      </c>
      <c r="B13" s="2584" t="s">
        <v>920</v>
      </c>
      <c r="C13" s="220" t="s">
        <v>2065</v>
      </c>
      <c r="D13" s="3867">
        <v>1500000</v>
      </c>
    </row>
    <row r="14" spans="1:4" ht="20.45" customHeight="1" x14ac:dyDescent="0.25">
      <c r="A14" s="3613" t="s">
        <v>125</v>
      </c>
      <c r="B14" s="2584" t="s">
        <v>1669</v>
      </c>
      <c r="C14" s="220" t="s">
        <v>2065</v>
      </c>
      <c r="D14" s="3867">
        <v>500000</v>
      </c>
    </row>
    <row r="15" spans="1:4" ht="20.45" customHeight="1" x14ac:dyDescent="0.25">
      <c r="A15" s="3613" t="s">
        <v>133</v>
      </c>
      <c r="B15" s="217" t="s">
        <v>389</v>
      </c>
      <c r="C15" s="220"/>
      <c r="D15" s="3866">
        <f>SUM(D16+D19+D20+D38)+SUM(D22:D37)</f>
        <v>110088463</v>
      </c>
    </row>
    <row r="16" spans="1:4" ht="20.45" customHeight="1" x14ac:dyDescent="0.25">
      <c r="A16" s="3613" t="s">
        <v>143</v>
      </c>
      <c r="B16" s="1847" t="s">
        <v>390</v>
      </c>
      <c r="C16" s="220" t="s">
        <v>2065</v>
      </c>
      <c r="D16" s="3867">
        <f t="shared" ref="D16" si="1">SUM(D17:D18)</f>
        <v>53480063</v>
      </c>
    </row>
    <row r="17" spans="1:4" ht="20.45" customHeight="1" x14ac:dyDescent="0.25">
      <c r="A17" s="3613" t="s">
        <v>145</v>
      </c>
      <c r="B17" s="1847" t="s">
        <v>391</v>
      </c>
      <c r="C17" s="220" t="s">
        <v>2065</v>
      </c>
      <c r="D17" s="3867">
        <v>44880813</v>
      </c>
    </row>
    <row r="18" spans="1:4" ht="20.45" customHeight="1" x14ac:dyDescent="0.25">
      <c r="A18" s="3613" t="s">
        <v>147</v>
      </c>
      <c r="B18" s="1847" t="s">
        <v>392</v>
      </c>
      <c r="C18" s="220" t="s">
        <v>2065</v>
      </c>
      <c r="D18" s="3867">
        <v>8599250</v>
      </c>
    </row>
    <row r="19" spans="1:4" ht="20.45" customHeight="1" x14ac:dyDescent="0.25">
      <c r="A19" s="3613" t="s">
        <v>246</v>
      </c>
      <c r="B19" s="2385" t="s">
        <v>393</v>
      </c>
      <c r="C19" s="220" t="s">
        <v>2065</v>
      </c>
      <c r="D19" s="3867">
        <v>10668400</v>
      </c>
    </row>
    <row r="20" spans="1:4" ht="20.45" customHeight="1" x14ac:dyDescent="0.25">
      <c r="A20" s="3613" t="s">
        <v>247</v>
      </c>
      <c r="B20" s="1847" t="s">
        <v>394</v>
      </c>
      <c r="C20" s="220" t="s">
        <v>2065</v>
      </c>
      <c r="D20" s="3867">
        <v>6200000</v>
      </c>
    </row>
    <row r="21" spans="1:4" ht="20.45" customHeight="1" x14ac:dyDescent="0.25">
      <c r="A21" s="3613" t="s">
        <v>248</v>
      </c>
      <c r="B21" s="423" t="s">
        <v>395</v>
      </c>
      <c r="C21" s="220" t="s">
        <v>2065</v>
      </c>
      <c r="D21" s="3867">
        <v>1750000</v>
      </c>
    </row>
    <row r="22" spans="1:4" ht="20.45" customHeight="1" x14ac:dyDescent="0.25">
      <c r="A22" s="3613" t="s">
        <v>884</v>
      </c>
      <c r="B22" s="3869" t="s">
        <v>1655</v>
      </c>
      <c r="C22" s="220" t="s">
        <v>2065</v>
      </c>
      <c r="D22" s="3867">
        <v>540000</v>
      </c>
    </row>
    <row r="23" spans="1:4" ht="20.45" customHeight="1" x14ac:dyDescent="0.25">
      <c r="A23" s="3613" t="s">
        <v>885</v>
      </c>
      <c r="B23" s="3869" t="s">
        <v>1656</v>
      </c>
      <c r="C23" s="220" t="s">
        <v>2065</v>
      </c>
      <c r="D23" s="3867">
        <v>1200000</v>
      </c>
    </row>
    <row r="24" spans="1:4" ht="20.45" customHeight="1" x14ac:dyDescent="0.25">
      <c r="A24" s="3613" t="s">
        <v>249</v>
      </c>
      <c r="B24" s="3869" t="s">
        <v>1657</v>
      </c>
      <c r="C24" s="220" t="s">
        <v>2065</v>
      </c>
      <c r="D24" s="3867">
        <v>35000000</v>
      </c>
    </row>
    <row r="25" spans="1:4" ht="20.45" customHeight="1" x14ac:dyDescent="0.25">
      <c r="A25" s="3613" t="s">
        <v>276</v>
      </c>
      <c r="B25" s="3869" t="s">
        <v>1658</v>
      </c>
      <c r="C25" s="220" t="s">
        <v>2065</v>
      </c>
      <c r="D25" s="3867">
        <v>100000</v>
      </c>
    </row>
    <row r="26" spans="1:4" ht="20.45" customHeight="1" x14ac:dyDescent="0.25">
      <c r="A26" s="3613" t="s">
        <v>250</v>
      </c>
      <c r="B26" s="3869" t="s">
        <v>1659</v>
      </c>
      <c r="C26" s="220" t="s">
        <v>2065</v>
      </c>
      <c r="D26" s="3867">
        <v>100000</v>
      </c>
    </row>
    <row r="27" spans="1:4" ht="20.45" customHeight="1" x14ac:dyDescent="0.25">
      <c r="A27" s="3613" t="s">
        <v>253</v>
      </c>
      <c r="B27" s="3869" t="s">
        <v>1660</v>
      </c>
      <c r="C27" s="220" t="s">
        <v>2065</v>
      </c>
      <c r="D27" s="3867">
        <v>100000</v>
      </c>
    </row>
    <row r="28" spans="1:4" ht="20.45" customHeight="1" x14ac:dyDescent="0.25">
      <c r="A28" s="3613" t="s">
        <v>256</v>
      </c>
      <c r="B28" s="3869" t="s">
        <v>1661</v>
      </c>
      <c r="C28" s="220" t="s">
        <v>2065</v>
      </c>
      <c r="D28" s="3867">
        <v>150000</v>
      </c>
    </row>
    <row r="29" spans="1:4" ht="20.45" customHeight="1" x14ac:dyDescent="0.25">
      <c r="A29" s="3613" t="s">
        <v>2066</v>
      </c>
      <c r="B29" s="3869" t="s">
        <v>1663</v>
      </c>
      <c r="C29" s="220" t="s">
        <v>2065</v>
      </c>
      <c r="D29" s="3867">
        <v>280000</v>
      </c>
    </row>
    <row r="30" spans="1:4" ht="20.45" customHeight="1" x14ac:dyDescent="0.25">
      <c r="A30" s="3613" t="s">
        <v>2067</v>
      </c>
      <c r="B30" s="3869" t="s">
        <v>1664</v>
      </c>
      <c r="C30" s="220" t="s">
        <v>2065</v>
      </c>
      <c r="D30" s="3867">
        <v>150000</v>
      </c>
    </row>
    <row r="31" spans="1:4" ht="20.45" customHeight="1" x14ac:dyDescent="0.25">
      <c r="A31" s="3613" t="s">
        <v>2068</v>
      </c>
      <c r="B31" s="3869" t="s">
        <v>1665</v>
      </c>
      <c r="C31" s="220" t="s">
        <v>2065</v>
      </c>
      <c r="D31" s="3867">
        <v>700000</v>
      </c>
    </row>
    <row r="32" spans="1:4" ht="20.45" customHeight="1" x14ac:dyDescent="0.25">
      <c r="A32" s="3613" t="s">
        <v>2069</v>
      </c>
      <c r="B32" s="3869" t="s">
        <v>1667</v>
      </c>
      <c r="C32" s="220" t="s">
        <v>2065</v>
      </c>
      <c r="D32" s="3867">
        <v>300000</v>
      </c>
    </row>
    <row r="33" spans="1:4" ht="20.45" customHeight="1" x14ac:dyDescent="0.25">
      <c r="A33" s="3613" t="s">
        <v>2070</v>
      </c>
      <c r="B33" s="3869" t="s">
        <v>1670</v>
      </c>
      <c r="C33" s="220" t="s">
        <v>2065</v>
      </c>
      <c r="D33" s="3867">
        <v>50000</v>
      </c>
    </row>
    <row r="34" spans="1:4" ht="20.45" customHeight="1" x14ac:dyDescent="0.25">
      <c r="A34" s="3613" t="s">
        <v>2071</v>
      </c>
      <c r="B34" s="3869" t="s">
        <v>1672</v>
      </c>
      <c r="C34" s="220" t="s">
        <v>2065</v>
      </c>
      <c r="D34" s="3867">
        <v>400000</v>
      </c>
    </row>
    <row r="35" spans="1:4" ht="20.45" customHeight="1" x14ac:dyDescent="0.25">
      <c r="A35" s="3613" t="s">
        <v>2072</v>
      </c>
      <c r="B35" s="3869" t="s">
        <v>1680</v>
      </c>
      <c r="C35" s="220" t="s">
        <v>2065</v>
      </c>
      <c r="D35" s="3867">
        <v>350000</v>
      </c>
    </row>
    <row r="36" spans="1:4" ht="20.45" customHeight="1" x14ac:dyDescent="0.25">
      <c r="A36" s="3613" t="s">
        <v>2073</v>
      </c>
      <c r="B36" s="3869" t="s">
        <v>1681</v>
      </c>
      <c r="C36" s="220" t="s">
        <v>2065</v>
      </c>
      <c r="D36" s="3867">
        <v>100000</v>
      </c>
    </row>
    <row r="37" spans="1:4" ht="20.45" customHeight="1" x14ac:dyDescent="0.25">
      <c r="A37" s="3613" t="s">
        <v>2074</v>
      </c>
      <c r="B37" s="3869" t="s">
        <v>1689</v>
      </c>
      <c r="C37" s="220" t="s">
        <v>2065</v>
      </c>
      <c r="D37" s="3867">
        <v>100000</v>
      </c>
    </row>
    <row r="38" spans="1:4" ht="20.45" customHeight="1" x14ac:dyDescent="0.25">
      <c r="A38" s="3613" t="s">
        <v>2075</v>
      </c>
      <c r="B38" s="3869" t="s">
        <v>1957</v>
      </c>
      <c r="C38" s="220" t="s">
        <v>2065</v>
      </c>
      <c r="D38" s="3867">
        <v>120000</v>
      </c>
    </row>
    <row r="39" spans="1:4" ht="20.45" customHeight="1" x14ac:dyDescent="0.25">
      <c r="A39" s="3613" t="s">
        <v>2076</v>
      </c>
      <c r="B39" s="217" t="s">
        <v>397</v>
      </c>
      <c r="C39" s="220" t="s">
        <v>2065</v>
      </c>
      <c r="D39" s="3866">
        <f>SUM(D40:D77)-D42</f>
        <v>98055360</v>
      </c>
    </row>
    <row r="40" spans="1:4" ht="20.45" customHeight="1" x14ac:dyDescent="0.25">
      <c r="A40" s="3613" t="s">
        <v>2077</v>
      </c>
      <c r="B40" s="3868" t="s">
        <v>985</v>
      </c>
      <c r="C40" s="220" t="s">
        <v>2065</v>
      </c>
      <c r="D40" s="3867">
        <v>1310000</v>
      </c>
    </row>
    <row r="41" spans="1:4" ht="20.45" customHeight="1" x14ac:dyDescent="0.25">
      <c r="A41" s="3613" t="s">
        <v>2078</v>
      </c>
      <c r="B41" s="2385" t="s">
        <v>398</v>
      </c>
      <c r="C41" s="220" t="s">
        <v>2065</v>
      </c>
      <c r="D41" s="3867">
        <f>SUM(D42:D42)</f>
        <v>620000</v>
      </c>
    </row>
    <row r="42" spans="1:4" ht="20.45" customHeight="1" x14ac:dyDescent="0.25">
      <c r="A42" s="3613" t="s">
        <v>2079</v>
      </c>
      <c r="B42" s="2386" t="s">
        <v>400</v>
      </c>
      <c r="C42" s="220" t="s">
        <v>2065</v>
      </c>
      <c r="D42" s="3867">
        <v>620000</v>
      </c>
    </row>
    <row r="43" spans="1:4" ht="20.45" customHeight="1" x14ac:dyDescent="0.25">
      <c r="A43" s="3613" t="s">
        <v>2080</v>
      </c>
      <c r="B43" s="3868" t="s">
        <v>401</v>
      </c>
      <c r="C43" s="220" t="s">
        <v>2065</v>
      </c>
      <c r="D43" s="3867">
        <v>5300000</v>
      </c>
    </row>
    <row r="44" spans="1:4" ht="20.45" customHeight="1" x14ac:dyDescent="0.25">
      <c r="A44" s="3613" t="s">
        <v>2081</v>
      </c>
      <c r="B44" s="3868" t="s">
        <v>402</v>
      </c>
      <c r="C44" s="220" t="s">
        <v>2065</v>
      </c>
      <c r="D44" s="3867">
        <v>39720000</v>
      </c>
    </row>
    <row r="45" spans="1:4" ht="20.45" customHeight="1" x14ac:dyDescent="0.25">
      <c r="A45" s="3613" t="s">
        <v>2082</v>
      </c>
      <c r="B45" s="2594" t="s">
        <v>762</v>
      </c>
      <c r="C45" s="220" t="s">
        <v>2065</v>
      </c>
      <c r="D45" s="3867">
        <v>1000000</v>
      </c>
    </row>
    <row r="46" spans="1:4" ht="20.45" customHeight="1" x14ac:dyDescent="0.25">
      <c r="A46" s="3613" t="s">
        <v>2083</v>
      </c>
      <c r="B46" s="3870" t="s">
        <v>1048</v>
      </c>
      <c r="C46" s="220" t="s">
        <v>2065</v>
      </c>
      <c r="D46" s="3867">
        <v>4000000</v>
      </c>
    </row>
    <row r="47" spans="1:4" ht="20.45" customHeight="1" x14ac:dyDescent="0.25">
      <c r="A47" s="3613" t="s">
        <v>2084</v>
      </c>
      <c r="B47" s="2584" t="s">
        <v>1115</v>
      </c>
      <c r="C47" s="3616" t="s">
        <v>2065</v>
      </c>
      <c r="D47" s="3867">
        <v>2362560</v>
      </c>
    </row>
    <row r="48" spans="1:4" ht="20.45" customHeight="1" x14ac:dyDescent="0.25">
      <c r="A48" s="3613" t="s">
        <v>2085</v>
      </c>
      <c r="B48" s="2584" t="s">
        <v>987</v>
      </c>
      <c r="C48" s="3616" t="s">
        <v>2065</v>
      </c>
      <c r="D48" s="3867">
        <v>156000</v>
      </c>
    </row>
    <row r="49" spans="1:4" ht="20.45" customHeight="1" x14ac:dyDescent="0.25">
      <c r="A49" s="3613" t="s">
        <v>2086</v>
      </c>
      <c r="B49" s="2584" t="s">
        <v>1662</v>
      </c>
      <c r="C49" s="3616" t="s">
        <v>2065</v>
      </c>
      <c r="D49" s="3867">
        <v>200000</v>
      </c>
    </row>
    <row r="50" spans="1:4" ht="20.45" customHeight="1" x14ac:dyDescent="0.25">
      <c r="A50" s="3613" t="s">
        <v>2087</v>
      </c>
      <c r="B50" s="2584" t="s">
        <v>1668</v>
      </c>
      <c r="C50" s="3616" t="s">
        <v>2065</v>
      </c>
      <c r="D50" s="3867">
        <v>100000</v>
      </c>
    </row>
    <row r="51" spans="1:4" ht="20.45" customHeight="1" x14ac:dyDescent="0.25">
      <c r="A51" s="3613" t="s">
        <v>2088</v>
      </c>
      <c r="B51" s="2584" t="s">
        <v>1671</v>
      </c>
      <c r="C51" s="3616" t="s">
        <v>2065</v>
      </c>
      <c r="D51" s="3867">
        <v>208000</v>
      </c>
    </row>
    <row r="52" spans="1:4" ht="20.45" customHeight="1" x14ac:dyDescent="0.25">
      <c r="A52" s="3613" t="s">
        <v>2089</v>
      </c>
      <c r="B52" s="2584" t="s">
        <v>2035</v>
      </c>
      <c r="C52" s="3616" t="s">
        <v>2065</v>
      </c>
      <c r="D52" s="3867">
        <v>5230000</v>
      </c>
    </row>
    <row r="53" spans="1:4" ht="20.45" customHeight="1" x14ac:dyDescent="0.25">
      <c r="A53" s="3613" t="s">
        <v>2090</v>
      </c>
      <c r="B53" s="2584" t="s">
        <v>1673</v>
      </c>
      <c r="C53" s="3616" t="s">
        <v>2065</v>
      </c>
      <c r="D53" s="3867">
        <v>767000</v>
      </c>
    </row>
    <row r="54" spans="1:4" ht="20.45" customHeight="1" x14ac:dyDescent="0.25">
      <c r="A54" s="3613" t="s">
        <v>2091</v>
      </c>
      <c r="B54" s="2584" t="s">
        <v>1674</v>
      </c>
      <c r="C54" s="3616" t="s">
        <v>2065</v>
      </c>
      <c r="D54" s="3867">
        <v>590000</v>
      </c>
    </row>
    <row r="55" spans="1:4" ht="20.45" customHeight="1" x14ac:dyDescent="0.25">
      <c r="A55" s="3613" t="s">
        <v>2092</v>
      </c>
      <c r="B55" s="2584" t="s">
        <v>1675</v>
      </c>
      <c r="C55" s="3616" t="s">
        <v>2065</v>
      </c>
      <c r="D55" s="3867">
        <v>350000</v>
      </c>
    </row>
    <row r="56" spans="1:4" ht="20.45" customHeight="1" x14ac:dyDescent="0.25">
      <c r="A56" s="3613" t="s">
        <v>2093</v>
      </c>
      <c r="B56" s="2584" t="s">
        <v>1676</v>
      </c>
      <c r="C56" s="3616" t="s">
        <v>2065</v>
      </c>
      <c r="D56" s="3867">
        <v>330000</v>
      </c>
    </row>
    <row r="57" spans="1:4" ht="20.45" customHeight="1" x14ac:dyDescent="0.25">
      <c r="A57" s="3613" t="s">
        <v>2094</v>
      </c>
      <c r="B57" s="2584" t="s">
        <v>1677</v>
      </c>
      <c r="C57" s="3616" t="s">
        <v>2065</v>
      </c>
      <c r="D57" s="3867">
        <v>100000</v>
      </c>
    </row>
    <row r="58" spans="1:4" ht="20.45" customHeight="1" x14ac:dyDescent="0.25">
      <c r="A58" s="3613" t="s">
        <v>2095</v>
      </c>
      <c r="B58" s="2584" t="s">
        <v>1678</v>
      </c>
      <c r="C58" s="3616" t="s">
        <v>2065</v>
      </c>
      <c r="D58" s="3867">
        <v>75000</v>
      </c>
    </row>
    <row r="59" spans="1:4" ht="20.45" customHeight="1" x14ac:dyDescent="0.25">
      <c r="A59" s="3613" t="s">
        <v>2096</v>
      </c>
      <c r="B59" s="2584" t="s">
        <v>1679</v>
      </c>
      <c r="C59" s="3616" t="s">
        <v>2065</v>
      </c>
      <c r="D59" s="3867">
        <v>950000</v>
      </c>
    </row>
    <row r="60" spans="1:4" ht="20.45" customHeight="1" x14ac:dyDescent="0.25">
      <c r="A60" s="3613" t="s">
        <v>2097</v>
      </c>
      <c r="B60" s="2584" t="s">
        <v>1682</v>
      </c>
      <c r="C60" s="3616" t="s">
        <v>2065</v>
      </c>
      <c r="D60" s="3867">
        <v>140000</v>
      </c>
    </row>
    <row r="61" spans="1:4" ht="20.45" customHeight="1" x14ac:dyDescent="0.25">
      <c r="A61" s="3613" t="s">
        <v>2098</v>
      </c>
      <c r="B61" s="2584" t="s">
        <v>1683</v>
      </c>
      <c r="C61" s="3616" t="s">
        <v>2065</v>
      </c>
      <c r="D61" s="3867">
        <v>18328000</v>
      </c>
    </row>
    <row r="62" spans="1:4" ht="20.45" customHeight="1" x14ac:dyDescent="0.25">
      <c r="A62" s="3613" t="s">
        <v>2099</v>
      </c>
      <c r="B62" s="2584" t="s">
        <v>1684</v>
      </c>
      <c r="C62" s="3616" t="s">
        <v>2065</v>
      </c>
      <c r="D62" s="3867">
        <v>50000</v>
      </c>
    </row>
    <row r="63" spans="1:4" ht="20.45" customHeight="1" x14ac:dyDescent="0.25">
      <c r="A63" s="3613" t="s">
        <v>2100</v>
      </c>
      <c r="B63" s="2584" t="s">
        <v>1685</v>
      </c>
      <c r="C63" s="3616" t="s">
        <v>2065</v>
      </c>
      <c r="D63" s="3867">
        <v>5000000</v>
      </c>
    </row>
    <row r="64" spans="1:4" ht="20.45" customHeight="1" x14ac:dyDescent="0.25">
      <c r="A64" s="3613" t="s">
        <v>2101</v>
      </c>
      <c r="B64" s="2584" t="s">
        <v>1686</v>
      </c>
      <c r="C64" s="3616" t="s">
        <v>2065</v>
      </c>
      <c r="D64" s="3867">
        <v>50000</v>
      </c>
    </row>
    <row r="65" spans="1:4" ht="20.45" customHeight="1" x14ac:dyDescent="0.25">
      <c r="A65" s="3613" t="s">
        <v>2102</v>
      </c>
      <c r="B65" s="2584" t="s">
        <v>1687</v>
      </c>
      <c r="C65" s="3616" t="s">
        <v>2065</v>
      </c>
      <c r="D65" s="3867">
        <v>800000</v>
      </c>
    </row>
    <row r="66" spans="1:4" ht="20.45" customHeight="1" x14ac:dyDescent="0.25">
      <c r="A66" s="3613" t="s">
        <v>2103</v>
      </c>
      <c r="B66" s="2584" t="s">
        <v>1688</v>
      </c>
      <c r="C66" s="3616" t="s">
        <v>2065</v>
      </c>
      <c r="D66" s="3867">
        <v>450000</v>
      </c>
    </row>
    <row r="67" spans="1:4" ht="20.45" customHeight="1" x14ac:dyDescent="0.25">
      <c r="A67" s="3613" t="s">
        <v>2104</v>
      </c>
      <c r="B67" s="2584" t="s">
        <v>1903</v>
      </c>
      <c r="C67" s="3616" t="s">
        <v>2065</v>
      </c>
      <c r="D67" s="3867">
        <v>50000</v>
      </c>
    </row>
    <row r="68" spans="1:4" ht="20.45" customHeight="1" x14ac:dyDescent="0.25">
      <c r="A68" s="3613" t="s">
        <v>2105</v>
      </c>
      <c r="B68" s="2584" t="s">
        <v>1905</v>
      </c>
      <c r="C68" s="3616" t="s">
        <v>2065</v>
      </c>
      <c r="D68" s="3867">
        <v>200000</v>
      </c>
    </row>
    <row r="69" spans="1:4" ht="20.45" customHeight="1" x14ac:dyDescent="0.25">
      <c r="A69" s="3613" t="s">
        <v>2106</v>
      </c>
      <c r="B69" s="2584" t="s">
        <v>1907</v>
      </c>
      <c r="C69" s="3616" t="s">
        <v>2065</v>
      </c>
      <c r="D69" s="3867">
        <v>7456800</v>
      </c>
    </row>
    <row r="70" spans="1:4" ht="20.45" customHeight="1" x14ac:dyDescent="0.25">
      <c r="A70" s="3613" t="s">
        <v>2107</v>
      </c>
      <c r="B70" s="2584" t="s">
        <v>1909</v>
      </c>
      <c r="C70" s="3616" t="s">
        <v>2065</v>
      </c>
      <c r="D70" s="3867">
        <v>50000</v>
      </c>
    </row>
    <row r="71" spans="1:4" ht="20.45" customHeight="1" x14ac:dyDescent="0.25">
      <c r="A71" s="3613" t="s">
        <v>2108</v>
      </c>
      <c r="B71" s="2584" t="s">
        <v>1911</v>
      </c>
      <c r="C71" s="3616" t="s">
        <v>2065</v>
      </c>
      <c r="D71" s="3867">
        <v>50000</v>
      </c>
    </row>
    <row r="72" spans="1:4" ht="20.45" customHeight="1" x14ac:dyDescent="0.25">
      <c r="A72" s="3613" t="s">
        <v>2109</v>
      </c>
      <c r="B72" s="2584" t="s">
        <v>1914</v>
      </c>
      <c r="C72" s="3616" t="s">
        <v>2065</v>
      </c>
      <c r="D72" s="3867">
        <v>112000</v>
      </c>
    </row>
    <row r="73" spans="1:4" ht="20.45" customHeight="1" x14ac:dyDescent="0.25">
      <c r="A73" s="3613" t="s">
        <v>2110</v>
      </c>
      <c r="B73" s="2584" t="s">
        <v>1915</v>
      </c>
      <c r="C73" s="3616" t="s">
        <v>2065</v>
      </c>
      <c r="D73" s="3867">
        <v>1000000</v>
      </c>
    </row>
    <row r="74" spans="1:4" ht="20.45" customHeight="1" x14ac:dyDescent="0.25">
      <c r="A74" s="3613" t="s">
        <v>2111</v>
      </c>
      <c r="B74" s="2584" t="s">
        <v>1918</v>
      </c>
      <c r="C74" s="3616" t="s">
        <v>2065</v>
      </c>
      <c r="D74" s="3867">
        <v>200000</v>
      </c>
    </row>
    <row r="75" spans="1:4" ht="20.45" customHeight="1" x14ac:dyDescent="0.25">
      <c r="A75" s="3613" t="s">
        <v>2112</v>
      </c>
      <c r="B75" s="2584" t="s">
        <v>1919</v>
      </c>
      <c r="C75" s="3616" t="s">
        <v>2065</v>
      </c>
      <c r="D75" s="3867">
        <v>100000</v>
      </c>
    </row>
    <row r="76" spans="1:4" ht="20.45" customHeight="1" x14ac:dyDescent="0.25">
      <c r="A76" s="3613" t="s">
        <v>2113</v>
      </c>
      <c r="B76" s="2584" t="s">
        <v>1960</v>
      </c>
      <c r="C76" s="3616" t="s">
        <v>2065</v>
      </c>
      <c r="D76" s="3867">
        <v>150000</v>
      </c>
    </row>
    <row r="77" spans="1:4" ht="20.45" customHeight="1" x14ac:dyDescent="0.25">
      <c r="A77" s="3613" t="s">
        <v>2114</v>
      </c>
      <c r="B77" s="2584" t="s">
        <v>1961</v>
      </c>
      <c r="C77" s="3616" t="s">
        <v>2065</v>
      </c>
      <c r="D77" s="3867">
        <v>500000</v>
      </c>
    </row>
    <row r="78" spans="1:4" ht="19.5" thickBot="1" x14ac:dyDescent="0.35">
      <c r="A78" s="3617"/>
      <c r="B78" s="3618" t="s">
        <v>712</v>
      </c>
      <c r="C78" s="3619"/>
      <c r="D78" s="3620">
        <f>SUM(D39+D15+D3)</f>
        <v>225063823</v>
      </c>
    </row>
  </sheetData>
  <pageMargins left="0.47244094488188981" right="0.35433070866141736" top="0.9055118110236221" bottom="0.39370078740157483" header="0.31496062992125984" footer="0.15748031496062992"/>
  <pageSetup paperSize="9" scale="85" firstPageNumber="116" orientation="portrait" useFirstPageNumber="1" r:id="rId1"/>
  <headerFooter>
    <oddHeader>&amp;C&amp;"Times New Roman CE,Félkövér"&amp;14Kimutatás Vecsés Város Önkormányzat 2018. évi 
céljellegű támogatásairól&amp;R9. számú melléklet</oddHeader>
    <oddFooter>&amp;C&amp;12- &amp;P -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J20"/>
  <sheetViews>
    <sheetView workbookViewId="0">
      <selection activeCell="J21" sqref="J21"/>
    </sheetView>
  </sheetViews>
  <sheetFormatPr defaultColWidth="9.33203125" defaultRowHeight="12.75" x14ac:dyDescent="0.2"/>
  <cols>
    <col min="1" max="1" width="6.83203125" style="3622" customWidth="1"/>
    <col min="2" max="2" width="49.6640625" style="3623" customWidth="1"/>
    <col min="3" max="4" width="12.83203125" style="3623" customWidth="1"/>
    <col min="5" max="5" width="14" style="3623" customWidth="1"/>
    <col min="6" max="7" width="15" style="3623" customWidth="1"/>
    <col min="8" max="8" width="14.6640625" style="3623" customWidth="1"/>
    <col min="9" max="9" width="13.83203125" style="3623" customWidth="1"/>
    <col min="10" max="16384" width="9.33203125" style="3623"/>
  </cols>
  <sheetData>
    <row r="1" spans="1:10" ht="25.15" customHeight="1" thickBot="1" x14ac:dyDescent="0.3">
      <c r="I1" s="3624" t="s">
        <v>2126</v>
      </c>
    </row>
    <row r="2" spans="1:10" s="3625" customFormat="1" ht="18.75" x14ac:dyDescent="0.2">
      <c r="A2" s="4690" t="s">
        <v>1</v>
      </c>
      <c r="B2" s="4692" t="s">
        <v>2116</v>
      </c>
      <c r="C2" s="4690" t="s">
        <v>2117</v>
      </c>
      <c r="D2" s="4690" t="s">
        <v>2125</v>
      </c>
      <c r="E2" s="4694"/>
      <c r="F2" s="4694"/>
      <c r="G2" s="4694"/>
      <c r="H2" s="4695"/>
      <c r="I2" s="4692" t="s">
        <v>477</v>
      </c>
    </row>
    <row r="3" spans="1:10" s="3628" customFormat="1" ht="38.25" thickBot="1" x14ac:dyDescent="0.25">
      <c r="A3" s="4691"/>
      <c r="B3" s="4693"/>
      <c r="C3" s="4693"/>
      <c r="D3" s="4691"/>
      <c r="E3" s="3626" t="s">
        <v>2040</v>
      </c>
      <c r="F3" s="3626" t="s">
        <v>2041</v>
      </c>
      <c r="G3" s="3626" t="s">
        <v>2043</v>
      </c>
      <c r="H3" s="3627" t="s">
        <v>2044</v>
      </c>
      <c r="I3" s="4693"/>
    </row>
    <row r="4" spans="1:10" s="3630" customFormat="1" ht="33.75" thickBot="1" x14ac:dyDescent="0.25">
      <c r="A4" s="3629">
        <v>1</v>
      </c>
      <c r="B4" s="3629">
        <v>2</v>
      </c>
      <c r="C4" s="3629">
        <v>3</v>
      </c>
      <c r="D4" s="3629">
        <v>4</v>
      </c>
      <c r="E4" s="3629">
        <v>5</v>
      </c>
      <c r="F4" s="3629">
        <v>6</v>
      </c>
      <c r="G4" s="3629">
        <v>7</v>
      </c>
      <c r="H4" s="3629">
        <v>8</v>
      </c>
      <c r="I4" s="3629" t="s">
        <v>2118</v>
      </c>
    </row>
    <row r="5" spans="1:10" s="3636" customFormat="1" ht="32.25" thickBot="1" x14ac:dyDescent="0.25">
      <c r="A5" s="3631" t="s">
        <v>3</v>
      </c>
      <c r="B5" s="3632" t="s">
        <v>2119</v>
      </c>
      <c r="C5" s="3633"/>
      <c r="D5" s="3634">
        <f>SUM(D6:D6)</f>
        <v>0</v>
      </c>
      <c r="E5" s="3634">
        <f>SUM(E6:E6)</f>
        <v>0</v>
      </c>
      <c r="F5" s="3634">
        <f>SUM(F6:F6)</f>
        <v>0</v>
      </c>
      <c r="G5" s="3634"/>
      <c r="H5" s="3634">
        <f>SUM(H6:H6)</f>
        <v>0</v>
      </c>
      <c r="I5" s="3635">
        <f>SUM(D5:H5)</f>
        <v>0</v>
      </c>
    </row>
    <row r="6" spans="1:10" s="3636" customFormat="1" ht="16.5" thickBot="1" x14ac:dyDescent="0.25">
      <c r="A6" s="3631" t="s">
        <v>17</v>
      </c>
      <c r="B6" s="3637"/>
      <c r="C6" s="3638"/>
      <c r="D6" s="3639"/>
      <c r="E6" s="3639"/>
      <c r="F6" s="3639"/>
      <c r="G6" s="3639"/>
      <c r="H6" s="3639"/>
      <c r="I6" s="3635">
        <f>SUM(D6:H6)</f>
        <v>0</v>
      </c>
    </row>
    <row r="7" spans="1:10" s="3636" customFormat="1" ht="32.25" thickBot="1" x14ac:dyDescent="0.25">
      <c r="A7" s="3631" t="s">
        <v>31</v>
      </c>
      <c r="B7" s="3640" t="s">
        <v>2120</v>
      </c>
      <c r="C7" s="3641"/>
      <c r="D7" s="3642">
        <f>SUM(D8:D9)</f>
        <v>0</v>
      </c>
      <c r="E7" s="3642">
        <f>SUM(E8:E9)</f>
        <v>0</v>
      </c>
      <c r="F7" s="3642">
        <f>SUM(F8:F9)</f>
        <v>0</v>
      </c>
      <c r="G7" s="3642">
        <f>SUM(G8:G9)</f>
        <v>0</v>
      </c>
      <c r="H7" s="3642">
        <f>SUM(H8:H9)</f>
        <v>0</v>
      </c>
      <c r="I7" s="3643">
        <f>SUM(D7:H7)</f>
        <v>0</v>
      </c>
    </row>
    <row r="8" spans="1:10" s="3636" customFormat="1" ht="16.5" thickBot="1" x14ac:dyDescent="0.25">
      <c r="A8" s="3631" t="s">
        <v>45</v>
      </c>
      <c r="B8" s="3644"/>
      <c r="C8" s="3645"/>
      <c r="D8" s="3646"/>
      <c r="E8" s="3646"/>
      <c r="F8" s="3647"/>
      <c r="G8" s="3647"/>
      <c r="H8" s="3647"/>
      <c r="I8" s="3643">
        <f>SUM(D8:H8)</f>
        <v>0</v>
      </c>
    </row>
    <row r="9" spans="1:10" s="3636" customFormat="1" ht="16.5" thickBot="1" x14ac:dyDescent="0.25">
      <c r="A9" s="3631" t="s">
        <v>67</v>
      </c>
      <c r="B9" s="3644"/>
      <c r="C9" s="3645"/>
      <c r="D9" s="3646"/>
      <c r="E9" s="3647"/>
      <c r="F9" s="3647"/>
      <c r="G9" s="3647"/>
      <c r="H9" s="3647"/>
      <c r="I9" s="3643">
        <f>SUM(D9:H9)</f>
        <v>0</v>
      </c>
    </row>
    <row r="10" spans="1:10" s="3636" customFormat="1" ht="16.5" thickBot="1" x14ac:dyDescent="0.25">
      <c r="A10" s="3631" t="s">
        <v>101</v>
      </c>
      <c r="B10" s="3640" t="s">
        <v>2121</v>
      </c>
      <c r="C10" s="3633"/>
      <c r="D10" s="3634">
        <f>SUM(D11:D11)</f>
        <v>0</v>
      </c>
      <c r="E10" s="3634">
        <f>SUM(E11:E11)</f>
        <v>0</v>
      </c>
      <c r="F10" s="3634">
        <f>SUM(F11:F11)</f>
        <v>0</v>
      </c>
      <c r="G10" s="3634"/>
      <c r="H10" s="3634">
        <f>SUM(H11:H11)</f>
        <v>0</v>
      </c>
      <c r="I10" s="3635">
        <f t="shared" ref="I10:I17" si="0">SUM(D10:H10)</f>
        <v>0</v>
      </c>
    </row>
    <row r="11" spans="1:10" s="3636" customFormat="1" ht="16.5" thickBot="1" x14ac:dyDescent="0.25">
      <c r="A11" s="3631" t="s">
        <v>109</v>
      </c>
      <c r="B11" s="3637"/>
      <c r="C11" s="3638"/>
      <c r="D11" s="3639"/>
      <c r="E11" s="3639"/>
      <c r="F11" s="3639"/>
      <c r="G11" s="3639"/>
      <c r="H11" s="3639"/>
      <c r="I11" s="3635">
        <f t="shared" si="0"/>
        <v>0</v>
      </c>
    </row>
    <row r="12" spans="1:10" s="3636" customFormat="1" ht="16.5" thickBot="1" x14ac:dyDescent="0.25">
      <c r="A12" s="3631" t="s">
        <v>119</v>
      </c>
      <c r="B12" s="3640" t="s">
        <v>2122</v>
      </c>
      <c r="C12" s="3633"/>
      <c r="D12" s="3634">
        <f>SUM(D13:D13)</f>
        <v>0</v>
      </c>
      <c r="E12" s="3634">
        <f>SUM(E13:E13)</f>
        <v>0</v>
      </c>
      <c r="F12" s="3634">
        <f>SUM(F13:F13)</f>
        <v>0</v>
      </c>
      <c r="G12" s="3634"/>
      <c r="H12" s="3634">
        <f>SUM(H13:H13)</f>
        <v>0</v>
      </c>
      <c r="I12" s="3635">
        <f t="shared" si="0"/>
        <v>0</v>
      </c>
      <c r="J12" s="3648"/>
    </row>
    <row r="13" spans="1:10" s="3636" customFormat="1" ht="16.5" thickBot="1" x14ac:dyDescent="0.25">
      <c r="A13" s="3631" t="s">
        <v>125</v>
      </c>
      <c r="B13" s="3637"/>
      <c r="C13" s="3638"/>
      <c r="D13" s="3639"/>
      <c r="E13" s="3639"/>
      <c r="F13" s="3639"/>
      <c r="G13" s="3639"/>
      <c r="H13" s="3639"/>
      <c r="I13" s="3635">
        <f t="shared" si="0"/>
        <v>0</v>
      </c>
    </row>
    <row r="14" spans="1:10" s="3636" customFormat="1" ht="16.5" thickBot="1" x14ac:dyDescent="0.25">
      <c r="A14" s="3631" t="s">
        <v>133</v>
      </c>
      <c r="B14" s="3640" t="s">
        <v>2123</v>
      </c>
      <c r="C14" s="3633"/>
      <c r="D14" s="3639">
        <f>SUM(D15:D16)</f>
        <v>0</v>
      </c>
      <c r="E14" s="3639">
        <f>SUM(E15:E16)</f>
        <v>0</v>
      </c>
      <c r="F14" s="3639">
        <f>SUM(F15:F16)</f>
        <v>0</v>
      </c>
      <c r="G14" s="3639">
        <f>SUM(G15:G16)</f>
        <v>0</v>
      </c>
      <c r="H14" s="3639">
        <f>SUM(H15:H16)</f>
        <v>0</v>
      </c>
      <c r="I14" s="3635">
        <f t="shared" si="0"/>
        <v>0</v>
      </c>
    </row>
    <row r="15" spans="1:10" s="3636" customFormat="1" ht="16.5" thickBot="1" x14ac:dyDescent="0.25">
      <c r="A15" s="3631" t="s">
        <v>143</v>
      </c>
      <c r="B15" s="3637"/>
      <c r="C15" s="3638"/>
      <c r="D15" s="3639"/>
      <c r="E15" s="3639"/>
      <c r="F15" s="3639">
        <v>0</v>
      </c>
      <c r="G15" s="3639"/>
      <c r="H15" s="3639"/>
      <c r="I15" s="3635">
        <f t="shared" si="0"/>
        <v>0</v>
      </c>
    </row>
    <row r="16" spans="1:10" s="3636" customFormat="1" ht="16.5" thickBot="1" x14ac:dyDescent="0.25">
      <c r="A16" s="3631" t="s">
        <v>145</v>
      </c>
      <c r="B16" s="3637"/>
      <c r="C16" s="3638"/>
      <c r="D16" s="3639"/>
      <c r="E16" s="3639"/>
      <c r="F16" s="3639"/>
      <c r="G16" s="3639"/>
      <c r="H16" s="3639">
        <v>0</v>
      </c>
      <c r="I16" s="3635">
        <f t="shared" si="0"/>
        <v>0</v>
      </c>
    </row>
    <row r="17" spans="1:9" s="3636" customFormat="1" ht="16.5" thickBot="1" x14ac:dyDescent="0.25">
      <c r="A17" s="4688" t="s">
        <v>2124</v>
      </c>
      <c r="B17" s="4688"/>
      <c r="C17" s="3649"/>
      <c r="D17" s="3634">
        <f>D5+D7+D10+D12+D14</f>
        <v>0</v>
      </c>
      <c r="E17" s="3634">
        <f>E5+E7+E10+E12+E14</f>
        <v>0</v>
      </c>
      <c r="F17" s="3634">
        <f>SUM(F7+F14)</f>
        <v>0</v>
      </c>
      <c r="G17" s="3634">
        <f>SUM(G7+G14)</f>
        <v>0</v>
      </c>
      <c r="H17" s="3634">
        <f>H5+H7+H10+H12+H14</f>
        <v>0</v>
      </c>
      <c r="I17" s="3635">
        <f t="shared" si="0"/>
        <v>0</v>
      </c>
    </row>
    <row r="20" spans="1:9" ht="18.75" x14ac:dyDescent="0.2">
      <c r="A20" s="3650"/>
      <c r="B20" s="4689"/>
      <c r="C20" s="4689"/>
      <c r="D20" s="4689"/>
      <c r="E20" s="4689"/>
      <c r="F20" s="4689"/>
      <c r="G20" s="4689"/>
      <c r="H20" s="4689"/>
      <c r="I20" s="4689"/>
    </row>
  </sheetData>
  <mergeCells count="8">
    <mergeCell ref="A17:B17"/>
    <mergeCell ref="B20:I20"/>
    <mergeCell ref="A2:A3"/>
    <mergeCell ref="B2:B3"/>
    <mergeCell ref="C2:C3"/>
    <mergeCell ref="D2:D3"/>
    <mergeCell ref="E2:H2"/>
    <mergeCell ref="I2:I3"/>
  </mergeCells>
  <pageMargins left="0.70866141732283472" right="0.59055118110236227" top="0.94488188976377963" bottom="0.74803149606299213" header="0.31496062992125984" footer="0.31496062992125984"/>
  <pageSetup paperSize="9" scale="95" firstPageNumber="118" orientation="landscape" useFirstPageNumber="1" r:id="rId1"/>
  <headerFooter>
    <oddHeader>&amp;C&amp;"Times New Roman CE,Félkövér"&amp;14Vecsés Város Önkormányzat többéves kihatással járó döntésekből származó 
kötelezettségek célok szerint, évenkénti bontásban&amp;R&amp;12 10. számú  melléklet</oddHeader>
    <oddFooter>&amp;C&amp;12- &amp;P -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F2B9A-EB2A-49A3-AAAD-F484BE608C6B}">
  <dimension ref="A1:I113"/>
  <sheetViews>
    <sheetView view="pageBreakPreview" topLeftCell="A51" zoomScale="80" zoomScaleNormal="100" zoomScaleSheetLayoutView="80" workbookViewId="0">
      <selection activeCell="G24" sqref="G24"/>
    </sheetView>
  </sheetViews>
  <sheetFormatPr defaultColWidth="9.33203125" defaultRowHeight="12.75" x14ac:dyDescent="0.2"/>
  <cols>
    <col min="1" max="1" width="41.1640625" style="3879" customWidth="1"/>
    <col min="2" max="2" width="16" style="3879" customWidth="1"/>
    <col min="3" max="3" width="15.1640625" style="3879" customWidth="1"/>
    <col min="4" max="4" width="16" style="3879" customWidth="1"/>
    <col min="5" max="5" width="16.83203125" style="3879" customWidth="1"/>
    <col min="6" max="6" width="9.33203125" style="3879"/>
    <col min="7" max="7" width="10" style="3879" bestFit="1" customWidth="1"/>
    <col min="8" max="9" width="10.83203125" style="3879" bestFit="1" customWidth="1"/>
    <col min="10" max="16384" width="9.33203125" style="3879"/>
  </cols>
  <sheetData>
    <row r="1" spans="1:8" ht="13.5" thickBot="1" x14ac:dyDescent="0.25"/>
    <row r="2" spans="1:8" ht="21.75" customHeight="1" x14ac:dyDescent="0.2">
      <c r="A2" s="3880" t="s">
        <v>2369</v>
      </c>
      <c r="B2" s="4698" t="s">
        <v>2370</v>
      </c>
      <c r="C2" s="4699"/>
      <c r="D2" s="4699"/>
      <c r="E2" s="4700"/>
    </row>
    <row r="3" spans="1:8" ht="15.75" x14ac:dyDescent="0.25">
      <c r="A3" s="3881"/>
      <c r="B3" s="3882"/>
      <c r="C3" s="3882"/>
      <c r="D3" s="4696"/>
      <c r="E3" s="4697"/>
      <c r="H3" s="3883"/>
    </row>
    <row r="4" spans="1:8" ht="15.75" x14ac:dyDescent="0.2">
      <c r="A4" s="3884" t="s">
        <v>2371</v>
      </c>
      <c r="B4" s="3885" t="s">
        <v>2372</v>
      </c>
      <c r="C4" s="3885" t="s">
        <v>2040</v>
      </c>
      <c r="D4" s="3885" t="s">
        <v>2373</v>
      </c>
      <c r="E4" s="3886" t="s">
        <v>477</v>
      </c>
    </row>
    <row r="5" spans="1:8" ht="15.75" x14ac:dyDescent="0.2">
      <c r="A5" s="3887" t="s">
        <v>2374</v>
      </c>
      <c r="B5" s="3888">
        <v>3910</v>
      </c>
      <c r="C5" s="3889">
        <v>4121</v>
      </c>
      <c r="D5" s="3889">
        <v>10238</v>
      </c>
      <c r="E5" s="3890">
        <f>SUM(B5:D5)</f>
        <v>18269</v>
      </c>
    </row>
    <row r="6" spans="1:8" ht="15.75" x14ac:dyDescent="0.2">
      <c r="A6" s="3891" t="s">
        <v>2375</v>
      </c>
      <c r="B6" s="3889">
        <v>2607</v>
      </c>
      <c r="C6" s="3889">
        <v>2748</v>
      </c>
      <c r="D6" s="3892">
        <v>6825</v>
      </c>
      <c r="E6" s="3890">
        <f>SUM(B6:D6)</f>
        <v>12180</v>
      </c>
    </row>
    <row r="7" spans="1:8" ht="15.75" x14ac:dyDescent="0.2">
      <c r="A7" s="3887" t="s">
        <v>2376</v>
      </c>
      <c r="B7" s="3889">
        <v>22158</v>
      </c>
      <c r="C7" s="3889">
        <v>23348</v>
      </c>
      <c r="D7" s="3892">
        <v>58022</v>
      </c>
      <c r="E7" s="3890">
        <f>SUM(B7:D7)</f>
        <v>103528</v>
      </c>
    </row>
    <row r="8" spans="1:8" ht="15.75" x14ac:dyDescent="0.2">
      <c r="A8" s="3887" t="s">
        <v>2377</v>
      </c>
      <c r="B8" s="3889"/>
      <c r="C8" s="3889"/>
      <c r="D8" s="3889"/>
      <c r="E8" s="3890"/>
    </row>
    <row r="9" spans="1:8" ht="15.75" x14ac:dyDescent="0.2">
      <c r="A9" s="3887" t="s">
        <v>2378</v>
      </c>
      <c r="B9" s="3889"/>
      <c r="C9" s="3889"/>
      <c r="D9" s="3889"/>
      <c r="E9" s="3890"/>
    </row>
    <row r="10" spans="1:8" ht="15.75" x14ac:dyDescent="0.2">
      <c r="A10" s="3887" t="s">
        <v>2379</v>
      </c>
      <c r="B10" s="3889"/>
      <c r="C10" s="3889"/>
      <c r="D10" s="3889"/>
      <c r="E10" s="3890"/>
    </row>
    <row r="11" spans="1:8" ht="15.75" x14ac:dyDescent="0.2">
      <c r="A11" s="3893"/>
      <c r="B11" s="3889"/>
      <c r="C11" s="3889"/>
      <c r="D11" s="3889"/>
      <c r="E11" s="3890"/>
    </row>
    <row r="12" spans="1:8" ht="18.75" x14ac:dyDescent="0.2">
      <c r="A12" s="3894" t="s">
        <v>2380</v>
      </c>
      <c r="B12" s="3895">
        <f>B5+SUM(B7:B11)</f>
        <v>26068</v>
      </c>
      <c r="C12" s="3895">
        <f>C5+SUM(C7:C11)</f>
        <v>27469</v>
      </c>
      <c r="D12" s="3895">
        <f>D5+SUM(D7:D11)</f>
        <v>68260</v>
      </c>
      <c r="E12" s="3896">
        <f>E5+SUM(E7:E11)</f>
        <v>121797</v>
      </c>
    </row>
    <row r="13" spans="1:8" x14ac:dyDescent="0.2">
      <c r="A13" s="3897"/>
      <c r="B13" s="3898"/>
      <c r="C13" s="3898"/>
      <c r="D13" s="3898"/>
      <c r="E13" s="3899"/>
    </row>
    <row r="14" spans="1:8" ht="15.75" x14ac:dyDescent="0.2">
      <c r="A14" s="3884" t="s">
        <v>2381</v>
      </c>
      <c r="B14" s="3885" t="s">
        <v>2372</v>
      </c>
      <c r="C14" s="3885" t="s">
        <v>2040</v>
      </c>
      <c r="D14" s="3885" t="s">
        <v>2373</v>
      </c>
      <c r="E14" s="3886" t="s">
        <v>477</v>
      </c>
    </row>
    <row r="15" spans="1:8" ht="15.75" x14ac:dyDescent="0.2">
      <c r="A15" s="3887" t="s">
        <v>2382</v>
      </c>
      <c r="B15" s="3889">
        <v>12325</v>
      </c>
      <c r="C15" s="3889">
        <v>12680</v>
      </c>
      <c r="D15" s="3889">
        <v>12750</v>
      </c>
      <c r="E15" s="3890">
        <f>SUM(B15:D15)</f>
        <v>37755</v>
      </c>
    </row>
    <row r="16" spans="1:8" ht="15.75" x14ac:dyDescent="0.2">
      <c r="A16" s="3887" t="s">
        <v>2383</v>
      </c>
      <c r="B16" s="3889"/>
      <c r="C16" s="3889"/>
      <c r="D16" s="3889"/>
      <c r="E16" s="3890"/>
    </row>
    <row r="17" spans="1:7" ht="15.75" x14ac:dyDescent="0.2">
      <c r="A17" s="3887" t="s">
        <v>2384</v>
      </c>
      <c r="B17" s="3889">
        <v>13743</v>
      </c>
      <c r="C17" s="3889">
        <v>14789</v>
      </c>
      <c r="D17" s="3889">
        <v>55510</v>
      </c>
      <c r="E17" s="3890">
        <f>SUM(B17:D17)</f>
        <v>84042</v>
      </c>
    </row>
    <row r="18" spans="1:7" ht="15.75" x14ac:dyDescent="0.2">
      <c r="A18" s="3887" t="s">
        <v>2385</v>
      </c>
      <c r="B18" s="3889"/>
      <c r="C18" s="3889"/>
      <c r="D18" s="3889"/>
      <c r="E18" s="3890"/>
    </row>
    <row r="19" spans="1:7" ht="15.75" x14ac:dyDescent="0.2">
      <c r="A19" s="3887"/>
      <c r="B19" s="3889"/>
      <c r="C19" s="3889"/>
      <c r="D19" s="3889"/>
      <c r="E19" s="3890"/>
    </row>
    <row r="20" spans="1:7" ht="19.5" thickBot="1" x14ac:dyDescent="0.25">
      <c r="A20" s="3900" t="s">
        <v>712</v>
      </c>
      <c r="B20" s="3901">
        <f>SUM(B15:B18)</f>
        <v>26068</v>
      </c>
      <c r="C20" s="3901">
        <f>SUM(C15:C18)</f>
        <v>27469</v>
      </c>
      <c r="D20" s="3901">
        <f>SUM(D15:D18)</f>
        <v>68260</v>
      </c>
      <c r="E20" s="3902">
        <f>SUM(E15:E18)</f>
        <v>121797</v>
      </c>
    </row>
    <row r="21" spans="1:7" ht="15.75" x14ac:dyDescent="0.2">
      <c r="A21" s="3903"/>
      <c r="B21" s="3904"/>
      <c r="C21" s="3904"/>
      <c r="D21" s="3904"/>
      <c r="E21" s="3904"/>
    </row>
    <row r="22" spans="1:7" s="3907" customFormat="1" ht="15.75" x14ac:dyDescent="0.2">
      <c r="A22" s="3905"/>
      <c r="B22" s="3906"/>
      <c r="C22" s="3906"/>
      <c r="D22" s="3906"/>
      <c r="E22" s="3906"/>
    </row>
    <row r="23" spans="1:7" ht="16.5" thickBot="1" x14ac:dyDescent="0.25">
      <c r="A23" s="3905"/>
      <c r="B23" s="3906"/>
      <c r="C23" s="3906"/>
      <c r="D23" s="3906"/>
      <c r="E23" s="3906"/>
    </row>
    <row r="24" spans="1:7" ht="16.5" customHeight="1" x14ac:dyDescent="0.25">
      <c r="A24" s="3880" t="s">
        <v>2369</v>
      </c>
      <c r="B24" s="4701" t="s">
        <v>2386</v>
      </c>
      <c r="C24" s="4701"/>
      <c r="D24" s="4701"/>
      <c r="E24" s="4702"/>
    </row>
    <row r="25" spans="1:7" x14ac:dyDescent="0.2">
      <c r="A25" s="3881"/>
      <c r="B25" s="3882"/>
      <c r="C25" s="3882"/>
      <c r="D25" s="4696" t="s">
        <v>2387</v>
      </c>
      <c r="E25" s="4697"/>
    </row>
    <row r="26" spans="1:7" ht="15.75" x14ac:dyDescent="0.2">
      <c r="A26" s="3884" t="s">
        <v>2371</v>
      </c>
      <c r="B26" s="3885" t="s">
        <v>2372</v>
      </c>
      <c r="C26" s="3885" t="s">
        <v>2040</v>
      </c>
      <c r="D26" s="3885" t="s">
        <v>2373</v>
      </c>
      <c r="E26" s="3886" t="s">
        <v>477</v>
      </c>
    </row>
    <row r="27" spans="1:7" ht="15.75" x14ac:dyDescent="0.2">
      <c r="A27" s="3887" t="s">
        <v>2374</v>
      </c>
      <c r="B27" s="3889"/>
      <c r="C27" s="3889">
        <v>123785862</v>
      </c>
      <c r="D27" s="3889"/>
      <c r="E27" s="3890">
        <f>SUM(B27:D27)</f>
        <v>123785862</v>
      </c>
    </row>
    <row r="28" spans="1:7" ht="15.75" x14ac:dyDescent="0.2">
      <c r="A28" s="3891" t="s">
        <v>2375</v>
      </c>
      <c r="B28" s="3889"/>
      <c r="C28" s="3889"/>
      <c r="D28" s="3889"/>
      <c r="E28" s="3890"/>
    </row>
    <row r="29" spans="1:7" ht="15.75" x14ac:dyDescent="0.2">
      <c r="A29" s="3887" t="s">
        <v>2376</v>
      </c>
      <c r="B29" s="3889">
        <v>13900150</v>
      </c>
      <c r="C29" s="3889">
        <v>312455961</v>
      </c>
      <c r="D29" s="3889">
        <v>5473498</v>
      </c>
      <c r="E29" s="3890">
        <f>SUM(B29:D29)</f>
        <v>331829609</v>
      </c>
      <c r="G29" s="3879">
        <v>3348000</v>
      </c>
    </row>
    <row r="30" spans="1:7" ht="15.75" x14ac:dyDescent="0.2">
      <c r="A30" s="3887" t="s">
        <v>2377</v>
      </c>
      <c r="B30" s="3889"/>
      <c r="C30" s="3889"/>
      <c r="D30" s="3889"/>
      <c r="E30" s="3890"/>
    </row>
    <row r="31" spans="1:7" ht="15.75" x14ac:dyDescent="0.2">
      <c r="A31" s="3887" t="s">
        <v>2378</v>
      </c>
      <c r="B31" s="3889"/>
      <c r="C31" s="3889"/>
      <c r="D31" s="3889"/>
      <c r="E31" s="3890"/>
    </row>
    <row r="32" spans="1:7" ht="15.75" x14ac:dyDescent="0.2">
      <c r="A32" s="3887" t="s">
        <v>2379</v>
      </c>
      <c r="B32" s="3889"/>
      <c r="C32" s="3889"/>
      <c r="D32" s="3889"/>
      <c r="E32" s="3890"/>
    </row>
    <row r="33" spans="1:9" ht="15.75" x14ac:dyDescent="0.2">
      <c r="A33" s="3893"/>
      <c r="B33" s="3889"/>
      <c r="C33" s="3889"/>
      <c r="D33" s="3889"/>
      <c r="E33" s="3890"/>
    </row>
    <row r="34" spans="1:9" ht="18.75" x14ac:dyDescent="0.2">
      <c r="A34" s="3894" t="s">
        <v>2380</v>
      </c>
      <c r="B34" s="3895">
        <f>B27+SUM(B29:B33)</f>
        <v>13900150</v>
      </c>
      <c r="C34" s="3895">
        <f>C27+SUM(C29:C33)</f>
        <v>436241823</v>
      </c>
      <c r="D34" s="3895">
        <f>D27+SUM(D29:D33)</f>
        <v>5473498</v>
      </c>
      <c r="E34" s="3896">
        <f>E27+SUM(E29:E33)</f>
        <v>455615471</v>
      </c>
    </row>
    <row r="35" spans="1:9" x14ac:dyDescent="0.2">
      <c r="A35" s="3897"/>
      <c r="B35" s="3898"/>
      <c r="C35" s="3898"/>
      <c r="D35" s="3898"/>
      <c r="E35" s="3908"/>
    </row>
    <row r="36" spans="1:9" ht="15.75" x14ac:dyDescent="0.2">
      <c r="A36" s="3884" t="s">
        <v>2381</v>
      </c>
      <c r="B36" s="3885" t="s">
        <v>2372</v>
      </c>
      <c r="C36" s="3885" t="s">
        <v>2040</v>
      </c>
      <c r="D36" s="3885" t="s">
        <v>2373</v>
      </c>
      <c r="E36" s="3886" t="s">
        <v>477</v>
      </c>
    </row>
    <row r="37" spans="1:9" ht="15.75" x14ac:dyDescent="0.2">
      <c r="A37" s="3887" t="s">
        <v>2382</v>
      </c>
      <c r="B37" s="3889"/>
      <c r="C37" s="3889"/>
      <c r="D37" s="3889"/>
      <c r="E37" s="3890"/>
    </row>
    <row r="38" spans="1:9" ht="15.75" x14ac:dyDescent="0.2">
      <c r="A38" s="3887" t="s">
        <v>2383</v>
      </c>
      <c r="B38" s="3889"/>
      <c r="C38" s="3889">
        <f>380630986+27092224</f>
        <v>407723210</v>
      </c>
      <c r="D38" s="3889"/>
      <c r="E38" s="3890">
        <f>SUM(B38:D38)</f>
        <v>407723210</v>
      </c>
      <c r="G38" s="3879">
        <v>120785862</v>
      </c>
      <c r="H38" s="3909">
        <f>C38-G38</f>
        <v>286937348</v>
      </c>
      <c r="I38" s="3909">
        <f>H38-27092224</f>
        <v>259845124</v>
      </c>
    </row>
    <row r="39" spans="1:9" ht="15.75" x14ac:dyDescent="0.2">
      <c r="A39" s="3887" t="s">
        <v>2384</v>
      </c>
      <c r="B39" s="3889">
        <v>3348000</v>
      </c>
      <c r="C39" s="3889">
        <v>66510987</v>
      </c>
      <c r="D39" s="3889">
        <v>5473498</v>
      </c>
      <c r="E39" s="3890">
        <f>SUM(B39:D39)</f>
        <v>75332485</v>
      </c>
    </row>
    <row r="40" spans="1:9" ht="15.75" x14ac:dyDescent="0.2">
      <c r="A40" s="3887" t="s">
        <v>2385</v>
      </c>
      <c r="B40" s="3889"/>
      <c r="C40" s="3889"/>
      <c r="D40" s="3889"/>
      <c r="E40" s="3890"/>
    </row>
    <row r="41" spans="1:9" ht="15.75" x14ac:dyDescent="0.2">
      <c r="A41" s="3887"/>
      <c r="B41" s="3889"/>
      <c r="C41" s="3889"/>
      <c r="D41" s="3889"/>
      <c r="E41" s="3890"/>
    </row>
    <row r="42" spans="1:9" ht="19.5" thickBot="1" x14ac:dyDescent="0.25">
      <c r="A42" s="3900" t="s">
        <v>712</v>
      </c>
      <c r="B42" s="3901">
        <f>SUM(B37:B41)</f>
        <v>3348000</v>
      </c>
      <c r="C42" s="3901">
        <f>SUM(C37:C41)</f>
        <v>474234197</v>
      </c>
      <c r="D42" s="3901">
        <f>SUM(D37:D41)</f>
        <v>5473498</v>
      </c>
      <c r="E42" s="3901">
        <f>SUM(E37:E41)</f>
        <v>483055695</v>
      </c>
    </row>
    <row r="43" spans="1:9" ht="15.75" x14ac:dyDescent="0.2">
      <c r="A43" s="3903"/>
      <c r="B43" s="3904"/>
      <c r="C43" s="3904"/>
      <c r="D43" s="3904"/>
      <c r="E43" s="3904"/>
    </row>
    <row r="44" spans="1:9" ht="15.75" x14ac:dyDescent="0.2">
      <c r="A44" s="3905"/>
      <c r="B44" s="3906"/>
      <c r="C44" s="3906"/>
      <c r="D44" s="3906"/>
      <c r="E44" s="3906"/>
    </row>
    <row r="45" spans="1:9" ht="16.5" thickBot="1" x14ac:dyDescent="0.25">
      <c r="A45" s="3905"/>
      <c r="B45" s="3906"/>
      <c r="C45" s="3906"/>
      <c r="D45" s="3906"/>
      <c r="E45" s="3906"/>
    </row>
    <row r="46" spans="1:9" ht="16.5" x14ac:dyDescent="0.25">
      <c r="A46" s="3880" t="s">
        <v>2369</v>
      </c>
      <c r="B46" s="4701" t="s">
        <v>2388</v>
      </c>
      <c r="C46" s="4701"/>
      <c r="D46" s="4701"/>
      <c r="E46" s="4702"/>
    </row>
    <row r="47" spans="1:9" x14ac:dyDescent="0.2">
      <c r="A47" s="3881"/>
      <c r="B47" s="3882"/>
      <c r="C47" s="3882"/>
      <c r="D47" s="4696" t="s">
        <v>2387</v>
      </c>
      <c r="E47" s="4697"/>
    </row>
    <row r="48" spans="1:9" ht="15.75" x14ac:dyDescent="0.2">
      <c r="A48" s="3884" t="s">
        <v>2371</v>
      </c>
      <c r="B48" s="3885" t="s">
        <v>2372</v>
      </c>
      <c r="C48" s="3885" t="s">
        <v>2040</v>
      </c>
      <c r="D48" s="3885" t="s">
        <v>2373</v>
      </c>
      <c r="E48" s="3886" t="s">
        <v>477</v>
      </c>
    </row>
    <row r="49" spans="1:5" ht="15.75" x14ac:dyDescent="0.2">
      <c r="A49" s="3887" t="s">
        <v>2374</v>
      </c>
      <c r="B49" s="3888"/>
      <c r="C49" s="3889"/>
      <c r="D49" s="3889"/>
      <c r="E49" s="3890"/>
    </row>
    <row r="50" spans="1:5" ht="15.75" x14ac:dyDescent="0.2">
      <c r="A50" s="3891" t="s">
        <v>2375</v>
      </c>
      <c r="B50" s="3889"/>
      <c r="C50" s="3889"/>
      <c r="D50" s="3889"/>
      <c r="E50" s="3890"/>
    </row>
    <row r="51" spans="1:5" ht="15.75" x14ac:dyDescent="0.2">
      <c r="A51" s="3887" t="s">
        <v>2376</v>
      </c>
      <c r="B51" s="3889">
        <v>1315405</v>
      </c>
      <c r="C51" s="3889">
        <v>4174595</v>
      </c>
      <c r="D51" s="3889">
        <v>3510000</v>
      </c>
      <c r="E51" s="3890">
        <f>SUM(B51:D51)</f>
        <v>9000000</v>
      </c>
    </row>
    <row r="52" spans="1:5" ht="15.75" x14ac:dyDescent="0.2">
      <c r="A52" s="3887" t="s">
        <v>2377</v>
      </c>
      <c r="B52" s="3889"/>
      <c r="C52" s="3889"/>
      <c r="D52" s="3889"/>
      <c r="E52" s="3890"/>
    </row>
    <row r="53" spans="1:5" ht="15.75" x14ac:dyDescent="0.2">
      <c r="A53" s="3887" t="s">
        <v>2378</v>
      </c>
      <c r="B53" s="3889"/>
      <c r="C53" s="3889"/>
      <c r="D53" s="3889"/>
      <c r="E53" s="3890"/>
    </row>
    <row r="54" spans="1:5" ht="15.75" x14ac:dyDescent="0.2">
      <c r="A54" s="3887" t="s">
        <v>2379</v>
      </c>
      <c r="B54" s="3889"/>
      <c r="C54" s="3889"/>
      <c r="D54" s="3889"/>
      <c r="E54" s="3890"/>
    </row>
    <row r="55" spans="1:5" ht="15.75" x14ac:dyDescent="0.2">
      <c r="A55" s="3893"/>
      <c r="B55" s="3889"/>
      <c r="C55" s="3889"/>
      <c r="D55" s="3889"/>
      <c r="E55" s="3890"/>
    </row>
    <row r="56" spans="1:5" ht="18.75" x14ac:dyDescent="0.2">
      <c r="A56" s="3894" t="s">
        <v>2380</v>
      </c>
      <c r="B56" s="3895"/>
      <c r="C56" s="3895">
        <f>C49+SUM(C51:C55)</f>
        <v>4174595</v>
      </c>
      <c r="D56" s="3895">
        <f>D49+SUM(D51:D55)</f>
        <v>3510000</v>
      </c>
      <c r="E56" s="3896">
        <f>E49+SUM(E51:E55)</f>
        <v>9000000</v>
      </c>
    </row>
    <row r="57" spans="1:5" x14ac:dyDescent="0.2">
      <c r="A57" s="3897"/>
      <c r="B57" s="3898"/>
      <c r="C57" s="3898"/>
      <c r="D57" s="3898"/>
      <c r="E57" s="3899"/>
    </row>
    <row r="58" spans="1:5" ht="15.75" x14ac:dyDescent="0.2">
      <c r="A58" s="3884" t="s">
        <v>2381</v>
      </c>
      <c r="B58" s="3885" t="s">
        <v>2372</v>
      </c>
      <c r="C58" s="3885" t="s">
        <v>2040</v>
      </c>
      <c r="D58" s="3885" t="s">
        <v>2373</v>
      </c>
      <c r="E58" s="3886" t="s">
        <v>477</v>
      </c>
    </row>
    <row r="59" spans="1:5" ht="15.75" x14ac:dyDescent="0.2">
      <c r="A59" s="3887" t="s">
        <v>2382</v>
      </c>
      <c r="B59" s="3889"/>
      <c r="C59" s="3889"/>
      <c r="D59" s="3889"/>
      <c r="E59" s="3890">
        <f>SUM(B59:D59)</f>
        <v>0</v>
      </c>
    </row>
    <row r="60" spans="1:5" ht="15.75" x14ac:dyDescent="0.2">
      <c r="A60" s="3887" t="s">
        <v>2383</v>
      </c>
      <c r="B60" s="3889">
        <v>1315405</v>
      </c>
      <c r="C60" s="3889">
        <v>2160000</v>
      </c>
      <c r="D60" s="3889"/>
      <c r="E60" s="3890">
        <f>SUM(B60:D60)</f>
        <v>3475405</v>
      </c>
    </row>
    <row r="61" spans="1:5" ht="15.75" x14ac:dyDescent="0.2">
      <c r="A61" s="3887" t="s">
        <v>2384</v>
      </c>
      <c r="B61" s="3889"/>
      <c r="C61" s="3889">
        <v>2014595</v>
      </c>
      <c r="D61" s="3889">
        <v>3510000</v>
      </c>
      <c r="E61" s="3890">
        <f>SUM(B61:D61)</f>
        <v>5524595</v>
      </c>
    </row>
    <row r="62" spans="1:5" ht="15.75" x14ac:dyDescent="0.2">
      <c r="A62" s="3887" t="s">
        <v>2385</v>
      </c>
      <c r="B62" s="3889"/>
      <c r="C62" s="3889"/>
      <c r="D62" s="3889"/>
      <c r="E62" s="3890">
        <f>SUM(B62:D62)</f>
        <v>0</v>
      </c>
    </row>
    <row r="63" spans="1:5" ht="15.75" x14ac:dyDescent="0.2">
      <c r="A63" s="3887"/>
      <c r="B63" s="3889"/>
      <c r="C63" s="3889"/>
      <c r="D63" s="3889"/>
      <c r="E63" s="3890">
        <f>SUM(B63:D63)</f>
        <v>0</v>
      </c>
    </row>
    <row r="64" spans="1:5" ht="19.5" thickBot="1" x14ac:dyDescent="0.25">
      <c r="A64" s="3900" t="s">
        <v>712</v>
      </c>
      <c r="B64" s="3901">
        <f>SUM(B59:B63)</f>
        <v>1315405</v>
      </c>
      <c r="C64" s="3901">
        <f>SUM(C59:C63)</f>
        <v>4174595</v>
      </c>
      <c r="D64" s="3901">
        <f>SUM(D59:D63)</f>
        <v>3510000</v>
      </c>
      <c r="E64" s="3902">
        <f>SUM(E59:E63)</f>
        <v>9000000</v>
      </c>
    </row>
    <row r="65" spans="1:5" ht="15.75" x14ac:dyDescent="0.2">
      <c r="A65" s="3910"/>
      <c r="B65" s="3904"/>
      <c r="C65" s="3904"/>
      <c r="D65" s="3904"/>
      <c r="E65" s="3904"/>
    </row>
    <row r="66" spans="1:5" ht="15.75" x14ac:dyDescent="0.2">
      <c r="A66" s="3911"/>
      <c r="B66" s="3906"/>
      <c r="C66" s="3906"/>
      <c r="D66" s="3906"/>
      <c r="E66" s="3906"/>
    </row>
    <row r="67" spans="1:5" ht="16.5" hidden="1" customHeight="1" x14ac:dyDescent="0.2">
      <c r="A67" s="3912" t="s">
        <v>712</v>
      </c>
      <c r="B67" s="3913">
        <f>SUM(B15:B66)</f>
        <v>38494651</v>
      </c>
      <c r="C67" s="3913">
        <f>SUM(C15:C66)</f>
        <v>1837705358</v>
      </c>
      <c r="D67" s="3913">
        <f>SUM(D15:D66)</f>
        <v>36070512</v>
      </c>
      <c r="E67" s="3913">
        <f>SUM(E15:E66)</f>
        <v>1913585926</v>
      </c>
    </row>
    <row r="68" spans="1:5" ht="12.75" hidden="1" customHeight="1" x14ac:dyDescent="0.2">
      <c r="A68" s="3914"/>
      <c r="B68" s="3914"/>
      <c r="C68" s="3914"/>
      <c r="D68" s="3914"/>
      <c r="E68" s="3914"/>
    </row>
    <row r="69" spans="1:5" ht="15.75" hidden="1" customHeight="1" x14ac:dyDescent="0.2">
      <c r="A69" s="3914"/>
      <c r="B69" s="3914"/>
      <c r="C69" s="3914"/>
      <c r="D69" s="3914"/>
      <c r="E69" s="3914"/>
    </row>
    <row r="70" spans="1:5" ht="15.75" hidden="1" customHeight="1" x14ac:dyDescent="0.2">
      <c r="A70" s="3915" t="s">
        <v>2389</v>
      </c>
      <c r="B70" s="3914"/>
      <c r="C70" s="3914"/>
      <c r="D70" s="3914"/>
      <c r="E70" s="3914"/>
    </row>
    <row r="71" spans="1:5" ht="15.75" hidden="1" customHeight="1" x14ac:dyDescent="0.2">
      <c r="A71" s="3915"/>
      <c r="B71" s="3914"/>
      <c r="C71" s="3914"/>
      <c r="D71" s="3914"/>
      <c r="E71" s="3914"/>
    </row>
    <row r="72" spans="1:5" ht="15.75" hidden="1" customHeight="1" x14ac:dyDescent="0.2">
      <c r="A72" s="3914"/>
      <c r="B72" s="3914"/>
      <c r="C72" s="3914"/>
      <c r="D72" s="4703" t="s">
        <v>2387</v>
      </c>
      <c r="E72" s="4703"/>
    </row>
    <row r="73" spans="1:5" ht="15.75" hidden="1" customHeight="1" x14ac:dyDescent="0.2">
      <c r="A73" s="3905"/>
      <c r="B73" s="3905"/>
      <c r="C73" s="3905"/>
      <c r="D73" s="4704"/>
      <c r="E73" s="4704"/>
    </row>
    <row r="74" spans="1:5" ht="15.75" hidden="1" customHeight="1" x14ac:dyDescent="0.2">
      <c r="A74" s="3912" t="s">
        <v>712</v>
      </c>
      <c r="B74" s="3905"/>
      <c r="C74" s="3905"/>
      <c r="D74" s="4705">
        <f>SUM(D73:E73)</f>
        <v>0</v>
      </c>
      <c r="E74" s="4705"/>
    </row>
    <row r="75" spans="1:5" ht="15.75" hidden="1" x14ac:dyDescent="0.2">
      <c r="A75" s="3905" t="s">
        <v>2379</v>
      </c>
      <c r="B75" s="3906"/>
      <c r="C75" s="3906"/>
      <c r="D75" s="3906"/>
      <c r="E75" s="3906">
        <f>SUM(B75:D75)</f>
        <v>0</v>
      </c>
    </row>
    <row r="76" spans="1:5" ht="15.75" hidden="1" x14ac:dyDescent="0.2">
      <c r="A76" s="3911"/>
      <c r="B76" s="3906"/>
      <c r="C76" s="3906"/>
      <c r="D76" s="3906"/>
      <c r="E76" s="3906">
        <f>SUM(B76:D76)</f>
        <v>0</v>
      </c>
    </row>
    <row r="77" spans="1:5" ht="18.75" hidden="1" x14ac:dyDescent="0.2">
      <c r="A77" s="3912" t="s">
        <v>2380</v>
      </c>
      <c r="B77" s="3916"/>
      <c r="C77" s="3916">
        <f>SUM(C72:C76)</f>
        <v>0</v>
      </c>
      <c r="D77" s="3916">
        <f>D70+SUM(D72:D76)</f>
        <v>0</v>
      </c>
      <c r="E77" s="3916">
        <f>E70+SUM(E72:E76)</f>
        <v>0</v>
      </c>
    </row>
    <row r="78" spans="1:5" hidden="1" x14ac:dyDescent="0.2">
      <c r="A78" s="3917"/>
      <c r="B78" s="3917"/>
      <c r="C78" s="3917"/>
      <c r="D78" s="3917"/>
      <c r="E78" s="3917"/>
    </row>
    <row r="79" spans="1:5" ht="15.75" hidden="1" x14ac:dyDescent="0.2">
      <c r="A79" s="3915" t="s">
        <v>2381</v>
      </c>
      <c r="B79" s="3918" t="s">
        <v>2390</v>
      </c>
      <c r="C79" s="3918" t="s">
        <v>2391</v>
      </c>
      <c r="D79" s="3918" t="s">
        <v>2392</v>
      </c>
      <c r="E79" s="3918" t="s">
        <v>477</v>
      </c>
    </row>
    <row r="80" spans="1:5" ht="15.75" hidden="1" x14ac:dyDescent="0.2">
      <c r="A80" s="3905" t="s">
        <v>2382</v>
      </c>
      <c r="B80" s="3906"/>
      <c r="C80" s="3906"/>
      <c r="D80" s="3906"/>
      <c r="E80" s="3906">
        <f t="shared" ref="E80:E85" si="0">SUM(B80:D80)</f>
        <v>0</v>
      </c>
    </row>
    <row r="81" spans="1:5" ht="15.75" hidden="1" x14ac:dyDescent="0.2">
      <c r="A81" s="3905" t="s">
        <v>2383</v>
      </c>
      <c r="B81" s="3906">
        <v>0</v>
      </c>
      <c r="C81" s="3906"/>
      <c r="D81" s="3906"/>
      <c r="E81" s="3906">
        <f t="shared" si="0"/>
        <v>0</v>
      </c>
    </row>
    <row r="82" spans="1:5" ht="15.75" hidden="1" x14ac:dyDescent="0.2">
      <c r="A82" s="3905" t="s">
        <v>2384</v>
      </c>
      <c r="B82" s="3906"/>
      <c r="C82" s="3906"/>
      <c r="D82" s="3906"/>
      <c r="E82" s="3906">
        <f t="shared" si="0"/>
        <v>0</v>
      </c>
    </row>
    <row r="83" spans="1:5" ht="15.75" hidden="1" x14ac:dyDescent="0.2">
      <c r="A83" s="3905" t="s">
        <v>2385</v>
      </c>
      <c r="B83" s="3906">
        <v>0</v>
      </c>
      <c r="C83" s="3906">
        <v>0</v>
      </c>
      <c r="D83" s="3906"/>
      <c r="E83" s="3906">
        <f t="shared" si="0"/>
        <v>0</v>
      </c>
    </row>
    <row r="84" spans="1:5" ht="15.75" hidden="1" x14ac:dyDescent="0.2">
      <c r="A84" s="3905"/>
      <c r="B84" s="3906"/>
      <c r="C84" s="3906"/>
      <c r="D84" s="3906"/>
      <c r="E84" s="3906">
        <f t="shared" si="0"/>
        <v>0</v>
      </c>
    </row>
    <row r="85" spans="1:5" ht="15.75" hidden="1" x14ac:dyDescent="0.2">
      <c r="A85" s="3911"/>
      <c r="B85" s="3906"/>
      <c r="C85" s="3906"/>
      <c r="D85" s="3906"/>
      <c r="E85" s="3906">
        <f t="shared" si="0"/>
        <v>0</v>
      </c>
    </row>
    <row r="86" spans="1:5" ht="18.75" hidden="1" x14ac:dyDescent="0.2">
      <c r="A86" s="3912" t="s">
        <v>712</v>
      </c>
      <c r="B86" s="3916">
        <f>SUM(B80:B85)</f>
        <v>0</v>
      </c>
      <c r="C86" s="3916">
        <f>SUM(C80:C85)</f>
        <v>0</v>
      </c>
      <c r="D86" s="3916">
        <f>SUM(D80:D85)</f>
        <v>0</v>
      </c>
      <c r="E86" s="3916">
        <f>SUM(E80:E85)</f>
        <v>0</v>
      </c>
    </row>
    <row r="87" spans="1:5" x14ac:dyDescent="0.2">
      <c r="A87" s="3914"/>
      <c r="B87" s="3914"/>
      <c r="C87" s="3914"/>
      <c r="D87" s="3914"/>
      <c r="E87" s="3914"/>
    </row>
    <row r="88" spans="1:5" ht="16.5" hidden="1" x14ac:dyDescent="0.25">
      <c r="A88" s="3919" t="s">
        <v>2369</v>
      </c>
      <c r="B88" s="4706"/>
      <c r="C88" s="4706"/>
      <c r="D88" s="4706"/>
      <c r="E88" s="4706"/>
    </row>
    <row r="89" spans="1:5" hidden="1" x14ac:dyDescent="0.2">
      <c r="A89" s="3914"/>
      <c r="B89" s="3914"/>
      <c r="C89" s="3914"/>
      <c r="D89" s="4703" t="s">
        <v>2393</v>
      </c>
      <c r="E89" s="4703"/>
    </row>
    <row r="90" spans="1:5" ht="15.75" hidden="1" x14ac:dyDescent="0.2">
      <c r="A90" s="3915" t="s">
        <v>2371</v>
      </c>
      <c r="B90" s="3918" t="s">
        <v>2390</v>
      </c>
      <c r="C90" s="3918" t="s">
        <v>2391</v>
      </c>
      <c r="D90" s="3918" t="s">
        <v>2392</v>
      </c>
      <c r="E90" s="3918" t="s">
        <v>477</v>
      </c>
    </row>
    <row r="91" spans="1:5" ht="15.75" hidden="1" x14ac:dyDescent="0.2">
      <c r="A91" s="3905" t="s">
        <v>2374</v>
      </c>
      <c r="B91" s="3906"/>
      <c r="C91" s="3906"/>
      <c r="D91" s="3906"/>
      <c r="E91" s="3906">
        <f t="shared" ref="E91:E97" si="1">SUM(B91:D91)</f>
        <v>0</v>
      </c>
    </row>
    <row r="92" spans="1:5" ht="15.75" hidden="1" x14ac:dyDescent="0.2">
      <c r="A92" s="3920" t="s">
        <v>2375</v>
      </c>
      <c r="B92" s="3906"/>
      <c r="C92" s="3906"/>
      <c r="D92" s="3906"/>
      <c r="E92" s="3906">
        <f t="shared" si="1"/>
        <v>0</v>
      </c>
    </row>
    <row r="93" spans="1:5" ht="15.75" hidden="1" x14ac:dyDescent="0.2">
      <c r="A93" s="3905" t="s">
        <v>2376</v>
      </c>
      <c r="B93" s="3906"/>
      <c r="C93" s="3906"/>
      <c r="D93" s="3906"/>
      <c r="E93" s="3906">
        <f t="shared" si="1"/>
        <v>0</v>
      </c>
    </row>
    <row r="94" spans="1:5" ht="15.75" hidden="1" x14ac:dyDescent="0.2">
      <c r="A94" s="3905" t="s">
        <v>2377</v>
      </c>
      <c r="B94" s="3906"/>
      <c r="C94" s="3906"/>
      <c r="D94" s="3906"/>
      <c r="E94" s="3906">
        <f t="shared" si="1"/>
        <v>0</v>
      </c>
    </row>
    <row r="95" spans="1:5" ht="15.75" hidden="1" x14ac:dyDescent="0.2">
      <c r="A95" s="3905" t="s">
        <v>2378</v>
      </c>
      <c r="B95" s="3906"/>
      <c r="C95" s="3906"/>
      <c r="D95" s="3906"/>
      <c r="E95" s="3906">
        <f t="shared" si="1"/>
        <v>0</v>
      </c>
    </row>
    <row r="96" spans="1:5" ht="15.75" hidden="1" x14ac:dyDescent="0.2">
      <c r="A96" s="3905" t="s">
        <v>2379</v>
      </c>
      <c r="B96" s="3906"/>
      <c r="C96" s="3906"/>
      <c r="D96" s="3906"/>
      <c r="E96" s="3906">
        <f t="shared" si="1"/>
        <v>0</v>
      </c>
    </row>
    <row r="97" spans="1:5" ht="15.75" hidden="1" x14ac:dyDescent="0.2">
      <c r="A97" s="3911"/>
      <c r="B97" s="3906"/>
      <c r="C97" s="3906"/>
      <c r="D97" s="3906"/>
      <c r="E97" s="3906">
        <f t="shared" si="1"/>
        <v>0</v>
      </c>
    </row>
    <row r="98" spans="1:5" ht="18.75" hidden="1" x14ac:dyDescent="0.2">
      <c r="A98" s="3912" t="s">
        <v>2380</v>
      </c>
      <c r="B98" s="3916">
        <f>SUM(B91:B95)</f>
        <v>0</v>
      </c>
      <c r="C98" s="3916">
        <f>SUM(C91:C97)</f>
        <v>0</v>
      </c>
      <c r="D98" s="3916">
        <f>D91+SUM(D93:D97)</f>
        <v>0</v>
      </c>
      <c r="E98" s="3916">
        <f>E91+SUM(E93:E97)</f>
        <v>0</v>
      </c>
    </row>
    <row r="99" spans="1:5" hidden="1" x14ac:dyDescent="0.2">
      <c r="A99" s="3917"/>
      <c r="B99" s="3917"/>
      <c r="C99" s="3917"/>
      <c r="D99" s="3917"/>
      <c r="E99" s="3917"/>
    </row>
    <row r="100" spans="1:5" ht="15.75" hidden="1" x14ac:dyDescent="0.2">
      <c r="A100" s="3915" t="s">
        <v>2381</v>
      </c>
      <c r="B100" s="3918" t="s">
        <v>2390</v>
      </c>
      <c r="C100" s="3918" t="s">
        <v>2391</v>
      </c>
      <c r="D100" s="3918" t="s">
        <v>2392</v>
      </c>
      <c r="E100" s="3918" t="s">
        <v>477</v>
      </c>
    </row>
    <row r="101" spans="1:5" ht="15.75" hidden="1" x14ac:dyDescent="0.2">
      <c r="A101" s="3905" t="s">
        <v>2382</v>
      </c>
      <c r="B101" s="3906"/>
      <c r="C101" s="3906"/>
      <c r="D101" s="3906"/>
      <c r="E101" s="3906">
        <f t="shared" ref="E101:E107" si="2">SUM(B101:D101)</f>
        <v>0</v>
      </c>
    </row>
    <row r="102" spans="1:5" ht="15.75" hidden="1" x14ac:dyDescent="0.2">
      <c r="A102" s="3905" t="s">
        <v>2383</v>
      </c>
      <c r="B102" s="3906"/>
      <c r="C102" s="3906"/>
      <c r="D102" s="3906"/>
      <c r="E102" s="3906">
        <f t="shared" si="2"/>
        <v>0</v>
      </c>
    </row>
    <row r="103" spans="1:5" ht="15.75" hidden="1" x14ac:dyDescent="0.2">
      <c r="A103" s="3905" t="s">
        <v>2384</v>
      </c>
      <c r="B103" s="3906"/>
      <c r="C103" s="3906"/>
      <c r="D103" s="3906"/>
      <c r="E103" s="3906">
        <f t="shared" si="2"/>
        <v>0</v>
      </c>
    </row>
    <row r="104" spans="1:5" ht="15.75" hidden="1" x14ac:dyDescent="0.2">
      <c r="A104" s="3905" t="s">
        <v>2385</v>
      </c>
      <c r="B104" s="3906"/>
      <c r="C104" s="3906"/>
      <c r="D104" s="3906"/>
      <c r="E104" s="3906">
        <f t="shared" si="2"/>
        <v>0</v>
      </c>
    </row>
    <row r="105" spans="1:5" ht="15.75" hidden="1" x14ac:dyDescent="0.2">
      <c r="A105" s="3905"/>
      <c r="B105" s="3906"/>
      <c r="C105" s="3906"/>
      <c r="D105" s="3906"/>
      <c r="E105" s="3906">
        <f t="shared" si="2"/>
        <v>0</v>
      </c>
    </row>
    <row r="106" spans="1:5" ht="15.75" hidden="1" x14ac:dyDescent="0.2">
      <c r="A106" s="3911"/>
      <c r="B106" s="3906"/>
      <c r="C106" s="3906"/>
      <c r="D106" s="3906"/>
      <c r="E106" s="3906">
        <f t="shared" si="2"/>
        <v>0</v>
      </c>
    </row>
    <row r="107" spans="1:5" ht="15.75" hidden="1" x14ac:dyDescent="0.2">
      <c r="A107" s="3911"/>
      <c r="B107" s="3906"/>
      <c r="C107" s="3906"/>
      <c r="D107" s="3906"/>
      <c r="E107" s="3906">
        <f t="shared" si="2"/>
        <v>0</v>
      </c>
    </row>
    <row r="108" spans="1:5" ht="18.75" hidden="1" x14ac:dyDescent="0.2">
      <c r="A108" s="3912" t="s">
        <v>712</v>
      </c>
      <c r="B108" s="3916">
        <f>SUM(B101:B107)</f>
        <v>0</v>
      </c>
      <c r="C108" s="3916">
        <f>SUM(C101:C107)</f>
        <v>0</v>
      </c>
      <c r="D108" s="3916">
        <f>SUM(D101:D107)</f>
        <v>0</v>
      </c>
      <c r="E108" s="3916">
        <f>SUM(E101:E107)</f>
        <v>0</v>
      </c>
    </row>
    <row r="109" spans="1:5" x14ac:dyDescent="0.2">
      <c r="A109" s="3914"/>
      <c r="B109" s="3914"/>
      <c r="C109" s="3914"/>
      <c r="D109" s="3914"/>
      <c r="E109" s="3914"/>
    </row>
    <row r="110" spans="1:5" x14ac:dyDescent="0.2">
      <c r="A110" s="3914"/>
      <c r="B110" s="3914"/>
      <c r="C110" s="3914"/>
      <c r="D110" s="3914"/>
      <c r="E110" s="3914"/>
    </row>
    <row r="111" spans="1:5" ht="15.75" x14ac:dyDescent="0.2">
      <c r="A111" s="3921" t="s">
        <v>2394</v>
      </c>
      <c r="B111" s="3922"/>
      <c r="C111" s="3923"/>
      <c r="D111" s="3924"/>
      <c r="E111" s="3925"/>
    </row>
    <row r="112" spans="1:5" ht="15.75" x14ac:dyDescent="0.2">
      <c r="A112" s="3884"/>
      <c r="B112" s="3882"/>
      <c r="C112" s="3882"/>
      <c r="D112" s="3882"/>
      <c r="E112" s="3926"/>
    </row>
    <row r="113" spans="1:5" x14ac:dyDescent="0.2">
      <c r="A113" s="3881"/>
      <c r="B113" s="3882"/>
      <c r="C113" s="3882"/>
      <c r="D113" s="4696" t="s">
        <v>2387</v>
      </c>
      <c r="E113" s="4697"/>
    </row>
  </sheetData>
  <mergeCells count="12">
    <mergeCell ref="D113:E113"/>
    <mergeCell ref="B2:E2"/>
    <mergeCell ref="D3:E3"/>
    <mergeCell ref="B24:E24"/>
    <mergeCell ref="D25:E25"/>
    <mergeCell ref="B46:E46"/>
    <mergeCell ref="D47:E47"/>
    <mergeCell ref="D72:E72"/>
    <mergeCell ref="D73:E73"/>
    <mergeCell ref="D74:E74"/>
    <mergeCell ref="B88:E88"/>
    <mergeCell ref="D89:E89"/>
  </mergeCells>
  <conditionalFormatting sqref="D90:E99 B89:C99 B101:E108 E100 B80:E86">
    <cfRule type="cellIs" dxfId="14" priority="13" stopIfTrue="1" operator="equal">
      <formula>0</formula>
    </cfRule>
  </conditionalFormatting>
  <conditionalFormatting sqref="B100:D100">
    <cfRule type="cellIs" dxfId="13" priority="12" stopIfTrue="1" operator="equal">
      <formula>0</formula>
    </cfRule>
  </conditionalFormatting>
  <conditionalFormatting sqref="B75:E78 E79">
    <cfRule type="cellIs" dxfId="12" priority="15" stopIfTrue="1" operator="equal">
      <formula>0</formula>
    </cfRule>
  </conditionalFormatting>
  <conditionalFormatting sqref="B79:D79">
    <cfRule type="cellIs" dxfId="11" priority="14" stopIfTrue="1" operator="equal">
      <formula>0</formula>
    </cfRule>
  </conditionalFormatting>
  <conditionalFormatting sqref="B3:C4 E5:E7 B8:E13 E14:E17 B18:E23 B65:E67 B42:E45 D4:E4">
    <cfRule type="cellIs" dxfId="10" priority="11" stopIfTrue="1" operator="equal">
      <formula>0</formula>
    </cfRule>
  </conditionalFormatting>
  <conditionalFormatting sqref="B15:B17">
    <cfRule type="cellIs" dxfId="9" priority="7" stopIfTrue="1" operator="equal">
      <formula>0</formula>
    </cfRule>
  </conditionalFormatting>
  <conditionalFormatting sqref="B14:D14">
    <cfRule type="cellIs" dxfId="8" priority="10" stopIfTrue="1" operator="equal">
      <formula>0</formula>
    </cfRule>
  </conditionalFormatting>
  <conditionalFormatting sqref="B5:D7">
    <cfRule type="cellIs" dxfId="7" priority="9" stopIfTrue="1" operator="equal">
      <formula>0</formula>
    </cfRule>
  </conditionalFormatting>
  <conditionalFormatting sqref="B15:D17">
    <cfRule type="cellIs" dxfId="6" priority="8" stopIfTrue="1" operator="equal">
      <formula>0</formula>
    </cfRule>
  </conditionalFormatting>
  <conditionalFormatting sqref="D26:E35 B37:E37 B25:C35 B40:E41 B38:B39">
    <cfRule type="cellIs" dxfId="5" priority="6" stopIfTrue="1" operator="equal">
      <formula>0</formula>
    </cfRule>
  </conditionalFormatting>
  <conditionalFormatting sqref="B36:E36">
    <cfRule type="cellIs" dxfId="4" priority="5" stopIfTrue="1" operator="equal">
      <formula>0</formula>
    </cfRule>
  </conditionalFormatting>
  <conditionalFormatting sqref="D48:E57 B59:E63 E58 B47:C57">
    <cfRule type="cellIs" dxfId="3" priority="4" stopIfTrue="1" operator="equal">
      <formula>0</formula>
    </cfRule>
  </conditionalFormatting>
  <conditionalFormatting sqref="B58:D58">
    <cfRule type="cellIs" dxfId="2" priority="3" stopIfTrue="1" operator="equal">
      <formula>0</formula>
    </cfRule>
  </conditionalFormatting>
  <conditionalFormatting sqref="B64:E64">
    <cfRule type="cellIs" dxfId="1" priority="2" stopIfTrue="1" operator="equal">
      <formula>0</formula>
    </cfRule>
  </conditionalFormatting>
  <conditionalFormatting sqref="C38:E39">
    <cfRule type="cellIs" dxfId="0" priority="1" stopIfTrue="1" operator="equal">
      <formula>0</formula>
    </cfRule>
  </conditionalFormatting>
  <printOptions horizontalCentered="1"/>
  <pageMargins left="0.15748031496062992" right="0.31496062992125984" top="1.299212598425197" bottom="0.74803149606299213" header="0.47244094488188981" footer="0.31496062992125984"/>
  <pageSetup paperSize="9" scale="90" firstPageNumber="119" orientation="portrait" useFirstPageNumber="1" r:id="rId1"/>
  <headerFooter>
    <oddHeader>&amp;C&amp;"Times New Roman CE,Félkövér"&amp;14Vecsés Város Önkormányzat 
Európai Uniós támogatással megvalósuló projektek bevételei, kiadásai, hozzájárulások&amp;R&amp;12 11. számú melléklet</oddHeader>
    <oddFooter>&amp;C&amp;12- &amp;P -</oddFooter>
  </headerFooter>
  <rowBreaks count="1" manualBreakCount="1">
    <brk id="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5"/>
  <sheetViews>
    <sheetView view="pageBreakPreview" topLeftCell="A50" zoomScale="80" zoomScaleNormal="100" zoomScaleSheetLayoutView="80" zoomScalePageLayoutView="60" workbookViewId="0">
      <selection activeCell="O69" sqref="O69"/>
    </sheetView>
  </sheetViews>
  <sheetFormatPr defaultColWidth="9.33203125" defaultRowHeight="12.75" x14ac:dyDescent="0.2"/>
  <cols>
    <col min="1" max="1" width="6.1640625" style="114" customWidth="1"/>
    <col min="2" max="2" width="10" style="115" customWidth="1"/>
    <col min="3" max="3" width="62.6640625" style="115" customWidth="1"/>
    <col min="4" max="5" width="9.33203125" style="115" hidden="1" customWidth="1"/>
    <col min="6" max="6" width="15.83203125" style="115" customWidth="1"/>
    <col min="7" max="7" width="20.83203125" style="1390" hidden="1" customWidth="1"/>
    <col min="8" max="8" width="16" style="115" hidden="1" customWidth="1"/>
    <col min="9" max="9" width="15" style="1390" hidden="1" customWidth="1"/>
    <col min="10" max="10" width="16.1640625" style="2018" customWidth="1"/>
    <col min="11" max="11" width="15.1640625" style="2018" customWidth="1"/>
    <col min="12" max="12" width="21" style="3305" customWidth="1"/>
    <col min="13" max="13" width="18.1640625" style="115" customWidth="1"/>
    <col min="14" max="14" width="11.83203125" style="115" customWidth="1"/>
    <col min="15" max="15" width="18.1640625" style="1877" customWidth="1"/>
    <col min="16" max="16" width="21.1640625" style="2032" hidden="1" customWidth="1"/>
    <col min="17" max="17" width="21" style="2027" hidden="1" customWidth="1"/>
    <col min="18" max="18" width="19.6640625" style="1161" customWidth="1"/>
    <col min="19" max="19" width="21.33203125" style="1892" customWidth="1"/>
    <col min="20" max="20" width="19.6640625" style="115" customWidth="1"/>
    <col min="21" max="21" width="21.6640625" style="1877" customWidth="1"/>
    <col min="22" max="22" width="21.6640625" style="1877" hidden="1" customWidth="1"/>
    <col min="23" max="23" width="22.33203125" style="2032" customWidth="1"/>
    <col min="24" max="24" width="22.33203125" style="2032" hidden="1" customWidth="1"/>
    <col min="25" max="25" width="22.33203125" style="2064" customWidth="1"/>
    <col min="26" max="26" width="22.33203125" style="2027" hidden="1" customWidth="1"/>
    <col min="27" max="27" width="22.33203125" style="1161" customWidth="1"/>
    <col min="28" max="28" width="24.33203125" style="1892" customWidth="1"/>
    <col min="29" max="16384" width="9.33203125" style="115"/>
  </cols>
  <sheetData>
    <row r="1" spans="1:28" s="120" customFormat="1" ht="29.25" customHeight="1" thickBot="1" x14ac:dyDescent="0.25">
      <c r="A1" s="4443"/>
      <c r="B1" s="4443"/>
      <c r="C1" s="117" t="s">
        <v>281</v>
      </c>
      <c r="D1" s="4444" t="s">
        <v>282</v>
      </c>
      <c r="E1" s="118"/>
      <c r="F1" s="4444" t="s">
        <v>1080</v>
      </c>
      <c r="G1" s="4422" t="s">
        <v>1035</v>
      </c>
      <c r="H1" s="4447" t="s">
        <v>1028</v>
      </c>
      <c r="I1" s="4422" t="s">
        <v>1031</v>
      </c>
      <c r="J1" s="4447" t="s">
        <v>1028</v>
      </c>
      <c r="K1" s="4449" t="s">
        <v>2623</v>
      </c>
      <c r="L1" s="4447" t="s">
        <v>234</v>
      </c>
      <c r="M1" s="4440" t="s">
        <v>1952</v>
      </c>
      <c r="O1" s="1971"/>
      <c r="P1" s="2028"/>
      <c r="R1" s="1955"/>
      <c r="S1" s="2035"/>
      <c r="U1" s="1971"/>
      <c r="V1" s="1971"/>
      <c r="W1" s="2028"/>
      <c r="X1" s="2028"/>
      <c r="Y1" s="2058"/>
      <c r="AA1" s="1955"/>
      <c r="AB1" s="2035"/>
    </row>
    <row r="2" spans="1:28" s="120" customFormat="1" ht="31.5" customHeight="1" thickBot="1" x14ac:dyDescent="0.25">
      <c r="A2" s="4445" t="s">
        <v>283</v>
      </c>
      <c r="B2" s="4445"/>
      <c r="C2" s="204" t="s">
        <v>326</v>
      </c>
      <c r="D2" s="4444"/>
      <c r="E2" s="121"/>
      <c r="F2" s="4444"/>
      <c r="G2" s="4433"/>
      <c r="H2" s="4448" t="s">
        <v>1028</v>
      </c>
      <c r="I2" s="4433" t="s">
        <v>1031</v>
      </c>
      <c r="J2" s="4448" t="s">
        <v>1028</v>
      </c>
      <c r="K2" s="4450"/>
      <c r="L2" s="4451"/>
      <c r="M2" s="4441"/>
      <c r="O2" s="1971"/>
      <c r="P2" s="2028"/>
      <c r="R2" s="1955"/>
      <c r="S2" s="2035"/>
      <c r="U2" s="1971"/>
      <c r="V2" s="1971"/>
      <c r="W2" s="2028"/>
      <c r="X2" s="2028"/>
      <c r="Y2" s="2058"/>
      <c r="AA2" s="1955"/>
      <c r="AB2" s="2035"/>
    </row>
    <row r="3" spans="1:28" s="123" customFormat="1" ht="15.95" customHeight="1" thickBot="1" x14ac:dyDescent="0.25">
      <c r="A3" s="2093"/>
      <c r="B3" s="877"/>
      <c r="C3" s="877"/>
      <c r="D3" s="4446"/>
      <c r="E3" s="4446"/>
      <c r="F3" s="4446"/>
      <c r="G3" s="1440"/>
      <c r="H3" s="1578"/>
      <c r="I3" s="1578"/>
      <c r="J3" s="1578"/>
      <c r="K3" s="3492"/>
      <c r="L3" s="1578"/>
      <c r="M3" s="2092"/>
      <c r="O3" s="1982"/>
      <c r="P3" s="4452" t="s">
        <v>1056</v>
      </c>
      <c r="Q3" s="4442" t="s">
        <v>1057</v>
      </c>
      <c r="R3" s="4439" t="s">
        <v>1058</v>
      </c>
      <c r="S3" s="2036"/>
      <c r="U3" s="1982"/>
      <c r="V3" s="1982"/>
      <c r="W3" s="4452" t="s">
        <v>1056</v>
      </c>
      <c r="X3" s="2048"/>
      <c r="Y3" s="4414" t="s">
        <v>1057</v>
      </c>
      <c r="Z3" s="305"/>
      <c r="AA3" s="4439" t="s">
        <v>1058</v>
      </c>
      <c r="AB3" s="2036"/>
    </row>
    <row r="4" spans="1:28" ht="24" customHeight="1" thickBot="1" x14ac:dyDescent="0.25">
      <c r="A4" s="4431" t="s">
        <v>285</v>
      </c>
      <c r="B4" s="4431"/>
      <c r="C4" s="125" t="s">
        <v>286</v>
      </c>
      <c r="D4" s="126" t="s">
        <v>287</v>
      </c>
      <c r="E4" s="126" t="s">
        <v>288</v>
      </c>
      <c r="F4" s="438"/>
      <c r="G4" s="1612"/>
      <c r="H4" s="573"/>
      <c r="I4" s="1627"/>
      <c r="J4" s="3493"/>
      <c r="K4" s="3505"/>
      <c r="L4" s="3499"/>
      <c r="M4" s="3307"/>
      <c r="O4" s="1983" t="s">
        <v>771</v>
      </c>
      <c r="P4" s="4452"/>
      <c r="Q4" s="4442"/>
      <c r="R4" s="4439"/>
      <c r="S4" s="2037" t="s">
        <v>289</v>
      </c>
      <c r="T4" s="145"/>
      <c r="U4" s="1983" t="s">
        <v>771</v>
      </c>
      <c r="V4" s="1983"/>
      <c r="W4" s="4452"/>
      <c r="X4" s="2048"/>
      <c r="Y4" s="4414"/>
      <c r="Z4" s="305"/>
      <c r="AA4" s="4439"/>
      <c r="AB4" s="2037" t="s">
        <v>289</v>
      </c>
    </row>
    <row r="5" spans="1:28" s="129" customFormat="1" ht="15" customHeight="1" thickBot="1" x14ac:dyDescent="0.25">
      <c r="A5" s="124"/>
      <c r="B5" s="127"/>
      <c r="C5" s="127"/>
      <c r="D5" s="128"/>
      <c r="E5" s="128"/>
      <c r="F5" s="1444"/>
      <c r="G5" s="1444"/>
      <c r="H5" s="1444"/>
      <c r="I5" s="1444"/>
      <c r="J5" s="3458"/>
      <c r="K5" s="3506"/>
      <c r="L5" s="2820"/>
      <c r="M5" s="128"/>
      <c r="O5" s="1974" t="s">
        <v>767</v>
      </c>
      <c r="P5" s="2029" t="s">
        <v>767</v>
      </c>
      <c r="Q5" s="2026"/>
      <c r="R5" s="1956"/>
      <c r="S5" s="2038" t="s">
        <v>767</v>
      </c>
      <c r="U5" s="1973" t="s">
        <v>815</v>
      </c>
      <c r="V5" s="1973"/>
      <c r="W5" s="2030" t="s">
        <v>815</v>
      </c>
      <c r="X5" s="2030"/>
      <c r="Y5" s="2059" t="s">
        <v>815</v>
      </c>
      <c r="AA5" s="1958" t="s">
        <v>815</v>
      </c>
      <c r="AB5" s="2041" t="s">
        <v>815</v>
      </c>
    </row>
    <row r="6" spans="1:28" s="129" customFormat="1" ht="21" customHeight="1" thickBot="1" x14ac:dyDescent="0.25">
      <c r="A6" s="130"/>
      <c r="B6" s="131"/>
      <c r="C6" s="132" t="s">
        <v>230</v>
      </c>
      <c r="D6" s="133"/>
      <c r="E6" s="133"/>
      <c r="F6" s="133"/>
      <c r="G6" s="1588"/>
      <c r="H6" s="133"/>
      <c r="I6" s="1588"/>
      <c r="J6" s="3459"/>
      <c r="K6" s="3507"/>
      <c r="L6" s="3164"/>
      <c r="M6" s="133"/>
      <c r="O6" s="1973"/>
      <c r="P6" s="2030"/>
      <c r="R6" s="1958"/>
      <c r="S6" s="2039"/>
      <c r="U6" s="1973"/>
      <c r="V6" s="1973"/>
      <c r="W6" s="2030"/>
      <c r="X6" s="2030"/>
      <c r="Y6" s="2059"/>
      <c r="AA6" s="1958"/>
      <c r="AB6" s="2041"/>
    </row>
    <row r="7" spans="1:28" s="129" customFormat="1" ht="31.5" customHeight="1" thickBot="1" x14ac:dyDescent="0.25">
      <c r="A7" s="134" t="s">
        <v>3</v>
      </c>
      <c r="B7" s="135"/>
      <c r="C7" s="136" t="s">
        <v>291</v>
      </c>
      <c r="D7" s="137" t="e">
        <f>SUM(D8+D16)</f>
        <v>#REF!</v>
      </c>
      <c r="E7" s="137" t="e">
        <f>SUM(E8+E16)</f>
        <v>#REF!</v>
      </c>
      <c r="F7" s="138">
        <f>SUM(F8+F16)+F26</f>
        <v>2600832731</v>
      </c>
      <c r="G7" s="1589">
        <f>SUM(H7-F7)</f>
        <v>-899963822</v>
      </c>
      <c r="H7" s="138">
        <f>SUM(H8+H16)+H26+H27</f>
        <v>1700868909</v>
      </c>
      <c r="I7" s="1589">
        <f>SUM(J7-H7)</f>
        <v>-190157206</v>
      </c>
      <c r="J7" s="3460">
        <f>SUM(J8+J16)+J26+J27</f>
        <v>1510711703</v>
      </c>
      <c r="K7" s="3508">
        <f>SUM(L7-J7)</f>
        <v>0</v>
      </c>
      <c r="L7" s="3474">
        <f>SUM(L8+L16)+L26+L27</f>
        <v>1510711703</v>
      </c>
      <c r="M7" s="138">
        <f>SUM(M8+M16)+M26+M27</f>
        <v>2770634355</v>
      </c>
      <c r="N7" s="139"/>
      <c r="O7" s="2003">
        <f>SUM(F7-U7)</f>
        <v>0</v>
      </c>
      <c r="P7" s="2031">
        <f>SUM(H7-W7)</f>
        <v>0</v>
      </c>
      <c r="Q7" s="139">
        <f t="shared" ref="Q7:Q27" si="0">SUM(J7-Y7)</f>
        <v>0</v>
      </c>
      <c r="R7" s="1999">
        <f t="shared" ref="R7:S27" si="1">SUM(L7-AA7)</f>
        <v>0</v>
      </c>
      <c r="S7" s="2040">
        <f t="shared" si="1"/>
        <v>0</v>
      </c>
      <c r="U7" s="2003">
        <f>SUM('4.a. sz. mell.'!D8+'3. a. sz. mell'!F7+'5.a sz. mell. '!F8)+'5.a sz. mell. '!F19+'4.a. sz. mell.'!D20+'4.a. sz. mell.'!D19</f>
        <v>2600832731</v>
      </c>
      <c r="V7" s="2003">
        <f>SUM('4.a. sz. mell.'!E8+'3. a. sz. mell'!G7+'5.a sz. mell. '!G8)+'5.a sz. mell. '!G19+'4.a. sz. mell.'!E20+'4.a. sz. mell.'!E19</f>
        <v>-900366322</v>
      </c>
      <c r="W7" s="2031">
        <f>SUM('4.a. sz. mell.'!F8+'3. a. sz. mell'!H7+'5.a sz. mell. '!H8)+'5.a sz. mell. '!H19+'4.a. sz. mell.'!F20+'4.a. sz. mell.'!F19+'5.a sz. mell. '!H26</f>
        <v>1700868909</v>
      </c>
      <c r="X7" s="2042">
        <f>SUM('4.a. sz. mell.'!G8+'3. a. sz. mell'!I7+'5.a sz. mell. '!I8)+'5.a sz. mell. '!I19+'4.a. sz. mell.'!G20+'4.a. sz. mell.'!G19+'5.a sz. mell. '!I26</f>
        <v>-190214006</v>
      </c>
      <c r="Y7" s="2010">
        <f>SUM('4.a. sz. mell.'!H8+'3. a. sz. mell'!J7+'5.a sz. mell. '!J8)+'5.a sz. mell. '!J19+'4.a. sz. mell.'!H20+'4.a. sz. mell.'!H19+'5.a sz. mell. '!J26</f>
        <v>1510711703</v>
      </c>
      <c r="Z7" s="2042">
        <f>SUM('4.a. sz. mell.'!I8+'3. a. sz. mell'!K7+'5.a sz. mell. '!K8)+'5.a sz. mell. '!K19+'4.a. sz. mell.'!I20+'4.a. sz. mell.'!I19+'5.a sz. mell. '!K26</f>
        <v>0</v>
      </c>
      <c r="AA7" s="1999">
        <f>SUM('4.a. sz. mell.'!J8+'3. a. sz. mell'!L7+'5.a sz. mell. '!L8)+'5.a sz. mell. '!L19+'4.a. sz. mell.'!J20+'4.a. sz. mell.'!J19+'5.a sz. mell. '!L26</f>
        <v>1510711703</v>
      </c>
      <c r="AB7" s="2042">
        <f>SUM('4.a. sz. mell.'!K8+'3. a. sz. mell'!M7+'5.a sz. mell. '!M8)+'5.a sz. mell. '!M19+'4.a. sz. mell.'!K20+'4.a. sz. mell.'!K19+'5.a sz. mell. '!M26</f>
        <v>2770634355</v>
      </c>
    </row>
    <row r="8" spans="1:28" s="141" customFormat="1" ht="19.5" customHeight="1" thickBot="1" x14ac:dyDescent="0.3">
      <c r="A8" s="134" t="s">
        <v>17</v>
      </c>
      <c r="B8" s="135"/>
      <c r="C8" s="30" t="s">
        <v>239</v>
      </c>
      <c r="D8" s="137" t="e">
        <f>SUM(D9:D14)</f>
        <v>#REF!</v>
      </c>
      <c r="E8" s="137" t="e">
        <f>SUM(E9:E14)</f>
        <v>#REF!</v>
      </c>
      <c r="F8" s="137">
        <f>SUM('3. a. sz. mell'!F8)</f>
        <v>1585170581</v>
      </c>
      <c r="G8" s="1374">
        <f>SUM(H8-F8)</f>
        <v>-1204851179</v>
      </c>
      <c r="H8" s="137">
        <f>SUM('3. a. sz. mell'!H8)+'4.a. sz. mell.'!F19</f>
        <v>380319402</v>
      </c>
      <c r="I8" s="1374">
        <f>SUM(J8-H8)</f>
        <v>-74820959</v>
      </c>
      <c r="J8" s="3461">
        <f>SUM('3. a. sz. mell'!J8)+'4.a. sz. mell.'!H19</f>
        <v>305498443</v>
      </c>
      <c r="K8" s="3566">
        <f>SUM(L8-J8)</f>
        <v>0</v>
      </c>
      <c r="L8" s="2456">
        <f>SUM('3. a. sz. mell'!L8)+'4.a. sz. mell.'!J19</f>
        <v>305498443</v>
      </c>
      <c r="M8" s="137">
        <f>SUM('3. a. sz. mell'!M8)+'4.a. sz. mell.'!K19</f>
        <v>1554042971</v>
      </c>
      <c r="N8" s="139"/>
      <c r="O8" s="2003">
        <f t="shared" ref="O8:O73" si="2">SUM(F8-U8)</f>
        <v>0</v>
      </c>
      <c r="P8" s="2031">
        <f t="shared" ref="P8:P71" si="3">SUM(H8-W8)</f>
        <v>0</v>
      </c>
      <c r="Q8" s="139">
        <f t="shared" si="0"/>
        <v>0</v>
      </c>
      <c r="R8" s="1999">
        <f t="shared" si="1"/>
        <v>0</v>
      </c>
      <c r="S8" s="2040">
        <f t="shared" si="1"/>
        <v>0</v>
      </c>
      <c r="U8" s="2003">
        <f>SUM('3. a. sz. mell'!F8+'4.a. sz. mell.'!D19)</f>
        <v>1585170581</v>
      </c>
      <c r="V8" s="2003"/>
      <c r="W8" s="2031">
        <f>SUM('3. a. sz. mell'!H8+'4.a. sz. mell.'!F19)</f>
        <v>380319402</v>
      </c>
      <c r="X8" s="2031"/>
      <c r="Y8" s="2010">
        <f>SUM('3. a. sz. mell'!J8+'4.a. sz. mell.'!H19)</f>
        <v>305498443</v>
      </c>
      <c r="Z8" s="139"/>
      <c r="AA8" s="1999">
        <f>SUM('3. a. sz. mell'!L8+'4.a. sz. mell.'!J19)</f>
        <v>305498443</v>
      </c>
      <c r="AB8" s="2042">
        <f>SUM('3. a. sz. mell'!M8+'4.a. sz. mell.'!K19)</f>
        <v>1554042971</v>
      </c>
    </row>
    <row r="9" spans="1:28" s="145" customFormat="1" ht="12.75" hidden="1" customHeight="1" x14ac:dyDescent="0.25">
      <c r="A9" s="142"/>
      <c r="B9" s="143"/>
      <c r="C9" s="27"/>
      <c r="D9" s="144" t="e">
        <f>SUM(#REF!+#REF!+#REF!)</f>
        <v>#REF!</v>
      </c>
      <c r="E9" s="144" t="e">
        <f>SUM(#REF!+#REF!+#REF!)</f>
        <v>#REF!</v>
      </c>
      <c r="F9" s="144"/>
      <c r="G9" s="1374">
        <f t="shared" ref="G9:K44" si="4">SUM(H9-F9)</f>
        <v>0</v>
      </c>
      <c r="H9" s="144"/>
      <c r="I9" s="1374">
        <f t="shared" si="4"/>
        <v>0</v>
      </c>
      <c r="J9" s="3462"/>
      <c r="K9" s="3566">
        <f t="shared" si="4"/>
        <v>0</v>
      </c>
      <c r="L9" s="2684"/>
      <c r="M9" s="144"/>
      <c r="N9" s="139"/>
      <c r="O9" s="2003">
        <f t="shared" si="2"/>
        <v>0</v>
      </c>
      <c r="P9" s="2031">
        <f t="shared" si="3"/>
        <v>0</v>
      </c>
      <c r="Q9" s="139">
        <f t="shared" si="0"/>
        <v>0</v>
      </c>
      <c r="R9" s="1999">
        <f t="shared" si="1"/>
        <v>0</v>
      </c>
      <c r="S9" s="2040">
        <f t="shared" si="1"/>
        <v>0</v>
      </c>
      <c r="U9" s="1874"/>
      <c r="V9" s="1874"/>
      <c r="W9" s="2033"/>
      <c r="X9" s="2033"/>
      <c r="Y9" s="2060"/>
      <c r="AA9" s="1999"/>
      <c r="AB9" s="1890"/>
    </row>
    <row r="10" spans="1:28" s="145" customFormat="1" ht="12.75" hidden="1" customHeight="1" x14ac:dyDescent="0.25">
      <c r="A10" s="142"/>
      <c r="B10" s="143"/>
      <c r="C10" s="27"/>
      <c r="D10" s="144"/>
      <c r="E10" s="144"/>
      <c r="F10" s="144"/>
      <c r="G10" s="1374">
        <f t="shared" si="4"/>
        <v>0</v>
      </c>
      <c r="H10" s="144"/>
      <c r="I10" s="1374">
        <f t="shared" si="4"/>
        <v>0</v>
      </c>
      <c r="J10" s="3462"/>
      <c r="K10" s="3566">
        <f t="shared" si="4"/>
        <v>0</v>
      </c>
      <c r="L10" s="2684"/>
      <c r="M10" s="144"/>
      <c r="N10" s="139"/>
      <c r="O10" s="2003">
        <f t="shared" si="2"/>
        <v>0</v>
      </c>
      <c r="P10" s="2031">
        <f t="shared" si="3"/>
        <v>0</v>
      </c>
      <c r="Q10" s="139">
        <f t="shared" si="0"/>
        <v>0</v>
      </c>
      <c r="R10" s="1999">
        <f t="shared" si="1"/>
        <v>0</v>
      </c>
      <c r="S10" s="2040">
        <f t="shared" si="1"/>
        <v>0</v>
      </c>
      <c r="U10" s="1874"/>
      <c r="V10" s="1874"/>
      <c r="W10" s="2033"/>
      <c r="X10" s="2033"/>
      <c r="Y10" s="2060"/>
      <c r="AA10" s="1999"/>
      <c r="AB10" s="1890"/>
    </row>
    <row r="11" spans="1:28" s="145" customFormat="1" ht="12.75" hidden="1" customHeight="1" x14ac:dyDescent="0.25">
      <c r="A11" s="142"/>
      <c r="B11" s="143"/>
      <c r="C11" s="27"/>
      <c r="D11" s="144" t="e">
        <f>SUM(#REF!)</f>
        <v>#REF!</v>
      </c>
      <c r="E11" s="144" t="e">
        <f>SUM(#REF!)</f>
        <v>#REF!</v>
      </c>
      <c r="F11" s="144"/>
      <c r="G11" s="1374">
        <f t="shared" si="4"/>
        <v>0</v>
      </c>
      <c r="H11" s="144"/>
      <c r="I11" s="1374">
        <f t="shared" si="4"/>
        <v>0</v>
      </c>
      <c r="J11" s="3462"/>
      <c r="K11" s="3566">
        <f t="shared" si="4"/>
        <v>0</v>
      </c>
      <c r="L11" s="2684"/>
      <c r="M11" s="144"/>
      <c r="N11" s="139"/>
      <c r="O11" s="2003">
        <f t="shared" si="2"/>
        <v>0</v>
      </c>
      <c r="P11" s="2031">
        <f t="shared" si="3"/>
        <v>0</v>
      </c>
      <c r="Q11" s="139">
        <f t="shared" si="0"/>
        <v>0</v>
      </c>
      <c r="R11" s="1999">
        <f t="shared" si="1"/>
        <v>0</v>
      </c>
      <c r="S11" s="2040">
        <f t="shared" si="1"/>
        <v>0</v>
      </c>
      <c r="U11" s="1874"/>
      <c r="V11" s="1874"/>
      <c r="W11" s="2033"/>
      <c r="X11" s="2033"/>
      <c r="Y11" s="2060"/>
      <c r="AA11" s="1999"/>
      <c r="AB11" s="1890"/>
    </row>
    <row r="12" spans="1:28" s="145" customFormat="1" ht="12.75" hidden="1" customHeight="1" x14ac:dyDescent="0.25">
      <c r="A12" s="142"/>
      <c r="B12" s="143"/>
      <c r="C12" s="27"/>
      <c r="D12" s="144" t="e">
        <f>SUM(#REF!)</f>
        <v>#REF!</v>
      </c>
      <c r="E12" s="144" t="e">
        <f>SUM(#REF!+#REF!)</f>
        <v>#REF!</v>
      </c>
      <c r="F12" s="144"/>
      <c r="G12" s="1374">
        <f t="shared" si="4"/>
        <v>0</v>
      </c>
      <c r="H12" s="144"/>
      <c r="I12" s="1374">
        <f t="shared" si="4"/>
        <v>0</v>
      </c>
      <c r="J12" s="3462"/>
      <c r="K12" s="3566">
        <f t="shared" si="4"/>
        <v>0</v>
      </c>
      <c r="L12" s="2684"/>
      <c r="M12" s="144"/>
      <c r="N12" s="139"/>
      <c r="O12" s="2003">
        <f t="shared" si="2"/>
        <v>0</v>
      </c>
      <c r="P12" s="2031">
        <f t="shared" si="3"/>
        <v>0</v>
      </c>
      <c r="Q12" s="139">
        <f t="shared" si="0"/>
        <v>0</v>
      </c>
      <c r="R12" s="1999">
        <f t="shared" si="1"/>
        <v>0</v>
      </c>
      <c r="S12" s="2040">
        <f t="shared" si="1"/>
        <v>0</v>
      </c>
      <c r="U12" s="1874"/>
      <c r="V12" s="1874"/>
      <c r="W12" s="2033"/>
      <c r="X12" s="2033"/>
      <c r="Y12" s="2060"/>
      <c r="AA12" s="1999"/>
      <c r="AB12" s="1890"/>
    </row>
    <row r="13" spans="1:28" s="145" customFormat="1" ht="12.75" hidden="1" customHeight="1" x14ac:dyDescent="0.25">
      <c r="A13" s="142"/>
      <c r="B13" s="143"/>
      <c r="C13" s="27"/>
      <c r="D13" s="144"/>
      <c r="E13" s="144"/>
      <c r="F13" s="144"/>
      <c r="G13" s="1374">
        <f t="shared" si="4"/>
        <v>0</v>
      </c>
      <c r="H13" s="144"/>
      <c r="I13" s="1374">
        <f t="shared" si="4"/>
        <v>0</v>
      </c>
      <c r="J13" s="3462"/>
      <c r="K13" s="3566">
        <f t="shared" si="4"/>
        <v>0</v>
      </c>
      <c r="L13" s="2684"/>
      <c r="M13" s="144"/>
      <c r="N13" s="139"/>
      <c r="O13" s="2003">
        <f t="shared" si="2"/>
        <v>0</v>
      </c>
      <c r="P13" s="2031">
        <f t="shared" si="3"/>
        <v>0</v>
      </c>
      <c r="Q13" s="139">
        <f t="shared" si="0"/>
        <v>0</v>
      </c>
      <c r="R13" s="1999">
        <f t="shared" si="1"/>
        <v>0</v>
      </c>
      <c r="S13" s="2040">
        <f t="shared" si="1"/>
        <v>0</v>
      </c>
      <c r="U13" s="1874"/>
      <c r="V13" s="1874"/>
      <c r="W13" s="2033"/>
      <c r="X13" s="2033"/>
      <c r="Y13" s="2060"/>
      <c r="AA13" s="1999"/>
      <c r="AB13" s="1890"/>
    </row>
    <row r="14" spans="1:28" s="145" customFormat="1" ht="12.75" hidden="1" customHeight="1" x14ac:dyDescent="0.25">
      <c r="A14" s="142"/>
      <c r="B14" s="143"/>
      <c r="C14" s="27"/>
      <c r="D14" s="144"/>
      <c r="E14" s="144"/>
      <c r="F14" s="144"/>
      <c r="G14" s="1374">
        <f t="shared" si="4"/>
        <v>0</v>
      </c>
      <c r="H14" s="144"/>
      <c r="I14" s="1374">
        <f t="shared" si="4"/>
        <v>0</v>
      </c>
      <c r="J14" s="3462"/>
      <c r="K14" s="3566">
        <f t="shared" si="4"/>
        <v>0</v>
      </c>
      <c r="L14" s="2684"/>
      <c r="M14" s="144"/>
      <c r="N14" s="139"/>
      <c r="O14" s="2003">
        <f t="shared" si="2"/>
        <v>0</v>
      </c>
      <c r="P14" s="2031">
        <f t="shared" si="3"/>
        <v>0</v>
      </c>
      <c r="Q14" s="139">
        <f t="shared" si="0"/>
        <v>0</v>
      </c>
      <c r="R14" s="1999">
        <f t="shared" si="1"/>
        <v>0</v>
      </c>
      <c r="S14" s="2040">
        <f t="shared" si="1"/>
        <v>0</v>
      </c>
      <c r="U14" s="1874"/>
      <c r="V14" s="1874"/>
      <c r="W14" s="2033"/>
      <c r="X14" s="2033"/>
      <c r="Y14" s="2060"/>
      <c r="AA14" s="1999"/>
      <c r="AB14" s="1890"/>
    </row>
    <row r="15" spans="1:28" s="145" customFormat="1" ht="12.75" hidden="1" customHeight="1" x14ac:dyDescent="0.25">
      <c r="A15" s="146"/>
      <c r="B15" s="143"/>
      <c r="C15" s="33"/>
      <c r="D15" s="147"/>
      <c r="E15" s="147"/>
      <c r="F15" s="147"/>
      <c r="G15" s="1374">
        <f t="shared" si="4"/>
        <v>0</v>
      </c>
      <c r="H15" s="147"/>
      <c r="I15" s="1374">
        <f t="shared" si="4"/>
        <v>0</v>
      </c>
      <c r="J15" s="3463"/>
      <c r="K15" s="3566">
        <f t="shared" si="4"/>
        <v>0</v>
      </c>
      <c r="L15" s="3475"/>
      <c r="M15" s="147"/>
      <c r="N15" s="139"/>
      <c r="O15" s="2003">
        <f t="shared" si="2"/>
        <v>0</v>
      </c>
      <c r="P15" s="2031">
        <f t="shared" si="3"/>
        <v>0</v>
      </c>
      <c r="Q15" s="139">
        <f t="shared" si="0"/>
        <v>0</v>
      </c>
      <c r="R15" s="1999">
        <f t="shared" si="1"/>
        <v>0</v>
      </c>
      <c r="S15" s="2040">
        <f t="shared" si="1"/>
        <v>0</v>
      </c>
      <c r="U15" s="1874"/>
      <c r="V15" s="1874"/>
      <c r="W15" s="2033"/>
      <c r="X15" s="2033"/>
      <c r="Y15" s="2060"/>
      <c r="AA15" s="1999"/>
      <c r="AB15" s="1890"/>
    </row>
    <row r="16" spans="1:28" s="141" customFormat="1" ht="18.75" customHeight="1" thickBot="1" x14ac:dyDescent="0.3">
      <c r="A16" s="134" t="s">
        <v>31</v>
      </c>
      <c r="B16" s="148"/>
      <c r="C16" s="30" t="s">
        <v>292</v>
      </c>
      <c r="D16" s="137" t="e">
        <f>SUM(D17:D24)</f>
        <v>#REF!</v>
      </c>
      <c r="E16" s="137" t="e">
        <f>SUM(E17:E24)</f>
        <v>#REF!</v>
      </c>
      <c r="F16" s="137">
        <f>SUM('3. a. sz. mell'!F16+'4.a. sz. mell.'!D8+'5.a sz. mell. '!F8)</f>
        <v>339703020</v>
      </c>
      <c r="G16" s="1374">
        <f t="shared" si="4"/>
        <v>254537132</v>
      </c>
      <c r="H16" s="137">
        <f>SUM('3. a. sz. mell'!H16+'4.a. sz. mell.'!F8+'5.a sz. mell. '!H8)</f>
        <v>594240152</v>
      </c>
      <c r="I16" s="1374">
        <f t="shared" si="4"/>
        <v>-181835771</v>
      </c>
      <c r="J16" s="3461">
        <f>SUM('3. a. sz. mell'!J16+'4.a. sz. mell.'!H8+'5.a sz. mell. '!J8)</f>
        <v>412404381</v>
      </c>
      <c r="K16" s="3566">
        <f t="shared" si="4"/>
        <v>0</v>
      </c>
      <c r="L16" s="2456">
        <f>SUM('3. a. sz. mell'!L16+'4.a. sz. mell.'!J8+'5.a sz. mell. '!L8)</f>
        <v>412404381</v>
      </c>
      <c r="M16" s="137">
        <f>SUM('3. a. sz. mell'!M16+'4.a. sz. mell.'!K8+'5.a sz. mell. '!M8)</f>
        <v>423782505</v>
      </c>
      <c r="N16" s="139"/>
      <c r="O16" s="2003">
        <f t="shared" si="2"/>
        <v>0</v>
      </c>
      <c r="P16" s="2031">
        <f t="shared" si="3"/>
        <v>0</v>
      </c>
      <c r="Q16" s="139">
        <f t="shared" si="0"/>
        <v>0</v>
      </c>
      <c r="R16" s="1999">
        <f t="shared" si="1"/>
        <v>0</v>
      </c>
      <c r="S16" s="2040">
        <f t="shared" si="1"/>
        <v>0</v>
      </c>
      <c r="U16" s="2003">
        <f>SUM('3. a. sz. mell'!F16+'5.a sz. mell. '!F8+'4.a. sz. mell.'!D8)</f>
        <v>339703020</v>
      </c>
      <c r="V16" s="2003"/>
      <c r="W16" s="2031">
        <f>SUM('3. a. sz. mell'!H16+'5.a sz. mell. '!H8+'4.a. sz. mell.'!F8)</f>
        <v>594240152</v>
      </c>
      <c r="X16" s="2031"/>
      <c r="Y16" s="2010">
        <f>SUM('3. a. sz. mell'!J16+'5.a sz. mell. '!J8+'4.a. sz. mell.'!H8)</f>
        <v>412404381</v>
      </c>
      <c r="Z16" s="139"/>
      <c r="AA16" s="1999">
        <f>SUM('3. a. sz. mell'!L16+'5.a sz. mell. '!L8+'4.a. sz. mell.'!J8)</f>
        <v>412404381</v>
      </c>
      <c r="AB16" s="2042">
        <f>SUM('3. a. sz. mell'!M16+'5.a sz. mell. '!M8+'4.a. sz. mell.'!K8)</f>
        <v>423782505</v>
      </c>
    </row>
    <row r="17" spans="1:28" s="141" customFormat="1" ht="12.75" hidden="1" customHeight="1" x14ac:dyDescent="0.25">
      <c r="A17" s="149"/>
      <c r="B17" s="143"/>
      <c r="C17" s="27"/>
      <c r="D17" s="150"/>
      <c r="E17" s="150"/>
      <c r="F17" s="150"/>
      <c r="G17" s="1374">
        <f t="shared" si="4"/>
        <v>0</v>
      </c>
      <c r="H17" s="150"/>
      <c r="I17" s="1374">
        <f t="shared" si="4"/>
        <v>0</v>
      </c>
      <c r="J17" s="1676"/>
      <c r="K17" s="3566">
        <f t="shared" si="4"/>
        <v>0</v>
      </c>
      <c r="L17" s="3476"/>
      <c r="M17" s="150"/>
      <c r="N17" s="139"/>
      <c r="O17" s="2003">
        <f t="shared" si="2"/>
        <v>0</v>
      </c>
      <c r="P17" s="2031">
        <f t="shared" si="3"/>
        <v>0</v>
      </c>
      <c r="Q17" s="139">
        <f t="shared" si="0"/>
        <v>0</v>
      </c>
      <c r="R17" s="1999">
        <f t="shared" si="1"/>
        <v>0</v>
      </c>
      <c r="S17" s="2040">
        <f t="shared" si="1"/>
        <v>0</v>
      </c>
      <c r="U17" s="2003"/>
      <c r="V17" s="2003"/>
      <c r="W17" s="2031"/>
      <c r="X17" s="2031"/>
      <c r="Y17" s="2010"/>
      <c r="Z17" s="139"/>
      <c r="AA17" s="1999"/>
      <c r="AB17" s="2042"/>
    </row>
    <row r="18" spans="1:28" s="141" customFormat="1" ht="12.75" hidden="1" customHeight="1" x14ac:dyDescent="0.25">
      <c r="A18" s="142"/>
      <c r="B18" s="143"/>
      <c r="C18" s="27"/>
      <c r="D18" s="144" t="e">
        <f>SUM(#REF!)</f>
        <v>#REF!</v>
      </c>
      <c r="E18" s="144" t="e">
        <f>SUM(#REF!+#REF!)</f>
        <v>#REF!</v>
      </c>
      <c r="F18" s="144"/>
      <c r="G18" s="1374">
        <f t="shared" si="4"/>
        <v>0</v>
      </c>
      <c r="H18" s="144"/>
      <c r="I18" s="1374">
        <f t="shared" si="4"/>
        <v>0</v>
      </c>
      <c r="J18" s="3462"/>
      <c r="K18" s="3566">
        <f t="shared" si="4"/>
        <v>0</v>
      </c>
      <c r="L18" s="2684"/>
      <c r="M18" s="144"/>
      <c r="N18" s="139"/>
      <c r="O18" s="2003">
        <f t="shared" si="2"/>
        <v>0</v>
      </c>
      <c r="P18" s="2031">
        <f t="shared" si="3"/>
        <v>0</v>
      </c>
      <c r="Q18" s="139">
        <f t="shared" si="0"/>
        <v>0</v>
      </c>
      <c r="R18" s="1999">
        <f t="shared" si="1"/>
        <v>0</v>
      </c>
      <c r="S18" s="2040">
        <f t="shared" si="1"/>
        <v>0</v>
      </c>
      <c r="U18" s="2003"/>
      <c r="V18" s="2003"/>
      <c r="W18" s="2031"/>
      <c r="X18" s="2031"/>
      <c r="Y18" s="2010"/>
      <c r="Z18" s="139"/>
      <c r="AA18" s="1999"/>
      <c r="AB18" s="2042"/>
    </row>
    <row r="19" spans="1:28" s="141" customFormat="1" ht="12.75" hidden="1" customHeight="1" x14ac:dyDescent="0.25">
      <c r="A19" s="142"/>
      <c r="B19" s="143"/>
      <c r="C19" s="27"/>
      <c r="D19" s="144" t="e">
        <f>SUM(#REF!)</f>
        <v>#REF!</v>
      </c>
      <c r="E19" s="144" t="e">
        <f>SUM(#REF!)</f>
        <v>#REF!</v>
      </c>
      <c r="F19" s="144"/>
      <c r="G19" s="1374">
        <f t="shared" si="4"/>
        <v>0</v>
      </c>
      <c r="H19" s="144"/>
      <c r="I19" s="1374">
        <f t="shared" si="4"/>
        <v>0</v>
      </c>
      <c r="J19" s="3462"/>
      <c r="K19" s="3566">
        <f t="shared" si="4"/>
        <v>0</v>
      </c>
      <c r="L19" s="2684"/>
      <c r="M19" s="144"/>
      <c r="N19" s="139"/>
      <c r="O19" s="2003">
        <f t="shared" si="2"/>
        <v>0</v>
      </c>
      <c r="P19" s="2031">
        <f t="shared" si="3"/>
        <v>0</v>
      </c>
      <c r="Q19" s="139">
        <f t="shared" si="0"/>
        <v>0</v>
      </c>
      <c r="R19" s="1999">
        <f t="shared" si="1"/>
        <v>0</v>
      </c>
      <c r="S19" s="2040">
        <f t="shared" si="1"/>
        <v>0</v>
      </c>
      <c r="U19" s="2003"/>
      <c r="V19" s="2003"/>
      <c r="W19" s="2031"/>
      <c r="X19" s="2031"/>
      <c r="Y19" s="2010"/>
      <c r="Z19" s="139"/>
      <c r="AA19" s="1999"/>
      <c r="AB19" s="2042"/>
    </row>
    <row r="20" spans="1:28" s="141" customFormat="1" ht="12.75" hidden="1" customHeight="1" x14ac:dyDescent="0.25">
      <c r="A20" s="142"/>
      <c r="B20" s="143"/>
      <c r="C20" s="27"/>
      <c r="D20" s="144"/>
      <c r="E20" s="144"/>
      <c r="F20" s="144"/>
      <c r="G20" s="1374">
        <f t="shared" si="4"/>
        <v>0</v>
      </c>
      <c r="H20" s="144"/>
      <c r="I20" s="1374">
        <f t="shared" si="4"/>
        <v>0</v>
      </c>
      <c r="J20" s="3462"/>
      <c r="K20" s="3566">
        <f t="shared" si="4"/>
        <v>0</v>
      </c>
      <c r="L20" s="2684"/>
      <c r="M20" s="144"/>
      <c r="N20" s="139"/>
      <c r="O20" s="2003">
        <f t="shared" si="2"/>
        <v>0</v>
      </c>
      <c r="P20" s="2031">
        <f t="shared" si="3"/>
        <v>0</v>
      </c>
      <c r="Q20" s="139">
        <f t="shared" si="0"/>
        <v>0</v>
      </c>
      <c r="R20" s="1999">
        <f t="shared" si="1"/>
        <v>0</v>
      </c>
      <c r="S20" s="2040">
        <f t="shared" si="1"/>
        <v>0</v>
      </c>
      <c r="U20" s="2003"/>
      <c r="V20" s="2003"/>
      <c r="W20" s="2031"/>
      <c r="X20" s="2031"/>
      <c r="Y20" s="2010"/>
      <c r="Z20" s="139"/>
      <c r="AA20" s="1999"/>
      <c r="AB20" s="2042"/>
    </row>
    <row r="21" spans="1:28" s="141" customFormat="1" ht="12.75" hidden="1" customHeight="1" x14ac:dyDescent="0.25">
      <c r="A21" s="142"/>
      <c r="B21" s="143"/>
      <c r="C21" s="27"/>
      <c r="D21" s="144"/>
      <c r="E21" s="144"/>
      <c r="F21" s="144"/>
      <c r="G21" s="1374">
        <f t="shared" si="4"/>
        <v>0</v>
      </c>
      <c r="H21" s="144"/>
      <c r="I21" s="1374">
        <f t="shared" si="4"/>
        <v>0</v>
      </c>
      <c r="J21" s="3462"/>
      <c r="K21" s="3566">
        <f t="shared" si="4"/>
        <v>0</v>
      </c>
      <c r="L21" s="2684"/>
      <c r="M21" s="144"/>
      <c r="N21" s="139"/>
      <c r="O21" s="2003">
        <f t="shared" si="2"/>
        <v>0</v>
      </c>
      <c r="P21" s="2031">
        <f t="shared" si="3"/>
        <v>0</v>
      </c>
      <c r="Q21" s="139">
        <f t="shared" si="0"/>
        <v>0</v>
      </c>
      <c r="R21" s="1999">
        <f t="shared" si="1"/>
        <v>0</v>
      </c>
      <c r="S21" s="2040">
        <f t="shared" si="1"/>
        <v>0</v>
      </c>
      <c r="U21" s="2003"/>
      <c r="V21" s="2003"/>
      <c r="W21" s="2031"/>
      <c r="X21" s="2031"/>
      <c r="Y21" s="2010"/>
      <c r="Z21" s="139"/>
      <c r="AA21" s="1999"/>
      <c r="AB21" s="2042"/>
    </row>
    <row r="22" spans="1:28" s="141" customFormat="1" ht="12.75" hidden="1" customHeight="1" x14ac:dyDescent="0.25">
      <c r="A22" s="146"/>
      <c r="B22" s="143"/>
      <c r="C22" s="27"/>
      <c r="D22" s="147" t="e">
        <f>SUM(#REF!)</f>
        <v>#REF!</v>
      </c>
      <c r="E22" s="147" t="e">
        <f>SUM(#REF!)</f>
        <v>#REF!</v>
      </c>
      <c r="F22" s="147"/>
      <c r="G22" s="1374">
        <f t="shared" si="4"/>
        <v>0</v>
      </c>
      <c r="H22" s="147"/>
      <c r="I22" s="1374">
        <f t="shared" si="4"/>
        <v>0</v>
      </c>
      <c r="J22" s="3463"/>
      <c r="K22" s="3566">
        <f t="shared" si="4"/>
        <v>0</v>
      </c>
      <c r="L22" s="3475"/>
      <c r="M22" s="147"/>
      <c r="N22" s="139"/>
      <c r="O22" s="2003">
        <f t="shared" si="2"/>
        <v>0</v>
      </c>
      <c r="P22" s="2031">
        <f t="shared" si="3"/>
        <v>0</v>
      </c>
      <c r="Q22" s="139">
        <f t="shared" si="0"/>
        <v>0</v>
      </c>
      <c r="R22" s="1999">
        <f t="shared" si="1"/>
        <v>0</v>
      </c>
      <c r="S22" s="2040">
        <f t="shared" si="1"/>
        <v>0</v>
      </c>
      <c r="U22" s="2003"/>
      <c r="V22" s="2003"/>
      <c r="W22" s="2031"/>
      <c r="X22" s="2031"/>
      <c r="Y22" s="2010"/>
      <c r="Z22" s="139"/>
      <c r="AA22" s="1999"/>
      <c r="AB22" s="2042"/>
    </row>
    <row r="23" spans="1:28" s="145" customFormat="1" ht="12.75" hidden="1" customHeight="1" x14ac:dyDescent="0.25">
      <c r="A23" s="142"/>
      <c r="B23" s="143"/>
      <c r="C23" s="27"/>
      <c r="D23" s="144" t="e">
        <f>SUM(#REF!)</f>
        <v>#REF!</v>
      </c>
      <c r="E23" s="144" t="e">
        <f>SUM(#REF!)</f>
        <v>#REF!</v>
      </c>
      <c r="F23" s="144"/>
      <c r="G23" s="1374">
        <f t="shared" si="4"/>
        <v>0</v>
      </c>
      <c r="H23" s="144"/>
      <c r="I23" s="1374">
        <f t="shared" si="4"/>
        <v>0</v>
      </c>
      <c r="J23" s="3462"/>
      <c r="K23" s="3566">
        <f t="shared" si="4"/>
        <v>0</v>
      </c>
      <c r="L23" s="2684"/>
      <c r="M23" s="144"/>
      <c r="N23" s="139"/>
      <c r="O23" s="2003">
        <f t="shared" si="2"/>
        <v>0</v>
      </c>
      <c r="P23" s="2031">
        <f t="shared" si="3"/>
        <v>0</v>
      </c>
      <c r="Q23" s="139">
        <f t="shared" si="0"/>
        <v>0</v>
      </c>
      <c r="R23" s="1999">
        <f t="shared" si="1"/>
        <v>0</v>
      </c>
      <c r="S23" s="2040">
        <f t="shared" si="1"/>
        <v>0</v>
      </c>
      <c r="U23" s="2003"/>
      <c r="V23" s="2003"/>
      <c r="W23" s="2031"/>
      <c r="X23" s="2031"/>
      <c r="Y23" s="2010"/>
      <c r="Z23" s="139"/>
      <c r="AA23" s="1999"/>
      <c r="AB23" s="2042"/>
    </row>
    <row r="24" spans="1:28" s="145" customFormat="1" ht="12.75" hidden="1" customHeight="1" x14ac:dyDescent="0.25">
      <c r="A24" s="151"/>
      <c r="B24" s="152"/>
      <c r="C24" s="27"/>
      <c r="D24" s="153"/>
      <c r="E24" s="153"/>
      <c r="F24" s="153"/>
      <c r="G24" s="1374">
        <f t="shared" si="4"/>
        <v>0</v>
      </c>
      <c r="H24" s="153"/>
      <c r="I24" s="1374">
        <f t="shared" si="4"/>
        <v>0</v>
      </c>
      <c r="J24" s="3464"/>
      <c r="K24" s="3566">
        <f t="shared" si="4"/>
        <v>0</v>
      </c>
      <c r="L24" s="3477"/>
      <c r="M24" s="153"/>
      <c r="N24" s="139"/>
      <c r="O24" s="2003">
        <f t="shared" si="2"/>
        <v>0</v>
      </c>
      <c r="P24" s="2031">
        <f t="shared" si="3"/>
        <v>0</v>
      </c>
      <c r="Q24" s="139">
        <f t="shared" si="0"/>
        <v>0</v>
      </c>
      <c r="R24" s="1999">
        <f t="shared" si="1"/>
        <v>0</v>
      </c>
      <c r="S24" s="2040">
        <f t="shared" si="1"/>
        <v>0</v>
      </c>
      <c r="U24" s="2003"/>
      <c r="V24" s="2003"/>
      <c r="W24" s="2031"/>
      <c r="X24" s="2031"/>
      <c r="Y24" s="2010"/>
      <c r="Z24" s="139"/>
      <c r="AA24" s="1999"/>
      <c r="AB24" s="2042"/>
    </row>
    <row r="25" spans="1:28" s="145" customFormat="1" ht="12.75" hidden="1" customHeight="1" x14ac:dyDescent="0.25">
      <c r="A25" s="134"/>
      <c r="B25" s="154"/>
      <c r="C25" s="30"/>
      <c r="D25" s="155"/>
      <c r="E25" s="155"/>
      <c r="F25" s="155"/>
      <c r="G25" s="1374">
        <f t="shared" si="4"/>
        <v>0</v>
      </c>
      <c r="H25" s="155"/>
      <c r="I25" s="1374">
        <f t="shared" si="4"/>
        <v>0</v>
      </c>
      <c r="J25" s="3465"/>
      <c r="K25" s="3566">
        <f t="shared" si="4"/>
        <v>0</v>
      </c>
      <c r="L25" s="3478"/>
      <c r="M25" s="155"/>
      <c r="N25" s="139"/>
      <c r="O25" s="2003">
        <f t="shared" si="2"/>
        <v>0</v>
      </c>
      <c r="P25" s="2031">
        <f t="shared" si="3"/>
        <v>0</v>
      </c>
      <c r="Q25" s="139">
        <f t="shared" si="0"/>
        <v>0</v>
      </c>
      <c r="R25" s="1999">
        <f t="shared" si="1"/>
        <v>0</v>
      </c>
      <c r="S25" s="2040">
        <f t="shared" si="1"/>
        <v>0</v>
      </c>
      <c r="U25" s="2003"/>
      <c r="V25" s="2003"/>
      <c r="W25" s="2031"/>
      <c r="X25" s="2031"/>
      <c r="Y25" s="2010"/>
      <c r="Z25" s="139"/>
      <c r="AA25" s="1999"/>
      <c r="AB25" s="2042"/>
    </row>
    <row r="26" spans="1:28" s="141" customFormat="1" ht="21" customHeight="1" thickBot="1" x14ac:dyDescent="0.3">
      <c r="A26" s="134" t="s">
        <v>45</v>
      </c>
      <c r="B26" s="148"/>
      <c r="C26" s="30" t="s">
        <v>237</v>
      </c>
      <c r="D26" s="137">
        <f>SUM(D29:D34)</f>
        <v>0</v>
      </c>
      <c r="E26" s="137">
        <f>SUM(E29:E34)</f>
        <v>0</v>
      </c>
      <c r="F26" s="137">
        <f>SUM('3. a. sz. mell'!F26+'4.a. sz. mell.'!D20+'5.a sz. mell. '!F19)</f>
        <v>675959130</v>
      </c>
      <c r="G26" s="1374">
        <f t="shared" si="4"/>
        <v>49947725</v>
      </c>
      <c r="H26" s="137">
        <f>SUM('3. a. sz. mell'!H26+'4.a. sz. mell.'!F20+'5.a sz. mell. '!H19)</f>
        <v>725906855</v>
      </c>
      <c r="I26" s="1374">
        <f>SUM('3. a. sz. mell'!I26+'4.a. sz. mell.'!G20+'5.a sz. mell. '!I19)</f>
        <v>66499524</v>
      </c>
      <c r="J26" s="3461">
        <f>SUM('3. a. sz. mell'!J26+'4.a. sz. mell.'!H20+'5.a sz. mell. '!J19)</f>
        <v>792406379</v>
      </c>
      <c r="K26" s="3566">
        <f>SUM('3. a. sz. mell'!K26+'4.a. sz. mell.'!I20+'5.a sz. mell. '!K19)</f>
        <v>0</v>
      </c>
      <c r="L26" s="2456">
        <f>SUM('3. a. sz. mell'!L26+'4.a. sz. mell.'!J20+'5.a sz. mell. '!L19)</f>
        <v>792406379</v>
      </c>
      <c r="M26" s="137">
        <f>SUM('3. a. sz. mell'!M26+'4.a. sz. mell.'!K20+'5.a sz. mell. '!M19)</f>
        <v>792406379</v>
      </c>
      <c r="N26" s="139"/>
      <c r="O26" s="2003">
        <f t="shared" si="2"/>
        <v>0</v>
      </c>
      <c r="P26" s="2031">
        <f t="shared" si="3"/>
        <v>0</v>
      </c>
      <c r="Q26" s="139">
        <f t="shared" si="0"/>
        <v>0</v>
      </c>
      <c r="R26" s="1999">
        <f t="shared" si="1"/>
        <v>0</v>
      </c>
      <c r="S26" s="2040">
        <f t="shared" si="1"/>
        <v>0</v>
      </c>
      <c r="U26" s="2003">
        <f>SUM('3. a. sz. mell'!F26+'4.a. sz. mell.'!D20+'5.a sz. mell. '!F19)</f>
        <v>675959130</v>
      </c>
      <c r="V26" s="2003"/>
      <c r="W26" s="2031">
        <f>SUM('3. a. sz. mell'!H26+'4.a. sz. mell.'!F20+'5.a sz. mell. '!H19)</f>
        <v>725906855</v>
      </c>
      <c r="X26" s="2031"/>
      <c r="Y26" s="2010">
        <f>SUM('3. a. sz. mell'!J26+'4.a. sz. mell.'!H20+'5.a sz. mell. '!J19)</f>
        <v>792406379</v>
      </c>
      <c r="Z26" s="139"/>
      <c r="AA26" s="1999">
        <f>SUM('3. a. sz. mell'!L26+'4.a. sz. mell.'!J20+'5.a sz. mell. '!L19)</f>
        <v>792406379</v>
      </c>
      <c r="AB26" s="2042">
        <f>SUM('3. a. sz. mell'!M26+'4.a. sz. mell.'!K20+'5.a sz. mell. '!M19)</f>
        <v>792406379</v>
      </c>
    </row>
    <row r="27" spans="1:28" s="141" customFormat="1" ht="21" customHeight="1" thickBot="1" x14ac:dyDescent="0.3">
      <c r="A27" s="134" t="s">
        <v>67</v>
      </c>
      <c r="B27" s="148"/>
      <c r="C27" s="30" t="s">
        <v>293</v>
      </c>
      <c r="D27" s="156"/>
      <c r="E27" s="156"/>
      <c r="F27" s="137"/>
      <c r="G27" s="1374">
        <f t="shared" si="4"/>
        <v>402500</v>
      </c>
      <c r="H27" s="137">
        <f>SUM('3. a. sz. mell'!H27+'4.a. sz. mell.'!F28+'5.a sz. mell. '!H26)</f>
        <v>402500</v>
      </c>
      <c r="I27" s="1374">
        <f t="shared" si="4"/>
        <v>0</v>
      </c>
      <c r="J27" s="3461">
        <f>SUM('3. a. sz. mell'!J27+'4.a. sz. mell.'!H28+'5.a sz. mell. '!J26)</f>
        <v>402500</v>
      </c>
      <c r="K27" s="3566">
        <f t="shared" si="4"/>
        <v>0</v>
      </c>
      <c r="L27" s="2456">
        <f>SUM('3. a. sz. mell'!L27+'4.a. sz. mell.'!J28+'5.a sz. mell. '!L26)</f>
        <v>402500</v>
      </c>
      <c r="M27" s="137">
        <f>SUM('3. a. sz. mell'!M27+'4.a. sz. mell.'!K28+'5.a sz. mell. '!M26)</f>
        <v>402500</v>
      </c>
      <c r="N27" s="139"/>
      <c r="O27" s="2003">
        <f t="shared" si="2"/>
        <v>0</v>
      </c>
      <c r="P27" s="2031">
        <f t="shared" si="3"/>
        <v>0</v>
      </c>
      <c r="Q27" s="139">
        <f t="shared" si="0"/>
        <v>0</v>
      </c>
      <c r="R27" s="1999">
        <f t="shared" si="1"/>
        <v>0</v>
      </c>
      <c r="S27" s="2040">
        <f t="shared" si="1"/>
        <v>0</v>
      </c>
      <c r="T27" s="248"/>
      <c r="V27" s="2003"/>
      <c r="W27" s="2031">
        <f>SUM('3. a. sz. mell'!H27+'4.a. sz. mell.'!F28+'5.a sz. mell. '!H26)</f>
        <v>402500</v>
      </c>
      <c r="X27" s="2031">
        <f>SUM('3. a. sz. mell'!I27+'4.a. sz. mell.'!G28+'5.a sz. mell. '!I26)</f>
        <v>0</v>
      </c>
      <c r="Y27" s="2010">
        <f>SUM('3. a. sz. mell'!J27+'4.a. sz. mell.'!H28+'5.a sz. mell. '!J26)</f>
        <v>402500</v>
      </c>
      <c r="Z27" s="2031">
        <f>SUM('3. a. sz. mell'!K27+'4.a. sz. mell.'!I28+'5.a sz. mell. '!K26)</f>
        <v>0</v>
      </c>
      <c r="AA27" s="1999">
        <f>SUM('3. a. sz. mell'!L27+'4.a. sz. mell.'!J28+'5.a sz. mell. '!L26)</f>
        <v>402500</v>
      </c>
      <c r="AB27" s="2042">
        <f>SUM('3. a. sz. mell'!M27+'4.a. sz. mell.'!K28+'5.a sz. mell. '!M26)</f>
        <v>402500</v>
      </c>
    </row>
    <row r="28" spans="1:28" s="141" customFormat="1" ht="21" customHeight="1" thickBot="1" x14ac:dyDescent="0.25">
      <c r="A28" s="134"/>
      <c r="B28" s="148"/>
      <c r="C28" s="30"/>
      <c r="D28" s="156"/>
      <c r="E28" s="156"/>
      <c r="F28" s="137"/>
      <c r="G28" s="1374"/>
      <c r="H28" s="137"/>
      <c r="I28" s="1374"/>
      <c r="J28" s="3461"/>
      <c r="K28" s="3488"/>
      <c r="L28" s="2456"/>
      <c r="M28" s="137"/>
      <c r="N28" s="139"/>
      <c r="O28" s="2003"/>
      <c r="P28" s="2031"/>
      <c r="Q28" s="139"/>
      <c r="R28" s="1999"/>
      <c r="S28" s="2040"/>
      <c r="U28" s="2003"/>
      <c r="V28" s="2003"/>
      <c r="W28" s="2031"/>
      <c r="X28" s="2031"/>
      <c r="Y28" s="2010"/>
      <c r="Z28" s="139"/>
      <c r="AA28" s="1999"/>
      <c r="AB28" s="2042"/>
    </row>
    <row r="29" spans="1:28" s="145" customFormat="1" ht="30.75" customHeight="1" thickBot="1" x14ac:dyDescent="0.25">
      <c r="A29" s="134" t="s">
        <v>79</v>
      </c>
      <c r="B29" s="148"/>
      <c r="C29" s="136" t="s">
        <v>294</v>
      </c>
      <c r="D29" s="144"/>
      <c r="E29" s="144"/>
      <c r="F29" s="138">
        <f>SUM(F30:F32)</f>
        <v>0</v>
      </c>
      <c r="G29" s="1374">
        <f t="shared" si="4"/>
        <v>0</v>
      </c>
      <c r="H29" s="138">
        <f>SUM(H30:H32)</f>
        <v>0</v>
      </c>
      <c r="I29" s="1374">
        <f t="shared" si="4"/>
        <v>72281664</v>
      </c>
      <c r="J29" s="3460">
        <f>SUM(J30:J32)</f>
        <v>72281664</v>
      </c>
      <c r="K29" s="3508">
        <f t="shared" si="4"/>
        <v>0</v>
      </c>
      <c r="L29" s="3474">
        <f>SUM(L30:L32)</f>
        <v>72281664</v>
      </c>
      <c r="M29" s="138">
        <f>SUM(M30:M32)</f>
        <v>72281664</v>
      </c>
      <c r="N29" s="139"/>
      <c r="O29" s="2003">
        <f t="shared" si="2"/>
        <v>0</v>
      </c>
      <c r="P29" s="2031">
        <f t="shared" si="3"/>
        <v>0</v>
      </c>
      <c r="Q29" s="139">
        <f t="shared" ref="Q29:Q39" si="5">SUM(J29-Y29)</f>
        <v>0</v>
      </c>
      <c r="R29" s="1999">
        <f t="shared" ref="R29:S39" si="6">SUM(L29-AA29)</f>
        <v>0</v>
      </c>
      <c r="S29" s="2040">
        <f t="shared" si="6"/>
        <v>0</v>
      </c>
      <c r="U29" s="2003">
        <f>SUM('3. a. sz. mell'!F29+'4.a. sz. mell.'!D23+'5.a sz. mell. '!F22)</f>
        <v>0</v>
      </c>
      <c r="V29" s="2003"/>
      <c r="W29" s="2031">
        <f>SUM('3. a. sz. mell'!H29+'4.a. sz. mell.'!F23+'5.a sz. mell. '!H22)</f>
        <v>0</v>
      </c>
      <c r="X29" s="2031"/>
      <c r="Y29" s="2010">
        <f>SUM('3. a. sz. mell'!J28+'4.a. sz. mell.'!H30+'5.a sz. mell. '!J28+'4.a. sz. mell.'!H36)</f>
        <v>72281664</v>
      </c>
      <c r="Z29" s="1999">
        <f>SUM('3. a. sz. mell'!K28+'4.a. sz. mell.'!I30+'5.a sz. mell. '!K28+'4.a. sz. mell.'!I36)</f>
        <v>0</v>
      </c>
      <c r="AA29" s="1999">
        <f>SUM('3. a. sz. mell'!L28+'4.a. sz. mell.'!J30+'5.a sz. mell. '!L28+'4.a. sz. mell.'!J36)</f>
        <v>72281664</v>
      </c>
      <c r="AB29" s="2042">
        <f>SUM('3. a. sz. mell'!M28+'4.a. sz. mell.'!K30+'5.a sz. mell. '!M28+'4.a. sz. mell.'!K36)</f>
        <v>72281664</v>
      </c>
    </row>
    <row r="30" spans="1:28" s="145" customFormat="1" ht="18.75" customHeight="1" thickBot="1" x14ac:dyDescent="0.3">
      <c r="A30" s="134" t="s">
        <v>89</v>
      </c>
      <c r="B30" s="148"/>
      <c r="C30" s="30" t="s">
        <v>271</v>
      </c>
      <c r="D30" s="144"/>
      <c r="E30" s="144"/>
      <c r="F30" s="137">
        <f>SUM('3. a. sz. mell'!F28+'4.a. sz. mell.'!D30+'5.a sz. mell. '!F28)</f>
        <v>0</v>
      </c>
      <c r="G30" s="1374">
        <f t="shared" si="4"/>
        <v>0</v>
      </c>
      <c r="H30" s="2456">
        <f>SUM('5.a sz. mell. '!H28)</f>
        <v>0</v>
      </c>
      <c r="I30" s="1374">
        <f t="shared" si="4"/>
        <v>20000</v>
      </c>
      <c r="J30" s="2456">
        <f>SUM('5.a sz. mell. '!J28)</f>
        <v>20000</v>
      </c>
      <c r="K30" s="3566">
        <f t="shared" si="4"/>
        <v>0</v>
      </c>
      <c r="L30" s="2456">
        <f>SUM('5.a sz. mell. '!L28)</f>
        <v>20000</v>
      </c>
      <c r="M30" s="2456">
        <f>SUM('5.a sz. mell. '!M28)</f>
        <v>20000</v>
      </c>
      <c r="N30" s="139"/>
      <c r="O30" s="2003">
        <f t="shared" si="2"/>
        <v>0</v>
      </c>
      <c r="P30" s="2031">
        <f t="shared" si="3"/>
        <v>0</v>
      </c>
      <c r="Q30" s="139">
        <f t="shared" si="5"/>
        <v>20000</v>
      </c>
      <c r="R30" s="1999">
        <f t="shared" si="6"/>
        <v>0</v>
      </c>
      <c r="S30" s="2040">
        <f t="shared" si="6"/>
        <v>0</v>
      </c>
      <c r="U30" s="2003">
        <f>SUM('3. a. sz. mell'!F30+'4.a. sz. mell.'!D24+'5.a sz. mell. '!F23)</f>
        <v>0</v>
      </c>
      <c r="V30" s="2003"/>
      <c r="W30" s="2031">
        <f>SUM('3. a. sz. mell'!H30+'4.a. sz. mell.'!F24+'5.a sz. mell. '!H23)</f>
        <v>0</v>
      </c>
      <c r="X30" s="2031"/>
      <c r="Y30" s="2010">
        <f>SUM('3. a. sz. mell'!J29+'4.a. sz. mell.'!H24+'5.a sz. mell. '!J23)</f>
        <v>0</v>
      </c>
      <c r="Z30" s="1999">
        <f>SUM('3. a. sz. mell'!K29+'4.a. sz. mell.'!I24+'5.a sz. mell. '!K23)</f>
        <v>0</v>
      </c>
      <c r="AA30" s="1999">
        <f>SUM('5.a sz. mell. '!L28)</f>
        <v>20000</v>
      </c>
      <c r="AB30" s="2042">
        <f>SUM('5.a sz. mell. '!M28)</f>
        <v>20000</v>
      </c>
    </row>
    <row r="31" spans="1:28" s="145" customFormat="1" ht="27" customHeight="1" thickBot="1" x14ac:dyDescent="0.3">
      <c r="A31" s="134" t="s">
        <v>99</v>
      </c>
      <c r="B31" s="148"/>
      <c r="C31" s="30" t="s">
        <v>295</v>
      </c>
      <c r="D31" s="144"/>
      <c r="E31" s="144"/>
      <c r="F31" s="137">
        <f>SUM('3. a. sz. mell'!F30+'4.a. sz. mell.'!D34+'5.a sz. mell. '!F32)</f>
        <v>0</v>
      </c>
      <c r="G31" s="1374">
        <f t="shared" si="4"/>
        <v>0</v>
      </c>
      <c r="H31" s="137">
        <f>SUM('3. a. sz. mell'!H30+'4.a. sz. mell.'!F34+'5.a sz. mell. '!H32)</f>
        <v>0</v>
      </c>
      <c r="I31" s="1374">
        <f t="shared" si="4"/>
        <v>71704828</v>
      </c>
      <c r="J31" s="3461">
        <f>SUM('3. a. sz. mell'!J30+'4.a. sz. mell.'!H34+'5.a sz. mell. '!J32)</f>
        <v>71704828</v>
      </c>
      <c r="K31" s="3566">
        <f t="shared" si="4"/>
        <v>0</v>
      </c>
      <c r="L31" s="2456">
        <f>SUM('3. a. sz. mell'!L30+'4.a. sz. mell.'!J34+'5.a sz. mell. '!L32)</f>
        <v>71704828</v>
      </c>
      <c r="M31" s="137">
        <f>SUM('3. a. sz. mell'!M30+'4.a. sz. mell.'!K34+'5.a sz. mell. '!M32)</f>
        <v>71704828</v>
      </c>
      <c r="N31" s="139"/>
      <c r="O31" s="2003">
        <f t="shared" si="2"/>
        <v>0</v>
      </c>
      <c r="P31" s="2031">
        <f t="shared" si="3"/>
        <v>0</v>
      </c>
      <c r="Q31" s="139">
        <f t="shared" si="5"/>
        <v>0</v>
      </c>
      <c r="R31" s="1999">
        <f t="shared" si="6"/>
        <v>0</v>
      </c>
      <c r="S31" s="2040">
        <f t="shared" si="6"/>
        <v>0</v>
      </c>
      <c r="U31" s="2003">
        <f>SUM('3. a. sz. mell'!F31+'4.a. sz. mell.'!D26+'5.a sz. mell. '!F24)</f>
        <v>0</v>
      </c>
      <c r="V31" s="2003"/>
      <c r="W31" s="2031">
        <f>SUM('3. a. sz. mell'!H31+'4.a. sz. mell.'!F26+'5.a sz. mell. '!H24)</f>
        <v>0</v>
      </c>
      <c r="X31" s="2031"/>
      <c r="Y31" s="2010">
        <f>SUM('3. a. sz. mell'!J30+'4.a. sz. mell.'!H26+'5.a sz. mell. '!J24)</f>
        <v>71704828</v>
      </c>
      <c r="Z31" s="1999">
        <f>SUM('3. a. sz. mell'!K30+'4.a. sz. mell.'!I26+'5.a sz. mell. '!K24)</f>
        <v>0</v>
      </c>
      <c r="AA31" s="1999">
        <f>SUM('3. a. sz. mell'!L30+'4.a. sz. mell.'!J26+'5.a sz. mell. '!L24)</f>
        <v>71704828</v>
      </c>
      <c r="AB31" s="2042">
        <f>SUM('3. a. sz. mell'!M30+'4.a. sz. mell.'!K31+'5.a sz. mell. '!M32)</f>
        <v>71704828</v>
      </c>
    </row>
    <row r="32" spans="1:28" s="145" customFormat="1" ht="18.75" customHeight="1" thickBot="1" x14ac:dyDescent="0.3">
      <c r="A32" s="134" t="s">
        <v>101</v>
      </c>
      <c r="B32" s="148"/>
      <c r="C32" s="30" t="s">
        <v>296</v>
      </c>
      <c r="D32" s="144"/>
      <c r="E32" s="144"/>
      <c r="F32" s="137">
        <f>SUM('3. a. sz. mell'!F31+'4.a. sz. mell.'!D36+'5.a sz. mell. '!F34)</f>
        <v>0</v>
      </c>
      <c r="G32" s="1374">
        <f t="shared" si="4"/>
        <v>0</v>
      </c>
      <c r="H32" s="137">
        <f>SUM('3. a. sz. mell'!H31+'4.a. sz. mell.'!F36+'5.a sz. mell. '!H34)</f>
        <v>0</v>
      </c>
      <c r="I32" s="1374">
        <f t="shared" si="4"/>
        <v>556836</v>
      </c>
      <c r="J32" s="3461">
        <f>SUM('3. a. sz. mell'!J31+'4.a. sz. mell.'!H36+'5.a sz. mell. '!J34)</f>
        <v>556836</v>
      </c>
      <c r="K32" s="3566">
        <f t="shared" si="4"/>
        <v>0</v>
      </c>
      <c r="L32" s="2456">
        <f>SUM('3. a. sz. mell'!L31+'4.a. sz. mell.'!J36+'5.a sz. mell. '!L34)</f>
        <v>556836</v>
      </c>
      <c r="M32" s="137">
        <f>SUM('3. a. sz. mell'!M31+'4.a. sz. mell.'!K36+'5.a sz. mell. '!M34)</f>
        <v>556836</v>
      </c>
      <c r="N32" s="139"/>
      <c r="O32" s="2003">
        <f t="shared" si="2"/>
        <v>0</v>
      </c>
      <c r="P32" s="2031">
        <f t="shared" si="3"/>
        <v>0</v>
      </c>
      <c r="Q32" s="139">
        <f t="shared" si="5"/>
        <v>556836</v>
      </c>
      <c r="R32" s="1999">
        <f t="shared" si="6"/>
        <v>0</v>
      </c>
      <c r="S32" s="2040">
        <f t="shared" si="6"/>
        <v>0</v>
      </c>
      <c r="U32" s="2003">
        <f>SUM('3. a. sz. mell'!F32+'4.a. sz. mell.'!D27+'5.a sz. mell. '!F25)</f>
        <v>0</v>
      </c>
      <c r="V32" s="2003"/>
      <c r="W32" s="2031">
        <v>0</v>
      </c>
      <c r="X32" s="2031"/>
      <c r="Y32" s="2010">
        <v>0</v>
      </c>
      <c r="Z32" s="139"/>
      <c r="AA32" s="1999">
        <f>SUM('3. a. sz. mell'!L31+'4.a. sz. mell.'!J36+'5.a sz. mell. '!L34)</f>
        <v>556836</v>
      </c>
      <c r="AB32" s="2042">
        <f>SUM('3. a. sz. mell'!M31+'4.a. sz. mell.'!K36+'5.a sz. mell. '!M34)</f>
        <v>556836</v>
      </c>
    </row>
    <row r="33" spans="1:28" s="145" customFormat="1" ht="21.75" customHeight="1" thickBot="1" x14ac:dyDescent="0.25">
      <c r="A33" s="134" t="s">
        <v>109</v>
      </c>
      <c r="B33" s="148"/>
      <c r="C33" s="136" t="s">
        <v>297</v>
      </c>
      <c r="D33" s="144"/>
      <c r="E33" s="144"/>
      <c r="F33" s="138">
        <f>SUM(F34)</f>
        <v>1168068886</v>
      </c>
      <c r="G33" s="1589">
        <f t="shared" si="4"/>
        <v>1558291012</v>
      </c>
      <c r="H33" s="138">
        <f>SUM(H34)</f>
        <v>2726359898</v>
      </c>
      <c r="I33" s="1589">
        <f t="shared" si="4"/>
        <v>264345186</v>
      </c>
      <c r="J33" s="3460">
        <f>SUM(J34)</f>
        <v>2990705084</v>
      </c>
      <c r="K33" s="3508">
        <f t="shared" si="4"/>
        <v>1747959</v>
      </c>
      <c r="L33" s="3474">
        <f>SUM(L34)</f>
        <v>2992453043</v>
      </c>
      <c r="M33" s="138">
        <f>SUM(M34)</f>
        <v>2993030514</v>
      </c>
      <c r="N33" s="139"/>
      <c r="O33" s="2003">
        <f t="shared" si="2"/>
        <v>0</v>
      </c>
      <c r="P33" s="2031">
        <f t="shared" si="3"/>
        <v>0</v>
      </c>
      <c r="Q33" s="139">
        <f t="shared" si="5"/>
        <v>0</v>
      </c>
      <c r="R33" s="1999">
        <f t="shared" si="6"/>
        <v>0</v>
      </c>
      <c r="S33" s="2040">
        <f t="shared" si="6"/>
        <v>0</v>
      </c>
      <c r="U33" s="2003">
        <f>SUM('3. a. sz. mell'!F32+'4.a. sz. mell.'!D38+'5.a sz. mell. '!F36)</f>
        <v>1168068886</v>
      </c>
      <c r="V33" s="2003"/>
      <c r="W33" s="2031">
        <f>SUM('3. a. sz. mell'!H32+'4.a. sz. mell.'!F38+'5.a sz. mell. '!H36)</f>
        <v>2726359898</v>
      </c>
      <c r="X33" s="2031"/>
      <c r="Y33" s="2010">
        <f>SUM('3. a. sz. mell'!J32+'4.a. sz. mell.'!H38+'5.a sz. mell. '!J36)</f>
        <v>2990705084</v>
      </c>
      <c r="Z33" s="139"/>
      <c r="AA33" s="1999">
        <f>SUM('3. a. sz. mell'!L32+'4.a. sz. mell.'!J38+'5.a sz. mell. '!L36)</f>
        <v>2992453043</v>
      </c>
      <c r="AB33" s="2042">
        <f>SUM('3. a. sz. mell'!M32+'4.a. sz. mell.'!K38+'5.a sz. mell. '!M36)</f>
        <v>2993030514</v>
      </c>
    </row>
    <row r="34" spans="1:28" s="145" customFormat="1" ht="16.5" customHeight="1" thickBot="1" x14ac:dyDescent="0.3">
      <c r="A34" s="134" t="s">
        <v>119</v>
      </c>
      <c r="B34" s="148"/>
      <c r="C34" s="24" t="s">
        <v>298</v>
      </c>
      <c r="D34" s="153"/>
      <c r="E34" s="153"/>
      <c r="F34" s="499">
        <f>SUM(F41+F37+F36+F35)+F40</f>
        <v>1168068886</v>
      </c>
      <c r="G34" s="1374">
        <f t="shared" si="4"/>
        <v>1558291012</v>
      </c>
      <c r="H34" s="499">
        <f>SUM(H37+H36+H35)+H40+H42</f>
        <v>2726359898</v>
      </c>
      <c r="I34" s="1374">
        <f t="shared" si="4"/>
        <v>264345186</v>
      </c>
      <c r="J34" s="3466">
        <f>SUM(J37+J36+J35)+J40+J42</f>
        <v>2990705084</v>
      </c>
      <c r="K34" s="3566">
        <f t="shared" si="4"/>
        <v>1747959</v>
      </c>
      <c r="L34" s="3479">
        <f>SUM(L37+L36+L35)+L40+L42</f>
        <v>2992453043</v>
      </c>
      <c r="M34" s="499">
        <f>SUM(M37+M36+M35)+M40+M42</f>
        <v>2993030514</v>
      </c>
      <c r="N34" s="139"/>
      <c r="O34" s="2003">
        <f t="shared" si="2"/>
        <v>0</v>
      </c>
      <c r="P34" s="2031">
        <f t="shared" si="3"/>
        <v>0</v>
      </c>
      <c r="Q34" s="139">
        <f t="shared" si="5"/>
        <v>0</v>
      </c>
      <c r="R34" s="1999">
        <f t="shared" si="6"/>
        <v>0</v>
      </c>
      <c r="S34" s="2040">
        <f t="shared" si="6"/>
        <v>0</v>
      </c>
      <c r="U34" s="2003">
        <f>SUM('4.a. sz. mell.'!D43+'5.a sz. mell. '!F39)</f>
        <v>1168068886</v>
      </c>
      <c r="V34" s="2003">
        <f>SUM('4.a. sz. mell.'!E43+'5.a sz. mell. '!G39)</f>
        <v>43914376</v>
      </c>
      <c r="W34" s="2031">
        <f>SUM('3. a. sz. mell'!H32+'4.a. sz. mell.'!F38+'5.a sz. mell. '!H36)</f>
        <v>2726359898</v>
      </c>
      <c r="X34" s="2031">
        <f>SUM('3. a. sz. mell'!I32+'4.a. sz. mell.'!G38+'5.a sz. mell. '!I36)</f>
        <v>264345186</v>
      </c>
      <c r="Y34" s="2010">
        <f>SUM('3. a. sz. mell'!J32+'4.a. sz. mell.'!H38+'5.a sz. mell. '!J36)</f>
        <v>2990705084</v>
      </c>
      <c r="Z34" s="139"/>
      <c r="AA34" s="1999">
        <f>SUM('3. a. sz. mell'!L32+'4.a. sz. mell.'!J38+'5.a sz. mell. '!L36)</f>
        <v>2992453043</v>
      </c>
      <c r="AB34" s="2042">
        <f>SUM('3. a. sz. mell'!M32+'4.a. sz. mell.'!K38+'5.a sz. mell. '!M36)</f>
        <v>2993030514</v>
      </c>
    </row>
    <row r="35" spans="1:28" s="145" customFormat="1" ht="16.5" customHeight="1" x14ac:dyDescent="0.2">
      <c r="A35" s="149"/>
      <c r="B35" s="938" t="s">
        <v>598</v>
      </c>
      <c r="C35" s="504" t="s">
        <v>102</v>
      </c>
      <c r="D35" s="505"/>
      <c r="E35" s="505"/>
      <c r="F35" s="1287">
        <f>SUM('4.a. sz. mell.'!D35+'5.a sz. mell. '!F33)</f>
        <v>0</v>
      </c>
      <c r="G35" s="1615">
        <f t="shared" si="4"/>
        <v>0</v>
      </c>
      <c r="H35" s="1287">
        <f>SUM('4.a. sz. mell.'!F35+'5.a sz. mell. '!H33)</f>
        <v>0</v>
      </c>
      <c r="I35" s="1615">
        <f t="shared" si="4"/>
        <v>0</v>
      </c>
      <c r="J35" s="3168">
        <f>SUM('4.a. sz. mell.'!H35+'5.a sz. mell. '!J33)</f>
        <v>0</v>
      </c>
      <c r="K35" s="3437">
        <f t="shared" si="4"/>
        <v>0</v>
      </c>
      <c r="L35" s="3500">
        <f>SUM('4.a. sz. mell.'!J35+'5.a sz. mell. '!L33)</f>
        <v>0</v>
      </c>
      <c r="M35" s="3266">
        <v>0</v>
      </c>
      <c r="N35" s="139"/>
      <c r="O35" s="2003">
        <f t="shared" si="2"/>
        <v>0</v>
      </c>
      <c r="P35" s="2031">
        <f t="shared" si="3"/>
        <v>0</v>
      </c>
      <c r="Q35" s="139">
        <f t="shared" si="5"/>
        <v>0</v>
      </c>
      <c r="R35" s="1999">
        <f t="shared" si="6"/>
        <v>0</v>
      </c>
      <c r="S35" s="2040">
        <f t="shared" si="6"/>
        <v>0</v>
      </c>
      <c r="U35" s="2003"/>
      <c r="V35" s="2003"/>
      <c r="W35" s="2031"/>
      <c r="X35" s="2031"/>
      <c r="Y35" s="2010"/>
      <c r="Z35" s="139"/>
      <c r="AA35" s="1999"/>
      <c r="AB35" s="2042"/>
    </row>
    <row r="36" spans="1:28" s="145" customFormat="1" ht="16.5" customHeight="1" x14ac:dyDescent="0.2">
      <c r="A36" s="142"/>
      <c r="B36" s="939" t="s">
        <v>599</v>
      </c>
      <c r="C36" s="501" t="s">
        <v>110</v>
      </c>
      <c r="D36" s="506"/>
      <c r="E36" s="506"/>
      <c r="F36" s="1287">
        <f>SUM('4.a. sz. mell.'!D36+'5.a sz. mell. '!F34)</f>
        <v>0</v>
      </c>
      <c r="G36" s="1615">
        <f t="shared" si="4"/>
        <v>0</v>
      </c>
      <c r="H36" s="1287"/>
      <c r="I36" s="1615">
        <f t="shared" si="4"/>
        <v>0</v>
      </c>
      <c r="J36" s="3168"/>
      <c r="K36" s="3437">
        <f t="shared" si="4"/>
        <v>0</v>
      </c>
      <c r="L36" s="3168"/>
      <c r="M36" s="3500"/>
      <c r="N36" s="139"/>
      <c r="O36" s="2003">
        <f t="shared" si="2"/>
        <v>0</v>
      </c>
      <c r="P36" s="2031">
        <f t="shared" si="3"/>
        <v>0</v>
      </c>
      <c r="Q36" s="139">
        <f t="shared" si="5"/>
        <v>0</v>
      </c>
      <c r="R36" s="1999">
        <f t="shared" si="6"/>
        <v>0</v>
      </c>
      <c r="S36" s="2040">
        <f t="shared" si="6"/>
        <v>0</v>
      </c>
      <c r="U36" s="2003"/>
      <c r="V36" s="2003"/>
      <c r="W36" s="2031"/>
      <c r="X36" s="2031"/>
      <c r="Y36" s="2010"/>
      <c r="Z36" s="139"/>
      <c r="AA36" s="1999"/>
      <c r="AB36" s="2042"/>
    </row>
    <row r="37" spans="1:28" s="145" customFormat="1" ht="16.5" customHeight="1" x14ac:dyDescent="0.2">
      <c r="A37" s="142"/>
      <c r="B37" s="939" t="s">
        <v>600</v>
      </c>
      <c r="C37" s="501" t="s">
        <v>120</v>
      </c>
      <c r="D37" s="506"/>
      <c r="E37" s="506"/>
      <c r="F37" s="1287">
        <f>SUM('4.a. sz. mell.'!D37+'5.a sz. mell. '!F35)</f>
        <v>0</v>
      </c>
      <c r="G37" s="1615">
        <f t="shared" si="4"/>
        <v>1306854569</v>
      </c>
      <c r="H37" s="503">
        <f t="shared" ref="H37:M37" si="7">SUM(H38:H39)</f>
        <v>1306854569</v>
      </c>
      <c r="I37" s="1615">
        <f t="shared" si="7"/>
        <v>0</v>
      </c>
      <c r="J37" s="3494">
        <f t="shared" si="7"/>
        <v>1306854569</v>
      </c>
      <c r="K37" s="3437">
        <f t="shared" si="7"/>
        <v>0</v>
      </c>
      <c r="L37" s="3501">
        <f t="shared" si="7"/>
        <v>1306854569</v>
      </c>
      <c r="M37" s="3266">
        <f t="shared" si="7"/>
        <v>1306854569</v>
      </c>
      <c r="N37" s="139"/>
      <c r="O37" s="2003">
        <f t="shared" si="2"/>
        <v>0</v>
      </c>
      <c r="P37" s="2031">
        <f t="shared" si="3"/>
        <v>0</v>
      </c>
      <c r="Q37" s="139">
        <f t="shared" si="5"/>
        <v>0</v>
      </c>
      <c r="R37" s="1999">
        <f t="shared" si="6"/>
        <v>0</v>
      </c>
      <c r="S37" s="2040">
        <f t="shared" si="6"/>
        <v>0</v>
      </c>
      <c r="U37" s="2043">
        <f>SUM('3. a. sz. mell'!F33+'5.a sz. mell. '!F37)</f>
        <v>0</v>
      </c>
      <c r="V37" s="2043"/>
      <c r="W37" s="2044">
        <f>SUM('3. a. sz. mell'!H33+'5.a sz. mell. '!H37+'4.a. sz. mell.'!F39)</f>
        <v>1306854569</v>
      </c>
      <c r="X37" s="2044"/>
      <c r="Y37" s="2061">
        <f>SUM('3. a. sz. mell'!J33+'5.a sz. mell. '!J37+'4.a. sz. mell.'!H39)</f>
        <v>1306854569</v>
      </c>
      <c r="Z37" s="2045"/>
      <c r="AA37" s="2047">
        <f>SUM('3. a. sz. mell'!L33+'5.a sz. mell. '!L37+'4.a. sz. mell.'!J39)</f>
        <v>1306854569</v>
      </c>
      <c r="AB37" s="1944">
        <f>SUM('3. a. sz. mell'!M33+'5.a sz. mell. '!M37+'4.a. sz. mell.'!K39)</f>
        <v>1306854569</v>
      </c>
    </row>
    <row r="38" spans="1:28" s="145" customFormat="1" ht="16.5" customHeight="1" x14ac:dyDescent="0.2">
      <c r="A38" s="142"/>
      <c r="B38" s="939" t="s">
        <v>822</v>
      </c>
      <c r="C38" s="940" t="s">
        <v>803</v>
      </c>
      <c r="D38" s="506"/>
      <c r="E38" s="506"/>
      <c r="F38" s="1287"/>
      <c r="G38" s="1615">
        <f t="shared" si="4"/>
        <v>1306854569</v>
      </c>
      <c r="H38" s="503">
        <f>SUM('5.a sz. mell. '!H37)+'4.a. sz. mell.'!F39+'3. a. sz. mell'!H34</f>
        <v>1306854569</v>
      </c>
      <c r="I38" s="1615">
        <f>SUM('5.a sz. mell. '!I37)+'4.a. sz. mell.'!G39+'3. a. sz. mell'!I34</f>
        <v>0</v>
      </c>
      <c r="J38" s="3494">
        <f>SUM('5.a sz. mell. '!J37)+'4.a. sz. mell.'!H39+'3. a. sz. mell'!J34</f>
        <v>1306854569</v>
      </c>
      <c r="K38" s="3437">
        <f>SUM('5.a sz. mell. '!K37)+'4.a. sz. mell.'!I39+'3. a. sz. mell'!K34</f>
        <v>0</v>
      </c>
      <c r="L38" s="3501">
        <f>SUM('5.a sz. mell. '!L37)+'4.a. sz. mell.'!J39+'3. a. sz. mell'!L34</f>
        <v>1306854569</v>
      </c>
      <c r="M38" s="3266">
        <f>SUM('5.a sz. mell. '!M37)+'4.a. sz. mell.'!K39+'3. a. sz. mell'!M34</f>
        <v>1306854569</v>
      </c>
      <c r="N38" s="139"/>
      <c r="O38" s="2003">
        <f t="shared" si="2"/>
        <v>0</v>
      </c>
      <c r="P38" s="2031">
        <f t="shared" si="3"/>
        <v>0</v>
      </c>
      <c r="Q38" s="139">
        <f t="shared" si="5"/>
        <v>0</v>
      </c>
      <c r="R38" s="1999">
        <f t="shared" si="6"/>
        <v>0</v>
      </c>
      <c r="S38" s="2040">
        <f t="shared" si="6"/>
        <v>0</v>
      </c>
      <c r="U38" s="2043">
        <f>SUM('3. a. sz. mell'!F34+'5.a sz. mell. '!F37)</f>
        <v>0</v>
      </c>
      <c r="V38" s="2043"/>
      <c r="W38" s="2044">
        <f>SUM('3. a. sz. mell'!H34+'5.a sz. mell. '!H37+'4.a. sz. mell.'!F39)</f>
        <v>1306854569</v>
      </c>
      <c r="X38" s="2044"/>
      <c r="Y38" s="2061">
        <f>SUM('3. a. sz. mell'!J34+'5.a sz. mell. '!J37+'4.a. sz. mell.'!H39)</f>
        <v>1306854569</v>
      </c>
      <c r="Z38" s="2045"/>
      <c r="AA38" s="2047">
        <f>SUM('3. a. sz. mell'!L34+'5.a sz. mell. '!L37+'4.a. sz. mell.'!J39)</f>
        <v>1306854569</v>
      </c>
      <c r="AB38" s="1944">
        <f>SUM('3. a. sz. mell'!M34+'5.a sz. mell. '!M37+'4.a. sz. mell.'!K39)</f>
        <v>1306854569</v>
      </c>
    </row>
    <row r="39" spans="1:28" s="145" customFormat="1" ht="16.5" customHeight="1" x14ac:dyDescent="0.2">
      <c r="A39" s="142"/>
      <c r="B39" s="939" t="s">
        <v>823</v>
      </c>
      <c r="C39" s="940" t="s">
        <v>804</v>
      </c>
      <c r="D39" s="506"/>
      <c r="E39" s="506"/>
      <c r="F39" s="1287">
        <f>SUM('4.a. sz. mell.'!D39+'5.a sz. mell. '!F37)</f>
        <v>0</v>
      </c>
      <c r="G39" s="1615">
        <f t="shared" si="4"/>
        <v>0</v>
      </c>
      <c r="H39" s="503">
        <f>SUM('5.a sz. mell. '!H38)+'4.a. sz. mell.'!F40</f>
        <v>0</v>
      </c>
      <c r="I39" s="1615">
        <f>SUM('5.a sz. mell. '!I38)+'4.a. sz. mell.'!G40</f>
        <v>0</v>
      </c>
      <c r="J39" s="3494">
        <f>SUM('5.a sz. mell. '!J38)+'4.a. sz. mell.'!H40</f>
        <v>0</v>
      </c>
      <c r="K39" s="3437">
        <f>SUM('5.a sz. mell. '!K38)+'4.a. sz. mell.'!I40</f>
        <v>0</v>
      </c>
      <c r="L39" s="3501">
        <f>SUM('5.a sz. mell. '!L38)+'4.a. sz. mell.'!J40</f>
        <v>0</v>
      </c>
      <c r="M39" s="3266">
        <f>SUM('5.a sz. mell. '!M38)+'4.a. sz. mell.'!K40</f>
        <v>0</v>
      </c>
      <c r="N39" s="139"/>
      <c r="O39" s="2003">
        <f t="shared" si="2"/>
        <v>0</v>
      </c>
      <c r="P39" s="2031">
        <f t="shared" si="3"/>
        <v>0</v>
      </c>
      <c r="Q39" s="139">
        <f t="shared" si="5"/>
        <v>0</v>
      </c>
      <c r="R39" s="1999">
        <f t="shared" si="6"/>
        <v>0</v>
      </c>
      <c r="S39" s="2040">
        <f t="shared" si="6"/>
        <v>0</v>
      </c>
      <c r="U39" s="1908"/>
      <c r="V39" s="1908"/>
      <c r="W39" s="2046"/>
      <c r="X39" s="2046"/>
      <c r="Y39" s="2062"/>
      <c r="Z39" s="470"/>
      <c r="AA39" s="1910"/>
      <c r="AB39" s="1890"/>
    </row>
    <row r="40" spans="1:28" s="145" customFormat="1" ht="16.5" customHeight="1" x14ac:dyDescent="0.2">
      <c r="A40" s="142"/>
      <c r="B40" s="939" t="s">
        <v>601</v>
      </c>
      <c r="C40" s="501" t="s">
        <v>126</v>
      </c>
      <c r="D40" s="506"/>
      <c r="E40" s="506"/>
      <c r="F40" s="1287">
        <f>SUM('4.a. sz. mell.'!D40+'5.a sz. mell. '!F38)</f>
        <v>0</v>
      </c>
      <c r="G40" s="1615">
        <f t="shared" si="4"/>
        <v>1211983262</v>
      </c>
      <c r="H40" s="503">
        <f>SUM('5.a sz. mell. '!H39)+'4.a. sz. mell.'!F41</f>
        <v>1211983262</v>
      </c>
      <c r="I40" s="1615">
        <f>SUM('5.a sz. mell. '!I39)+'4.a. sz. mell.'!G41</f>
        <v>-9465041</v>
      </c>
      <c r="J40" s="3494">
        <f>SUM('5.a sz. mell. '!J39)+'4.a. sz. mell.'!H41</f>
        <v>1202518221</v>
      </c>
      <c r="K40" s="3437">
        <f>SUM('5.a sz. mell. '!K39)+'4.a. sz. mell.'!I41</f>
        <v>0</v>
      </c>
      <c r="L40" s="3501">
        <f>SUM('5.a sz. mell. '!L39)+'4.a. sz. mell.'!J41</f>
        <v>1202518221</v>
      </c>
      <c r="M40" s="3266">
        <f>SUM('5.a sz. mell. '!M39)+'4.a. sz. mell.'!K41</f>
        <v>1204843651</v>
      </c>
      <c r="N40" s="139"/>
      <c r="O40" s="2003">
        <f t="shared" si="2"/>
        <v>0</v>
      </c>
      <c r="P40" s="2031">
        <v>0</v>
      </c>
      <c r="Q40" s="139">
        <v>0</v>
      </c>
      <c r="R40" s="1999">
        <v>-1</v>
      </c>
      <c r="S40" s="2040">
        <v>0</v>
      </c>
      <c r="U40" s="2043"/>
      <c r="V40" s="2043"/>
      <c r="W40" s="2044"/>
      <c r="X40" s="2044"/>
      <c r="Y40" s="2061"/>
      <c r="Z40" s="2045"/>
      <c r="AA40" s="2047"/>
      <c r="AB40" s="1944"/>
    </row>
    <row r="41" spans="1:28" s="145" customFormat="1" ht="16.5" customHeight="1" x14ac:dyDescent="0.2">
      <c r="A41" s="151"/>
      <c r="B41" s="1284" t="s">
        <v>602</v>
      </c>
      <c r="C41" s="1285" t="s">
        <v>245</v>
      </c>
      <c r="D41" s="1286"/>
      <c r="E41" s="1286"/>
      <c r="F41" s="1287">
        <f>SUM('4.a. sz. mell.'!D41+'5.a sz. mell. '!F39)</f>
        <v>1168068886</v>
      </c>
      <c r="G41" s="1615">
        <f t="shared" si="4"/>
        <v>43914376</v>
      </c>
      <c r="H41" s="1287">
        <f>SUM('4.a. sz. mell.'!F41+'5.a sz. mell. '!H39)</f>
        <v>1211983262</v>
      </c>
      <c r="I41" s="1615">
        <f t="shared" si="4"/>
        <v>-9465041</v>
      </c>
      <c r="J41" s="3168">
        <f>SUM('4.a. sz. mell.'!H41+'5.a sz. mell. '!J39)</f>
        <v>1202518221</v>
      </c>
      <c r="K41" s="3437">
        <f t="shared" si="4"/>
        <v>0</v>
      </c>
      <c r="L41" s="3500">
        <f>SUM('4.a. sz. mell.'!J41+'5.a sz. mell. '!L39)</f>
        <v>1202518221</v>
      </c>
      <c r="M41" s="1288">
        <f>SUM('4.a. sz. mell.'!K41+'5.a sz. mell. '!M39)</f>
        <v>1204843651</v>
      </c>
      <c r="N41" s="139"/>
      <c r="O41" s="2003">
        <f t="shared" si="2"/>
        <v>0</v>
      </c>
      <c r="P41" s="2031">
        <f t="shared" si="3"/>
        <v>0</v>
      </c>
      <c r="Q41" s="139">
        <f t="shared" ref="Q41:Q71" si="8">SUM(J41-Y41)</f>
        <v>0</v>
      </c>
      <c r="R41" s="1999">
        <f t="shared" ref="R41:S43" si="9">SUM(L41-AA41)</f>
        <v>0</v>
      </c>
      <c r="S41" s="2040">
        <f t="shared" si="9"/>
        <v>0</v>
      </c>
      <c r="U41" s="2043">
        <f>SUM('4.a. sz. mell.'!D41+'5.a sz. mell. '!F39)</f>
        <v>1168068886</v>
      </c>
      <c r="V41" s="2043"/>
      <c r="W41" s="2044">
        <f>SUM('4.a. sz. mell.'!F41+'5.a sz. mell. '!H39)</f>
        <v>1211983262</v>
      </c>
      <c r="X41" s="2044"/>
      <c r="Y41" s="2061">
        <f>SUM('4.a. sz. mell.'!H41+'5.a sz. mell. '!J39)</f>
        <v>1202518221</v>
      </c>
      <c r="Z41" s="2045"/>
      <c r="AA41" s="2047">
        <f>SUM('4.a. sz. mell.'!J41+'5.a sz. mell. '!L39)</f>
        <v>1202518221</v>
      </c>
      <c r="AB41" s="1944">
        <f>SUM('4.a. sz. mell.'!K41+'5.a sz. mell. '!M39)</f>
        <v>1204843651</v>
      </c>
    </row>
    <row r="42" spans="1:28" s="145" customFormat="1" ht="16.5" customHeight="1" thickBot="1" x14ac:dyDescent="0.3">
      <c r="A42" s="178"/>
      <c r="B42" s="941" t="s">
        <v>603</v>
      </c>
      <c r="C42" s="414" t="s">
        <v>1006</v>
      </c>
      <c r="D42" s="1289"/>
      <c r="E42" s="1289"/>
      <c r="F42" s="1287">
        <f>SUM('4.a. sz. mell.'!D42+'5.a sz. mell. '!F40)</f>
        <v>556998130</v>
      </c>
      <c r="G42" s="1615">
        <f t="shared" si="4"/>
        <v>-349476063</v>
      </c>
      <c r="H42" s="1290">
        <f>SUM('3. a. sz. mell'!H36)</f>
        <v>207522067</v>
      </c>
      <c r="I42" s="1615">
        <f t="shared" si="4"/>
        <v>273810227</v>
      </c>
      <c r="J42" s="3168">
        <f>SUM('3. a. sz. mell'!J36)</f>
        <v>481332294</v>
      </c>
      <c r="K42" s="3489">
        <f t="shared" si="4"/>
        <v>1747959</v>
      </c>
      <c r="L42" s="3502">
        <f>SUM('3. a. sz. mell'!L36)</f>
        <v>483080253</v>
      </c>
      <c r="M42" s="1288">
        <f>SUM('3. a. sz. mell'!M36)</f>
        <v>481332294</v>
      </c>
      <c r="N42" s="139"/>
      <c r="O42" s="2003"/>
      <c r="P42" s="2031">
        <f t="shared" si="3"/>
        <v>0</v>
      </c>
      <c r="Q42" s="139">
        <f t="shared" si="8"/>
        <v>0</v>
      </c>
      <c r="R42" s="1999">
        <f t="shared" si="9"/>
        <v>0</v>
      </c>
      <c r="S42" s="2040">
        <f t="shared" si="9"/>
        <v>0</v>
      </c>
      <c r="U42" s="2043">
        <f>SUM('3. a. sz. mell'!F36)</f>
        <v>0</v>
      </c>
      <c r="V42" s="2045">
        <f>SUM('3. a. sz. mell'!G36)</f>
        <v>207522067</v>
      </c>
      <c r="W42" s="2044">
        <f>SUM('3. a. sz. mell'!H36)</f>
        <v>207522067</v>
      </c>
      <c r="X42" s="2045">
        <f>SUM('3. a. sz. mell'!I36)</f>
        <v>273810227</v>
      </c>
      <c r="Y42" s="2061">
        <f>SUM('3. a. sz. mell'!J36)</f>
        <v>481332294</v>
      </c>
      <c r="Z42" s="2045">
        <f>SUM('3. a. sz. mell'!K36)</f>
        <v>1747959</v>
      </c>
      <c r="AA42" s="2047">
        <f>SUM('3. a. sz. mell'!L36)</f>
        <v>483080253</v>
      </c>
      <c r="AB42" s="1944">
        <f>SUM('3. a. sz. mell'!M36)</f>
        <v>481332294</v>
      </c>
    </row>
    <row r="43" spans="1:28" s="145" customFormat="1" ht="16.5" customHeight="1" thickBot="1" x14ac:dyDescent="0.25">
      <c r="A43" s="134" t="s">
        <v>125</v>
      </c>
      <c r="B43" s="1291"/>
      <c r="C43" s="1293" t="s">
        <v>299</v>
      </c>
      <c r="D43" s="252"/>
      <c r="E43" s="252"/>
      <c r="F43" s="433">
        <f>SUM(F7+F29+F33)</f>
        <v>3768901617</v>
      </c>
      <c r="G43" s="1616">
        <f t="shared" si="4"/>
        <v>658327190</v>
      </c>
      <c r="H43" s="433">
        <f>SUM(H7+H29+H33)</f>
        <v>4427228807</v>
      </c>
      <c r="I43" s="1616">
        <f t="shared" si="4"/>
        <v>146469644</v>
      </c>
      <c r="J43" s="3495">
        <f>SUM(J7+J29+J33)</f>
        <v>4573698451</v>
      </c>
      <c r="K43" s="3508">
        <f t="shared" si="4"/>
        <v>1747959</v>
      </c>
      <c r="L43" s="3503">
        <f>SUM(L7+L29+L33)</f>
        <v>4575446410</v>
      </c>
      <c r="M43" s="433">
        <f>SUM(M7+M29+M33)</f>
        <v>5835946533</v>
      </c>
      <c r="N43" s="139"/>
      <c r="O43" s="2003">
        <f t="shared" si="2"/>
        <v>0</v>
      </c>
      <c r="P43" s="2031">
        <f t="shared" si="3"/>
        <v>0</v>
      </c>
      <c r="Q43" s="139">
        <f t="shared" si="8"/>
        <v>0</v>
      </c>
      <c r="R43" s="1999">
        <f t="shared" si="9"/>
        <v>0</v>
      </c>
      <c r="S43" s="2040">
        <f t="shared" si="9"/>
        <v>0</v>
      </c>
      <c r="T43" s="205">
        <f>SUM(F43-F93)</f>
        <v>0</v>
      </c>
      <c r="U43" s="2043">
        <f>SUM('3. a. sz. mell'!F37+'4.a. sz. mell.'!D44+'5.a sz. mell. '!F43)</f>
        <v>3768901617</v>
      </c>
      <c r="V43" s="2043"/>
      <c r="W43" s="2044">
        <f>SUM('3. a. sz. mell'!H37+'4.a. sz. mell.'!F44+'5.a sz. mell. '!H43)</f>
        <v>4427228807</v>
      </c>
      <c r="X43" s="2044">
        <f>SUM('3. a. sz. mell'!I37+'4.a. sz. mell.'!G44+'5.a sz. mell. '!I43)-'3. a. sz. mell'!I27</f>
        <v>146469644</v>
      </c>
      <c r="Y43" s="2061">
        <f>SUM('3. a. sz. mell'!J37+'4.a. sz. mell.'!H44+'5.a sz. mell. '!J43)</f>
        <v>4573698451</v>
      </c>
      <c r="Z43" s="2044">
        <f>SUM('3. a. sz. mell'!K37+'4.a. sz. mell.'!I44+'5.a sz. mell. '!K43)-'3. a. sz. mell'!K27-'5.a sz. mell. '!K26</f>
        <v>1747959</v>
      </c>
      <c r="AA43" s="2047">
        <f>SUM('3. a. sz. mell'!L37+'4.a. sz. mell.'!J44+'5.a sz. mell. '!L43)</f>
        <v>4575446410</v>
      </c>
      <c r="AB43" s="1944">
        <f>SUM('3. a. sz. mell'!M37+'4.a. sz. mell.'!K44+'5.a sz. mell. '!M43)</f>
        <v>5835946533</v>
      </c>
    </row>
    <row r="44" spans="1:28" s="145" customFormat="1" ht="16.5" customHeight="1" thickBot="1" x14ac:dyDescent="0.3">
      <c r="A44" s="268" t="s">
        <v>133</v>
      </c>
      <c r="B44" s="568"/>
      <c r="C44" s="1292" t="s">
        <v>300</v>
      </c>
      <c r="D44" s="147"/>
      <c r="E44" s="147"/>
      <c r="F44" s="156">
        <f>SUM(F41)</f>
        <v>1168068886</v>
      </c>
      <c r="G44" s="1616">
        <f t="shared" si="4"/>
        <v>43914376</v>
      </c>
      <c r="H44" s="156">
        <f t="shared" ref="H44:M44" si="10">SUM(H41)</f>
        <v>1211983262</v>
      </c>
      <c r="I44" s="1616">
        <f t="shared" si="10"/>
        <v>-9465041</v>
      </c>
      <c r="J44" s="3496">
        <f t="shared" si="10"/>
        <v>1202518221</v>
      </c>
      <c r="K44" s="4278">
        <f t="shared" si="10"/>
        <v>0</v>
      </c>
      <c r="L44" s="2163">
        <f t="shared" si="10"/>
        <v>1202518221</v>
      </c>
      <c r="M44" s="156">
        <f t="shared" si="10"/>
        <v>1204843651</v>
      </c>
      <c r="N44" s="139"/>
      <c r="O44" s="2003">
        <f t="shared" si="2"/>
        <v>0</v>
      </c>
      <c r="P44" s="2031"/>
      <c r="Q44" s="139">
        <f t="shared" si="8"/>
        <v>0</v>
      </c>
      <c r="R44" s="1999"/>
      <c r="S44" s="2040"/>
      <c r="U44" s="2043">
        <f>SUM(U41)</f>
        <v>1168068886</v>
      </c>
      <c r="V44" s="2043">
        <f t="shared" ref="V44:AB44" si="11">SUM(V41)</f>
        <v>0</v>
      </c>
      <c r="W44" s="2044">
        <f t="shared" si="11"/>
        <v>1211983262</v>
      </c>
      <c r="X44" s="2043">
        <f t="shared" si="11"/>
        <v>0</v>
      </c>
      <c r="Y44" s="2061">
        <f t="shared" si="11"/>
        <v>1202518221</v>
      </c>
      <c r="Z44" s="2043">
        <f t="shared" si="11"/>
        <v>0</v>
      </c>
      <c r="AA44" s="2047">
        <f t="shared" si="11"/>
        <v>1202518221</v>
      </c>
      <c r="AB44" s="1944">
        <f t="shared" si="11"/>
        <v>1204843651</v>
      </c>
    </row>
    <row r="45" spans="1:28" s="145" customFormat="1" ht="27.75" customHeight="1" thickTop="1" thickBot="1" x14ac:dyDescent="0.3">
      <c r="A45" s="3267" t="s">
        <v>143</v>
      </c>
      <c r="B45" s="569"/>
      <c r="C45" s="542" t="s">
        <v>301</v>
      </c>
      <c r="D45" s="544" t="e">
        <f>+#REF!+#REF!+#REF!</f>
        <v>#REF!</v>
      </c>
      <c r="E45" s="544" t="e">
        <f>+#REF!+#REF!+#REF!</f>
        <v>#REF!</v>
      </c>
      <c r="F45" s="544">
        <f>SUM(F7+F29+F33-F44)</f>
        <v>2600832731</v>
      </c>
      <c r="G45" s="1617">
        <f>SUM(H45-F45)</f>
        <v>614412814</v>
      </c>
      <c r="H45" s="544">
        <f>SUM(H7+H29+H33-H44)</f>
        <v>3215245545</v>
      </c>
      <c r="I45" s="1617">
        <f>SUM(J45-H45)</f>
        <v>155934685</v>
      </c>
      <c r="J45" s="3497">
        <f>SUM(J7+J29+J33-J44)</f>
        <v>3371180230</v>
      </c>
      <c r="K45" s="3566">
        <f>SUM(L45-J45)</f>
        <v>1747959</v>
      </c>
      <c r="L45" s="544">
        <f>SUM(L7+L29+L33-L44)</f>
        <v>3372928189</v>
      </c>
      <c r="M45" s="544">
        <f>SUM(M7+M29+M33-M44)</f>
        <v>4631102882</v>
      </c>
      <c r="N45" s="139"/>
      <c r="O45" s="2003">
        <f t="shared" si="2"/>
        <v>0</v>
      </c>
      <c r="P45" s="2031">
        <f t="shared" si="3"/>
        <v>0</v>
      </c>
      <c r="Q45" s="139">
        <f t="shared" si="8"/>
        <v>0</v>
      </c>
      <c r="R45" s="1999">
        <f t="shared" ref="R45:S76" si="12">SUM(L45-AA45)</f>
        <v>0</v>
      </c>
      <c r="S45" s="2040">
        <f t="shared" si="12"/>
        <v>0</v>
      </c>
      <c r="T45" s="205">
        <f>SUM(F45-F95)</f>
        <v>0</v>
      </c>
      <c r="U45" s="2043">
        <f>SUM(U43-U44)</f>
        <v>2600832731</v>
      </c>
      <c r="V45" s="2043"/>
      <c r="W45" s="2044">
        <f>SUM(W43-W44)</f>
        <v>3215245545</v>
      </c>
      <c r="X45" s="2044"/>
      <c r="Y45" s="2061">
        <f>SUM(Y43-Y44)</f>
        <v>3371180230</v>
      </c>
      <c r="Z45" s="2045"/>
      <c r="AA45" s="2047">
        <f>SUM(AA43-AA44)</f>
        <v>3372928189</v>
      </c>
      <c r="AB45" s="1944">
        <f>SUM(AB43-AB44)</f>
        <v>4631102882</v>
      </c>
    </row>
    <row r="46" spans="1:28" s="145" customFormat="1" ht="15" customHeight="1" thickTop="1" thickBot="1" x14ac:dyDescent="0.25">
      <c r="A46" s="880"/>
      <c r="B46" s="163"/>
      <c r="C46" s="164"/>
      <c r="D46" s="165"/>
      <c r="E46" s="165"/>
      <c r="F46" s="1532"/>
      <c r="G46" s="1532"/>
      <c r="H46" s="1532"/>
      <c r="I46" s="1532"/>
      <c r="J46" s="2024"/>
      <c r="K46" s="3436"/>
      <c r="L46" s="1532"/>
      <c r="M46" s="881"/>
      <c r="N46" s="139"/>
      <c r="O46" s="2003">
        <f t="shared" si="2"/>
        <v>0</v>
      </c>
      <c r="P46" s="2031">
        <f t="shared" si="3"/>
        <v>0</v>
      </c>
      <c r="Q46" s="139">
        <f t="shared" si="8"/>
        <v>0</v>
      </c>
      <c r="R46" s="1999">
        <f t="shared" si="12"/>
        <v>0</v>
      </c>
      <c r="S46" s="2040">
        <f t="shared" si="12"/>
        <v>0</v>
      </c>
      <c r="U46" s="1908"/>
      <c r="V46" s="1908"/>
      <c r="W46" s="2046"/>
      <c r="X46" s="2046"/>
      <c r="Y46" s="2062"/>
      <c r="Z46" s="470"/>
      <c r="AA46" s="1910"/>
      <c r="AB46" s="1890"/>
    </row>
    <row r="47" spans="1:28" s="129" customFormat="1" ht="20.25" customHeight="1" thickBot="1" x14ac:dyDescent="0.25">
      <c r="A47" s="166"/>
      <c r="B47" s="167"/>
      <c r="C47" s="168" t="s">
        <v>231</v>
      </c>
      <c r="D47" s="169"/>
      <c r="E47" s="169"/>
      <c r="F47" s="169"/>
      <c r="G47" s="1591"/>
      <c r="H47" s="169"/>
      <c r="I47" s="1591"/>
      <c r="J47" s="3498"/>
      <c r="K47" s="3489"/>
      <c r="L47" s="1599"/>
      <c r="M47" s="169"/>
      <c r="N47" s="139"/>
      <c r="O47" s="2003">
        <f t="shared" si="2"/>
        <v>0</v>
      </c>
      <c r="P47" s="2031">
        <f t="shared" si="3"/>
        <v>0</v>
      </c>
      <c r="Q47" s="139">
        <f t="shared" si="8"/>
        <v>0</v>
      </c>
      <c r="R47" s="1999">
        <f t="shared" si="12"/>
        <v>0</v>
      </c>
      <c r="S47" s="2040">
        <f t="shared" si="12"/>
        <v>0</v>
      </c>
      <c r="U47" s="1973"/>
      <c r="V47" s="1973"/>
      <c r="W47" s="2030"/>
      <c r="X47" s="2030"/>
      <c r="Y47" s="2059"/>
      <c r="AA47" s="1958"/>
      <c r="AB47" s="2041"/>
    </row>
    <row r="48" spans="1:28" s="172" customFormat="1" ht="15" customHeight="1" thickBot="1" x14ac:dyDescent="0.25">
      <c r="A48" s="134" t="s">
        <v>3</v>
      </c>
      <c r="B48" s="170"/>
      <c r="C48" s="171" t="s">
        <v>1161</v>
      </c>
      <c r="D48" s="137" t="e">
        <f>SUM(D49:D53)+D62</f>
        <v>#REF!</v>
      </c>
      <c r="E48" s="137" t="e">
        <f>SUM(E49:E53)+E62</f>
        <v>#REF!</v>
      </c>
      <c r="F48" s="137">
        <f>SUM(F49:F53)</f>
        <v>2515259631</v>
      </c>
      <c r="G48" s="1374">
        <f>SUM(H48-F48)</f>
        <v>633197802</v>
      </c>
      <c r="H48" s="137">
        <f>SUM(H49:H53)</f>
        <v>3148457433</v>
      </c>
      <c r="I48" s="1374">
        <f>SUM(J48-H48)</f>
        <v>188591346</v>
      </c>
      <c r="J48" s="4279">
        <f>SUM(J49:J53)</f>
        <v>3337048779</v>
      </c>
      <c r="K48" s="4294">
        <f>SUM(L48-J48)</f>
        <v>1747959</v>
      </c>
      <c r="L48" s="2456">
        <f>SUM(L49:L53)</f>
        <v>3338796738</v>
      </c>
      <c r="M48" s="137">
        <f>SUM(M49:M53)</f>
        <v>3027272208</v>
      </c>
      <c r="N48" s="139"/>
      <c r="O48" s="2003">
        <f t="shared" si="2"/>
        <v>0</v>
      </c>
      <c r="P48" s="2031">
        <f t="shared" si="3"/>
        <v>0</v>
      </c>
      <c r="Q48" s="139">
        <f t="shared" si="8"/>
        <v>0</v>
      </c>
      <c r="R48" s="1999">
        <f t="shared" si="12"/>
        <v>0</v>
      </c>
      <c r="S48" s="2040">
        <f t="shared" si="12"/>
        <v>0</v>
      </c>
      <c r="U48" s="2043">
        <f>SUM('3. a. sz. mell'!F40+'4.a. sz. mell.'!D47+'5.a sz. mell. '!F46)</f>
        <v>2515259631</v>
      </c>
      <c r="V48" s="2043"/>
      <c r="W48" s="2044">
        <f>SUM('3. a. sz. mell'!H40+'4.a. sz. mell.'!F47+'5.a sz. mell. '!H46)</f>
        <v>3148457433</v>
      </c>
      <c r="X48" s="2044"/>
      <c r="Y48" s="2061">
        <f>SUM('3. a. sz. mell'!J40+'4.a. sz. mell.'!H47+'5.a sz. mell. '!J46)</f>
        <v>3337048779</v>
      </c>
      <c r="Z48" s="2045"/>
      <c r="AA48" s="2047">
        <f>SUM('3. a. sz. mell'!L40+'4.a. sz. mell.'!J47+'5.a sz. mell. '!L46)</f>
        <v>3338796738</v>
      </c>
      <c r="AB48" s="1944">
        <f>SUM('3. a. sz. mell'!M40+'4.a. sz. mell.'!K47+'5.a sz. mell. '!M46)</f>
        <v>3027272208</v>
      </c>
    </row>
    <row r="49" spans="1:28" ht="15" customHeight="1" x14ac:dyDescent="0.2">
      <c r="A49" s="173"/>
      <c r="B49" s="174" t="s">
        <v>152</v>
      </c>
      <c r="C49" s="55" t="s">
        <v>153</v>
      </c>
      <c r="D49" s="175" t="e">
        <f>SUM(#REF!+#REF!+#REF!+#REF!)</f>
        <v>#REF!</v>
      </c>
      <c r="E49" s="175" t="e">
        <f>SUM(#REF!+#REF!+#REF!+#REF!)</f>
        <v>#REF!</v>
      </c>
      <c r="F49" s="175">
        <f>SUM('3. a. sz. mell'!F41+'4.a. sz. mell.'!D48+'5.a sz. mell. '!F47)</f>
        <v>922954403</v>
      </c>
      <c r="G49" s="1386">
        <f>SUM(H49-F49)</f>
        <v>36213724</v>
      </c>
      <c r="H49" s="175">
        <f>SUM('3. a. sz. mell'!H41+'4.a. sz. mell.'!F48+'5.a sz. mell. '!H47)</f>
        <v>959168127</v>
      </c>
      <c r="I49" s="1386">
        <f>SUM(J49-H49)</f>
        <v>78657662</v>
      </c>
      <c r="J49" s="4280">
        <f>SUM('3. a. sz. mell'!J41+'4.a. sz. mell.'!H48+'5.a sz. mell. '!J47)</f>
        <v>1037825789</v>
      </c>
      <c r="K49" s="3436">
        <f>SUM(L49-J49)</f>
        <v>0</v>
      </c>
      <c r="L49" s="175">
        <f>SUM('3. a. sz. mell'!L41+'4.a. sz. mell.'!J48+'5.a sz. mell. '!L47)</f>
        <v>1037825789</v>
      </c>
      <c r="M49" s="175">
        <f>SUM('3. a. sz. mell'!M41+'4.a. sz. mell.'!K48+'5.a sz. mell. '!M47)</f>
        <v>1007226651</v>
      </c>
      <c r="N49" s="139"/>
      <c r="O49" s="2003">
        <f t="shared" si="2"/>
        <v>0</v>
      </c>
      <c r="P49" s="2031">
        <f t="shared" si="3"/>
        <v>0</v>
      </c>
      <c r="Q49" s="139">
        <f t="shared" si="8"/>
        <v>0</v>
      </c>
      <c r="R49" s="1999">
        <f t="shared" si="12"/>
        <v>0</v>
      </c>
      <c r="S49" s="2040">
        <f t="shared" si="12"/>
        <v>0</v>
      </c>
      <c r="U49" s="2043">
        <f>SUM('3. a. sz. mell'!F41+'4.a. sz. mell.'!D48+'5.a sz. mell. '!F47)</f>
        <v>922954403</v>
      </c>
      <c r="V49" s="2043"/>
      <c r="W49" s="2044">
        <f>SUM('3. a. sz. mell'!H41+'4.a. sz. mell.'!F48+'5.a sz. mell. '!H47)</f>
        <v>959168127</v>
      </c>
      <c r="X49" s="2044"/>
      <c r="Y49" s="2061">
        <f>SUM('3. a. sz. mell'!J41+'4.a. sz. mell.'!H48+'5.a sz. mell. '!J47)</f>
        <v>1037825789</v>
      </c>
      <c r="Z49" s="2045"/>
      <c r="AA49" s="2047">
        <f>SUM('3. a. sz. mell'!L41+'4.a. sz. mell.'!J48+'5.a sz. mell. '!L47)</f>
        <v>1037825789</v>
      </c>
      <c r="AB49" s="1944">
        <f>SUM('3. a. sz. mell'!M41+'4.a. sz. mell.'!K48+'5.a sz. mell. '!M47)</f>
        <v>1007226651</v>
      </c>
    </row>
    <row r="50" spans="1:28" ht="15" customHeight="1" x14ac:dyDescent="0.2">
      <c r="A50" s="142"/>
      <c r="B50" s="176" t="s">
        <v>154</v>
      </c>
      <c r="C50" s="55" t="s">
        <v>155</v>
      </c>
      <c r="D50" s="144" t="e">
        <f>SUM(#REF!+#REF!+#REF!+#REF!+#REF!)</f>
        <v>#REF!</v>
      </c>
      <c r="E50" s="144" t="e">
        <f>SUM(#REF!+#REF!+#REF!+#REF!+#REF!)</f>
        <v>#REF!</v>
      </c>
      <c r="F50" s="175">
        <f>SUM('3. a. sz. mell'!F42+'4.a. sz. mell.'!D49+'5.a sz. mell. '!F48)</f>
        <v>188713103</v>
      </c>
      <c r="G50" s="1386">
        <f t="shared" ref="G50:K95" si="13">SUM(H50-F50)</f>
        <v>8258937</v>
      </c>
      <c r="H50" s="175">
        <f>SUM('3. a. sz. mell'!H42+'4.a. sz. mell.'!F49+'5.a sz. mell. '!H48)</f>
        <v>196972040</v>
      </c>
      <c r="I50" s="1386">
        <f t="shared" si="13"/>
        <v>8508760</v>
      </c>
      <c r="J50" s="4280">
        <f>SUM('3. a. sz. mell'!J42+'4.a. sz. mell.'!H49+'5.a sz. mell. '!J48)</f>
        <v>205480800</v>
      </c>
      <c r="K50" s="3437">
        <f t="shared" si="13"/>
        <v>0</v>
      </c>
      <c r="L50" s="175">
        <f>SUM('3. a. sz. mell'!L42+'4.a. sz. mell.'!J49+'5.a sz. mell. '!L48)</f>
        <v>205480800</v>
      </c>
      <c r="M50" s="175">
        <f>SUM('3. a. sz. mell'!M42+'4.a. sz. mell.'!K49+'5.a sz. mell. '!M48)</f>
        <v>196524636</v>
      </c>
      <c r="N50" s="139"/>
      <c r="O50" s="2003">
        <f t="shared" si="2"/>
        <v>0</v>
      </c>
      <c r="P50" s="2031">
        <f t="shared" si="3"/>
        <v>0</v>
      </c>
      <c r="Q50" s="139">
        <f t="shared" si="8"/>
        <v>0</v>
      </c>
      <c r="R50" s="1999">
        <f t="shared" si="12"/>
        <v>0</v>
      </c>
      <c r="S50" s="2040">
        <f t="shared" si="12"/>
        <v>0</v>
      </c>
      <c r="U50" s="2043">
        <f>SUM('3. a. sz. mell'!F42+'4.a. sz. mell.'!D49+'5.a sz. mell. '!F48)</f>
        <v>188713103</v>
      </c>
      <c r="V50" s="2043"/>
      <c r="W50" s="2044">
        <f>SUM('3. a. sz. mell'!H42+'4.a. sz. mell.'!F49+'5.a sz. mell. '!H48)</f>
        <v>196972040</v>
      </c>
      <c r="X50" s="2044"/>
      <c r="Y50" s="2061">
        <f>SUM('3. a. sz. mell'!J42+'4.a. sz. mell.'!H49+'5.a sz. mell. '!J48)</f>
        <v>205480800</v>
      </c>
      <c r="Z50" s="2045"/>
      <c r="AA50" s="2047">
        <f>SUM('3. a. sz. mell'!L42+'4.a. sz. mell.'!J49+'5.a sz. mell. '!L48)</f>
        <v>205480800</v>
      </c>
      <c r="AB50" s="1944">
        <f>SUM('3. a. sz. mell'!M42+'4.a. sz. mell.'!K49+'5.a sz. mell. '!M48)</f>
        <v>196524636</v>
      </c>
    </row>
    <row r="51" spans="1:28" ht="15" customHeight="1" x14ac:dyDescent="0.2">
      <c r="A51" s="142"/>
      <c r="B51" s="176" t="s">
        <v>156</v>
      </c>
      <c r="C51" s="55" t="s">
        <v>157</v>
      </c>
      <c r="D51" s="144" t="e">
        <f>SUM(#REF!+#REF!+#REF!+#REF!+#REF!+#REF!+#REF!+#REF!+#REF!+#REF!+#REF!+#REF!+#REF!)</f>
        <v>#REF!</v>
      </c>
      <c r="E51" s="144" t="e">
        <f>SUM(#REF!+#REF!+#REF!+#REF!+#REF!+#REF!+#REF!+#REF!+#REF!+#REF!+#REF!+#REF!+#REF!)</f>
        <v>#REF!</v>
      </c>
      <c r="F51" s="175">
        <f>SUM('3. a. sz. mell'!F43+'4.a. sz. mell.'!D50+'5.a sz. mell. '!F49)</f>
        <v>935442511</v>
      </c>
      <c r="G51" s="1386">
        <f t="shared" si="13"/>
        <v>554687065</v>
      </c>
      <c r="H51" s="175">
        <f>SUM('3. a. sz. mell'!H43+'4.a. sz. mell.'!F50+'5.a sz. mell. '!H49)</f>
        <v>1490129576</v>
      </c>
      <c r="I51" s="1386">
        <f t="shared" si="13"/>
        <v>92391021</v>
      </c>
      <c r="J51" s="4280">
        <f>SUM('3. a. sz. mell'!J43+'4.a. sz. mell.'!H50+'5.a sz. mell. '!J49)</f>
        <v>1582520597</v>
      </c>
      <c r="K51" s="3437">
        <f t="shared" si="13"/>
        <v>0</v>
      </c>
      <c r="L51" s="175">
        <f>SUM('3. a. sz. mell'!L43+'4.a. sz. mell.'!J50+'5.a sz. mell. '!L49)</f>
        <v>1582520597</v>
      </c>
      <c r="M51" s="175">
        <f>SUM('3. a. sz. mell'!M43+'4.a. sz. mell.'!K50+'5.a sz. mell. '!M49)</f>
        <v>1316109688</v>
      </c>
      <c r="N51" s="139"/>
      <c r="O51" s="2003">
        <f t="shared" si="2"/>
        <v>0</v>
      </c>
      <c r="P51" s="2031">
        <f t="shared" si="3"/>
        <v>0</v>
      </c>
      <c r="Q51" s="139">
        <f t="shared" si="8"/>
        <v>0</v>
      </c>
      <c r="R51" s="1999">
        <f t="shared" si="12"/>
        <v>0</v>
      </c>
      <c r="S51" s="2040">
        <f t="shared" si="12"/>
        <v>0</v>
      </c>
      <c r="U51" s="2043">
        <f>SUM('3. a. sz. mell'!F43+'4.a. sz. mell.'!D50+'5.a sz. mell. '!F49)</f>
        <v>935442511</v>
      </c>
      <c r="V51" s="2043"/>
      <c r="W51" s="2044">
        <f>SUM('3. a. sz. mell'!H43+'4.a. sz. mell.'!F50+'5.a sz. mell. '!H49)</f>
        <v>1490129576</v>
      </c>
      <c r="X51" s="2044"/>
      <c r="Y51" s="2061">
        <f>SUM('3. a. sz. mell'!J43+'4.a. sz. mell.'!H50+'5.a sz. mell. '!J49)</f>
        <v>1582520597</v>
      </c>
      <c r="Z51" s="2045"/>
      <c r="AA51" s="2047">
        <f>SUM('3. a. sz. mell'!L43+'4.a. sz. mell.'!J50+'5.a sz. mell. '!L49)</f>
        <v>1582520597</v>
      </c>
      <c r="AB51" s="1944">
        <f>SUM('3. a. sz. mell'!M43+'4.a. sz. mell.'!K50+'5.a sz. mell. '!M49)</f>
        <v>1316109688</v>
      </c>
    </row>
    <row r="52" spans="1:28" ht="15" customHeight="1" x14ac:dyDescent="0.2">
      <c r="A52" s="142"/>
      <c r="B52" s="176" t="s">
        <v>158</v>
      </c>
      <c r="C52" s="55" t="s">
        <v>159</v>
      </c>
      <c r="D52" s="144" t="e">
        <f>SUM(#REF!)</f>
        <v>#REF!</v>
      </c>
      <c r="E52" s="144" t="e">
        <f>SUM(#REF!)</f>
        <v>#REF!</v>
      </c>
      <c r="F52" s="144">
        <f>SUM('3. a. sz. mell'!F44+'4.a. sz. mell.'!D51+'5.a sz. mell. '!F50)</f>
        <v>32000000</v>
      </c>
      <c r="G52" s="1386">
        <f t="shared" si="13"/>
        <v>22465500</v>
      </c>
      <c r="H52" s="144">
        <f>SUM('3. a. sz. mell'!H44+'4.a. sz. mell.'!F51+'5.a sz. mell. '!H50)</f>
        <v>54465500</v>
      </c>
      <c r="I52" s="1386">
        <f t="shared" si="13"/>
        <v>3165000</v>
      </c>
      <c r="J52" s="4281">
        <f>SUM('3. a. sz. mell'!J44+'4.a. sz. mell.'!H51+'5.a sz. mell. '!J50)</f>
        <v>57630500</v>
      </c>
      <c r="K52" s="3437">
        <f t="shared" si="13"/>
        <v>0</v>
      </c>
      <c r="L52" s="2684">
        <f>SUM('3. a. sz. mell'!L44+'4.a. sz. mell.'!J51+'5.a sz. mell. '!L50)</f>
        <v>57630500</v>
      </c>
      <c r="M52" s="144">
        <f>SUM('3. a. sz. mell'!M44+'4.a. sz. mell.'!K51+'5.a sz. mell. '!M50)</f>
        <v>54870140</v>
      </c>
      <c r="N52" s="139"/>
      <c r="O52" s="2003">
        <f t="shared" si="2"/>
        <v>0</v>
      </c>
      <c r="P52" s="2031">
        <f t="shared" si="3"/>
        <v>0</v>
      </c>
      <c r="Q52" s="139">
        <f t="shared" si="8"/>
        <v>0</v>
      </c>
      <c r="R52" s="1999">
        <f t="shared" si="12"/>
        <v>0</v>
      </c>
      <c r="S52" s="2040">
        <f t="shared" si="12"/>
        <v>0</v>
      </c>
      <c r="U52" s="2043">
        <f>SUM('3. a. sz. mell'!F44+'4.a. sz. mell.'!D51+'5.a sz. mell. '!F50)</f>
        <v>32000000</v>
      </c>
      <c r="V52" s="2043"/>
      <c r="W52" s="2044">
        <f>SUM('3. a. sz. mell'!H44+'4.a. sz. mell.'!F51+'5.a sz. mell. '!H50)</f>
        <v>54465500</v>
      </c>
      <c r="X52" s="2044"/>
      <c r="Y52" s="2061">
        <f>SUM('3. a. sz. mell'!J44+'4.a. sz. mell.'!H51+'5.a sz. mell. '!J50)</f>
        <v>57630500</v>
      </c>
      <c r="Z52" s="2045"/>
      <c r="AA52" s="2047">
        <f>SUM('3. a. sz. mell'!L44+'4.a. sz. mell.'!J51+'5.a sz. mell. '!L50)</f>
        <v>57630500</v>
      </c>
      <c r="AB52" s="1944">
        <f>SUM('3. a. sz. mell'!M44+'4.a. sz. mell.'!K51+'5.a sz. mell. '!M50)</f>
        <v>54870140</v>
      </c>
    </row>
    <row r="53" spans="1:28" ht="15" customHeight="1" x14ac:dyDescent="0.2">
      <c r="A53" s="142"/>
      <c r="B53" s="176" t="s">
        <v>160</v>
      </c>
      <c r="C53" s="55" t="s">
        <v>161</v>
      </c>
      <c r="D53" s="144" t="e">
        <f>SUM(D54:D61)</f>
        <v>#REF!</v>
      </c>
      <c r="E53" s="144" t="e">
        <f>SUM(E54:E61)</f>
        <v>#REF!</v>
      </c>
      <c r="F53" s="144">
        <f>SUM(F54:F61)</f>
        <v>436149614</v>
      </c>
      <c r="G53" s="1386">
        <f t="shared" si="13"/>
        <v>11572576</v>
      </c>
      <c r="H53" s="144">
        <f>SUM(H54:H61)</f>
        <v>447722190</v>
      </c>
      <c r="I53" s="1386">
        <f t="shared" si="13"/>
        <v>5868903</v>
      </c>
      <c r="J53" s="4281">
        <f>SUM(J54:J61)</f>
        <v>453591093</v>
      </c>
      <c r="K53" s="3437">
        <f t="shared" si="13"/>
        <v>1747959</v>
      </c>
      <c r="L53" s="2684">
        <f>SUM(L54:L61)</f>
        <v>455339052</v>
      </c>
      <c r="M53" s="144">
        <f>SUM(M54:M61)</f>
        <v>452541093</v>
      </c>
      <c r="N53" s="139"/>
      <c r="O53" s="2003">
        <f t="shared" si="2"/>
        <v>0</v>
      </c>
      <c r="P53" s="2031">
        <f t="shared" si="3"/>
        <v>0</v>
      </c>
      <c r="Q53" s="139">
        <f t="shared" si="8"/>
        <v>0</v>
      </c>
      <c r="R53" s="1999">
        <f t="shared" si="12"/>
        <v>0</v>
      </c>
      <c r="S53" s="2040">
        <f t="shared" si="12"/>
        <v>0</v>
      </c>
      <c r="U53" s="2043">
        <f>SUM('3. a. sz. mell'!F45+'4.a. sz. mell.'!D52+'5.a sz. mell. '!F51)</f>
        <v>436149614</v>
      </c>
      <c r="V53" s="2043"/>
      <c r="W53" s="2044">
        <f>SUM('3. a. sz. mell'!H45+'4.a. sz. mell.'!F52+'5.a sz. mell. '!H51)</f>
        <v>447722190</v>
      </c>
      <c r="X53" s="2044"/>
      <c r="Y53" s="2061">
        <f>SUM('3. a. sz. mell'!J45+'4.a. sz. mell.'!H52+'5.a sz. mell. '!J51)</f>
        <v>453591093</v>
      </c>
      <c r="Z53" s="2045"/>
      <c r="AA53" s="2047">
        <f>SUM('3. a. sz. mell'!L45+'4.a. sz. mell.'!J52+'5.a sz. mell. '!L51)</f>
        <v>455339052</v>
      </c>
      <c r="AB53" s="1944">
        <f>SUM('3. a. sz. mell'!M45+'4.a. sz. mell.'!K52+'5.a sz. mell. '!M51)</f>
        <v>452541093</v>
      </c>
    </row>
    <row r="54" spans="1:28" ht="15" customHeight="1" x14ac:dyDescent="0.2">
      <c r="A54" s="142"/>
      <c r="B54" s="176" t="s">
        <v>302</v>
      </c>
      <c r="C54" s="177" t="s">
        <v>303</v>
      </c>
      <c r="D54" s="144"/>
      <c r="E54" s="144"/>
      <c r="F54" s="144">
        <f>SUM('3. a. sz. mell'!F46)</f>
        <v>87686190</v>
      </c>
      <c r="G54" s="1386">
        <f t="shared" si="13"/>
        <v>12054778</v>
      </c>
      <c r="H54" s="144">
        <f>SUM('3. a. sz. mell'!H46)</f>
        <v>99740968</v>
      </c>
      <c r="I54" s="1386">
        <f t="shared" si="13"/>
        <v>7068903</v>
      </c>
      <c r="J54" s="4281">
        <f>SUM('3. a. sz. mell'!J46)</f>
        <v>106809871</v>
      </c>
      <c r="K54" s="3437">
        <f t="shared" si="13"/>
        <v>0</v>
      </c>
      <c r="L54" s="2684">
        <f>SUM('3. a. sz. mell'!L46)</f>
        <v>106809871</v>
      </c>
      <c r="M54" s="144">
        <f>SUM('3. a. sz. mell'!M46)</f>
        <v>106559871</v>
      </c>
      <c r="N54" s="139"/>
      <c r="O54" s="2003">
        <f t="shared" si="2"/>
        <v>0</v>
      </c>
      <c r="P54" s="2031">
        <f t="shared" si="3"/>
        <v>0</v>
      </c>
      <c r="Q54" s="139">
        <f t="shared" si="8"/>
        <v>0</v>
      </c>
      <c r="R54" s="1999">
        <f t="shared" si="12"/>
        <v>0</v>
      </c>
      <c r="S54" s="2040">
        <f t="shared" si="12"/>
        <v>0</v>
      </c>
      <c r="U54" s="2043">
        <f>SUM('3. a. sz. mell'!F46)</f>
        <v>87686190</v>
      </c>
      <c r="V54" s="2043"/>
      <c r="W54" s="2044">
        <f>SUM('3. a. sz. mell'!H46)</f>
        <v>99740968</v>
      </c>
      <c r="X54" s="2044"/>
      <c r="Y54" s="2061">
        <f>SUM('3. a. sz. mell'!J46)</f>
        <v>106809871</v>
      </c>
      <c r="Z54" s="2045"/>
      <c r="AA54" s="2047">
        <f>SUM('3. a. sz. mell'!L46)</f>
        <v>106809871</v>
      </c>
      <c r="AB54" s="1944">
        <f>SUM('3. a. sz. mell'!M46)</f>
        <v>106559871</v>
      </c>
    </row>
    <row r="55" spans="1:28" ht="15" customHeight="1" x14ac:dyDescent="0.2">
      <c r="A55" s="142"/>
      <c r="B55" s="176" t="s">
        <v>304</v>
      </c>
      <c r="C55" s="177" t="s">
        <v>305</v>
      </c>
      <c r="D55" s="144"/>
      <c r="E55" s="144"/>
      <c r="F55" s="144">
        <f>SUM('3. a. sz. mell'!F47)</f>
        <v>0</v>
      </c>
      <c r="G55" s="1386">
        <f t="shared" si="13"/>
        <v>0</v>
      </c>
      <c r="H55" s="144">
        <f>SUM('3. a. sz. mell'!H47)</f>
        <v>0</v>
      </c>
      <c r="I55" s="1386">
        <f t="shared" si="13"/>
        <v>0</v>
      </c>
      <c r="J55" s="4281">
        <f>SUM('3. a. sz. mell'!J47)</f>
        <v>0</v>
      </c>
      <c r="K55" s="3437">
        <f t="shared" si="13"/>
        <v>0</v>
      </c>
      <c r="L55" s="2684">
        <f>SUM('3. a. sz. mell'!L47)</f>
        <v>0</v>
      </c>
      <c r="M55" s="144"/>
      <c r="N55" s="139"/>
      <c r="O55" s="2003">
        <f t="shared" si="2"/>
        <v>0</v>
      </c>
      <c r="P55" s="2031">
        <f t="shared" si="3"/>
        <v>0</v>
      </c>
      <c r="Q55" s="139">
        <f t="shared" si="8"/>
        <v>0</v>
      </c>
      <c r="R55" s="1999">
        <f t="shared" si="12"/>
        <v>0</v>
      </c>
      <c r="S55" s="2040">
        <f t="shared" si="12"/>
        <v>0</v>
      </c>
      <c r="U55" s="2043">
        <f>SUM('3. a. sz. mell'!F47)</f>
        <v>0</v>
      </c>
      <c r="V55" s="2043"/>
      <c r="W55" s="2044"/>
      <c r="X55" s="2044"/>
      <c r="Y55" s="2061"/>
      <c r="Z55" s="2045"/>
      <c r="AA55" s="2047"/>
      <c r="AB55" s="1944"/>
    </row>
    <row r="56" spans="1:28" ht="15.75" x14ac:dyDescent="0.2">
      <c r="A56" s="142"/>
      <c r="B56" s="176" t="s">
        <v>306</v>
      </c>
      <c r="C56" s="177" t="s">
        <v>307</v>
      </c>
      <c r="D56" s="144"/>
      <c r="E56" s="144"/>
      <c r="F56" s="144">
        <f>SUM('3. a. sz. mell'!F50)</f>
        <v>4000000</v>
      </c>
      <c r="G56" s="1386">
        <f t="shared" si="13"/>
        <v>-2000000</v>
      </c>
      <c r="H56" s="144">
        <f>SUM('3. a. sz. mell'!H50)</f>
        <v>2000000</v>
      </c>
      <c r="I56" s="1386">
        <f t="shared" si="13"/>
        <v>-1200000</v>
      </c>
      <c r="J56" s="4281">
        <f>SUM('3. a. sz. mell'!J50)</f>
        <v>800000</v>
      </c>
      <c r="K56" s="3437">
        <f t="shared" si="13"/>
        <v>0</v>
      </c>
      <c r="L56" s="2684">
        <f>SUM('3. a. sz. mell'!L50)</f>
        <v>800000</v>
      </c>
      <c r="M56" s="144">
        <f>SUM('3. a. sz. mell'!M50)</f>
        <v>0</v>
      </c>
      <c r="N56" s="139"/>
      <c r="O56" s="2003">
        <f t="shared" si="2"/>
        <v>0</v>
      </c>
      <c r="P56" s="2031">
        <f t="shared" si="3"/>
        <v>0</v>
      </c>
      <c r="Q56" s="139">
        <f t="shared" si="8"/>
        <v>0</v>
      </c>
      <c r="R56" s="1999">
        <f t="shared" si="12"/>
        <v>0</v>
      </c>
      <c r="S56" s="2040">
        <f t="shared" si="12"/>
        <v>0</v>
      </c>
      <c r="U56" s="2043">
        <f>SUM('3. a. sz. mell'!F50)</f>
        <v>4000000</v>
      </c>
      <c r="V56" s="2043">
        <f>SUM('3. a. sz. mell'!G50)</f>
        <v>-2000000</v>
      </c>
      <c r="W56" s="2044">
        <f>SUM('3. a. sz. mell'!H50)</f>
        <v>2000000</v>
      </c>
      <c r="X56" s="2043">
        <f>SUM('3. a. sz. mell'!I50)</f>
        <v>-1200000</v>
      </c>
      <c r="Y56" s="2061">
        <f>SUM('3. a. sz. mell'!J50)</f>
        <v>800000</v>
      </c>
      <c r="Z56" s="2043">
        <f>SUM('3. a. sz. mell'!K50)</f>
        <v>0</v>
      </c>
      <c r="AA56" s="2047">
        <f>SUM('3. a. sz. mell'!L50)</f>
        <v>800000</v>
      </c>
      <c r="AB56" s="1944">
        <f>SUM('3. a. sz. mell'!M50)</f>
        <v>0</v>
      </c>
    </row>
    <row r="57" spans="1:28" ht="16.5" thickBot="1" x14ac:dyDescent="0.25">
      <c r="A57" s="142"/>
      <c r="B57" s="176" t="s">
        <v>829</v>
      </c>
      <c r="C57" s="177" t="s">
        <v>876</v>
      </c>
      <c r="D57" s="144" t="e">
        <f>SUM(#REF!)</f>
        <v>#REF!</v>
      </c>
      <c r="E57" s="144" t="e">
        <f>SUM(#REF!)-#REF!-#REF!</f>
        <v>#REF!</v>
      </c>
      <c r="F57" s="144">
        <f>SUM('3. a. sz. mell'!F49)</f>
        <v>344463424</v>
      </c>
      <c r="G57" s="1386">
        <f t="shared" si="13"/>
        <v>1517798</v>
      </c>
      <c r="H57" s="144">
        <f>SUM('4.a. sz. mell.'!F52+'5.a sz. mell. '!H51+'3. a. sz. mell'!H49)</f>
        <v>345981222</v>
      </c>
      <c r="I57" s="1386">
        <f t="shared" si="13"/>
        <v>0</v>
      </c>
      <c r="J57" s="4281">
        <f>SUM('4.a. sz. mell.'!H52+'5.a sz. mell. '!J51+'3. a. sz. mell'!J49)</f>
        <v>345981222</v>
      </c>
      <c r="K57" s="3437">
        <f t="shared" si="13"/>
        <v>1747959</v>
      </c>
      <c r="L57" s="2684">
        <f>SUM('4.a. sz. mell.'!J52+'5.a sz. mell. '!L51+'3. a. sz. mell'!L49)</f>
        <v>347729181</v>
      </c>
      <c r="M57" s="144">
        <f>SUM('4.a. sz. mell.'!K52+'5.a sz. mell. '!M51+'3. a. sz. mell'!M49)</f>
        <v>345981222</v>
      </c>
      <c r="N57" s="139"/>
      <c r="O57" s="2003">
        <f t="shared" si="2"/>
        <v>0</v>
      </c>
      <c r="P57" s="2031">
        <f t="shared" si="3"/>
        <v>0</v>
      </c>
      <c r="Q57" s="139">
        <f t="shared" si="8"/>
        <v>0</v>
      </c>
      <c r="R57" s="1999">
        <f t="shared" si="12"/>
        <v>0</v>
      </c>
      <c r="S57" s="2040">
        <f t="shared" si="12"/>
        <v>0</v>
      </c>
      <c r="U57" s="2043">
        <f>SUM('4.a. sz. mell.'!D52+'5.a sz. mell. '!F51)+'3. a. sz. mell'!F49</f>
        <v>344463424</v>
      </c>
      <c r="V57" s="2043"/>
      <c r="W57" s="2044">
        <f>SUM('4.a. sz. mell.'!F52+'5.a sz. mell. '!H51+'3. a. sz. mell'!H49)</f>
        <v>345981222</v>
      </c>
      <c r="X57" s="2044"/>
      <c r="Y57" s="2061">
        <f>SUM('4.a. sz. mell.'!H52+'5.a sz. mell. '!J51+'3. a. sz. mell'!J49)</f>
        <v>345981222</v>
      </c>
      <c r="Z57" s="2045"/>
      <c r="AA57" s="2047">
        <f>SUM('4.a. sz. mell.'!J52+'5.a sz. mell. '!L51+'3. a. sz. mell'!L49)</f>
        <v>347729181</v>
      </c>
      <c r="AB57" s="1944">
        <f>SUM('4.a. sz. mell.'!K52+'5.a sz. mell. '!M51+'3. a. sz. mell'!M49)</f>
        <v>345981222</v>
      </c>
    </row>
    <row r="58" spans="1:28" ht="16.5" hidden="1" thickBot="1" x14ac:dyDescent="0.25">
      <c r="A58" s="142"/>
      <c r="B58" s="176"/>
      <c r="C58" s="177"/>
      <c r="D58" s="144"/>
      <c r="E58" s="144" t="e">
        <f>#REF!+#REF!+#REF!</f>
        <v>#REF!</v>
      </c>
      <c r="F58" s="144"/>
      <c r="G58" s="1386">
        <f t="shared" si="13"/>
        <v>0</v>
      </c>
      <c r="H58" s="144"/>
      <c r="I58" s="1386">
        <f t="shared" si="13"/>
        <v>0</v>
      </c>
      <c r="J58" s="4281"/>
      <c r="K58" s="3437">
        <f t="shared" si="13"/>
        <v>0</v>
      </c>
      <c r="L58" s="2684"/>
      <c r="M58" s="144"/>
      <c r="N58" s="139"/>
      <c r="O58" s="2003">
        <f t="shared" si="2"/>
        <v>0</v>
      </c>
      <c r="P58" s="2031">
        <f t="shared" si="3"/>
        <v>0</v>
      </c>
      <c r="Q58" s="139">
        <f t="shared" si="8"/>
        <v>0</v>
      </c>
      <c r="R58" s="1999">
        <f t="shared" si="12"/>
        <v>0</v>
      </c>
      <c r="S58" s="2040">
        <f t="shared" si="12"/>
        <v>0</v>
      </c>
      <c r="U58" s="2043"/>
      <c r="V58" s="2043"/>
      <c r="W58" s="2044"/>
      <c r="X58" s="2044"/>
      <c r="Y58" s="2061"/>
      <c r="Z58" s="2045"/>
      <c r="AA58" s="2047"/>
      <c r="AB58" s="1944"/>
    </row>
    <row r="59" spans="1:28" ht="16.5" hidden="1" thickBot="1" x14ac:dyDescent="0.25">
      <c r="A59" s="142"/>
      <c r="B59" s="176"/>
      <c r="C59" s="177"/>
      <c r="D59" s="144"/>
      <c r="E59" s="144"/>
      <c r="F59" s="144"/>
      <c r="G59" s="1386">
        <f t="shared" si="13"/>
        <v>0</v>
      </c>
      <c r="H59" s="144"/>
      <c r="I59" s="1386">
        <f t="shared" si="13"/>
        <v>0</v>
      </c>
      <c r="J59" s="4281"/>
      <c r="K59" s="3437">
        <f t="shared" si="13"/>
        <v>0</v>
      </c>
      <c r="L59" s="2684"/>
      <c r="M59" s="144"/>
      <c r="N59" s="139"/>
      <c r="O59" s="2003">
        <f t="shared" si="2"/>
        <v>0</v>
      </c>
      <c r="P59" s="2031">
        <f t="shared" si="3"/>
        <v>0</v>
      </c>
      <c r="Q59" s="139">
        <f t="shared" si="8"/>
        <v>0</v>
      </c>
      <c r="R59" s="1999">
        <f t="shared" si="12"/>
        <v>0</v>
      </c>
      <c r="S59" s="2040">
        <f t="shared" si="12"/>
        <v>0</v>
      </c>
      <c r="U59" s="2043"/>
      <c r="V59" s="2043"/>
      <c r="W59" s="2044"/>
      <c r="X59" s="2044"/>
      <c r="Y59" s="2061"/>
      <c r="Z59" s="2045"/>
      <c r="AA59" s="2047"/>
      <c r="AB59" s="1944"/>
    </row>
    <row r="60" spans="1:28" ht="16.5" hidden="1" thickBot="1" x14ac:dyDescent="0.25">
      <c r="A60" s="142"/>
      <c r="B60" s="176"/>
      <c r="C60" s="177"/>
      <c r="D60" s="144" t="e">
        <f>SUM(#REF!)</f>
        <v>#REF!</v>
      </c>
      <c r="E60" s="144" t="e">
        <f>SUM(#REF!)</f>
        <v>#REF!</v>
      </c>
      <c r="F60" s="144"/>
      <c r="G60" s="1386">
        <f t="shared" si="13"/>
        <v>0</v>
      </c>
      <c r="H60" s="144"/>
      <c r="I60" s="1386">
        <f t="shared" si="13"/>
        <v>0</v>
      </c>
      <c r="J60" s="4281"/>
      <c r="K60" s="3437">
        <f t="shared" si="13"/>
        <v>0</v>
      </c>
      <c r="L60" s="2684"/>
      <c r="M60" s="144"/>
      <c r="N60" s="139"/>
      <c r="O60" s="2003">
        <f t="shared" si="2"/>
        <v>0</v>
      </c>
      <c r="P60" s="2031">
        <f t="shared" si="3"/>
        <v>0</v>
      </c>
      <c r="Q60" s="139">
        <f t="shared" si="8"/>
        <v>0</v>
      </c>
      <c r="R60" s="1999">
        <f t="shared" si="12"/>
        <v>0</v>
      </c>
      <c r="S60" s="2040">
        <f t="shared" si="12"/>
        <v>0</v>
      </c>
      <c r="U60" s="2043"/>
      <c r="V60" s="2043"/>
      <c r="W60" s="2044"/>
      <c r="X60" s="2044"/>
      <c r="Y60" s="2061"/>
      <c r="Z60" s="2045"/>
      <c r="AA60" s="2047"/>
      <c r="AB60" s="1944"/>
    </row>
    <row r="61" spans="1:28" ht="16.5" hidden="1" thickBot="1" x14ac:dyDescent="0.25">
      <c r="A61" s="151"/>
      <c r="B61" s="176"/>
      <c r="C61" s="177"/>
      <c r="D61" s="153"/>
      <c r="E61" s="153"/>
      <c r="F61" s="153"/>
      <c r="G61" s="1386">
        <f t="shared" si="13"/>
        <v>0</v>
      </c>
      <c r="H61" s="153"/>
      <c r="I61" s="1386">
        <f t="shared" si="13"/>
        <v>0</v>
      </c>
      <c r="J61" s="4282"/>
      <c r="K61" s="3437">
        <f t="shared" si="13"/>
        <v>0</v>
      </c>
      <c r="L61" s="3477"/>
      <c r="M61" s="153"/>
      <c r="N61" s="139"/>
      <c r="O61" s="2003">
        <f t="shared" si="2"/>
        <v>0</v>
      </c>
      <c r="P61" s="2031">
        <f t="shared" si="3"/>
        <v>0</v>
      </c>
      <c r="Q61" s="139">
        <f t="shared" si="8"/>
        <v>0</v>
      </c>
      <c r="R61" s="1999">
        <f t="shared" si="12"/>
        <v>0</v>
      </c>
      <c r="S61" s="2040">
        <f t="shared" si="12"/>
        <v>0</v>
      </c>
      <c r="U61" s="2043"/>
      <c r="V61" s="2043"/>
      <c r="W61" s="2044"/>
      <c r="X61" s="2044"/>
      <c r="Y61" s="2061"/>
      <c r="Z61" s="2045"/>
      <c r="AA61" s="2047"/>
      <c r="AB61" s="1944"/>
    </row>
    <row r="62" spans="1:28" ht="16.5" hidden="1" thickBot="1" x14ac:dyDescent="0.25">
      <c r="A62" s="178"/>
      <c r="B62" s="179"/>
      <c r="C62" s="180"/>
      <c r="D62" s="181" t="e">
        <f>SUM(#REF!)</f>
        <v>#REF!</v>
      </c>
      <c r="E62" s="181" t="e">
        <f>#REF!</f>
        <v>#REF!</v>
      </c>
      <c r="F62" s="181"/>
      <c r="G62" s="1386">
        <f t="shared" si="13"/>
        <v>0</v>
      </c>
      <c r="H62" s="181"/>
      <c r="I62" s="1386">
        <f t="shared" si="13"/>
        <v>0</v>
      </c>
      <c r="J62" s="4283"/>
      <c r="K62" s="3489">
        <f t="shared" si="13"/>
        <v>0</v>
      </c>
      <c r="L62" s="3481"/>
      <c r="M62" s="181"/>
      <c r="N62" s="139"/>
      <c r="O62" s="2003">
        <f t="shared" si="2"/>
        <v>0</v>
      </c>
      <c r="P62" s="2031">
        <f t="shared" si="3"/>
        <v>0</v>
      </c>
      <c r="Q62" s="139">
        <f t="shared" si="8"/>
        <v>0</v>
      </c>
      <c r="R62" s="1999">
        <f t="shared" si="12"/>
        <v>0</v>
      </c>
      <c r="S62" s="2040">
        <f t="shared" si="12"/>
        <v>0</v>
      </c>
      <c r="U62" s="2043"/>
      <c r="V62" s="2043"/>
      <c r="W62" s="2044"/>
      <c r="X62" s="2044"/>
      <c r="Y62" s="2061"/>
      <c r="Z62" s="2045"/>
      <c r="AA62" s="2047"/>
      <c r="AB62" s="1944"/>
    </row>
    <row r="63" spans="1:28" ht="16.5" thickBot="1" x14ac:dyDescent="0.25">
      <c r="A63" s="134" t="s">
        <v>17</v>
      </c>
      <c r="B63" s="170"/>
      <c r="C63" s="171" t="s">
        <v>308</v>
      </c>
      <c r="D63" s="137" t="e">
        <f>SUM(D64:D66)</f>
        <v>#REF!</v>
      </c>
      <c r="E63" s="137" t="e">
        <f>SUM(E64:E66)</f>
        <v>#REF!</v>
      </c>
      <c r="F63" s="137">
        <f>SUM(F64:F66)</f>
        <v>85573100</v>
      </c>
      <c r="G63" s="1374">
        <f t="shared" si="13"/>
        <v>-17384988</v>
      </c>
      <c r="H63" s="137">
        <f>SUM(H64:H66)</f>
        <v>68188112</v>
      </c>
      <c r="I63" s="1374">
        <f t="shared" si="13"/>
        <v>-35554437</v>
      </c>
      <c r="J63" s="4279">
        <f>SUM(J64:J66)</f>
        <v>32633675</v>
      </c>
      <c r="K63" s="4294">
        <f t="shared" si="13"/>
        <v>0</v>
      </c>
      <c r="L63" s="2456">
        <f>SUM(L64:L66)</f>
        <v>32633675</v>
      </c>
      <c r="M63" s="137">
        <f>SUM(M64:M66)</f>
        <v>32496545</v>
      </c>
      <c r="N63" s="139"/>
      <c r="O63" s="2003">
        <f t="shared" si="2"/>
        <v>0</v>
      </c>
      <c r="P63" s="2031">
        <f t="shared" si="3"/>
        <v>0</v>
      </c>
      <c r="Q63" s="139">
        <f t="shared" si="8"/>
        <v>0</v>
      </c>
      <c r="R63" s="1999">
        <f t="shared" si="12"/>
        <v>0</v>
      </c>
      <c r="S63" s="2040">
        <f t="shared" si="12"/>
        <v>0</v>
      </c>
      <c r="U63" s="2043">
        <f>SUM('3. a. sz. mell'!F57+'4.a. sz. mell.'!D55+'5.a sz. mell. '!F52)</f>
        <v>85573100</v>
      </c>
      <c r="V63" s="2043"/>
      <c r="W63" s="2044">
        <f>SUM('3. a. sz. mell'!H57+'4.a. sz. mell.'!F55+'5.a sz. mell. '!H52)</f>
        <v>68188112</v>
      </c>
      <c r="X63" s="2044"/>
      <c r="Y63" s="2061">
        <f>SUM('3. a. sz. mell'!J57+'4.a. sz. mell.'!H55+'5.a sz. mell. '!J52)</f>
        <v>32633675</v>
      </c>
      <c r="Z63" s="2045"/>
      <c r="AA63" s="2047">
        <f>SUM('3. a. sz. mell'!L57+'4.a. sz. mell.'!J55+'5.a sz. mell. '!L52)</f>
        <v>32633675</v>
      </c>
      <c r="AB63" s="1944">
        <f>SUM('3. a. sz. mell'!M57+'4.a. sz. mell.'!K55+'5.a sz. mell. '!M52)</f>
        <v>32496545</v>
      </c>
    </row>
    <row r="64" spans="1:28" s="172" customFormat="1" ht="15" customHeight="1" x14ac:dyDescent="0.2">
      <c r="A64" s="173"/>
      <c r="B64" s="176" t="s">
        <v>309</v>
      </c>
      <c r="C64" s="55" t="s">
        <v>310</v>
      </c>
      <c r="D64" s="175" t="e">
        <f>SUM(#REF!)</f>
        <v>#REF!</v>
      </c>
      <c r="E64" s="175" t="e">
        <f>SUM(#REF!)</f>
        <v>#REF!</v>
      </c>
      <c r="F64" s="175">
        <f>SUM('3. a. sz. mell'!F58+'4.a. sz. mell.'!D56+'5.a sz. mell. '!F53)</f>
        <v>11659100</v>
      </c>
      <c r="G64" s="1386">
        <f t="shared" si="13"/>
        <v>3484460</v>
      </c>
      <c r="H64" s="175">
        <f>SUM('3. a. sz. mell'!H58+'4.a. sz. mell.'!F56+'5.a sz. mell. '!H53)</f>
        <v>15143560</v>
      </c>
      <c r="I64" s="1386">
        <f t="shared" si="13"/>
        <v>-1107933</v>
      </c>
      <c r="J64" s="4280">
        <f>SUM('3. a. sz. mell'!J58+'4.a. sz. mell.'!H56+'5.a sz. mell. '!J53)</f>
        <v>14035627</v>
      </c>
      <c r="K64" s="3436">
        <f t="shared" si="13"/>
        <v>0</v>
      </c>
      <c r="L64" s="3480">
        <f>SUM('3. a. sz. mell'!L58+'4.a. sz. mell.'!J56+'5.a sz. mell. '!L53)</f>
        <v>14035627</v>
      </c>
      <c r="M64" s="175">
        <f>SUM('3. a. sz. mell'!M58+'4.a. sz. mell.'!K56+'5.a sz. mell. '!M53)</f>
        <v>13898497</v>
      </c>
      <c r="N64" s="139"/>
      <c r="O64" s="2003">
        <f t="shared" si="2"/>
        <v>0</v>
      </c>
      <c r="P64" s="2031">
        <f t="shared" si="3"/>
        <v>0</v>
      </c>
      <c r="Q64" s="139">
        <f t="shared" si="8"/>
        <v>0</v>
      </c>
      <c r="R64" s="1999">
        <f t="shared" si="12"/>
        <v>0</v>
      </c>
      <c r="S64" s="2040">
        <f t="shared" si="12"/>
        <v>0</v>
      </c>
      <c r="U64" s="2043">
        <f>SUM('3. a. sz. mell'!F58+'4.a. sz. mell.'!D56+'5.a sz. mell. '!F53)</f>
        <v>11659100</v>
      </c>
      <c r="V64" s="2043"/>
      <c r="W64" s="2044">
        <f>SUM('3. a. sz. mell'!H58+'4.a. sz. mell.'!F56+'5.a sz. mell. '!H53)</f>
        <v>15143560</v>
      </c>
      <c r="X64" s="2044"/>
      <c r="Y64" s="2061">
        <f>SUM('3. a. sz. mell'!J58+'4.a. sz. mell.'!H56+'5.a sz. mell. '!J53)</f>
        <v>14035627</v>
      </c>
      <c r="Z64" s="2045"/>
      <c r="AA64" s="2047">
        <f>SUM('3. a. sz. mell'!L58+'4.a. sz. mell.'!J56+'5.a sz. mell. '!L53)</f>
        <v>14035627</v>
      </c>
      <c r="AB64" s="1944">
        <f>SUM('3. a. sz. mell'!M58+'4.a. sz. mell.'!K56+'5.a sz. mell. '!M53)</f>
        <v>13898497</v>
      </c>
    </row>
    <row r="65" spans="1:28" ht="15" customHeight="1" x14ac:dyDescent="0.2">
      <c r="A65" s="142"/>
      <c r="B65" s="176" t="s">
        <v>311</v>
      </c>
      <c r="C65" s="55" t="s">
        <v>185</v>
      </c>
      <c r="D65" s="144" t="e">
        <f>SUM(#REF!)</f>
        <v>#REF!</v>
      </c>
      <c r="E65" s="144" t="e">
        <f>SUM(#REF!)</f>
        <v>#REF!</v>
      </c>
      <c r="F65" s="175">
        <f>SUM('3. a. sz. mell'!F59+'4.a. sz. mell.'!D57+'5.a sz. mell. '!F54)</f>
        <v>0</v>
      </c>
      <c r="G65" s="1386">
        <f t="shared" si="13"/>
        <v>880000</v>
      </c>
      <c r="H65" s="175">
        <f>SUM('3. a. sz. mell'!H59+'4.a. sz. mell.'!F57+'5.a sz. mell. '!H54)</f>
        <v>880000</v>
      </c>
      <c r="I65" s="1386">
        <f t="shared" si="13"/>
        <v>2162284</v>
      </c>
      <c r="J65" s="4280">
        <f>SUM('3. a. sz. mell'!J59+'4.a. sz. mell.'!H57+'5.a sz. mell. '!J54)</f>
        <v>3042284</v>
      </c>
      <c r="K65" s="3437">
        <f t="shared" si="13"/>
        <v>0</v>
      </c>
      <c r="L65" s="3480">
        <f>SUM('3. a. sz. mell'!L59+'4.a. sz. mell.'!J57+'5.a sz. mell. '!L54)</f>
        <v>3042284</v>
      </c>
      <c r="M65" s="175">
        <f>SUM('3. a. sz. mell'!M59+'4.a. sz. mell.'!K57+'5.a sz. mell. '!M54)</f>
        <v>3042284</v>
      </c>
      <c r="N65" s="139"/>
      <c r="O65" s="2003">
        <f t="shared" si="2"/>
        <v>0</v>
      </c>
      <c r="P65" s="2031">
        <f t="shared" si="3"/>
        <v>0</v>
      </c>
      <c r="Q65" s="139">
        <f t="shared" si="8"/>
        <v>0</v>
      </c>
      <c r="R65" s="1999">
        <f t="shared" si="12"/>
        <v>0</v>
      </c>
      <c r="S65" s="2040">
        <f t="shared" si="12"/>
        <v>0</v>
      </c>
      <c r="U65" s="2043">
        <f>SUM('3. a. sz. mell'!F59+'4.a. sz. mell.'!D57+'5.a sz. mell. '!F54)</f>
        <v>0</v>
      </c>
      <c r="V65" s="2043"/>
      <c r="W65" s="2044">
        <f>SUM('3. a. sz. mell'!H59+'4.a. sz. mell.'!F57+'5.a sz. mell. '!H54)</f>
        <v>880000</v>
      </c>
      <c r="X65" s="2044"/>
      <c r="Y65" s="2061">
        <f>SUM('3. a. sz. mell'!J59+'4.a. sz. mell.'!H57+'5.a sz. mell. '!J54)</f>
        <v>3042284</v>
      </c>
      <c r="Z65" s="2045"/>
      <c r="AA65" s="2047">
        <f>SUM('3. a. sz. mell'!L59+'4.a. sz. mell.'!J57+'5.a sz. mell. '!L54)</f>
        <v>3042284</v>
      </c>
      <c r="AB65" s="1944">
        <f>SUM('3. a. sz. mell'!M59+'4.a. sz. mell.'!K57+'5.a sz. mell. '!M54)</f>
        <v>3042284</v>
      </c>
    </row>
    <row r="66" spans="1:28" ht="15" customHeight="1" x14ac:dyDescent="0.2">
      <c r="A66" s="142"/>
      <c r="B66" s="176" t="s">
        <v>312</v>
      </c>
      <c r="C66" s="55" t="s">
        <v>273</v>
      </c>
      <c r="D66" s="144" t="e">
        <f>SUM(D69+D68)</f>
        <v>#REF!</v>
      </c>
      <c r="E66" s="144" t="e">
        <f>SUM(E69+E68)</f>
        <v>#REF!</v>
      </c>
      <c r="F66" s="175">
        <f>SUM('3. a. sz. mell'!F60+'4.a. sz. mell.'!D58+'5.a sz. mell. '!F55)</f>
        <v>73914000</v>
      </c>
      <c r="G66" s="1386">
        <f t="shared" si="13"/>
        <v>-21749448</v>
      </c>
      <c r="H66" s="144">
        <f>SUM('3. a. sz. mell'!H60+'4.a. sz. mell.'!F58+'5.a sz. mell. '!H55)</f>
        <v>52164552</v>
      </c>
      <c r="I66" s="1386">
        <f t="shared" si="13"/>
        <v>-36608788</v>
      </c>
      <c r="J66" s="4281">
        <f>SUM('3. a. sz. mell'!J60+'4.a. sz. mell.'!H58+'5.a sz. mell. '!J55)</f>
        <v>15555764</v>
      </c>
      <c r="K66" s="3437">
        <f t="shared" si="13"/>
        <v>0</v>
      </c>
      <c r="L66" s="2684">
        <f>SUM('3. a. sz. mell'!L60+'4.a. sz. mell.'!J58+'5.a sz. mell. '!L55)</f>
        <v>15555764</v>
      </c>
      <c r="M66" s="144">
        <f>SUM('3. a. sz. mell'!M60+'4.a. sz. mell.'!K58+'5.a sz. mell. '!M55)</f>
        <v>15555764</v>
      </c>
      <c r="N66" s="139"/>
      <c r="O66" s="2003">
        <f t="shared" si="2"/>
        <v>0</v>
      </c>
      <c r="P66" s="2031">
        <f t="shared" si="3"/>
        <v>0</v>
      </c>
      <c r="Q66" s="139">
        <f t="shared" si="8"/>
        <v>0</v>
      </c>
      <c r="R66" s="1999">
        <f t="shared" si="12"/>
        <v>0</v>
      </c>
      <c r="S66" s="2040">
        <f t="shared" si="12"/>
        <v>0</v>
      </c>
      <c r="U66" s="2043">
        <f>SUM('3. a. sz. mell'!F60+'4.a. sz. mell.'!D58+'5.a sz. mell. '!F55)</f>
        <v>73914000</v>
      </c>
      <c r="V66" s="2043"/>
      <c r="W66" s="2044">
        <f>SUM('3. a. sz. mell'!H60+'4.a. sz. mell.'!F58+'5.a sz. mell. '!H55)</f>
        <v>52164552</v>
      </c>
      <c r="X66" s="2044"/>
      <c r="Y66" s="2061">
        <f>SUM('3. a. sz. mell'!J60+'4.a. sz. mell.'!H58+'5.a sz. mell. '!J55)</f>
        <v>15555764</v>
      </c>
      <c r="Z66" s="2045"/>
      <c r="AA66" s="2047">
        <f>SUM('3. a. sz. mell'!L60+'4.a. sz. mell.'!J58+'5.a sz. mell. '!L55)</f>
        <v>15555764</v>
      </c>
      <c r="AB66" s="1944">
        <f>SUM('3. a. sz. mell'!M60+'4.a. sz. mell.'!K58+'5.a sz. mell. '!M55)</f>
        <v>15555764</v>
      </c>
    </row>
    <row r="67" spans="1:28" ht="15" customHeight="1" x14ac:dyDescent="0.2">
      <c r="A67" s="142"/>
      <c r="B67" s="176" t="s">
        <v>313</v>
      </c>
      <c r="C67" s="177" t="s">
        <v>405</v>
      </c>
      <c r="D67" s="144"/>
      <c r="E67" s="144"/>
      <c r="F67" s="175">
        <f>SUM('3. a. sz. mell'!F61+'4.a. sz. mell.'!D59+'5.a sz. mell. '!F56)</f>
        <v>73914000</v>
      </c>
      <c r="G67" s="1386">
        <f t="shared" si="13"/>
        <v>-21749448</v>
      </c>
      <c r="H67" s="144">
        <f>SUM('3. a. sz. mell'!H61+'4.a. sz. mell.'!F59+'5.a sz. mell. '!H56)</f>
        <v>52164552</v>
      </c>
      <c r="I67" s="1386">
        <f>SUM('3. a. sz. mell'!I61+'4.a. sz. mell.'!G59+'5.a sz. mell. '!I56)</f>
        <v>-42164552</v>
      </c>
      <c r="J67" s="4281">
        <f>SUM('3. a. sz. mell'!J61+'4.a. sz. mell.'!H59+'5.a sz. mell. '!J56)</f>
        <v>10000000</v>
      </c>
      <c r="K67" s="3437">
        <f>SUM('3. a. sz. mell'!K61+'4.a. sz. mell.'!I59+'5.a sz. mell. '!K56)</f>
        <v>0</v>
      </c>
      <c r="L67" s="2684">
        <f>SUM('3. a. sz. mell'!L61+'4.a. sz. mell.'!J59+'5.a sz. mell. '!L56)</f>
        <v>10000000</v>
      </c>
      <c r="M67" s="144">
        <f>SUM('3. a. sz. mell'!M61+'4.a. sz. mell.'!K59+'5.a sz. mell. '!M56)</f>
        <v>10000000</v>
      </c>
      <c r="N67" s="139"/>
      <c r="O67" s="2003">
        <f t="shared" si="2"/>
        <v>0</v>
      </c>
      <c r="P67" s="2031">
        <f t="shared" si="3"/>
        <v>0</v>
      </c>
      <c r="Q67" s="139">
        <f t="shared" si="8"/>
        <v>0</v>
      </c>
      <c r="R67" s="1999">
        <f t="shared" si="12"/>
        <v>0</v>
      </c>
      <c r="S67" s="2040">
        <f t="shared" si="12"/>
        <v>0</v>
      </c>
      <c r="U67" s="2043">
        <f>SUM('3. a. sz. mell'!F61+'4.a. sz. mell.'!D59+'5.a sz. mell. '!F56)</f>
        <v>73914000</v>
      </c>
      <c r="V67" s="2043"/>
      <c r="W67" s="2044">
        <f>SUM('3. a. sz. mell'!H61+'4.a. sz. mell.'!F59+'5.a sz. mell. '!H56)</f>
        <v>52164552</v>
      </c>
      <c r="X67" s="2044"/>
      <c r="Y67" s="2061">
        <f>SUM('3. a. sz. mell'!J61+'4.a. sz. mell.'!H59+'5.a sz. mell. '!J56)</f>
        <v>10000000</v>
      </c>
      <c r="Z67" s="2045"/>
      <c r="AA67" s="2047">
        <f>SUM('3. a. sz. mell'!L61+'4.a. sz. mell.'!J59+'5.a sz. mell. '!L56)</f>
        <v>10000000</v>
      </c>
      <c r="AB67" s="1944">
        <f>SUM('3. a. sz. mell'!M61+'4.a. sz. mell.'!K59+'5.a sz. mell. '!M56)</f>
        <v>10000000</v>
      </c>
    </row>
    <row r="68" spans="1:28" ht="15" customHeight="1" x14ac:dyDescent="0.2">
      <c r="A68" s="142"/>
      <c r="B68" s="176" t="s">
        <v>315</v>
      </c>
      <c r="C68" s="177" t="s">
        <v>316</v>
      </c>
      <c r="D68" s="144" t="e">
        <f>SUM(#REF!+#REF!)</f>
        <v>#REF!</v>
      </c>
      <c r="E68" s="144" t="e">
        <f>SUM(#REF!+#REF!)</f>
        <v>#REF!</v>
      </c>
      <c r="F68" s="175">
        <f>SUM('3. a. sz. mell'!F62+'4.a. sz. mell.'!D60+'5.a sz. mell. '!F57)</f>
        <v>0</v>
      </c>
      <c r="G68" s="1386">
        <f t="shared" si="13"/>
        <v>0</v>
      </c>
      <c r="H68" s="144">
        <f>SUM('3. a. sz. mell'!H62+'4.a. sz. mell.'!F60+'5.a sz. mell. '!H57)</f>
        <v>0</v>
      </c>
      <c r="I68" s="1386">
        <f t="shared" si="13"/>
        <v>0</v>
      </c>
      <c r="J68" s="4281">
        <f>SUM('3. a. sz. mell'!J62+'4.a. sz. mell.'!H60+'5.a sz. mell. '!J57)</f>
        <v>0</v>
      </c>
      <c r="K68" s="3437">
        <f t="shared" si="13"/>
        <v>0</v>
      </c>
      <c r="L68" s="2684">
        <f>SUM('3. a. sz. mell'!L62+'4.a. sz. mell.'!J60+'5.a sz. mell. '!L57)</f>
        <v>0</v>
      </c>
      <c r="M68" s="144"/>
      <c r="N68" s="139"/>
      <c r="O68" s="2003">
        <f t="shared" si="2"/>
        <v>0</v>
      </c>
      <c r="P68" s="2031">
        <f t="shared" si="3"/>
        <v>0</v>
      </c>
      <c r="Q68" s="139">
        <f t="shared" si="8"/>
        <v>0</v>
      </c>
      <c r="R68" s="1999">
        <f t="shared" si="12"/>
        <v>0</v>
      </c>
      <c r="S68" s="2040">
        <f t="shared" si="12"/>
        <v>0</v>
      </c>
      <c r="U68" s="2043">
        <f>SUM('3. a. sz. mell'!F62+'4.a. sz. mell.'!D60+'5.a sz. mell. '!F57)</f>
        <v>0</v>
      </c>
      <c r="V68" s="2043"/>
      <c r="W68" s="2044">
        <f>SUM('3. a. sz. mell'!H62+'4.a. sz. mell.'!F60+'5.a sz. mell. '!H57)</f>
        <v>0</v>
      </c>
      <c r="X68" s="2044"/>
      <c r="Y68" s="2061">
        <f>SUM('3. a. sz. mell'!J62+'4.a. sz. mell.'!H60+'5.a sz. mell. '!J57)</f>
        <v>0</v>
      </c>
      <c r="Z68" s="2045"/>
      <c r="AA68" s="2047">
        <f>SUM('3. a. sz. mell'!L62+'4.a. sz. mell.'!J60+'5.a sz. mell. '!L57)</f>
        <v>0</v>
      </c>
      <c r="AB68" s="1944">
        <f>SUM('3. a. sz. mell'!M62+'4.a. sz. mell.'!K60+'5.a sz. mell. '!M57)</f>
        <v>0</v>
      </c>
    </row>
    <row r="69" spans="1:28" s="172" customFormat="1" ht="15" customHeight="1" x14ac:dyDescent="0.2">
      <c r="A69" s="142"/>
      <c r="B69" s="176" t="s">
        <v>317</v>
      </c>
      <c r="C69" s="177" t="s">
        <v>307</v>
      </c>
      <c r="D69" s="144" t="e">
        <f>SUM(D70:D72)</f>
        <v>#REF!</v>
      </c>
      <c r="E69" s="144" t="e">
        <f>SUM(E70:E72)</f>
        <v>#REF!</v>
      </c>
      <c r="F69" s="175">
        <f>SUM('3. a. sz. mell'!F63+'4.a. sz. mell.'!D61+'5.a sz. mell. '!F58)</f>
        <v>1156115630</v>
      </c>
      <c r="G69" s="1386">
        <f t="shared" si="13"/>
        <v>57004018</v>
      </c>
      <c r="H69" s="144">
        <f>SUM('3. a. sz. mell'!H63+'4.a. sz. mell.'!F61+'5.a sz. mell. '!H58)</f>
        <v>1213119648</v>
      </c>
      <c r="I69" s="1386">
        <f t="shared" si="13"/>
        <v>-7388886</v>
      </c>
      <c r="J69" s="4281">
        <f>SUM('3. a. sz. mell'!J63+'4.a. sz. mell.'!H61+'5.a sz. mell. '!J58)</f>
        <v>1205730762</v>
      </c>
      <c r="K69" s="3437">
        <f t="shared" si="13"/>
        <v>0</v>
      </c>
      <c r="L69" s="2684">
        <f>SUM('3. a. sz. mell'!L63+'4.a. sz. mell.'!J61+'5.a sz. mell. '!L58)</f>
        <v>1205730762</v>
      </c>
      <c r="M69" s="144"/>
      <c r="N69" s="139"/>
      <c r="O69" s="2003">
        <f t="shared" si="2"/>
        <v>0</v>
      </c>
      <c r="P69" s="2031">
        <f t="shared" si="3"/>
        <v>0</v>
      </c>
      <c r="Q69" s="139">
        <f t="shared" si="8"/>
        <v>0</v>
      </c>
      <c r="R69" s="1999">
        <f t="shared" si="12"/>
        <v>0</v>
      </c>
      <c r="S69" s="2040">
        <f t="shared" si="12"/>
        <v>0</v>
      </c>
      <c r="U69" s="2043">
        <f>SUM('3. a. sz. mell'!F63+'4.a. sz. mell.'!D61+'5.a sz. mell. '!F58)</f>
        <v>1156115630</v>
      </c>
      <c r="V69" s="2043"/>
      <c r="W69" s="2044">
        <f>SUM('3. a. sz. mell'!H63+'4.a. sz. mell.'!F61+'5.a sz. mell. '!H58)</f>
        <v>1213119648</v>
      </c>
      <c r="X69" s="2044"/>
      <c r="Y69" s="2061">
        <f>SUM('3. a. sz. mell'!J63+'4.a. sz. mell.'!H61+'5.a sz. mell. '!J58)</f>
        <v>1205730762</v>
      </c>
      <c r="Z69" s="2045"/>
      <c r="AA69" s="2047">
        <f>SUM('3. a. sz. mell'!L63+'4.a. sz. mell.'!J61+'5.a sz. mell. '!L58)</f>
        <v>1205730762</v>
      </c>
      <c r="AB69" s="2047"/>
    </row>
    <row r="70" spans="1:28" ht="21" customHeight="1" thickBot="1" x14ac:dyDescent="0.25">
      <c r="A70" s="142"/>
      <c r="B70" s="176" t="s">
        <v>2017</v>
      </c>
      <c r="C70" s="177" t="s">
        <v>2001</v>
      </c>
      <c r="D70" s="183" t="e">
        <f>SUM(#REF!)</f>
        <v>#REF!</v>
      </c>
      <c r="E70" s="183" t="e">
        <f>SUM(#REF!)</f>
        <v>#REF!</v>
      </c>
      <c r="F70" s="144">
        <f>SUM('3. a. sz. mell'!F64+'4.a. sz. mell.'!D62+'5.a sz. mell. '!F59)</f>
        <v>298633478.75</v>
      </c>
      <c r="G70" s="144">
        <f>SUM('3. a. sz. mell'!G64+'4.a. sz. mell.'!E62+'5.a sz. mell. '!G59)</f>
        <v>3909957</v>
      </c>
      <c r="H70" s="144">
        <f>SUM('3. a. sz. mell'!H64+'4.a. sz. mell.'!F62+'5.a sz. mell. '!H59)</f>
        <v>302543435.75</v>
      </c>
      <c r="I70" s="1386">
        <f t="shared" si="13"/>
        <v>8906927</v>
      </c>
      <c r="J70" s="2684">
        <f>SUM('3. a. sz. mell'!J64+'4.a. sz. mell.'!H62+'5.a sz. mell. '!J59)</f>
        <v>311450362.75</v>
      </c>
      <c r="K70" s="3437">
        <f t="shared" si="13"/>
        <v>0</v>
      </c>
      <c r="L70" s="2684">
        <f>SUM('3. a. sz. mell'!L64+'4.a. sz. mell.'!J62+'5.a sz. mell. '!L59)</f>
        <v>311450362.75</v>
      </c>
      <c r="M70" s="2684">
        <f>SUM('3. a. sz. mell'!M64+'4.a. sz. mell.'!K62+'5.a sz. mell. '!M59)</f>
        <v>309319072.75</v>
      </c>
      <c r="N70" s="139"/>
      <c r="O70" s="2003">
        <f t="shared" si="2"/>
        <v>0</v>
      </c>
      <c r="P70" s="2031">
        <f t="shared" si="3"/>
        <v>0</v>
      </c>
      <c r="Q70" s="139">
        <f t="shared" si="8"/>
        <v>0</v>
      </c>
      <c r="R70" s="1999">
        <f t="shared" si="12"/>
        <v>0</v>
      </c>
      <c r="S70" s="2040">
        <f t="shared" si="12"/>
        <v>0</v>
      </c>
      <c r="U70" s="2043">
        <f>SUM('3. a. sz. mell'!F64+'4.a. sz. mell.'!D62+'5.a sz. mell. '!F59)</f>
        <v>298633478.75</v>
      </c>
      <c r="V70" s="2043"/>
      <c r="W70" s="2044">
        <f>SUM('3. a. sz. mell'!H64+'4.a. sz. mell.'!F62+'5.a sz. mell. '!H59)</f>
        <v>302543435.75</v>
      </c>
      <c r="X70" s="2044"/>
      <c r="Y70" s="2061">
        <f>SUM('3. a. sz. mell'!J64+'4.a. sz. mell.'!H62+'5.a sz. mell. '!J59)</f>
        <v>311450362.75</v>
      </c>
      <c r="Z70" s="2045"/>
      <c r="AA70" s="2047">
        <f>SUM('3. a. sz. mell'!L64+'4.a. sz. mell.'!J62+'5.a sz. mell. '!L59)</f>
        <v>311450362.75</v>
      </c>
      <c r="AB70" s="1944">
        <f>SUM('3. a. sz. mell'!M64+'4.a. sz. mell.'!K62+'5.a sz. mell. '!M59)</f>
        <v>309319072.75</v>
      </c>
    </row>
    <row r="71" spans="1:28" ht="12.75" hidden="1" customHeight="1" x14ac:dyDescent="0.25">
      <c r="A71" s="142"/>
      <c r="B71" s="176"/>
      <c r="C71" s="182"/>
      <c r="D71" s="183"/>
      <c r="E71" s="183"/>
      <c r="F71" s="183"/>
      <c r="G71" s="1386">
        <f t="shared" si="13"/>
        <v>0</v>
      </c>
      <c r="H71" s="144">
        <f>SUM('3. a. sz. mell'!H65+'4.a. sz. mell.'!F63+'5.a sz. mell. '!H60)</f>
        <v>0</v>
      </c>
      <c r="I71" s="1386">
        <f t="shared" si="13"/>
        <v>0</v>
      </c>
      <c r="J71" s="4281">
        <f>SUM('3. a. sz. mell'!J65+'4.a. sz. mell.'!H63+'5.a sz. mell. '!J60)</f>
        <v>0</v>
      </c>
      <c r="K71" s="3437">
        <f t="shared" si="13"/>
        <v>5555764</v>
      </c>
      <c r="L71" s="2684">
        <f>SUM('3. a. sz. mell'!L64)</f>
        <v>5555764</v>
      </c>
      <c r="M71" s="2684">
        <f>SUM('3. a. sz. mell'!M64)</f>
        <v>5555764</v>
      </c>
      <c r="N71" s="139"/>
      <c r="O71" s="2003">
        <f t="shared" si="2"/>
        <v>0</v>
      </c>
      <c r="P71" s="2031">
        <f t="shared" si="3"/>
        <v>0</v>
      </c>
      <c r="Q71" s="139">
        <f t="shared" si="8"/>
        <v>0</v>
      </c>
      <c r="R71" s="1999">
        <f t="shared" si="12"/>
        <v>0</v>
      </c>
      <c r="S71" s="2040">
        <f t="shared" si="12"/>
        <v>0</v>
      </c>
      <c r="U71" s="2043">
        <f>SUM('3. a. sz. mell'!F65+'4.a. sz. mell.'!D63+'5.a sz. mell. '!F60)</f>
        <v>0</v>
      </c>
      <c r="V71" s="2043"/>
      <c r="W71" s="2044">
        <f>SUM('3. a. sz. mell'!H65+'4.a. sz. mell.'!F63+'5.a sz. mell. '!H60)</f>
        <v>0</v>
      </c>
      <c r="X71" s="2044"/>
      <c r="Y71" s="2061">
        <f>SUM('3. a. sz. mell'!J65+'4.a. sz. mell.'!H63+'5.a sz. mell. '!J60)</f>
        <v>0</v>
      </c>
      <c r="Z71" s="2045"/>
      <c r="AA71" s="2047">
        <f>SUM('3. a. sz. mell'!L64)</f>
        <v>5555764</v>
      </c>
      <c r="AB71" s="1944">
        <f>SUM('3. a. sz. mell'!M64)</f>
        <v>5555764</v>
      </c>
    </row>
    <row r="72" spans="1:28" ht="12.75" hidden="1" customHeight="1" thickBot="1" x14ac:dyDescent="0.3">
      <c r="A72" s="151"/>
      <c r="B72" s="176"/>
      <c r="C72" s="185"/>
      <c r="D72" s="186"/>
      <c r="E72" s="186"/>
      <c r="F72" s="186"/>
      <c r="G72" s="1386"/>
      <c r="H72" s="144"/>
      <c r="I72" s="1386"/>
      <c r="J72" s="4281"/>
      <c r="K72" s="3437"/>
      <c r="L72" s="2684"/>
      <c r="M72" s="186"/>
      <c r="N72" s="139"/>
      <c r="O72" s="2003">
        <f t="shared" si="2"/>
        <v>0</v>
      </c>
      <c r="P72" s="2031"/>
      <c r="Q72" s="139"/>
      <c r="R72" s="1999"/>
      <c r="S72" s="2040"/>
      <c r="U72" s="2043"/>
      <c r="V72" s="2043"/>
      <c r="W72" s="2044"/>
      <c r="X72" s="2044"/>
      <c r="Y72" s="2061"/>
      <c r="Z72" s="2045"/>
      <c r="AA72" s="2047"/>
      <c r="AB72" s="1944"/>
    </row>
    <row r="73" spans="1:28" ht="12.75" hidden="1" customHeight="1" thickBot="1" x14ac:dyDescent="0.25">
      <c r="A73" s="134"/>
      <c r="B73" s="170"/>
      <c r="C73" s="171"/>
      <c r="D73" s="155"/>
      <c r="E73" s="155" t="e">
        <f>#REF!</f>
        <v>#REF!</v>
      </c>
      <c r="F73" s="155"/>
      <c r="G73" s="1386"/>
      <c r="H73" s="144"/>
      <c r="I73" s="1386"/>
      <c r="J73" s="4281"/>
      <c r="K73" s="3437"/>
      <c r="L73" s="2684"/>
      <c r="M73" s="155"/>
      <c r="N73" s="139"/>
      <c r="O73" s="2003">
        <f t="shared" si="2"/>
        <v>0</v>
      </c>
      <c r="P73" s="2031"/>
      <c r="Q73" s="139"/>
      <c r="R73" s="1999"/>
      <c r="S73" s="2040"/>
      <c r="U73" s="2043"/>
      <c r="V73" s="2043"/>
      <c r="W73" s="2044"/>
      <c r="X73" s="2044"/>
      <c r="Y73" s="2061"/>
      <c r="Z73" s="2045"/>
      <c r="AA73" s="2047"/>
      <c r="AB73" s="1944"/>
    </row>
    <row r="74" spans="1:28" s="172" customFormat="1" ht="12.75" hidden="1" customHeight="1" thickBot="1" x14ac:dyDescent="0.25">
      <c r="A74" s="134"/>
      <c r="B74" s="170"/>
      <c r="C74" s="171"/>
      <c r="D74" s="137" t="e">
        <f>+D75+D77</f>
        <v>#REF!</v>
      </c>
      <c r="E74" s="137" t="e">
        <f>+E75+E77</f>
        <v>#REF!</v>
      </c>
      <c r="F74" s="137"/>
      <c r="G74" s="1386"/>
      <c r="H74" s="144"/>
      <c r="I74" s="1386"/>
      <c r="J74" s="4281"/>
      <c r="K74" s="3437"/>
      <c r="L74" s="2684"/>
      <c r="M74" s="137"/>
      <c r="N74" s="139"/>
      <c r="O74" s="2003">
        <f t="shared" ref="O74:O98" si="14">SUM(F74-U74)</f>
        <v>0</v>
      </c>
      <c r="P74" s="2031"/>
      <c r="Q74" s="139"/>
      <c r="R74" s="1999"/>
      <c r="S74" s="2040"/>
      <c r="U74" s="2043"/>
      <c r="V74" s="2043"/>
      <c r="W74" s="2044"/>
      <c r="X74" s="2044"/>
      <c r="Y74" s="2061"/>
      <c r="Z74" s="2045"/>
      <c r="AA74" s="2047"/>
      <c r="AB74" s="1944"/>
    </row>
    <row r="75" spans="1:28" s="172" customFormat="1" ht="12.75" hidden="1" customHeight="1" x14ac:dyDescent="0.2">
      <c r="A75" s="173"/>
      <c r="B75" s="174"/>
      <c r="C75" s="55"/>
      <c r="D75" s="175" t="e">
        <f>SUM(#REF!)</f>
        <v>#REF!</v>
      </c>
      <c r="E75" s="175"/>
      <c r="F75" s="175"/>
      <c r="G75" s="1386"/>
      <c r="H75" s="144"/>
      <c r="I75" s="1386"/>
      <c r="J75" s="4281"/>
      <c r="K75" s="3437"/>
      <c r="L75" s="2684"/>
      <c r="M75" s="175"/>
      <c r="N75" s="139"/>
      <c r="O75" s="2003">
        <f t="shared" si="14"/>
        <v>0</v>
      </c>
      <c r="P75" s="2031">
        <f t="shared" ref="P75:P98" si="15">SUM(H75-W75)</f>
        <v>0</v>
      </c>
      <c r="Q75" s="139">
        <f t="shared" ref="Q75:Q98" si="16">SUM(J75-Y75)</f>
        <v>0</v>
      </c>
      <c r="R75" s="1999">
        <f t="shared" si="12"/>
        <v>0</v>
      </c>
      <c r="S75" s="2040">
        <f t="shared" si="12"/>
        <v>0</v>
      </c>
      <c r="U75" s="2043">
        <f>SUM('3. a. sz. mell'!F69+'4.a. sz. mell.'!D67+'5.a sz. mell. '!F64)</f>
        <v>0</v>
      </c>
      <c r="V75" s="2043"/>
      <c r="W75" s="2044"/>
      <c r="X75" s="2044"/>
      <c r="Y75" s="2061"/>
      <c r="Z75" s="2045"/>
      <c r="AA75" s="2047"/>
      <c r="AB75" s="1944"/>
    </row>
    <row r="76" spans="1:28" s="172" customFormat="1" ht="12.75" hidden="1" customHeight="1" x14ac:dyDescent="0.2">
      <c r="A76" s="146"/>
      <c r="B76" s="187"/>
      <c r="C76" s="55"/>
      <c r="D76" s="147"/>
      <c r="E76" s="175"/>
      <c r="F76" s="147"/>
      <c r="G76" s="1386"/>
      <c r="H76" s="144"/>
      <c r="I76" s="1386"/>
      <c r="J76" s="4281"/>
      <c r="K76" s="3437"/>
      <c r="L76" s="2684"/>
      <c r="M76" s="147"/>
      <c r="N76" s="139"/>
      <c r="O76" s="2003">
        <f t="shared" si="14"/>
        <v>0</v>
      </c>
      <c r="P76" s="2031">
        <f t="shared" si="15"/>
        <v>0</v>
      </c>
      <c r="Q76" s="139">
        <f t="shared" si="16"/>
        <v>0</v>
      </c>
      <c r="R76" s="1999">
        <f t="shared" si="12"/>
        <v>0</v>
      </c>
      <c r="S76" s="2040">
        <f t="shared" si="12"/>
        <v>0</v>
      </c>
      <c r="U76" s="2043">
        <f>SUM('3. a. sz. mell'!F70+'4.a. sz. mell.'!D68+'5.a sz. mell. '!F65)</f>
        <v>0</v>
      </c>
      <c r="V76" s="2043"/>
      <c r="W76" s="2044"/>
      <c r="X76" s="2044"/>
      <c r="Y76" s="2061"/>
      <c r="Z76" s="2045"/>
      <c r="AA76" s="2047"/>
      <c r="AB76" s="1944">
        <f>SUM('3. a. sz. mell'!M70+'4.a. sz. mell.'!K68+'5.a sz. mell. '!M65)</f>
        <v>0</v>
      </c>
    </row>
    <row r="77" spans="1:28" s="172" customFormat="1" ht="12.75" hidden="1" customHeight="1" thickBot="1" x14ac:dyDescent="0.25">
      <c r="A77" s="151"/>
      <c r="B77" s="188"/>
      <c r="C77" s="55"/>
      <c r="D77" s="153" t="e">
        <f>SUM(#REF!)</f>
        <v>#REF!</v>
      </c>
      <c r="E77" s="153" t="e">
        <f>SUM(#REF!)</f>
        <v>#REF!</v>
      </c>
      <c r="F77" s="153"/>
      <c r="G77" s="1386">
        <f t="shared" si="13"/>
        <v>0</v>
      </c>
      <c r="H77" s="144">
        <f>SUM('3. a. sz. mell'!H71+'4.a. sz. mell.'!F69+'5.a sz. mell. '!H66)</f>
        <v>0</v>
      </c>
      <c r="I77" s="1386">
        <f t="shared" si="13"/>
        <v>0</v>
      </c>
      <c r="J77" s="4281">
        <f>SUM('3. a. sz. mell'!J71+'4.a. sz. mell.'!H69+'5.a sz. mell. '!J66)</f>
        <v>0</v>
      </c>
      <c r="K77" s="3437">
        <f t="shared" si="13"/>
        <v>0</v>
      </c>
      <c r="L77" s="2684">
        <f>SUM('3. a. sz. mell'!L71+'4.a. sz. mell.'!J69+'5.a sz. mell. '!L66)</f>
        <v>0</v>
      </c>
      <c r="M77" s="153"/>
      <c r="N77" s="139"/>
      <c r="O77" s="2003">
        <f t="shared" si="14"/>
        <v>0</v>
      </c>
      <c r="P77" s="2031">
        <f t="shared" si="15"/>
        <v>0</v>
      </c>
      <c r="Q77" s="139">
        <f t="shared" si="16"/>
        <v>0</v>
      </c>
      <c r="R77" s="1999">
        <f t="shared" ref="R77:S93" si="17">SUM(L77-AA77)</f>
        <v>0</v>
      </c>
      <c r="S77" s="2040">
        <f t="shared" si="17"/>
        <v>0</v>
      </c>
      <c r="U77" s="2043">
        <f>SUM('3. a. sz. mell'!F71+'4.a. sz. mell.'!D69+'5.a sz. mell. '!F66)</f>
        <v>0</v>
      </c>
      <c r="V77" s="2043"/>
      <c r="W77" s="2044">
        <f>SUM('3. a. sz. mell'!H71+'4.a. sz. mell.'!F69+'5.a sz. mell. '!H66)</f>
        <v>0</v>
      </c>
      <c r="X77" s="2044"/>
      <c r="Y77" s="2061">
        <f>SUM('3. a. sz. mell'!J71+'4.a. sz. mell.'!H69+'5.a sz. mell. '!J66)</f>
        <v>0</v>
      </c>
      <c r="Z77" s="2045"/>
      <c r="AA77" s="2047">
        <f>SUM('3. a. sz. mell'!L71+'4.a. sz. mell.'!J69+'5.a sz. mell. '!L66)</f>
        <v>0</v>
      </c>
      <c r="AB77" s="1944">
        <f>SUM('3. a. sz. mell'!M71+'4.a. sz. mell.'!K69+'5.a sz. mell. '!M66)</f>
        <v>0</v>
      </c>
    </row>
    <row r="78" spans="1:28" s="172" customFormat="1" ht="12.75" hidden="1" customHeight="1" thickBot="1" x14ac:dyDescent="0.25">
      <c r="A78" s="134"/>
      <c r="B78" s="189"/>
      <c r="C78" s="171"/>
      <c r="D78" s="155" t="e">
        <f>SUM(#REF!)</f>
        <v>#REF!</v>
      </c>
      <c r="E78" s="155" t="e">
        <f>SUM(#REF!)</f>
        <v>#REF!</v>
      </c>
      <c r="F78" s="155"/>
      <c r="G78" s="1386">
        <f t="shared" si="13"/>
        <v>0</v>
      </c>
      <c r="H78" s="144">
        <f>SUM('3. a. sz. mell'!H72+'4.a. sz. mell.'!F70+'5.a sz. mell. '!H67)</f>
        <v>0</v>
      </c>
      <c r="I78" s="1386">
        <f t="shared" si="13"/>
        <v>0</v>
      </c>
      <c r="J78" s="4281">
        <f>SUM('3. a. sz. mell'!J72+'4.a. sz. mell.'!H70+'5.a sz. mell. '!J67)</f>
        <v>0</v>
      </c>
      <c r="K78" s="3437">
        <f t="shared" si="13"/>
        <v>0</v>
      </c>
      <c r="L78" s="2684">
        <f>SUM('3. a. sz. mell'!L72+'4.a. sz. mell.'!J70+'5.a sz. mell. '!L67)</f>
        <v>0</v>
      </c>
      <c r="M78" s="155"/>
      <c r="N78" s="139"/>
      <c r="O78" s="2003">
        <f t="shared" si="14"/>
        <v>0</v>
      </c>
      <c r="P78" s="2031">
        <f t="shared" si="15"/>
        <v>0</v>
      </c>
      <c r="Q78" s="139">
        <f t="shared" si="16"/>
        <v>0</v>
      </c>
      <c r="R78" s="1999">
        <f t="shared" si="17"/>
        <v>0</v>
      </c>
      <c r="S78" s="2040">
        <f t="shared" si="17"/>
        <v>0</v>
      </c>
      <c r="U78" s="2043">
        <f>SUM('3. a. sz. mell'!F72+'4.a. sz. mell.'!D70+'5.a sz. mell. '!F67)</f>
        <v>0</v>
      </c>
      <c r="V78" s="2043"/>
      <c r="W78" s="2044">
        <f>SUM('3. a. sz. mell'!H72+'4.a. sz. mell.'!F70+'5.a sz. mell. '!H67)</f>
        <v>0</v>
      </c>
      <c r="X78" s="2044"/>
      <c r="Y78" s="2061">
        <f>SUM('3. a. sz. mell'!J72+'4.a. sz. mell.'!H70+'5.a sz. mell. '!J67)</f>
        <v>0</v>
      </c>
      <c r="Z78" s="2045"/>
      <c r="AA78" s="2047">
        <f>SUM('3. a. sz. mell'!L72+'4.a. sz. mell.'!J70+'5.a sz. mell. '!L67)</f>
        <v>0</v>
      </c>
      <c r="AB78" s="1944">
        <f>SUM('3. a. sz. mell'!M72+'4.a. sz. mell.'!K70+'5.a sz. mell. '!M67)</f>
        <v>0</v>
      </c>
    </row>
    <row r="79" spans="1:28" s="172" customFormat="1" ht="15" hidden="1" customHeight="1" thickBot="1" x14ac:dyDescent="0.25">
      <c r="A79" s="134"/>
      <c r="B79" s="170"/>
      <c r="C79" s="190"/>
      <c r="D79" s="191" t="e">
        <f>+D48+D63+D73+D74+D78</f>
        <v>#REF!</v>
      </c>
      <c r="E79" s="191" t="e">
        <f>+E48+E63+E73+E74+E78</f>
        <v>#REF!</v>
      </c>
      <c r="F79" s="191"/>
      <c r="G79" s="1386">
        <f t="shared" si="13"/>
        <v>0</v>
      </c>
      <c r="H79" s="144">
        <f>SUM('3. a. sz. mell'!H73+'4.a. sz. mell.'!F71+'5.a sz. mell. '!H68)</f>
        <v>0</v>
      </c>
      <c r="I79" s="1386">
        <f t="shared" si="13"/>
        <v>0</v>
      </c>
      <c r="J79" s="4281">
        <f>SUM('3. a. sz. mell'!J73+'4.a. sz. mell.'!H71+'5.a sz. mell. '!J68)</f>
        <v>0</v>
      </c>
      <c r="K79" s="3489">
        <f t="shared" si="13"/>
        <v>0</v>
      </c>
      <c r="L79" s="2684">
        <f>SUM('3. a. sz. mell'!L73+'4.a. sz. mell.'!J71+'5.a sz. mell. '!L68)</f>
        <v>0</v>
      </c>
      <c r="M79" s="191"/>
      <c r="N79" s="139"/>
      <c r="O79" s="2003">
        <f t="shared" si="14"/>
        <v>0</v>
      </c>
      <c r="P79" s="2031">
        <f t="shared" si="15"/>
        <v>0</v>
      </c>
      <c r="Q79" s="139">
        <f t="shared" si="16"/>
        <v>0</v>
      </c>
      <c r="R79" s="1999">
        <f t="shared" si="17"/>
        <v>0</v>
      </c>
      <c r="S79" s="2040">
        <f t="shared" si="17"/>
        <v>0</v>
      </c>
      <c r="U79" s="2043">
        <f>SUM('3. a. sz. mell'!F73+'4.a. sz. mell.'!D71+'5.a sz. mell. '!F68)</f>
        <v>0</v>
      </c>
      <c r="V79" s="2043"/>
      <c r="W79" s="2044">
        <f>SUM('3. a. sz. mell'!H73+'4.a. sz. mell.'!F71+'5.a sz. mell. '!H68)</f>
        <v>0</v>
      </c>
      <c r="X79" s="2044"/>
      <c r="Y79" s="2061">
        <f>SUM('3. a. sz. mell'!J73+'4.a. sz. mell.'!H71+'5.a sz. mell. '!J68)</f>
        <v>0</v>
      </c>
      <c r="Z79" s="2045"/>
      <c r="AA79" s="2047">
        <f>SUM('3. a. sz. mell'!L73+'4.a. sz. mell.'!J71+'5.a sz. mell. '!L68)</f>
        <v>0</v>
      </c>
      <c r="AB79" s="1944">
        <f>SUM('3. a. sz. mell'!M73+'4.a. sz. mell.'!K71+'5.a sz. mell. '!M68)</f>
        <v>0</v>
      </c>
    </row>
    <row r="80" spans="1:28" s="172" customFormat="1" ht="15" customHeight="1" thickBot="1" x14ac:dyDescent="0.25">
      <c r="A80" s="134" t="s">
        <v>31</v>
      </c>
      <c r="B80" s="170"/>
      <c r="C80" s="171" t="s">
        <v>318</v>
      </c>
      <c r="D80" s="137" t="e">
        <f>+D89+D91</f>
        <v>#REF!</v>
      </c>
      <c r="E80" s="137" t="e">
        <f>+E89+E91</f>
        <v>#REF!</v>
      </c>
      <c r="F80" s="137">
        <f>+F89+F91</f>
        <v>1168068886</v>
      </c>
      <c r="G80" s="1407">
        <f t="shared" si="13"/>
        <v>43914376</v>
      </c>
      <c r="H80" s="137">
        <f>+H89+H91</f>
        <v>1211983262</v>
      </c>
      <c r="I80" s="1407">
        <f t="shared" si="13"/>
        <v>-7967265</v>
      </c>
      <c r="J80" s="4279">
        <f>+J89+J91</f>
        <v>1204015997</v>
      </c>
      <c r="K80" s="4294">
        <f t="shared" si="13"/>
        <v>0</v>
      </c>
      <c r="L80" s="2456">
        <f>+L89+L91</f>
        <v>1204015997</v>
      </c>
      <c r="M80" s="137">
        <f>+M89+M91</f>
        <v>1206341427</v>
      </c>
      <c r="N80" s="139"/>
      <c r="O80" s="2003">
        <f t="shared" si="14"/>
        <v>0</v>
      </c>
      <c r="P80" s="2031">
        <f t="shared" si="15"/>
        <v>0</v>
      </c>
      <c r="Q80" s="139">
        <f t="shared" si="16"/>
        <v>0</v>
      </c>
      <c r="R80" s="1999">
        <f t="shared" si="17"/>
        <v>0</v>
      </c>
      <c r="S80" s="2040">
        <f t="shared" si="17"/>
        <v>0</v>
      </c>
      <c r="U80" s="2043">
        <f>SUM('3. a. sz. mell'!F74)</f>
        <v>1168068886</v>
      </c>
      <c r="V80" s="2043"/>
      <c r="W80" s="2044">
        <f>SUM('3. a. sz. mell'!H74)</f>
        <v>1211983262</v>
      </c>
      <c r="X80" s="2044"/>
      <c r="Y80" s="2061">
        <f>SUM('3. a. sz. mell'!J74)</f>
        <v>1204015997</v>
      </c>
      <c r="Z80" s="2045"/>
      <c r="AA80" s="2047">
        <f>SUM('3. a. sz. mell'!L74)</f>
        <v>1204015997</v>
      </c>
      <c r="AB80" s="1944">
        <f>SUM('3. a. sz. mell'!M74)</f>
        <v>1206341427</v>
      </c>
    </row>
    <row r="81" spans="1:28" s="172" customFormat="1" ht="15" customHeight="1" thickBot="1" x14ac:dyDescent="0.25">
      <c r="A81" s="146"/>
      <c r="B81" s="143" t="s">
        <v>319</v>
      </c>
      <c r="C81" s="30" t="s">
        <v>214</v>
      </c>
      <c r="D81" s="156"/>
      <c r="E81" s="156"/>
      <c r="F81" s="826">
        <f>SUM(F82:F89)</f>
        <v>1168068886</v>
      </c>
      <c r="G81" s="1407">
        <f t="shared" si="13"/>
        <v>43914376</v>
      </c>
      <c r="H81" s="826">
        <f>SUM(H82:H89)</f>
        <v>1211983262</v>
      </c>
      <c r="I81" s="1407">
        <f t="shared" si="13"/>
        <v>-7967265</v>
      </c>
      <c r="J81" s="4284">
        <f>SUM(J82:J89)</f>
        <v>1204015997</v>
      </c>
      <c r="K81" s="4294">
        <f t="shared" si="13"/>
        <v>0</v>
      </c>
      <c r="L81" s="2456">
        <f>SUM(L82:L89)</f>
        <v>1204015997</v>
      </c>
      <c r="M81" s="826">
        <f>SUM(M82:M89)</f>
        <v>1206341427</v>
      </c>
      <c r="N81" s="139"/>
      <c r="O81" s="2003">
        <f t="shared" si="14"/>
        <v>0</v>
      </c>
      <c r="P81" s="2031">
        <f t="shared" si="15"/>
        <v>0</v>
      </c>
      <c r="Q81" s="139">
        <f t="shared" si="16"/>
        <v>0</v>
      </c>
      <c r="R81" s="1999">
        <f t="shared" si="17"/>
        <v>0</v>
      </c>
      <c r="S81" s="2040">
        <f t="shared" si="17"/>
        <v>0</v>
      </c>
      <c r="U81" s="2043">
        <f>SUM('3. a. sz. mell'!F75)</f>
        <v>1168068886</v>
      </c>
      <c r="V81" s="2043"/>
      <c r="W81" s="2044">
        <f>SUM('3. a. sz. mell'!H75)</f>
        <v>1211983262</v>
      </c>
      <c r="X81" s="2044"/>
      <c r="Y81" s="2061">
        <f>SUM('3. a. sz. mell'!J75)</f>
        <v>1204015997</v>
      </c>
      <c r="Z81" s="2045"/>
      <c r="AA81" s="2047">
        <f>SUM('3. a. sz. mell'!L75)</f>
        <v>1204015997</v>
      </c>
      <c r="AB81" s="1944">
        <f>SUM('3. a. sz. mell'!M75)</f>
        <v>1206341427</v>
      </c>
    </row>
    <row r="82" spans="1:28" s="172" customFormat="1" ht="15" hidden="1" customHeight="1" x14ac:dyDescent="0.2">
      <c r="A82" s="146"/>
      <c r="B82" s="507"/>
      <c r="C82" s="55" t="s">
        <v>102</v>
      </c>
      <c r="D82" s="156"/>
      <c r="E82" s="156"/>
      <c r="F82" s="844"/>
      <c r="G82" s="1386">
        <f t="shared" si="13"/>
        <v>0</v>
      </c>
      <c r="H82" s="844"/>
      <c r="I82" s="1386">
        <f t="shared" si="13"/>
        <v>0</v>
      </c>
      <c r="J82" s="4285"/>
      <c r="K82" s="3436">
        <f t="shared" si="13"/>
        <v>0</v>
      </c>
      <c r="L82" s="3504"/>
      <c r="M82" s="844"/>
      <c r="N82" s="139"/>
      <c r="O82" s="2003">
        <f t="shared" si="14"/>
        <v>0</v>
      </c>
      <c r="P82" s="2031">
        <f t="shared" si="15"/>
        <v>0</v>
      </c>
      <c r="Q82" s="139">
        <f t="shared" si="16"/>
        <v>0</v>
      </c>
      <c r="R82" s="1999">
        <f t="shared" si="17"/>
        <v>0</v>
      </c>
      <c r="S82" s="2040">
        <f t="shared" si="17"/>
        <v>0</v>
      </c>
      <c r="U82" s="2043"/>
      <c r="V82" s="2043"/>
      <c r="W82" s="2044"/>
      <c r="X82" s="2044"/>
      <c r="Y82" s="2061"/>
      <c r="Z82" s="2045"/>
      <c r="AA82" s="2047"/>
      <c r="AB82" s="1944"/>
    </row>
    <row r="83" spans="1:28" s="172" customFormat="1" ht="15" hidden="1" customHeight="1" x14ac:dyDescent="0.2">
      <c r="A83" s="146"/>
      <c r="B83" s="507"/>
      <c r="C83" s="55" t="s">
        <v>110</v>
      </c>
      <c r="D83" s="156"/>
      <c r="E83" s="156"/>
      <c r="F83" s="844"/>
      <c r="G83" s="1386">
        <f t="shared" si="13"/>
        <v>0</v>
      </c>
      <c r="H83" s="844"/>
      <c r="I83" s="1386">
        <f t="shared" si="13"/>
        <v>0</v>
      </c>
      <c r="J83" s="4285"/>
      <c r="K83" s="3437">
        <f t="shared" si="13"/>
        <v>0</v>
      </c>
      <c r="L83" s="3504"/>
      <c r="M83" s="844"/>
      <c r="N83" s="139"/>
      <c r="O83" s="2003">
        <f t="shared" si="14"/>
        <v>0</v>
      </c>
      <c r="P83" s="2031">
        <f t="shared" si="15"/>
        <v>0</v>
      </c>
      <c r="Q83" s="139">
        <f t="shared" si="16"/>
        <v>0</v>
      </c>
      <c r="R83" s="1999">
        <f t="shared" si="17"/>
        <v>0</v>
      </c>
      <c r="S83" s="2040">
        <f t="shared" si="17"/>
        <v>0</v>
      </c>
      <c r="U83" s="2043"/>
      <c r="V83" s="2043"/>
      <c r="W83" s="2044"/>
      <c r="X83" s="2044"/>
      <c r="Y83" s="2061"/>
      <c r="Z83" s="2045"/>
      <c r="AA83" s="2047"/>
      <c r="AB83" s="1944"/>
    </row>
    <row r="84" spans="1:28" s="172" customFormat="1" ht="15" hidden="1" customHeight="1" x14ac:dyDescent="0.2">
      <c r="A84" s="146"/>
      <c r="B84" s="507"/>
      <c r="C84" s="55" t="s">
        <v>120</v>
      </c>
      <c r="D84" s="156"/>
      <c r="E84" s="156"/>
      <c r="F84" s="844"/>
      <c r="G84" s="1386">
        <f t="shared" si="13"/>
        <v>0</v>
      </c>
      <c r="H84" s="844"/>
      <c r="I84" s="1386">
        <f t="shared" si="13"/>
        <v>0</v>
      </c>
      <c r="J84" s="4285"/>
      <c r="K84" s="3437">
        <f t="shared" si="13"/>
        <v>0</v>
      </c>
      <c r="L84" s="3504"/>
      <c r="M84" s="844"/>
      <c r="N84" s="139"/>
      <c r="O84" s="2003">
        <f t="shared" si="14"/>
        <v>0</v>
      </c>
      <c r="P84" s="2031">
        <f t="shared" si="15"/>
        <v>0</v>
      </c>
      <c r="Q84" s="139">
        <f t="shared" si="16"/>
        <v>0</v>
      </c>
      <c r="R84" s="1999">
        <f t="shared" si="17"/>
        <v>0</v>
      </c>
      <c r="S84" s="2040">
        <f t="shared" si="17"/>
        <v>0</v>
      </c>
      <c r="U84" s="2043"/>
      <c r="V84" s="2043"/>
      <c r="W84" s="2044"/>
      <c r="X84" s="2044"/>
      <c r="Y84" s="2061"/>
      <c r="Z84" s="2045"/>
      <c r="AA84" s="2047"/>
      <c r="AB84" s="1944"/>
    </row>
    <row r="85" spans="1:28" s="172" customFormat="1" ht="15" hidden="1" customHeight="1" x14ac:dyDescent="0.2">
      <c r="A85" s="146"/>
      <c r="B85" s="507"/>
      <c r="C85" s="55" t="s">
        <v>803</v>
      </c>
      <c r="D85" s="156"/>
      <c r="E85" s="156"/>
      <c r="F85" s="844"/>
      <c r="G85" s="1386">
        <f t="shared" si="13"/>
        <v>0</v>
      </c>
      <c r="H85" s="844"/>
      <c r="I85" s="1386">
        <f t="shared" si="13"/>
        <v>0</v>
      </c>
      <c r="J85" s="4285"/>
      <c r="K85" s="3437">
        <f t="shared" si="13"/>
        <v>0</v>
      </c>
      <c r="L85" s="3504"/>
      <c r="M85" s="844"/>
      <c r="N85" s="139"/>
      <c r="O85" s="2003">
        <f t="shared" si="14"/>
        <v>0</v>
      </c>
      <c r="P85" s="2031">
        <f t="shared" si="15"/>
        <v>0</v>
      </c>
      <c r="Q85" s="139">
        <f t="shared" si="16"/>
        <v>0</v>
      </c>
      <c r="R85" s="1999">
        <f t="shared" si="17"/>
        <v>0</v>
      </c>
      <c r="S85" s="2040">
        <f t="shared" si="17"/>
        <v>0</v>
      </c>
      <c r="U85" s="2043"/>
      <c r="V85" s="2043"/>
      <c r="W85" s="2044"/>
      <c r="X85" s="2044"/>
      <c r="Y85" s="2061"/>
      <c r="Z85" s="2045"/>
      <c r="AA85" s="2047"/>
      <c r="AB85" s="1944"/>
    </row>
    <row r="86" spans="1:28" s="172" customFormat="1" ht="15" hidden="1" customHeight="1" x14ac:dyDescent="0.2">
      <c r="A86" s="146"/>
      <c r="B86" s="507"/>
      <c r="C86" s="55" t="s">
        <v>804</v>
      </c>
      <c r="D86" s="156"/>
      <c r="E86" s="156"/>
      <c r="F86" s="844"/>
      <c r="G86" s="1386">
        <f t="shared" si="13"/>
        <v>0</v>
      </c>
      <c r="H86" s="844"/>
      <c r="I86" s="1386">
        <f t="shared" si="13"/>
        <v>0</v>
      </c>
      <c r="J86" s="4285"/>
      <c r="K86" s="3437">
        <f t="shared" si="13"/>
        <v>0</v>
      </c>
      <c r="L86" s="3504"/>
      <c r="M86" s="844"/>
      <c r="N86" s="139"/>
      <c r="O86" s="2003">
        <f t="shared" si="14"/>
        <v>0</v>
      </c>
      <c r="P86" s="2031">
        <f t="shared" si="15"/>
        <v>0</v>
      </c>
      <c r="Q86" s="139">
        <f t="shared" si="16"/>
        <v>0</v>
      </c>
      <c r="R86" s="1999">
        <f t="shared" si="17"/>
        <v>0</v>
      </c>
      <c r="S86" s="2040">
        <f t="shared" si="17"/>
        <v>0</v>
      </c>
      <c r="U86" s="2043"/>
      <c r="V86" s="2043"/>
      <c r="W86" s="2044"/>
      <c r="X86" s="2044"/>
      <c r="Y86" s="2061"/>
      <c r="Z86" s="2045"/>
      <c r="AA86" s="2047"/>
      <c r="AB86" s="1944"/>
    </row>
    <row r="87" spans="1:28" s="172" customFormat="1" ht="15" hidden="1" customHeight="1" x14ac:dyDescent="0.2">
      <c r="A87" s="146"/>
      <c r="B87" s="507"/>
      <c r="C87" s="55" t="s">
        <v>209</v>
      </c>
      <c r="D87" s="156"/>
      <c r="E87" s="156"/>
      <c r="F87" s="844"/>
      <c r="G87" s="1386">
        <f t="shared" si="13"/>
        <v>0</v>
      </c>
      <c r="H87" s="844"/>
      <c r="I87" s="1386">
        <f t="shared" si="13"/>
        <v>0</v>
      </c>
      <c r="J87" s="4285"/>
      <c r="K87" s="3437">
        <f t="shared" si="13"/>
        <v>0</v>
      </c>
      <c r="L87" s="3504"/>
      <c r="M87" s="844"/>
      <c r="N87" s="139"/>
      <c r="O87" s="2003">
        <f t="shared" si="14"/>
        <v>0</v>
      </c>
      <c r="P87" s="2031">
        <f t="shared" si="15"/>
        <v>0</v>
      </c>
      <c r="Q87" s="139">
        <f t="shared" si="16"/>
        <v>0</v>
      </c>
      <c r="R87" s="1999">
        <f t="shared" si="17"/>
        <v>0</v>
      </c>
      <c r="S87" s="2040">
        <f t="shared" si="17"/>
        <v>0</v>
      </c>
      <c r="U87" s="2043"/>
      <c r="V87" s="2043"/>
      <c r="W87" s="2044"/>
      <c r="X87" s="2044"/>
      <c r="Y87" s="2061"/>
      <c r="Z87" s="2045"/>
      <c r="AA87" s="2047"/>
      <c r="AB87" s="1944"/>
    </row>
    <row r="88" spans="1:28" s="172" customFormat="1" ht="15" hidden="1" customHeight="1" x14ac:dyDescent="0.2">
      <c r="A88" s="146"/>
      <c r="B88" s="507"/>
      <c r="C88" s="55" t="s">
        <v>214</v>
      </c>
      <c r="D88" s="156"/>
      <c r="E88" s="156"/>
      <c r="F88" s="844"/>
      <c r="G88" s="1386">
        <f t="shared" si="13"/>
        <v>0</v>
      </c>
      <c r="H88" s="844"/>
      <c r="I88" s="1386">
        <f t="shared" si="13"/>
        <v>0</v>
      </c>
      <c r="J88" s="4285"/>
      <c r="K88" s="3437">
        <f t="shared" si="13"/>
        <v>0</v>
      </c>
      <c r="L88" s="3504"/>
      <c r="M88" s="844"/>
      <c r="N88" s="139"/>
      <c r="O88" s="2003">
        <f t="shared" si="14"/>
        <v>0</v>
      </c>
      <c r="P88" s="2031">
        <f t="shared" si="15"/>
        <v>0</v>
      </c>
      <c r="Q88" s="139">
        <f t="shared" si="16"/>
        <v>0</v>
      </c>
      <c r="R88" s="1999">
        <f t="shared" si="17"/>
        <v>0</v>
      </c>
      <c r="S88" s="2040">
        <f t="shared" si="17"/>
        <v>0</v>
      </c>
      <c r="U88" s="2043"/>
      <c r="V88" s="2043"/>
      <c r="W88" s="2044"/>
      <c r="X88" s="2044"/>
      <c r="Y88" s="2061"/>
      <c r="Z88" s="2045"/>
      <c r="AA88" s="2047"/>
      <c r="AB88" s="1944"/>
    </row>
    <row r="89" spans="1:28" ht="15" customHeight="1" thickBot="1" x14ac:dyDescent="0.25">
      <c r="A89" s="173"/>
      <c r="B89" s="188" t="s">
        <v>319</v>
      </c>
      <c r="C89" s="55" t="s">
        <v>320</v>
      </c>
      <c r="D89" s="175"/>
      <c r="E89" s="175"/>
      <c r="F89" s="844">
        <f>SUM('3. a. sz. mell'!F75)</f>
        <v>1168068886</v>
      </c>
      <c r="G89" s="1386">
        <f t="shared" si="13"/>
        <v>43914376</v>
      </c>
      <c r="H89" s="844">
        <f>SUM('3. a. sz. mell'!H75)</f>
        <v>1211983262</v>
      </c>
      <c r="I89" s="1386">
        <f t="shared" si="13"/>
        <v>-7967265</v>
      </c>
      <c r="J89" s="4285">
        <f>SUM('3. a. sz. mell'!J75)</f>
        <v>1204015997</v>
      </c>
      <c r="K89" s="3437">
        <f t="shared" si="13"/>
        <v>0</v>
      </c>
      <c r="L89" s="3504">
        <f>SUM('3. a. sz. mell'!L75)</f>
        <v>1204015997</v>
      </c>
      <c r="M89" s="844">
        <f>SUM('3. a. sz. mell'!M75)</f>
        <v>1206341427</v>
      </c>
      <c r="N89" s="139"/>
      <c r="O89" s="2003">
        <f t="shared" si="14"/>
        <v>0</v>
      </c>
      <c r="P89" s="2031">
        <f t="shared" si="15"/>
        <v>0</v>
      </c>
      <c r="Q89" s="139">
        <f t="shared" si="16"/>
        <v>0</v>
      </c>
      <c r="R89" s="1999">
        <f t="shared" si="17"/>
        <v>0</v>
      </c>
      <c r="S89" s="2040">
        <f t="shared" si="17"/>
        <v>0</v>
      </c>
      <c r="T89" s="92"/>
      <c r="U89" s="2043">
        <f>SUM('3. a. sz. mell'!F75)</f>
        <v>1168068886</v>
      </c>
      <c r="V89" s="2043"/>
      <c r="W89" s="2044">
        <f>SUM('3. a. sz. mell'!H75)</f>
        <v>1211983262</v>
      </c>
      <c r="X89" s="2044"/>
      <c r="Y89" s="2061">
        <f>SUM('3. a. sz. mell'!J75)</f>
        <v>1204015997</v>
      </c>
      <c r="Z89" s="2045"/>
      <c r="AA89" s="2047">
        <f>SUM('3. a. sz. mell'!L75)</f>
        <v>1204015997</v>
      </c>
      <c r="AB89" s="1944">
        <f>SUM('3. a. sz. mell'!M75)</f>
        <v>1206341427</v>
      </c>
    </row>
    <row r="90" spans="1:28" ht="15" customHeight="1" thickBot="1" x14ac:dyDescent="0.25">
      <c r="A90" s="146"/>
      <c r="B90" s="143" t="s">
        <v>321</v>
      </c>
      <c r="C90" s="30" t="s">
        <v>219</v>
      </c>
      <c r="D90" s="147"/>
      <c r="E90" s="147"/>
      <c r="F90" s="310"/>
      <c r="G90" s="1403">
        <f t="shared" si="13"/>
        <v>0</v>
      </c>
      <c r="H90" s="310"/>
      <c r="I90" s="1403">
        <f t="shared" si="13"/>
        <v>0</v>
      </c>
      <c r="J90" s="4286"/>
      <c r="K90" s="3437">
        <f t="shared" si="13"/>
        <v>0</v>
      </c>
      <c r="L90" s="3476"/>
      <c r="M90" s="310"/>
      <c r="N90" s="139"/>
      <c r="O90" s="2003">
        <f t="shared" si="14"/>
        <v>0</v>
      </c>
      <c r="P90" s="2031">
        <f t="shared" si="15"/>
        <v>0</v>
      </c>
      <c r="Q90" s="139">
        <f t="shared" si="16"/>
        <v>0</v>
      </c>
      <c r="R90" s="1999">
        <f t="shared" si="17"/>
        <v>0</v>
      </c>
      <c r="S90" s="2040">
        <f t="shared" si="17"/>
        <v>0</v>
      </c>
      <c r="U90" s="2043"/>
      <c r="V90" s="2043"/>
      <c r="W90" s="2044"/>
      <c r="X90" s="2044"/>
      <c r="Y90" s="2061"/>
      <c r="Z90" s="2045"/>
      <c r="AA90" s="2047"/>
      <c r="AB90" s="1944"/>
    </row>
    <row r="91" spans="1:28" ht="31.5" customHeight="1" thickBot="1" x14ac:dyDescent="0.25">
      <c r="A91" s="151"/>
      <c r="B91" s="143" t="s">
        <v>586</v>
      </c>
      <c r="C91" s="30" t="s">
        <v>764</v>
      </c>
      <c r="D91" s="153" t="e">
        <f>SUM(#REF!)</f>
        <v>#REF!</v>
      </c>
      <c r="E91" s="153" t="e">
        <f>SUM(#REF!)</f>
        <v>#REF!</v>
      </c>
      <c r="F91" s="153">
        <f>SUM('3. a. sz. mell'!F76)</f>
        <v>0</v>
      </c>
      <c r="G91" s="1378">
        <f t="shared" si="13"/>
        <v>0</v>
      </c>
      <c r="H91" s="153">
        <f>SUM('3. a. sz. mell'!H76)</f>
        <v>0</v>
      </c>
      <c r="I91" s="1378">
        <f t="shared" si="13"/>
        <v>0</v>
      </c>
      <c r="J91" s="4282">
        <f>SUM('3. a. sz. mell'!J76)</f>
        <v>0</v>
      </c>
      <c r="K91" s="3437">
        <f t="shared" si="13"/>
        <v>0</v>
      </c>
      <c r="L91" s="3477">
        <f>SUM('3. a. sz. mell'!L76)</f>
        <v>0</v>
      </c>
      <c r="M91" s="153">
        <f>SUM('3. a. sz. mell'!M76)</f>
        <v>0</v>
      </c>
      <c r="N91" s="139"/>
      <c r="O91" s="2003">
        <f t="shared" si="14"/>
        <v>0</v>
      </c>
      <c r="P91" s="2031">
        <f t="shared" si="15"/>
        <v>0</v>
      </c>
      <c r="Q91" s="139">
        <f t="shared" si="16"/>
        <v>0</v>
      </c>
      <c r="R91" s="1999">
        <f t="shared" si="17"/>
        <v>0</v>
      </c>
      <c r="S91" s="2040">
        <f t="shared" si="17"/>
        <v>0</v>
      </c>
      <c r="U91" s="2043"/>
      <c r="V91" s="2043"/>
      <c r="W91" s="2044"/>
      <c r="X91" s="2044"/>
      <c r="Y91" s="2061"/>
      <c r="Z91" s="2045"/>
      <c r="AA91" s="2047"/>
      <c r="AB91" s="1944"/>
    </row>
    <row r="92" spans="1:28" s="145" customFormat="1" ht="15" hidden="1" customHeight="1" thickBot="1" x14ac:dyDescent="0.25">
      <c r="A92" s="134"/>
      <c r="B92" s="170"/>
      <c r="C92" s="171"/>
      <c r="D92" s="155"/>
      <c r="E92" s="155"/>
      <c r="F92" s="155"/>
      <c r="G92" s="1380"/>
      <c r="H92" s="155"/>
      <c r="I92" s="1380"/>
      <c r="J92" s="4287"/>
      <c r="K92" s="3489"/>
      <c r="L92" s="3478"/>
      <c r="M92" s="155"/>
      <c r="N92" s="139"/>
      <c r="O92" s="2003">
        <f t="shared" si="14"/>
        <v>0</v>
      </c>
      <c r="P92" s="2031">
        <f t="shared" si="15"/>
        <v>0</v>
      </c>
      <c r="Q92" s="139">
        <f t="shared" si="16"/>
        <v>0</v>
      </c>
      <c r="R92" s="1999">
        <f t="shared" si="17"/>
        <v>0</v>
      </c>
      <c r="S92" s="2040">
        <f t="shared" si="17"/>
        <v>0</v>
      </c>
      <c r="U92" s="2043"/>
      <c r="V92" s="2043"/>
      <c r="W92" s="2044"/>
      <c r="X92" s="2044"/>
      <c r="Y92" s="2061"/>
      <c r="Z92" s="2045"/>
      <c r="AA92" s="2047"/>
      <c r="AB92" s="1944"/>
    </row>
    <row r="93" spans="1:28" ht="15" customHeight="1" thickBot="1" x14ac:dyDescent="0.3">
      <c r="A93" s="192"/>
      <c r="B93" s="160"/>
      <c r="C93" s="161" t="s">
        <v>322</v>
      </c>
      <c r="D93" s="162" t="e">
        <f>+D79+D80</f>
        <v>#REF!</v>
      </c>
      <c r="E93" s="162" t="e">
        <f>+E79+E80</f>
        <v>#REF!</v>
      </c>
      <c r="F93" s="162">
        <f>SUM(F48+F63+F80)</f>
        <v>3768901617</v>
      </c>
      <c r="G93" s="1373">
        <f t="shared" si="13"/>
        <v>659727190</v>
      </c>
      <c r="H93" s="162">
        <f>SUM(H48+H63+H80)</f>
        <v>4428628807</v>
      </c>
      <c r="I93" s="1373">
        <f t="shared" si="13"/>
        <v>145069644</v>
      </c>
      <c r="J93" s="162">
        <f>SUM(J48+J63+J80)</f>
        <v>4573698451</v>
      </c>
      <c r="K93" s="4292">
        <f t="shared" si="13"/>
        <v>1747959</v>
      </c>
      <c r="L93" s="162">
        <f>SUM(L48+L63+L80)</f>
        <v>4575446410</v>
      </c>
      <c r="M93" s="162">
        <f>SUM(M48+M63+M80)</f>
        <v>4266110180</v>
      </c>
      <c r="N93" s="139"/>
      <c r="O93" s="2003">
        <f t="shared" si="14"/>
        <v>0</v>
      </c>
      <c r="P93" s="2031">
        <f t="shared" si="15"/>
        <v>0</v>
      </c>
      <c r="Q93" s="139">
        <f t="shared" si="16"/>
        <v>0</v>
      </c>
      <c r="R93" s="1999">
        <f t="shared" si="17"/>
        <v>0</v>
      </c>
      <c r="S93" s="2040">
        <f t="shared" si="17"/>
        <v>0</v>
      </c>
      <c r="U93" s="2043">
        <f>SUM('3. a. sz. mell'!F78+'4.a. sz. mell.'!D62+'5.a sz. mell. '!F58)</f>
        <v>3768901617</v>
      </c>
      <c r="V93" s="2043"/>
      <c r="W93" s="2044">
        <f>SUM('3. a. sz. mell'!H78+'4.a. sz. mell.'!F62+'5.a sz. mell. '!H58)</f>
        <v>4428628807</v>
      </c>
      <c r="X93" s="2044"/>
      <c r="Y93" s="2061">
        <f>SUM('3. a. sz. mell'!J78+'4.a. sz. mell.'!H62+'5.a sz. mell. '!J58)</f>
        <v>4573698451</v>
      </c>
      <c r="Z93" s="2045"/>
      <c r="AA93" s="2047">
        <f>SUM('3. a. sz. mell'!L78+'4.a. sz. mell.'!J62+'5.a sz. mell. '!L58)</f>
        <v>4575446410</v>
      </c>
      <c r="AB93" s="1944">
        <f>SUM('3. a. sz. mell'!M78+'4.a. sz. mell.'!K62+'5.a sz. mell. '!M58)</f>
        <v>4266110180</v>
      </c>
    </row>
    <row r="94" spans="1:28" ht="21.75" customHeight="1" thickBot="1" x14ac:dyDescent="0.3">
      <c r="A94" s="882"/>
      <c r="B94" s="193"/>
      <c r="C94" s="194" t="s">
        <v>300</v>
      </c>
      <c r="D94" s="195"/>
      <c r="E94" s="195"/>
      <c r="F94" s="162">
        <f>SUM(F44)</f>
        <v>1168068886</v>
      </c>
      <c r="G94" s="1373">
        <f t="shared" si="13"/>
        <v>43914376</v>
      </c>
      <c r="H94" s="162">
        <f t="shared" ref="H94:M94" si="18">SUM(H44)</f>
        <v>1211983262</v>
      </c>
      <c r="I94" s="1373">
        <f t="shared" si="18"/>
        <v>-9465041</v>
      </c>
      <c r="J94" s="162">
        <f t="shared" si="18"/>
        <v>1202518221</v>
      </c>
      <c r="K94" s="4278">
        <f t="shared" si="18"/>
        <v>0</v>
      </c>
      <c r="L94" s="162">
        <f t="shared" si="18"/>
        <v>1202518221</v>
      </c>
      <c r="M94" s="162">
        <f t="shared" si="18"/>
        <v>1204843651</v>
      </c>
      <c r="N94" s="139"/>
      <c r="O94" s="2003">
        <f t="shared" si="14"/>
        <v>0</v>
      </c>
      <c r="P94" s="2031">
        <f>SUM(H94-W94)</f>
        <v>0</v>
      </c>
      <c r="Q94" s="139">
        <f>SUM(J94-Y94)</f>
        <v>0</v>
      </c>
      <c r="R94" s="1999">
        <f t="shared" ref="R94:S98" si="19">SUM(L94-AA94)</f>
        <v>0</v>
      </c>
      <c r="S94" s="2040">
        <f t="shared" si="19"/>
        <v>0</v>
      </c>
      <c r="U94" s="2043">
        <f>SUM(U44)</f>
        <v>1168068886</v>
      </c>
      <c r="V94" s="2043">
        <f>SUM(V89)</f>
        <v>0</v>
      </c>
      <c r="W94" s="2044">
        <f t="shared" ref="W94:AB94" si="20">SUM(W44)</f>
        <v>1211983262</v>
      </c>
      <c r="X94" s="2044">
        <f t="shared" si="20"/>
        <v>0</v>
      </c>
      <c r="Y94" s="2061">
        <f t="shared" si="20"/>
        <v>1202518221</v>
      </c>
      <c r="Z94" s="2044">
        <f t="shared" si="20"/>
        <v>0</v>
      </c>
      <c r="AA94" s="2047">
        <f t="shared" si="20"/>
        <v>1202518221</v>
      </c>
      <c r="AB94" s="1944">
        <f t="shared" si="20"/>
        <v>1204843651</v>
      </c>
    </row>
    <row r="95" spans="1:28" ht="30" customHeight="1" thickTop="1" thickBot="1" x14ac:dyDescent="0.25">
      <c r="A95" s="3267"/>
      <c r="B95" s="569"/>
      <c r="C95" s="543" t="s">
        <v>819</v>
      </c>
      <c r="D95" s="886"/>
      <c r="E95" s="886"/>
      <c r="F95" s="544">
        <f>SUM(F93-F94)</f>
        <v>2600832731</v>
      </c>
      <c r="G95" s="1617">
        <f t="shared" si="13"/>
        <v>615812814</v>
      </c>
      <c r="H95" s="544">
        <f>SUM(H93-H94)</f>
        <v>3216645545</v>
      </c>
      <c r="I95" s="1617">
        <f t="shared" si="13"/>
        <v>154534685</v>
      </c>
      <c r="J95" s="4288">
        <f>SUM(J93-J94)</f>
        <v>3371180230</v>
      </c>
      <c r="K95" s="4293">
        <f t="shared" si="13"/>
        <v>1747959</v>
      </c>
      <c r="L95" s="544">
        <f>SUM(L93-L94)</f>
        <v>3372928189</v>
      </c>
      <c r="M95" s="544">
        <f>SUM(M93-M94)</f>
        <v>3061266529</v>
      </c>
      <c r="N95" s="139"/>
      <c r="O95" s="2003">
        <f t="shared" si="14"/>
        <v>0</v>
      </c>
      <c r="P95" s="2031">
        <f t="shared" si="15"/>
        <v>0</v>
      </c>
      <c r="Q95" s="139">
        <f t="shared" si="16"/>
        <v>0</v>
      </c>
      <c r="R95" s="1999">
        <f t="shared" si="19"/>
        <v>0</v>
      </c>
      <c r="S95" s="2040">
        <f t="shared" si="19"/>
        <v>0</v>
      </c>
      <c r="U95" s="2043">
        <f>SUM(U93-U94)</f>
        <v>2600832731</v>
      </c>
      <c r="V95" s="2043"/>
      <c r="W95" s="2044">
        <f>SUM(W93-W94)</f>
        <v>3216645545</v>
      </c>
      <c r="X95" s="2044"/>
      <c r="Y95" s="2061">
        <f>SUM(Y93-Y94)</f>
        <v>3371180230</v>
      </c>
      <c r="Z95" s="2045"/>
      <c r="AA95" s="2047">
        <f>SUM(AA93-AA94)</f>
        <v>3372928189</v>
      </c>
      <c r="AB95" s="1944">
        <f>SUM(AB93-AB94)</f>
        <v>3061266529</v>
      </c>
    </row>
    <row r="96" spans="1:28" ht="20.25" customHeight="1" thickTop="1" thickBot="1" x14ac:dyDescent="0.25">
      <c r="A96" s="4418" t="s">
        <v>324</v>
      </c>
      <c r="B96" s="4419"/>
      <c r="C96" s="4419"/>
      <c r="D96" s="200" t="e">
        <f>SUM(#REF!+#REF!)</f>
        <v>#REF!</v>
      </c>
      <c r="E96" s="200" t="e">
        <f>SUM(#REF!+#REF!)</f>
        <v>#REF!</v>
      </c>
      <c r="F96" s="200"/>
      <c r="G96" s="1388"/>
      <c r="H96" s="200"/>
      <c r="I96" s="1388"/>
      <c r="J96" s="4289"/>
      <c r="K96" s="4291"/>
      <c r="L96" s="3303"/>
      <c r="M96" s="200"/>
      <c r="N96" s="139"/>
      <c r="O96" s="2003">
        <f t="shared" si="14"/>
        <v>0</v>
      </c>
      <c r="P96" s="2031">
        <f t="shared" si="15"/>
        <v>0</v>
      </c>
      <c r="Q96" s="139">
        <f t="shared" si="16"/>
        <v>0</v>
      </c>
      <c r="R96" s="1999">
        <f t="shared" si="19"/>
        <v>0</v>
      </c>
      <c r="S96" s="2040">
        <f t="shared" si="19"/>
        <v>0</v>
      </c>
      <c r="U96" s="2043"/>
      <c r="V96" s="2043"/>
      <c r="W96" s="2044"/>
      <c r="X96" s="2044"/>
      <c r="Y96" s="2061"/>
      <c r="Z96" s="2045"/>
      <c r="AA96" s="2047"/>
      <c r="AB96" s="1944"/>
    </row>
    <row r="97" spans="1:28" ht="15" customHeight="1" thickBot="1" x14ac:dyDescent="0.25">
      <c r="A97" s="4418" t="s">
        <v>325</v>
      </c>
      <c r="B97" s="4419"/>
      <c r="C97" s="4419"/>
      <c r="D97" s="202">
        <v>13.5</v>
      </c>
      <c r="E97" s="202">
        <v>13.5</v>
      </c>
      <c r="F97" s="202"/>
      <c r="G97" s="1527"/>
      <c r="H97" s="202"/>
      <c r="I97" s="1527"/>
      <c r="J97" s="4290"/>
      <c r="K97" s="4290"/>
      <c r="L97" s="3304"/>
      <c r="M97" s="202"/>
      <c r="N97" s="139"/>
      <c r="O97" s="2003">
        <f t="shared" si="14"/>
        <v>0</v>
      </c>
      <c r="P97" s="2031">
        <f t="shared" si="15"/>
        <v>0</v>
      </c>
      <c r="Q97" s="139">
        <f t="shared" si="16"/>
        <v>0</v>
      </c>
      <c r="R97" s="1999">
        <f t="shared" si="19"/>
        <v>0</v>
      </c>
      <c r="S97" s="2040">
        <f t="shared" si="19"/>
        <v>0</v>
      </c>
      <c r="U97" s="2043"/>
      <c r="V97" s="2043"/>
      <c r="W97" s="2044"/>
      <c r="X97" s="2044"/>
      <c r="Y97" s="2061"/>
      <c r="Z97" s="2045"/>
      <c r="AA97" s="2047"/>
      <c r="AB97" s="1944"/>
    </row>
    <row r="98" spans="1:28" ht="15" customHeight="1" x14ac:dyDescent="0.2">
      <c r="O98" s="2003">
        <f t="shared" si="14"/>
        <v>0</v>
      </c>
      <c r="P98" s="2031">
        <f t="shared" si="15"/>
        <v>0</v>
      </c>
      <c r="Q98" s="139">
        <f t="shared" si="16"/>
        <v>0</v>
      </c>
      <c r="R98" s="1999">
        <f t="shared" si="19"/>
        <v>0</v>
      </c>
      <c r="S98" s="2040">
        <f t="shared" si="19"/>
        <v>0</v>
      </c>
      <c r="U98" s="2043"/>
      <c r="V98" s="2043"/>
      <c r="W98" s="2044"/>
      <c r="X98" s="2044"/>
      <c r="Y98" s="2061"/>
      <c r="Z98" s="2045"/>
      <c r="AA98" s="2047"/>
      <c r="AB98" s="1944"/>
    </row>
    <row r="99" spans="1:28" ht="15" customHeight="1" x14ac:dyDescent="0.2">
      <c r="R99" s="1999"/>
      <c r="U99" s="1916"/>
      <c r="V99" s="1916"/>
      <c r="W99" s="2034"/>
      <c r="X99" s="2034"/>
      <c r="Y99" s="2063"/>
      <c r="Z99" s="205"/>
      <c r="AA99" s="1912"/>
      <c r="AB99" s="1944"/>
    </row>
    <row r="100" spans="1:28" ht="15.75" thickBot="1" x14ac:dyDescent="0.25">
      <c r="U100" s="1916"/>
      <c r="V100" s="1916"/>
      <c r="W100" s="2034"/>
      <c r="X100" s="2034"/>
      <c r="Y100" s="2063"/>
      <c r="Z100" s="205"/>
      <c r="AA100" s="1912"/>
      <c r="AB100" s="1944"/>
    </row>
    <row r="101" spans="1:28" ht="16.5" thickBot="1" x14ac:dyDescent="0.25">
      <c r="E101" s="162">
        <v>4969009</v>
      </c>
      <c r="F101" s="162">
        <f>SUM(F45-F95)</f>
        <v>0</v>
      </c>
      <c r="G101" s="1373"/>
      <c r="H101" s="162">
        <f t="shared" ref="H101:M101" si="21">SUM(H45-H95)</f>
        <v>-1400000</v>
      </c>
      <c r="I101" s="162">
        <f t="shared" si="21"/>
        <v>1400000</v>
      </c>
      <c r="J101" s="162">
        <f t="shared" si="21"/>
        <v>0</v>
      </c>
      <c r="K101" s="162">
        <f t="shared" si="21"/>
        <v>0</v>
      </c>
      <c r="L101" s="1451">
        <f t="shared" si="21"/>
        <v>0</v>
      </c>
      <c r="M101" s="162">
        <f t="shared" si="21"/>
        <v>1569836353</v>
      </c>
      <c r="U101" s="1916"/>
      <c r="V101" s="1916"/>
      <c r="W101" s="2034"/>
      <c r="X101" s="2034"/>
      <c r="Y101" s="2063"/>
      <c r="Z101" s="205"/>
      <c r="AA101" s="1912"/>
      <c r="AB101" s="1944"/>
    </row>
    <row r="102" spans="1:28" ht="15" x14ac:dyDescent="0.2">
      <c r="U102" s="1916"/>
      <c r="V102" s="1916"/>
      <c r="W102" s="2034"/>
      <c r="X102" s="2034"/>
      <c r="Y102" s="2063"/>
      <c r="Z102" s="205"/>
      <c r="AA102" s="1912"/>
      <c r="AB102" s="1944"/>
    </row>
    <row r="103" spans="1:28" ht="15" x14ac:dyDescent="0.2">
      <c r="U103" s="1916"/>
      <c r="V103" s="1916"/>
      <c r="W103" s="2034"/>
      <c r="X103" s="2034"/>
      <c r="Y103" s="2063"/>
      <c r="Z103" s="205"/>
      <c r="AA103" s="1912"/>
      <c r="AB103" s="1944"/>
    </row>
    <row r="104" spans="1:28" ht="15.75" x14ac:dyDescent="0.2">
      <c r="E104" s="203" t="e">
        <f>SUM(E101-E93)</f>
        <v>#REF!</v>
      </c>
      <c r="F104" s="203"/>
      <c r="G104" s="1470"/>
      <c r="H104" s="203"/>
      <c r="I104" s="1470"/>
      <c r="J104" s="2025"/>
      <c r="K104" s="2025"/>
      <c r="L104" s="3306"/>
      <c r="M104" s="203"/>
    </row>
    <row r="105" spans="1:28" x14ac:dyDescent="0.2">
      <c r="L105" s="3567">
        <f>SUM(L89-L94)</f>
        <v>1497776</v>
      </c>
    </row>
  </sheetData>
  <mergeCells count="21">
    <mergeCell ref="P3:P4"/>
    <mergeCell ref="Q3:Q4"/>
    <mergeCell ref="R3:R4"/>
    <mergeCell ref="W3:W4"/>
    <mergeCell ref="Y3:Y4"/>
    <mergeCell ref="AA3:AA4"/>
    <mergeCell ref="A4:B4"/>
    <mergeCell ref="A96:C96"/>
    <mergeCell ref="A97:C97"/>
    <mergeCell ref="A1:B1"/>
    <mergeCell ref="D1:D2"/>
    <mergeCell ref="F1:F2"/>
    <mergeCell ref="A2:B2"/>
    <mergeCell ref="D3:F3"/>
    <mergeCell ref="J1:J2"/>
    <mergeCell ref="K1:K2"/>
    <mergeCell ref="L1:L2"/>
    <mergeCell ref="G1:G2"/>
    <mergeCell ref="H1:H2"/>
    <mergeCell ref="M1:M2"/>
    <mergeCell ref="I1:I2"/>
  </mergeCells>
  <printOptions horizontalCentered="1"/>
  <pageMargins left="0.23622047244094491" right="0.23622047244094491" top="0.82677165354330717" bottom="0.39370078740157483" header="0.31496062992125984" footer="0.19685039370078741"/>
  <pageSetup paperSize="9" scale="59" firstPageNumber="18" orientation="portrait" useFirstPageNumber="1" r:id="rId1"/>
  <headerFooter>
    <oddHeader>&amp;C&amp;"Times New Roman CE,Félkövér"&amp;14Vecsés Város Önkormányzat és intézményei 
2018. évi  kötelező feladatainak bevételei és kiadásai&amp;R&amp;"Times New Roman,Normál"&amp;11 &amp;12 2.a. sz. melléklet
Forint</oddHeader>
    <oddFooter>&amp;C&amp;12- &amp;P -</oddFooter>
  </headerFooter>
  <rowBreaks count="1" manualBreakCount="1">
    <brk id="97" max="7" man="1"/>
  </rowBreaks>
  <colBreaks count="1" manualBreakCount="1">
    <brk id="13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C30"/>
  <sheetViews>
    <sheetView topLeftCell="A10" workbookViewId="0">
      <selection activeCell="E20" sqref="E20"/>
    </sheetView>
  </sheetViews>
  <sheetFormatPr defaultColWidth="8.83203125" defaultRowHeight="12.75" x14ac:dyDescent="0.2"/>
  <cols>
    <col min="1" max="1" width="60" style="3609" customWidth="1"/>
    <col min="2" max="2" width="17.6640625" style="3609" customWidth="1"/>
    <col min="3" max="3" width="19" style="3609" customWidth="1"/>
    <col min="4" max="16384" width="8.83203125" style="3609"/>
  </cols>
  <sheetData>
    <row r="1" spans="1:3" ht="15.75" x14ac:dyDescent="0.2">
      <c r="A1" s="3651"/>
      <c r="B1" s="3652"/>
      <c r="C1" s="3653" t="s">
        <v>935</v>
      </c>
    </row>
    <row r="2" spans="1:3" ht="63" x14ac:dyDescent="0.2">
      <c r="A2" s="3654" t="s">
        <v>2</v>
      </c>
      <c r="B2" s="3655" t="s">
        <v>2127</v>
      </c>
      <c r="C2" s="3656" t="s">
        <v>2128</v>
      </c>
    </row>
    <row r="3" spans="1:3" x14ac:dyDescent="0.2">
      <c r="A3" s="3657">
        <v>2</v>
      </c>
      <c r="B3" s="3658">
        <v>3</v>
      </c>
      <c r="C3" s="3659">
        <v>4</v>
      </c>
    </row>
    <row r="4" spans="1:3" ht="30" x14ac:dyDescent="0.2">
      <c r="A4" s="3660" t="s">
        <v>2129</v>
      </c>
      <c r="B4" s="3661"/>
      <c r="C4" s="3662"/>
    </row>
    <row r="5" spans="1:3" ht="30" x14ac:dyDescent="0.2">
      <c r="A5" s="3660" t="s">
        <v>2130</v>
      </c>
      <c r="B5" s="3661"/>
      <c r="C5" s="3662"/>
    </row>
    <row r="6" spans="1:3" ht="30" x14ac:dyDescent="0.2">
      <c r="A6" s="3660" t="s">
        <v>2131</v>
      </c>
      <c r="B6" s="3661"/>
      <c r="C6" s="3662"/>
    </row>
    <row r="7" spans="1:3" ht="30" x14ac:dyDescent="0.2">
      <c r="A7" s="3660" t="s">
        <v>2132</v>
      </c>
      <c r="B7" s="3661"/>
      <c r="C7" s="3662"/>
    </row>
    <row r="8" spans="1:3" ht="30" x14ac:dyDescent="0.2">
      <c r="A8" s="3660" t="s">
        <v>2133</v>
      </c>
      <c r="B8" s="3661"/>
      <c r="C8" s="3662"/>
    </row>
    <row r="9" spans="1:3" ht="15" x14ac:dyDescent="0.2">
      <c r="A9" s="3660" t="s">
        <v>2134</v>
      </c>
      <c r="B9" s="3661"/>
      <c r="C9" s="3662"/>
    </row>
    <row r="10" spans="1:3" ht="15" x14ac:dyDescent="0.2">
      <c r="A10" s="3663" t="s">
        <v>2135</v>
      </c>
      <c r="B10" s="3661"/>
      <c r="C10" s="3662"/>
    </row>
    <row r="11" spans="1:3" ht="15" x14ac:dyDescent="0.2">
      <c r="A11" s="3663" t="s">
        <v>2136</v>
      </c>
      <c r="B11" s="3661"/>
      <c r="C11" s="3662"/>
    </row>
    <row r="12" spans="1:3" ht="15" x14ac:dyDescent="0.2">
      <c r="A12" s="3663" t="s">
        <v>2137</v>
      </c>
      <c r="B12" s="3661"/>
      <c r="C12" s="3662"/>
    </row>
    <row r="13" spans="1:3" ht="15" x14ac:dyDescent="0.2">
      <c r="A13" s="3663" t="s">
        <v>2138</v>
      </c>
      <c r="B13" s="3661"/>
      <c r="C13" s="3662"/>
    </row>
    <row r="14" spans="1:3" ht="15" x14ac:dyDescent="0.2">
      <c r="A14" s="3663" t="s">
        <v>2139</v>
      </c>
      <c r="B14" s="3661"/>
      <c r="C14" s="3662"/>
    </row>
    <row r="15" spans="1:3" ht="30" x14ac:dyDescent="0.2">
      <c r="A15" s="3663" t="s">
        <v>2140</v>
      </c>
      <c r="B15" s="3661"/>
      <c r="C15" s="3662"/>
    </row>
    <row r="16" spans="1:3" ht="15" x14ac:dyDescent="0.2">
      <c r="A16" s="3660" t="s">
        <v>2141</v>
      </c>
      <c r="B16" s="3661"/>
      <c r="C16" s="3662">
        <v>58442163</v>
      </c>
    </row>
    <row r="17" spans="1:3" ht="15" x14ac:dyDescent="0.2">
      <c r="A17" s="3660" t="s">
        <v>2142</v>
      </c>
      <c r="B17" s="3661"/>
      <c r="C17" s="3662"/>
    </row>
    <row r="18" spans="1:3" ht="15" x14ac:dyDescent="0.2">
      <c r="A18" s="3660" t="s">
        <v>2143</v>
      </c>
      <c r="B18" s="3661"/>
      <c r="C18" s="3662"/>
    </row>
    <row r="19" spans="1:3" ht="15" x14ac:dyDescent="0.2">
      <c r="A19" s="3660" t="s">
        <v>2144</v>
      </c>
      <c r="B19" s="3661"/>
      <c r="C19" s="3662"/>
    </row>
    <row r="20" spans="1:3" ht="15" x14ac:dyDescent="0.2">
      <c r="A20" s="3660" t="s">
        <v>2145</v>
      </c>
      <c r="B20" s="3661"/>
      <c r="C20" s="3662"/>
    </row>
    <row r="21" spans="1:3" ht="15" x14ac:dyDescent="0.2">
      <c r="A21" s="3664"/>
      <c r="B21" s="3661"/>
      <c r="C21" s="3662"/>
    </row>
    <row r="22" spans="1:3" ht="15" x14ac:dyDescent="0.2">
      <c r="A22" s="3664"/>
      <c r="B22" s="3661"/>
      <c r="C22" s="3662"/>
    </row>
    <row r="23" spans="1:3" x14ac:dyDescent="0.2">
      <c r="A23" s="3664"/>
      <c r="B23" s="3665"/>
      <c r="C23" s="3666"/>
    </row>
    <row r="24" spans="1:3" x14ac:dyDescent="0.2">
      <c r="A24" s="3664"/>
      <c r="B24" s="3665"/>
      <c r="C24" s="3666"/>
    </row>
    <row r="25" spans="1:3" x14ac:dyDescent="0.2">
      <c r="A25" s="3664"/>
      <c r="B25" s="3665"/>
      <c r="C25" s="3666"/>
    </row>
    <row r="26" spans="1:3" x14ac:dyDescent="0.2">
      <c r="A26" s="3664"/>
      <c r="B26" s="3665"/>
      <c r="C26" s="3666"/>
    </row>
    <row r="27" spans="1:3" x14ac:dyDescent="0.2">
      <c r="A27" s="3664"/>
      <c r="B27" s="3665"/>
      <c r="C27" s="3666"/>
    </row>
    <row r="28" spans="1:3" x14ac:dyDescent="0.2">
      <c r="A28" s="3664"/>
      <c r="B28" s="3665"/>
      <c r="C28" s="3666"/>
    </row>
    <row r="29" spans="1:3" x14ac:dyDescent="0.2">
      <c r="A29" s="3664"/>
      <c r="B29" s="3665"/>
      <c r="C29" s="3666"/>
    </row>
    <row r="30" spans="1:3" ht="19.5" thickBot="1" x14ac:dyDescent="0.25">
      <c r="A30" s="3667" t="s">
        <v>712</v>
      </c>
      <c r="B30" s="3668">
        <f>SUM(B4:B29)</f>
        <v>0</v>
      </c>
      <c r="C30" s="3669">
        <f>SUM(C4:C29)</f>
        <v>58442163</v>
      </c>
    </row>
  </sheetData>
  <pageMargins left="0.70866141732283472" right="0.70866141732283472" top="1.1023622047244095" bottom="0.74803149606299213" header="0.31496062992125984" footer="0.31496062992125984"/>
  <pageSetup paperSize="9" firstPageNumber="121" orientation="portrait" useFirstPageNumber="1" r:id="rId1"/>
  <headerFooter>
    <oddHeader>&amp;C&amp;"Times New Roman CE,Félkövér"&amp;14
Vecsés Város Önkormányzat által adott
 közvetett támogatások&amp;R&amp;12 12. számú melléklet</oddHeader>
    <oddFooter>&amp;C&amp;12- &amp;P -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N55"/>
  <sheetViews>
    <sheetView view="pageBreakPreview" zoomScaleNormal="100" zoomScaleSheetLayoutView="100" workbookViewId="0">
      <selection activeCell="G10" sqref="G10"/>
    </sheetView>
  </sheetViews>
  <sheetFormatPr defaultColWidth="9.33203125" defaultRowHeight="15" x14ac:dyDescent="0.2"/>
  <cols>
    <col min="1" max="1" width="32.1640625" style="3737" customWidth="1"/>
    <col min="2" max="2" width="20.6640625" style="3737" customWidth="1"/>
    <col min="3" max="3" width="20.1640625" style="3737" customWidth="1"/>
    <col min="4" max="4" width="19.33203125" style="3737" customWidth="1"/>
    <col min="5" max="5" width="20.6640625" style="3737" customWidth="1"/>
    <col min="6" max="6" width="18.1640625" style="3737" customWidth="1"/>
    <col min="7" max="7" width="19.1640625" style="3737" customWidth="1"/>
    <col min="8" max="8" width="18.5" style="3737" customWidth="1"/>
    <col min="9" max="9" width="21.5" style="3737" customWidth="1"/>
    <col min="10" max="10" width="19.6640625" style="3737" customWidth="1"/>
    <col min="11" max="11" width="18" style="3737" customWidth="1"/>
    <col min="12" max="12" width="19" style="3737" customWidth="1"/>
    <col min="13" max="13" width="21.5" style="3737" customWidth="1"/>
    <col min="14" max="15" width="30.33203125" style="3737" customWidth="1"/>
    <col min="16" max="23" width="17.83203125" style="3737" customWidth="1"/>
    <col min="24" max="16384" width="9.33203125" style="3737"/>
  </cols>
  <sheetData>
    <row r="1" spans="1:13" ht="20.25" customHeight="1" thickBot="1" x14ac:dyDescent="0.25"/>
    <row r="2" spans="1:13" ht="78.75" customHeight="1" x14ac:dyDescent="0.2">
      <c r="A2" s="3738" t="s">
        <v>2184</v>
      </c>
      <c r="B2" s="3739" t="s">
        <v>2185</v>
      </c>
      <c r="C2" s="3739" t="s">
        <v>2186</v>
      </c>
      <c r="D2" s="3739" t="s">
        <v>2187</v>
      </c>
      <c r="E2" s="3739" t="s">
        <v>2188</v>
      </c>
      <c r="F2" s="3739" t="s">
        <v>2189</v>
      </c>
      <c r="G2" s="3739" t="s">
        <v>2190</v>
      </c>
      <c r="H2" s="3739" t="s">
        <v>2191</v>
      </c>
      <c r="I2" s="3739" t="s">
        <v>2192</v>
      </c>
      <c r="J2" s="3739" t="s">
        <v>2193</v>
      </c>
      <c r="K2" s="3739" t="s">
        <v>2194</v>
      </c>
      <c r="L2" s="3739" t="s">
        <v>2195</v>
      </c>
      <c r="M2" s="3740" t="s">
        <v>2196</v>
      </c>
    </row>
    <row r="3" spans="1:13" ht="20.25" customHeight="1" x14ac:dyDescent="0.25">
      <c r="A3" s="3741" t="s">
        <v>1002</v>
      </c>
      <c r="B3" s="3742">
        <v>0</v>
      </c>
      <c r="C3" s="3742">
        <v>139189536</v>
      </c>
      <c r="D3" s="3742">
        <v>0</v>
      </c>
      <c r="E3" s="3742">
        <v>139657870</v>
      </c>
      <c r="F3" s="3742">
        <v>643020</v>
      </c>
      <c r="G3" s="3742">
        <v>0</v>
      </c>
      <c r="H3" s="3742">
        <v>174686</v>
      </c>
      <c r="I3" s="3742">
        <f>SUM(H3-G3-F3+E3+D3-C3+B3)</f>
        <v>0</v>
      </c>
      <c r="J3" s="3742">
        <v>0</v>
      </c>
      <c r="K3" s="3742">
        <v>0</v>
      </c>
      <c r="L3" s="3742">
        <v>0</v>
      </c>
      <c r="M3" s="4216">
        <f>SUM(J3-K3+L3)+I3</f>
        <v>0</v>
      </c>
    </row>
    <row r="4" spans="1:13" ht="20.25" customHeight="1" x14ac:dyDescent="0.25">
      <c r="A4" s="3741" t="s">
        <v>471</v>
      </c>
      <c r="B4" s="3742">
        <v>0</v>
      </c>
      <c r="C4" s="3742">
        <v>127767412</v>
      </c>
      <c r="D4" s="3742">
        <v>0</v>
      </c>
      <c r="E4" s="3742">
        <v>128727613</v>
      </c>
      <c r="F4" s="3742">
        <v>1475647</v>
      </c>
      <c r="G4" s="3742">
        <v>0</v>
      </c>
      <c r="H4" s="3742">
        <v>515446</v>
      </c>
      <c r="I4" s="3742">
        <f t="shared" ref="I4:I14" si="0">SUM(H4-G4-F4+E4+D4-C4+B4)</f>
        <v>0</v>
      </c>
      <c r="J4" s="3742">
        <v>0</v>
      </c>
      <c r="K4" s="3742">
        <v>0</v>
      </c>
      <c r="L4" s="3742">
        <v>0</v>
      </c>
      <c r="M4" s="4216">
        <f t="shared" ref="M4:M14" si="1">SUM(J4-K4+L4)+I4</f>
        <v>0</v>
      </c>
    </row>
    <row r="5" spans="1:13" ht="20.25" customHeight="1" x14ac:dyDescent="0.25">
      <c r="A5" s="3741" t="s">
        <v>2396</v>
      </c>
      <c r="B5" s="3742">
        <v>0</v>
      </c>
      <c r="C5" s="3742">
        <v>91573743</v>
      </c>
      <c r="D5" s="3742"/>
      <c r="E5" s="3742">
        <v>92055515</v>
      </c>
      <c r="F5" s="3742">
        <v>148333</v>
      </c>
      <c r="G5" s="3742">
        <v>0</v>
      </c>
      <c r="H5" s="3742">
        <v>-333439</v>
      </c>
      <c r="I5" s="3742">
        <f t="shared" si="0"/>
        <v>0</v>
      </c>
      <c r="J5" s="3742">
        <v>0</v>
      </c>
      <c r="K5" s="3742">
        <v>0</v>
      </c>
      <c r="L5" s="3742">
        <v>0</v>
      </c>
      <c r="M5" s="4216">
        <f t="shared" si="1"/>
        <v>0</v>
      </c>
    </row>
    <row r="6" spans="1:13" ht="20.25" customHeight="1" x14ac:dyDescent="0.25">
      <c r="A6" s="3741" t="s">
        <v>1001</v>
      </c>
      <c r="B6" s="3742">
        <v>0</v>
      </c>
      <c r="C6" s="3742">
        <v>74460228</v>
      </c>
      <c r="D6" s="3742">
        <v>0</v>
      </c>
      <c r="E6" s="3742">
        <v>74498141</v>
      </c>
      <c r="F6" s="3742">
        <v>0</v>
      </c>
      <c r="G6" s="3742">
        <v>0</v>
      </c>
      <c r="H6" s="3742">
        <v>-37913</v>
      </c>
      <c r="I6" s="3742">
        <f t="shared" si="0"/>
        <v>0</v>
      </c>
      <c r="J6" s="3742">
        <v>0</v>
      </c>
      <c r="K6" s="3742">
        <v>0</v>
      </c>
      <c r="L6" s="3742">
        <v>0</v>
      </c>
      <c r="M6" s="4216">
        <f t="shared" si="1"/>
        <v>0</v>
      </c>
    </row>
    <row r="7" spans="1:13" ht="20.25" customHeight="1" x14ac:dyDescent="0.25">
      <c r="A7" s="3741" t="s">
        <v>2197</v>
      </c>
      <c r="B7" s="3742">
        <v>0</v>
      </c>
      <c r="C7" s="3742">
        <v>85087254</v>
      </c>
      <c r="D7" s="3742"/>
      <c r="E7" s="3742">
        <v>85527087</v>
      </c>
      <c r="F7" s="3742">
        <v>258398</v>
      </c>
      <c r="G7" s="3742">
        <v>0</v>
      </c>
      <c r="H7" s="3742">
        <v>-171435</v>
      </c>
      <c r="I7" s="3742">
        <f t="shared" si="0"/>
        <v>10000</v>
      </c>
      <c r="J7" s="3742">
        <v>0</v>
      </c>
      <c r="K7" s="3742">
        <v>0</v>
      </c>
      <c r="L7" s="3742">
        <v>0</v>
      </c>
      <c r="M7" s="4216">
        <f t="shared" si="1"/>
        <v>10000</v>
      </c>
    </row>
    <row r="8" spans="1:13" ht="20.25" customHeight="1" x14ac:dyDescent="0.25">
      <c r="A8" s="3741" t="s">
        <v>488</v>
      </c>
      <c r="B8" s="3742">
        <v>0</v>
      </c>
      <c r="C8" s="3742">
        <v>62721002</v>
      </c>
      <c r="D8" s="3742">
        <v>0</v>
      </c>
      <c r="E8" s="3742">
        <v>62721002</v>
      </c>
      <c r="F8" s="3742">
        <v>73626</v>
      </c>
      <c r="G8" s="3742">
        <v>0</v>
      </c>
      <c r="H8" s="3742">
        <v>73626</v>
      </c>
      <c r="I8" s="3742">
        <f t="shared" si="0"/>
        <v>0</v>
      </c>
      <c r="J8" s="3742">
        <v>0</v>
      </c>
      <c r="K8" s="3742">
        <v>0</v>
      </c>
      <c r="L8" s="3742">
        <v>0</v>
      </c>
      <c r="M8" s="4216">
        <f t="shared" si="1"/>
        <v>0</v>
      </c>
    </row>
    <row r="9" spans="1:13" ht="40.15" customHeight="1" x14ac:dyDescent="0.25">
      <c r="A9" s="3935" t="s">
        <v>472</v>
      </c>
      <c r="B9" s="3742"/>
      <c r="C9" s="3742">
        <v>318413176</v>
      </c>
      <c r="D9" s="3742">
        <v>0</v>
      </c>
      <c r="E9" s="3742">
        <v>318586787</v>
      </c>
      <c r="F9" s="3742">
        <v>294609</v>
      </c>
      <c r="G9" s="3742">
        <v>0</v>
      </c>
      <c r="H9" s="3742">
        <v>120998</v>
      </c>
      <c r="I9" s="3742">
        <f>SUM(H9-G9-F9+E9+D9-C9+B9)</f>
        <v>0</v>
      </c>
      <c r="J9" s="3742">
        <v>0</v>
      </c>
      <c r="K9" s="3742">
        <v>0</v>
      </c>
      <c r="L9" s="3742">
        <v>0</v>
      </c>
      <c r="M9" s="4216">
        <f t="shared" si="1"/>
        <v>0</v>
      </c>
    </row>
    <row r="10" spans="1:13" ht="20.25" customHeight="1" x14ac:dyDescent="0.25">
      <c r="A10" s="3741" t="s">
        <v>2198</v>
      </c>
      <c r="B10" s="3742"/>
      <c r="C10" s="3742">
        <v>37379714</v>
      </c>
      <c r="D10" s="3742">
        <v>0</v>
      </c>
      <c r="E10" s="3742">
        <v>37379714</v>
      </c>
      <c r="F10" s="3742">
        <v>120000</v>
      </c>
      <c r="G10" s="3742">
        <v>0</v>
      </c>
      <c r="H10" s="3742">
        <v>120000</v>
      </c>
      <c r="I10" s="3742">
        <f t="shared" si="0"/>
        <v>0</v>
      </c>
      <c r="J10" s="3742">
        <v>0</v>
      </c>
      <c r="K10" s="3742">
        <v>0</v>
      </c>
      <c r="L10" s="3742">
        <v>0</v>
      </c>
      <c r="M10" s="4216">
        <f t="shared" si="1"/>
        <v>0</v>
      </c>
    </row>
    <row r="11" spans="1:13" ht="20.25" customHeight="1" x14ac:dyDescent="0.25">
      <c r="A11" s="3741" t="s">
        <v>836</v>
      </c>
      <c r="B11" s="3742">
        <v>13377</v>
      </c>
      <c r="C11" s="3742">
        <v>143699092</v>
      </c>
      <c r="D11" s="3742">
        <v>0</v>
      </c>
      <c r="E11" s="3742">
        <v>143860335</v>
      </c>
      <c r="F11" s="3742">
        <v>570563</v>
      </c>
      <c r="G11" s="3742">
        <v>0</v>
      </c>
      <c r="H11" s="3742">
        <v>451366</v>
      </c>
      <c r="I11" s="3742">
        <f t="shared" si="0"/>
        <v>55423</v>
      </c>
      <c r="J11" s="3742">
        <v>0</v>
      </c>
      <c r="K11" s="3742">
        <v>0</v>
      </c>
      <c r="L11" s="3742">
        <v>0</v>
      </c>
      <c r="M11" s="4216">
        <f t="shared" si="1"/>
        <v>55423</v>
      </c>
    </row>
    <row r="12" spans="1:13" s="4065" customFormat="1" ht="20.25" customHeight="1" x14ac:dyDescent="0.25">
      <c r="A12" s="4063" t="s">
        <v>2199</v>
      </c>
      <c r="B12" s="4064">
        <v>20597971</v>
      </c>
      <c r="C12" s="4064">
        <v>744468215</v>
      </c>
      <c r="D12" s="4064">
        <v>0</v>
      </c>
      <c r="E12" s="4064">
        <v>789085254</v>
      </c>
      <c r="F12" s="4064">
        <v>5019041</v>
      </c>
      <c r="G12" s="4064">
        <v>0</v>
      </c>
      <c r="H12" s="4064">
        <v>-16182619</v>
      </c>
      <c r="I12" s="4064">
        <f>SUM(H12-G12-F12+E12+D12-C12+B12)</f>
        <v>44013350</v>
      </c>
      <c r="J12" s="4064">
        <v>0</v>
      </c>
      <c r="K12" s="4064">
        <v>0</v>
      </c>
      <c r="L12" s="4064">
        <v>0</v>
      </c>
      <c r="M12" s="4217">
        <f>SUM(J12-K12+L12)+I12</f>
        <v>44013350</v>
      </c>
    </row>
    <row r="13" spans="1:13" ht="20.25" customHeight="1" x14ac:dyDescent="0.25">
      <c r="A13" s="3741" t="s">
        <v>412</v>
      </c>
      <c r="B13" s="3742">
        <v>7129</v>
      </c>
      <c r="C13" s="3742">
        <v>581959431</v>
      </c>
      <c r="D13" s="3742">
        <v>0</v>
      </c>
      <c r="E13" s="3742">
        <v>586416151</v>
      </c>
      <c r="F13" s="3742">
        <v>4003410</v>
      </c>
      <c r="G13" s="3742">
        <v>0</v>
      </c>
      <c r="H13" s="3742">
        <v>-419294</v>
      </c>
      <c r="I13" s="3742">
        <f t="shared" si="0"/>
        <v>41145</v>
      </c>
      <c r="J13" s="3742">
        <v>0</v>
      </c>
      <c r="K13" s="3742">
        <v>0</v>
      </c>
      <c r="L13" s="3742">
        <v>0</v>
      </c>
      <c r="M13" s="4216">
        <f t="shared" si="1"/>
        <v>41145</v>
      </c>
    </row>
    <row r="14" spans="1:13" ht="20.25" customHeight="1" x14ac:dyDescent="0.25">
      <c r="A14" s="3741" t="s">
        <v>2200</v>
      </c>
      <c r="B14" s="3742">
        <v>1439966445</v>
      </c>
      <c r="C14" s="3742">
        <v>6465191441</v>
      </c>
      <c r="D14" s="3742">
        <v>0</v>
      </c>
      <c r="E14" s="3742">
        <v>8027848167</v>
      </c>
      <c r="F14" s="3742">
        <v>1299266963</v>
      </c>
      <c r="G14" s="3742"/>
      <c r="H14" s="3742">
        <v>81053908</v>
      </c>
      <c r="I14" s="3742">
        <f t="shared" si="0"/>
        <v>1784410116</v>
      </c>
      <c r="J14" s="3742">
        <v>0</v>
      </c>
      <c r="K14" s="3742">
        <v>0</v>
      </c>
      <c r="L14" s="3742">
        <v>0</v>
      </c>
      <c r="M14" s="4216">
        <f t="shared" si="1"/>
        <v>1784410116</v>
      </c>
    </row>
    <row r="15" spans="1:13" ht="20.25" customHeight="1" thickBot="1" x14ac:dyDescent="0.3">
      <c r="A15" s="3743" t="s">
        <v>712</v>
      </c>
      <c r="B15" s="3744">
        <f>SUM(B3:B14)</f>
        <v>1460584922</v>
      </c>
      <c r="C15" s="3744">
        <f>SUM(C3:C14)</f>
        <v>8871910244</v>
      </c>
      <c r="D15" s="3744">
        <f t="shared" ref="D15:L15" si="2">SUM(D3:D14)</f>
        <v>0</v>
      </c>
      <c r="E15" s="3744">
        <f t="shared" si="2"/>
        <v>10486363636</v>
      </c>
      <c r="F15" s="3744">
        <f>SUM(F3:F14)</f>
        <v>1311873610</v>
      </c>
      <c r="G15" s="3744">
        <f t="shared" si="2"/>
        <v>0</v>
      </c>
      <c r="H15" s="3744">
        <f t="shared" si="2"/>
        <v>65365330</v>
      </c>
      <c r="I15" s="3744">
        <f>SUM(I3:I14)</f>
        <v>1828530034</v>
      </c>
      <c r="J15" s="3744">
        <f t="shared" si="2"/>
        <v>0</v>
      </c>
      <c r="K15" s="3744">
        <f t="shared" si="2"/>
        <v>0</v>
      </c>
      <c r="L15" s="3744">
        <f t="shared" si="2"/>
        <v>0</v>
      </c>
      <c r="M15" s="4218">
        <f>SUM(L15+I15)</f>
        <v>1828530034</v>
      </c>
    </row>
    <row r="16" spans="1:13" ht="20.25" customHeight="1" x14ac:dyDescent="0.2">
      <c r="B16" s="3745"/>
      <c r="C16" s="3745"/>
      <c r="D16" s="3745"/>
      <c r="E16" s="3745"/>
      <c r="F16" s="3745"/>
      <c r="G16" s="3745"/>
      <c r="H16" s="3745"/>
      <c r="I16" s="3745"/>
      <c r="J16" s="3745"/>
      <c r="K16" s="3745"/>
      <c r="L16" s="3745"/>
      <c r="M16" s="3745"/>
    </row>
    <row r="17" spans="1:14" ht="20.25" customHeight="1" x14ac:dyDescent="0.2">
      <c r="B17" s="3745"/>
      <c r="C17" s="3745"/>
      <c r="D17" s="3745"/>
      <c r="E17" s="3745"/>
      <c r="F17" s="3745"/>
      <c r="G17" s="3745"/>
      <c r="H17" s="3745"/>
      <c r="I17" s="3745"/>
      <c r="J17" s="3745"/>
      <c r="K17" s="3745"/>
      <c r="L17" s="3745"/>
      <c r="M17" s="3745"/>
      <c r="N17" s="3745"/>
    </row>
    <row r="18" spans="1:14" ht="20.25" customHeight="1" thickBot="1" x14ac:dyDescent="0.3">
      <c r="A18" s="3609"/>
      <c r="B18" s="3609"/>
      <c r="C18" s="3746" t="s">
        <v>2201</v>
      </c>
      <c r="D18" s="3745"/>
      <c r="E18" s="3745"/>
      <c r="F18" s="3745"/>
      <c r="G18" s="3745"/>
      <c r="H18" s="3745"/>
      <c r="I18" s="3745"/>
      <c r="J18" s="3745"/>
      <c r="K18" s="3745"/>
      <c r="L18" s="3745"/>
      <c r="M18" s="3745"/>
    </row>
    <row r="19" spans="1:14" ht="20.25" customHeight="1" x14ac:dyDescent="0.25">
      <c r="A19" s="3747" t="s">
        <v>2202</v>
      </c>
      <c r="B19" s="3748"/>
      <c r="C19" s="3749">
        <f>SUM(B20:B23)</f>
        <v>1460584922</v>
      </c>
      <c r="D19" s="3745"/>
      <c r="E19" s="3745"/>
      <c r="F19" s="3745"/>
      <c r="G19" s="3745"/>
      <c r="H19" s="3745"/>
      <c r="I19" s="3745"/>
      <c r="J19" s="3745"/>
      <c r="K19" s="3745"/>
      <c r="L19" s="3745"/>
      <c r="M19" s="3745"/>
    </row>
    <row r="20" spans="1:14" ht="20.25" customHeight="1" x14ac:dyDescent="0.25">
      <c r="A20" s="3750" t="s">
        <v>2203</v>
      </c>
      <c r="B20" s="3751">
        <v>895100</v>
      </c>
      <c r="C20" s="3752"/>
      <c r="D20" s="3745"/>
      <c r="E20" s="3745"/>
      <c r="F20" s="3745"/>
      <c r="G20" s="3745"/>
      <c r="H20" s="3745"/>
      <c r="I20" s="3745"/>
      <c r="J20" s="3745"/>
      <c r="K20" s="3745"/>
      <c r="L20" s="3745"/>
      <c r="M20" s="3745"/>
    </row>
    <row r="21" spans="1:14" ht="20.25" customHeight="1" x14ac:dyDescent="0.25">
      <c r="A21" s="3750" t="s">
        <v>2204</v>
      </c>
      <c r="B21" s="3751">
        <v>1420434319</v>
      </c>
      <c r="C21" s="3752"/>
      <c r="D21" s="3745"/>
      <c r="E21" s="3745"/>
      <c r="F21" s="3745"/>
      <c r="G21" s="3745"/>
      <c r="H21" s="3745"/>
      <c r="I21" s="3745"/>
      <c r="J21" s="3745"/>
      <c r="K21" s="3745"/>
      <c r="L21" s="3745"/>
      <c r="M21" s="3745"/>
    </row>
    <row r="22" spans="1:14" ht="20.25" customHeight="1" x14ac:dyDescent="0.25">
      <c r="A22" s="3750" t="s">
        <v>2205</v>
      </c>
      <c r="B22" s="3751">
        <v>39255503</v>
      </c>
      <c r="C22" s="3752"/>
      <c r="D22" s="3745"/>
      <c r="E22" s="3745"/>
      <c r="F22" s="3745"/>
      <c r="G22" s="3745"/>
      <c r="H22" s="3745"/>
      <c r="I22" s="3745"/>
      <c r="J22" s="3745"/>
      <c r="K22" s="3745"/>
      <c r="L22" s="3745"/>
      <c r="M22" s="3745"/>
    </row>
    <row r="23" spans="1:14" ht="20.25" customHeight="1" x14ac:dyDescent="0.25">
      <c r="A23" s="3750" t="s">
        <v>2206</v>
      </c>
      <c r="B23" s="3751"/>
      <c r="C23" s="3752"/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</row>
    <row r="24" spans="1:14" ht="20.25" customHeight="1" x14ac:dyDescent="0.2">
      <c r="A24" s="3753" t="s">
        <v>2207</v>
      </c>
      <c r="B24" s="3754"/>
      <c r="C24" s="3755">
        <f>SUM('1.sz.mell.'!L54)</f>
        <v>5370313862</v>
      </c>
      <c r="D24" s="3745"/>
      <c r="F24" s="3745"/>
      <c r="G24" s="3745"/>
      <c r="H24" s="3745"/>
      <c r="I24" s="3745"/>
      <c r="J24" s="3745"/>
      <c r="K24" s="3745"/>
      <c r="L24" s="3745"/>
      <c r="M24" s="3745"/>
    </row>
    <row r="25" spans="1:14" ht="20.25" customHeight="1" x14ac:dyDescent="0.2">
      <c r="A25" s="3753" t="s">
        <v>2208</v>
      </c>
      <c r="B25" s="3754"/>
      <c r="C25" s="3755">
        <f>SUM('1.sz.mell.'!L120)*-1</f>
        <v>-5371104627</v>
      </c>
    </row>
    <row r="26" spans="1:14" ht="20.25" customHeight="1" x14ac:dyDescent="0.2">
      <c r="A26" s="3753" t="s">
        <v>2209</v>
      </c>
      <c r="B26" s="3754"/>
      <c r="C26" s="3755">
        <f>SUM('1.1.sz.mell  '!L52)</f>
        <v>5116049774</v>
      </c>
    </row>
    <row r="27" spans="1:14" ht="20.25" customHeight="1" x14ac:dyDescent="0.2">
      <c r="A27" s="3753" t="s">
        <v>2210</v>
      </c>
      <c r="B27" s="3754"/>
      <c r="C27" s="3755">
        <f>SUM('1.1.sz.mell  '!L84)*-1</f>
        <v>-3500805617</v>
      </c>
    </row>
    <row r="28" spans="1:14" ht="20.25" customHeight="1" x14ac:dyDescent="0.2">
      <c r="A28" s="3753" t="s">
        <v>2211</v>
      </c>
      <c r="B28" s="3754"/>
      <c r="C28" s="3755">
        <f>SUM('1.sz.mell.'!L64)*-1</f>
        <v>-1311873610</v>
      </c>
      <c r="F28" s="3756"/>
    </row>
    <row r="29" spans="1:14" ht="20.25" customHeight="1" x14ac:dyDescent="0.2">
      <c r="A29" s="3753" t="s">
        <v>2212</v>
      </c>
      <c r="B29" s="3754"/>
      <c r="C29" s="3755"/>
      <c r="F29" s="3756"/>
    </row>
    <row r="30" spans="1:14" ht="33" customHeight="1" x14ac:dyDescent="0.25">
      <c r="A30" s="4212" t="s">
        <v>2191</v>
      </c>
      <c r="B30" s="3754"/>
      <c r="C30" s="3752">
        <f>SUM(H15)</f>
        <v>65365330</v>
      </c>
    </row>
    <row r="31" spans="1:14" ht="20.25" customHeight="1" thickBot="1" x14ac:dyDescent="0.25">
      <c r="A31" s="3757"/>
      <c r="B31" s="3758"/>
      <c r="C31" s="3759"/>
    </row>
    <row r="32" spans="1:14" ht="20.25" customHeight="1" thickTop="1" thickBot="1" x14ac:dyDescent="0.3">
      <c r="A32" s="4213" t="s">
        <v>2213</v>
      </c>
      <c r="B32" s="4214"/>
      <c r="C32" s="4215">
        <f>SUM(C19:C30)</f>
        <v>1828530034</v>
      </c>
      <c r="G32" s="3756"/>
    </row>
    <row r="33" spans="1:6" ht="20.25" customHeight="1" thickTop="1" x14ac:dyDescent="0.2">
      <c r="A33" s="3609"/>
      <c r="B33" s="3609"/>
      <c r="C33" s="3609"/>
    </row>
    <row r="34" spans="1:6" ht="20.25" customHeight="1" x14ac:dyDescent="0.2"/>
    <row r="35" spans="1:6" ht="20.25" customHeight="1" x14ac:dyDescent="0.2">
      <c r="A35" s="3737" t="s">
        <v>2214</v>
      </c>
      <c r="B35" s="3760">
        <f>SUM(C24+C26-E15)</f>
        <v>0</v>
      </c>
    </row>
    <row r="36" spans="1:6" ht="20.25" customHeight="1" x14ac:dyDescent="0.2">
      <c r="A36" s="3737" t="s">
        <v>2215</v>
      </c>
      <c r="B36" s="3760">
        <f>SUM(C25+C27+C15)</f>
        <v>0</v>
      </c>
      <c r="F36" s="3761"/>
    </row>
    <row r="37" spans="1:6" ht="20.25" customHeight="1" x14ac:dyDescent="0.2"/>
    <row r="38" spans="1:6" ht="20.25" customHeight="1" x14ac:dyDescent="0.2">
      <c r="A38" s="3737" t="s">
        <v>2216</v>
      </c>
      <c r="B38" s="3756">
        <v>1828530034</v>
      </c>
    </row>
    <row r="40" spans="1:6" x14ac:dyDescent="0.2">
      <c r="A40" s="3737" t="s">
        <v>279</v>
      </c>
      <c r="B40" s="3756">
        <f>SUM(B38-C32)</f>
        <v>0</v>
      </c>
    </row>
    <row r="42" spans="1:6" x14ac:dyDescent="0.2">
      <c r="A42" s="3737" t="s">
        <v>2217</v>
      </c>
      <c r="B42" s="3756">
        <v>1828530034</v>
      </c>
    </row>
    <row r="44" spans="1:6" x14ac:dyDescent="0.2">
      <c r="A44" s="3737" t="s">
        <v>893</v>
      </c>
      <c r="B44" s="3756">
        <f>SUM(M15-B42)</f>
        <v>0</v>
      </c>
    </row>
    <row r="47" spans="1:6" x14ac:dyDescent="0.2">
      <c r="A47" s="3737" t="s">
        <v>299</v>
      </c>
      <c r="B47" s="3745">
        <f>SUM(C24+C26)</f>
        <v>10486363636</v>
      </c>
    </row>
    <row r="49" spans="1:2" x14ac:dyDescent="0.2">
      <c r="A49" s="3737" t="s">
        <v>893</v>
      </c>
      <c r="B49" s="3745">
        <f>SUM(B47-E15)</f>
        <v>0</v>
      </c>
    </row>
    <row r="53" spans="1:2" x14ac:dyDescent="0.2">
      <c r="A53" s="3737" t="s">
        <v>517</v>
      </c>
      <c r="B53" s="3745">
        <f>SUM(C25+C27)</f>
        <v>-8871910244</v>
      </c>
    </row>
    <row r="55" spans="1:2" x14ac:dyDescent="0.2">
      <c r="A55" s="3737" t="s">
        <v>893</v>
      </c>
      <c r="B55" s="3745">
        <f>SUM(B53+C15)</f>
        <v>0</v>
      </c>
    </row>
  </sheetData>
  <pageMargins left="0.70866141732283472" right="0.70866141732283472" top="0.74803149606299213" bottom="0.74803149606299213" header="0.31496062992125984" footer="0.31496062992125984"/>
  <pageSetup paperSize="9" scale="53" firstPageNumber="122" orientation="landscape" useFirstPageNumber="1" r:id="rId1"/>
  <headerFooter>
    <oddHeader>&amp;C&amp;"Times New Roman CE,Félkövér"&amp;14Vecsés Város nkormányzat pénzkészletváltozás levezetése&amp;R&amp;12 13. számú melléklet</oddHeader>
    <oddFooter>&amp;C&amp;12- &amp;P -</oddFooter>
  </headerFooter>
  <rowBreaks count="1" manualBreakCount="1">
    <brk id="3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H16"/>
  <sheetViews>
    <sheetView workbookViewId="0">
      <selection activeCell="K23" sqref="K23"/>
    </sheetView>
  </sheetViews>
  <sheetFormatPr defaultColWidth="8.83203125" defaultRowHeight="12.75" x14ac:dyDescent="0.2"/>
  <cols>
    <col min="1" max="1" width="8.83203125" style="3609"/>
    <col min="2" max="2" width="46.6640625" style="3609" customWidth="1"/>
    <col min="3" max="3" width="14" style="3609" customWidth="1"/>
    <col min="4" max="4" width="12.5" style="3609" customWidth="1"/>
    <col min="5" max="8" width="14" style="3609" customWidth="1"/>
    <col min="9" max="16384" width="8.83203125" style="3609"/>
  </cols>
  <sheetData>
    <row r="1" spans="1:8" ht="16.5" thickBot="1" x14ac:dyDescent="0.25">
      <c r="A1" s="3670"/>
      <c r="B1" s="3671"/>
      <c r="C1" s="3671"/>
      <c r="D1" s="3671"/>
      <c r="E1" s="3671"/>
      <c r="F1" s="3671"/>
      <c r="G1" s="3671"/>
      <c r="H1" s="3702" t="s">
        <v>2154</v>
      </c>
    </row>
    <row r="2" spans="1:8" ht="19.5" thickBot="1" x14ac:dyDescent="0.25">
      <c r="A2" s="4707" t="s">
        <v>1</v>
      </c>
      <c r="B2" s="4708" t="s">
        <v>2146</v>
      </c>
      <c r="C2" s="4707" t="s">
        <v>2147</v>
      </c>
      <c r="D2" s="4707" t="s">
        <v>2148</v>
      </c>
      <c r="E2" s="4709" t="s">
        <v>2149</v>
      </c>
      <c r="F2" s="4709"/>
      <c r="G2" s="4709"/>
      <c r="H2" s="4710"/>
    </row>
    <row r="3" spans="1:8" ht="36.6" customHeight="1" thickBot="1" x14ac:dyDescent="0.25">
      <c r="A3" s="4707"/>
      <c r="B3" s="4708"/>
      <c r="C3" s="4708"/>
      <c r="D3" s="4707"/>
      <c r="E3" s="3672" t="s">
        <v>2040</v>
      </c>
      <c r="F3" s="3672" t="s">
        <v>2041</v>
      </c>
      <c r="G3" s="3672" t="s">
        <v>2043</v>
      </c>
      <c r="H3" s="3673" t="s">
        <v>2153</v>
      </c>
    </row>
    <row r="4" spans="1:8" ht="17.25" thickBot="1" x14ac:dyDescent="0.25">
      <c r="A4" s="3674">
        <v>1</v>
      </c>
      <c r="B4" s="3675">
        <v>2</v>
      </c>
      <c r="C4" s="3675">
        <v>3</v>
      </c>
      <c r="D4" s="3676">
        <v>4</v>
      </c>
      <c r="E4" s="3674">
        <v>5</v>
      </c>
      <c r="F4" s="3676">
        <v>6</v>
      </c>
      <c r="G4" s="3676">
        <v>7</v>
      </c>
      <c r="H4" s="3677">
        <v>8</v>
      </c>
    </row>
    <row r="5" spans="1:8" ht="16.5" thickBot="1" x14ac:dyDescent="0.25">
      <c r="A5" s="3678" t="s">
        <v>3</v>
      </c>
      <c r="B5" s="3679" t="s">
        <v>2150</v>
      </c>
      <c r="C5" s="3680"/>
      <c r="D5" s="3681"/>
      <c r="E5" s="3682">
        <f>SUM(E6:E9)</f>
        <v>0</v>
      </c>
      <c r="F5" s="3683">
        <f>SUM(F6:F9)</f>
        <v>0</v>
      </c>
      <c r="G5" s="3683">
        <f>SUM(G6:G9)</f>
        <v>0</v>
      </c>
      <c r="H5" s="3684">
        <f>SUM(H6:H9)</f>
        <v>0</v>
      </c>
    </row>
    <row r="6" spans="1:8" ht="15.75" x14ac:dyDescent="0.2">
      <c r="A6" s="3685" t="s">
        <v>17</v>
      </c>
      <c r="B6" s="3686"/>
      <c r="C6" s="3687"/>
      <c r="D6" s="3688"/>
      <c r="E6" s="3689">
        <v>0</v>
      </c>
      <c r="F6" s="3690"/>
      <c r="G6" s="3690"/>
      <c r="H6" s="3691"/>
    </row>
    <row r="7" spans="1:8" ht="15.75" x14ac:dyDescent="0.2">
      <c r="A7" s="3685" t="s">
        <v>31</v>
      </c>
      <c r="B7" s="3686"/>
      <c r="C7" s="3687"/>
      <c r="D7" s="3688"/>
      <c r="E7" s="3689"/>
      <c r="F7" s="3690"/>
      <c r="G7" s="3690"/>
      <c r="H7" s="3691"/>
    </row>
    <row r="8" spans="1:8" ht="15.75" x14ac:dyDescent="0.2">
      <c r="A8" s="3685" t="s">
        <v>45</v>
      </c>
      <c r="B8" s="3686"/>
      <c r="C8" s="3687"/>
      <c r="D8" s="3688"/>
      <c r="E8" s="3689"/>
      <c r="F8" s="3690"/>
      <c r="G8" s="3690"/>
      <c r="H8" s="3691"/>
    </row>
    <row r="9" spans="1:8" ht="16.5" thickBot="1" x14ac:dyDescent="0.25">
      <c r="A9" s="3685" t="s">
        <v>67</v>
      </c>
      <c r="B9" s="3686"/>
      <c r="C9" s="3687"/>
      <c r="D9" s="3688"/>
      <c r="E9" s="3689"/>
      <c r="F9" s="3690"/>
      <c r="G9" s="3690"/>
      <c r="H9" s="3691"/>
    </row>
    <row r="10" spans="1:8" ht="16.5" thickBot="1" x14ac:dyDescent="0.25">
      <c r="A10" s="3678" t="s">
        <v>79</v>
      </c>
      <c r="B10" s="3679" t="s">
        <v>2151</v>
      </c>
      <c r="C10" s="3680"/>
      <c r="D10" s="3681"/>
      <c r="E10" s="3692">
        <f>SUM(E11:E15)</f>
        <v>0</v>
      </c>
      <c r="F10" s="3692">
        <f>SUM(F11:F15)</f>
        <v>0</v>
      </c>
      <c r="G10" s="3692">
        <f>SUM(G11:G15)</f>
        <v>0</v>
      </c>
      <c r="H10" s="3703">
        <f>SUM(H11:H15)</f>
        <v>0</v>
      </c>
    </row>
    <row r="11" spans="1:8" ht="15.75" x14ac:dyDescent="0.2">
      <c r="A11" s="3685" t="s">
        <v>89</v>
      </c>
      <c r="B11" s="3686"/>
      <c r="C11" s="3687"/>
      <c r="D11" s="3688"/>
      <c r="E11" s="3689"/>
      <c r="F11" s="3693"/>
      <c r="G11" s="3693"/>
      <c r="H11" s="3704"/>
    </row>
    <row r="12" spans="1:8" ht="15.75" x14ac:dyDescent="0.2">
      <c r="A12" s="3685" t="s">
        <v>99</v>
      </c>
      <c r="B12" s="3686"/>
      <c r="C12" s="3687"/>
      <c r="D12" s="3688"/>
      <c r="E12" s="3689"/>
      <c r="F12" s="3693"/>
      <c r="G12" s="3693"/>
      <c r="H12" s="3704"/>
    </row>
    <row r="13" spans="1:8" ht="15.75" x14ac:dyDescent="0.2">
      <c r="A13" s="3685" t="s">
        <v>101</v>
      </c>
      <c r="B13" s="3686"/>
      <c r="C13" s="3687"/>
      <c r="D13" s="3688"/>
      <c r="E13" s="3689"/>
      <c r="F13" s="3693"/>
      <c r="G13" s="3693"/>
      <c r="H13" s="3704"/>
    </row>
    <row r="14" spans="1:8" ht="15.75" x14ac:dyDescent="0.2">
      <c r="A14" s="3685" t="s">
        <v>109</v>
      </c>
      <c r="B14" s="3686"/>
      <c r="C14" s="3687"/>
      <c r="D14" s="3688"/>
      <c r="E14" s="3689"/>
      <c r="F14" s="3693"/>
      <c r="G14" s="3693"/>
      <c r="H14" s="3704"/>
    </row>
    <row r="15" spans="1:8" ht="16.5" thickBot="1" x14ac:dyDescent="0.25">
      <c r="A15" s="3694" t="s">
        <v>119</v>
      </c>
      <c r="B15" s="3686"/>
      <c r="C15" s="3687"/>
      <c r="D15" s="3688"/>
      <c r="E15" s="3689"/>
      <c r="F15" s="3693"/>
      <c r="G15" s="3693"/>
      <c r="H15" s="3704"/>
    </row>
    <row r="16" spans="1:8" ht="19.5" thickBot="1" x14ac:dyDescent="0.25">
      <c r="A16" s="3695" t="s">
        <v>125</v>
      </c>
      <c r="B16" s="3696" t="s">
        <v>2152</v>
      </c>
      <c r="C16" s="3697"/>
      <c r="D16" s="3698"/>
      <c r="E16" s="3699">
        <f>E5+E10</f>
        <v>0</v>
      </c>
      <c r="F16" s="3700">
        <f>F5+F10</f>
        <v>0</v>
      </c>
      <c r="G16" s="3700">
        <f>G5+G10</f>
        <v>0</v>
      </c>
      <c r="H16" s="3701">
        <f>H5+H10</f>
        <v>0</v>
      </c>
    </row>
  </sheetData>
  <mergeCells count="5">
    <mergeCell ref="A2:A3"/>
    <mergeCell ref="B2:B3"/>
    <mergeCell ref="C2:C3"/>
    <mergeCell ref="D2:D3"/>
    <mergeCell ref="E2:H2"/>
  </mergeCells>
  <pageMargins left="0.70866141732283472" right="0.70866141732283472" top="0.74803149606299213" bottom="0.74803149606299213" header="0.31496062992125984" footer="0.31496062992125984"/>
  <pageSetup paperSize="9" firstPageNumber="123" orientation="landscape" useFirstPageNumber="1" r:id="rId1"/>
  <headerFooter>
    <oddHeader>&amp;C&amp;"Times New Roman CE,Félkövér"&amp;14Vecsés Város Önkormányzatának nyújtott hitel és kölcsön alakulása 
lejárat és eszközök szerinti bontásban&amp;R&amp;12 14. sz. melléklet</oddHeader>
    <oddFooter>&amp;C- &amp;12&amp;P -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33"/>
  <sheetViews>
    <sheetView topLeftCell="A10" workbookViewId="0">
      <selection activeCell="E19" sqref="E19"/>
    </sheetView>
  </sheetViews>
  <sheetFormatPr defaultColWidth="9.33203125" defaultRowHeight="15" x14ac:dyDescent="0.25"/>
  <cols>
    <col min="1" max="1" width="35.6640625" style="3705" customWidth="1"/>
    <col min="2" max="2" width="6" style="3705" customWidth="1"/>
    <col min="3" max="3" width="14.5" style="3705" customWidth="1"/>
    <col min="4" max="4" width="14" style="3705" customWidth="1"/>
    <col min="5" max="5" width="14.33203125" style="3705" customWidth="1"/>
    <col min="6" max="6" width="15.6640625" style="3705" customWidth="1"/>
    <col min="7" max="16384" width="9.33203125" style="3705"/>
  </cols>
  <sheetData>
    <row r="1" spans="1:6" x14ac:dyDescent="0.25">
      <c r="A1" s="4711" t="s">
        <v>2155</v>
      </c>
      <c r="B1" s="4711"/>
      <c r="C1" s="4711"/>
      <c r="D1" s="4711"/>
      <c r="E1" s="4711"/>
      <c r="F1" s="4711"/>
    </row>
    <row r="2" spans="1:6" ht="15.75" thickBot="1" x14ac:dyDescent="0.3">
      <c r="F2" s="3706" t="s">
        <v>2156</v>
      </c>
    </row>
    <row r="3" spans="1:6" ht="15.75" thickBot="1" x14ac:dyDescent="0.3">
      <c r="A3" s="4712" t="s">
        <v>2037</v>
      </c>
      <c r="B3" s="4713" t="s">
        <v>1050</v>
      </c>
      <c r="C3" s="4714" t="s">
        <v>2157</v>
      </c>
      <c r="D3" s="4714"/>
      <c r="E3" s="4714"/>
      <c r="F3" s="4715" t="s">
        <v>2158</v>
      </c>
    </row>
    <row r="4" spans="1:6" ht="15.75" thickBot="1" x14ac:dyDescent="0.3">
      <c r="A4" s="4712"/>
      <c r="B4" s="4713"/>
      <c r="C4" s="4714"/>
      <c r="D4" s="4714"/>
      <c r="E4" s="4714"/>
      <c r="F4" s="4715"/>
    </row>
    <row r="5" spans="1:6" ht="15.75" thickBot="1" x14ac:dyDescent="0.3">
      <c r="A5" s="4712"/>
      <c r="B5" s="4713"/>
      <c r="C5" s="3707" t="s">
        <v>2040</v>
      </c>
      <c r="D5" s="3707" t="s">
        <v>2041</v>
      </c>
      <c r="E5" s="3707" t="s">
        <v>2043</v>
      </c>
      <c r="F5" s="4715"/>
    </row>
    <row r="6" spans="1:6" x14ac:dyDescent="0.25">
      <c r="A6" s="3708">
        <v>1</v>
      </c>
      <c r="B6" s="3709">
        <v>2</v>
      </c>
      <c r="C6" s="3709">
        <v>3</v>
      </c>
      <c r="D6" s="3709">
        <v>4</v>
      </c>
      <c r="E6" s="3709">
        <v>5</v>
      </c>
      <c r="F6" s="3710">
        <v>7</v>
      </c>
    </row>
    <row r="7" spans="1:6" x14ac:dyDescent="0.25">
      <c r="A7" s="3711" t="s">
        <v>32</v>
      </c>
      <c r="B7" s="3712" t="s">
        <v>2159</v>
      </c>
      <c r="C7" s="3713">
        <f>SUM('2. sz. mell'!L8)-C9</f>
        <v>3589098580</v>
      </c>
      <c r="D7" s="3713">
        <f>SUM(C7)-D9</f>
        <v>3579098580</v>
      </c>
      <c r="E7" s="3713">
        <f>SUM(D7)-E9</f>
        <v>3569098580</v>
      </c>
      <c r="F7" s="3714">
        <f t="shared" ref="F7:F33" si="0">+C7+D7+E7</f>
        <v>10737295740</v>
      </c>
    </row>
    <row r="8" spans="1:6" x14ac:dyDescent="0.25">
      <c r="A8" s="3711" t="s">
        <v>2160</v>
      </c>
      <c r="B8" s="3712" t="s">
        <v>2161</v>
      </c>
      <c r="C8" s="3713"/>
      <c r="D8" s="3713"/>
      <c r="E8" s="3713"/>
      <c r="F8" s="3714">
        <f t="shared" si="0"/>
        <v>0</v>
      </c>
    </row>
    <row r="9" spans="1:6" x14ac:dyDescent="0.25">
      <c r="A9" s="3711" t="s">
        <v>2162</v>
      </c>
      <c r="B9" s="3712" t="s">
        <v>2163</v>
      </c>
      <c r="C9" s="3713">
        <f>SUM('3.1. Cofog'!R99)</f>
        <v>6034251</v>
      </c>
      <c r="D9" s="3713">
        <v>10000000</v>
      </c>
      <c r="E9" s="3713">
        <v>10000000</v>
      </c>
      <c r="F9" s="3714">
        <f t="shared" si="0"/>
        <v>26034251</v>
      </c>
    </row>
    <row r="10" spans="1:6" ht="33.75" x14ac:dyDescent="0.25">
      <c r="A10" s="3711" t="s">
        <v>2164</v>
      </c>
      <c r="B10" s="3712" t="s">
        <v>2165</v>
      </c>
      <c r="C10" s="3713">
        <f>SUM('2. sz. mell'!L29)</f>
        <v>20000</v>
      </c>
      <c r="D10" s="3715">
        <v>0</v>
      </c>
      <c r="E10" s="3715">
        <v>0</v>
      </c>
      <c r="F10" s="3714">
        <f t="shared" si="0"/>
        <v>20000</v>
      </c>
    </row>
    <row r="11" spans="1:6" x14ac:dyDescent="0.25">
      <c r="A11" s="3711" t="s">
        <v>2050</v>
      </c>
      <c r="B11" s="3712" t="s">
        <v>2166</v>
      </c>
      <c r="C11" s="3713"/>
      <c r="D11" s="3713"/>
      <c r="E11" s="3713"/>
      <c r="F11" s="3714">
        <v>0</v>
      </c>
    </row>
    <row r="12" spans="1:6" ht="22.5" x14ac:dyDescent="0.25">
      <c r="A12" s="3711" t="s">
        <v>2051</v>
      </c>
      <c r="B12" s="3712" t="s">
        <v>2167</v>
      </c>
      <c r="C12" s="3713"/>
      <c r="D12" s="3713"/>
      <c r="E12" s="3713"/>
      <c r="F12" s="3714">
        <f t="shared" si="0"/>
        <v>0</v>
      </c>
    </row>
    <row r="13" spans="1:6" ht="15.75" thickBot="1" x14ac:dyDescent="0.3">
      <c r="A13" s="3716" t="s">
        <v>2052</v>
      </c>
      <c r="B13" s="3717" t="s">
        <v>2168</v>
      </c>
      <c r="C13" s="3718"/>
      <c r="D13" s="3718"/>
      <c r="E13" s="3718"/>
      <c r="F13" s="3719">
        <f t="shared" si="0"/>
        <v>0</v>
      </c>
    </row>
    <row r="14" spans="1:6" ht="15.75" thickBot="1" x14ac:dyDescent="0.3">
      <c r="A14" s="3720" t="s">
        <v>2169</v>
      </c>
      <c r="B14" s="3721" t="s">
        <v>2170</v>
      </c>
      <c r="C14" s="3722">
        <f>SUM(C7:C13)</f>
        <v>3595152831</v>
      </c>
      <c r="D14" s="3722">
        <f>SUM(D7:D13)</f>
        <v>3589098580</v>
      </c>
      <c r="E14" s="3722">
        <f>SUM(E7:E13)</f>
        <v>3579098580</v>
      </c>
      <c r="F14" s="3735">
        <f t="shared" si="0"/>
        <v>10763349991</v>
      </c>
    </row>
    <row r="15" spans="1:6" ht="15.75" thickBot="1" x14ac:dyDescent="0.3">
      <c r="A15" s="3723" t="s">
        <v>2171</v>
      </c>
      <c r="B15" s="3724" t="s">
        <v>2172</v>
      </c>
      <c r="C15" s="3725">
        <f>+C14*0.5</f>
        <v>1797576415.5</v>
      </c>
      <c r="D15" s="3725">
        <f>+D14*0.5</f>
        <v>1794549290</v>
      </c>
      <c r="E15" s="3725">
        <f>+E14*0.5</f>
        <v>1789549290</v>
      </c>
      <c r="F15" s="3736">
        <f t="shared" si="0"/>
        <v>5381674995.5</v>
      </c>
    </row>
    <row r="16" spans="1:6" ht="21.75" thickBot="1" x14ac:dyDescent="0.3">
      <c r="A16" s="3720" t="s">
        <v>2173</v>
      </c>
      <c r="B16" s="3726">
        <v>10</v>
      </c>
      <c r="C16" s="3722">
        <f>SUM(C17:C23)</f>
        <v>0</v>
      </c>
      <c r="D16" s="3722">
        <f>SUM(D17:D23)</f>
        <v>10858889</v>
      </c>
      <c r="E16" s="3722">
        <f>SUM(E17:E23)</f>
        <v>32137049</v>
      </c>
      <c r="F16" s="3727">
        <f t="shared" si="0"/>
        <v>42995938</v>
      </c>
    </row>
    <row r="17" spans="1:6" ht="22.5" x14ac:dyDescent="0.25">
      <c r="A17" s="3728" t="s">
        <v>2174</v>
      </c>
      <c r="B17" s="3729">
        <v>11</v>
      </c>
      <c r="C17" s="3730">
        <v>0</v>
      </c>
      <c r="D17" s="3730">
        <v>0</v>
      </c>
      <c r="E17" s="3730">
        <v>20408160</v>
      </c>
      <c r="F17" s="3731">
        <f t="shared" si="0"/>
        <v>20408160</v>
      </c>
    </row>
    <row r="18" spans="1:6" ht="22.5" x14ac:dyDescent="0.25">
      <c r="A18" s="3711" t="s">
        <v>2175</v>
      </c>
      <c r="B18" s="3732">
        <v>12</v>
      </c>
      <c r="C18" s="3713"/>
      <c r="D18" s="3713">
        <v>10858889</v>
      </c>
      <c r="E18" s="3713">
        <v>11728889</v>
      </c>
      <c r="F18" s="3714">
        <f t="shared" si="0"/>
        <v>22587778</v>
      </c>
    </row>
    <row r="19" spans="1:6" x14ac:dyDescent="0.25">
      <c r="A19" s="3711" t="s">
        <v>2176</v>
      </c>
      <c r="B19" s="3732">
        <v>13</v>
      </c>
      <c r="C19" s="3713"/>
      <c r="D19" s="3713"/>
      <c r="E19" s="3713"/>
      <c r="F19" s="3714">
        <f t="shared" si="0"/>
        <v>0</v>
      </c>
    </row>
    <row r="20" spans="1:6" x14ac:dyDescent="0.25">
      <c r="A20" s="3711" t="s">
        <v>2177</v>
      </c>
      <c r="B20" s="3732">
        <v>14</v>
      </c>
      <c r="C20" s="3713"/>
      <c r="D20" s="3713"/>
      <c r="E20" s="3713"/>
      <c r="F20" s="3714">
        <f t="shared" si="0"/>
        <v>0</v>
      </c>
    </row>
    <row r="21" spans="1:6" x14ac:dyDescent="0.25">
      <c r="A21" s="3711" t="s">
        <v>2178</v>
      </c>
      <c r="B21" s="3732">
        <v>15</v>
      </c>
      <c r="C21" s="3713"/>
      <c r="D21" s="3713"/>
      <c r="E21" s="3713"/>
      <c r="F21" s="3714">
        <f t="shared" si="0"/>
        <v>0</v>
      </c>
    </row>
    <row r="22" spans="1:6" x14ac:dyDescent="0.25">
      <c r="A22" s="3711" t="s">
        <v>2179</v>
      </c>
      <c r="B22" s="3732">
        <v>16</v>
      </c>
      <c r="C22" s="3713"/>
      <c r="D22" s="3713"/>
      <c r="E22" s="3713"/>
      <c r="F22" s="3714">
        <f t="shared" si="0"/>
        <v>0</v>
      </c>
    </row>
    <row r="23" spans="1:6" ht="23.25" thickBot="1" x14ac:dyDescent="0.3">
      <c r="A23" s="3716" t="s">
        <v>2180</v>
      </c>
      <c r="B23" s="3733">
        <v>17</v>
      </c>
      <c r="C23" s="3718"/>
      <c r="D23" s="3718"/>
      <c r="E23" s="3718"/>
      <c r="F23" s="3719">
        <f t="shared" si="0"/>
        <v>0</v>
      </c>
    </row>
    <row r="24" spans="1:6" ht="32.25" thickBot="1" x14ac:dyDescent="0.3">
      <c r="A24" s="3720" t="s">
        <v>2181</v>
      </c>
      <c r="B24" s="3726">
        <v>18</v>
      </c>
      <c r="C24" s="3722">
        <f>SUM(C25:C31)</f>
        <v>0</v>
      </c>
      <c r="D24" s="3722">
        <f>SUM(D25:D31)</f>
        <v>0</v>
      </c>
      <c r="E24" s="3722">
        <f>SUM(E25:E31)</f>
        <v>0</v>
      </c>
      <c r="F24" s="3727">
        <f t="shared" si="0"/>
        <v>0</v>
      </c>
    </row>
    <row r="25" spans="1:6" ht="22.5" x14ac:dyDescent="0.25">
      <c r="A25" s="3728" t="s">
        <v>2174</v>
      </c>
      <c r="B25" s="3729">
        <v>19</v>
      </c>
      <c r="C25" s="3730"/>
      <c r="D25" s="3734"/>
      <c r="E25" s="3734"/>
      <c r="F25" s="3731">
        <f t="shared" si="0"/>
        <v>0</v>
      </c>
    </row>
    <row r="26" spans="1:6" ht="22.5" x14ac:dyDescent="0.25">
      <c r="A26" s="3711" t="s">
        <v>2175</v>
      </c>
      <c r="B26" s="3732">
        <v>20</v>
      </c>
      <c r="C26" s="3713"/>
      <c r="D26" s="3713"/>
      <c r="E26" s="3713"/>
      <c r="F26" s="3714">
        <f t="shared" si="0"/>
        <v>0</v>
      </c>
    </row>
    <row r="27" spans="1:6" x14ac:dyDescent="0.25">
      <c r="A27" s="3711" t="s">
        <v>2176</v>
      </c>
      <c r="B27" s="3732">
        <v>21</v>
      </c>
      <c r="C27" s="3713"/>
      <c r="D27" s="3713"/>
      <c r="E27" s="3713"/>
      <c r="F27" s="3714">
        <f t="shared" si="0"/>
        <v>0</v>
      </c>
    </row>
    <row r="28" spans="1:6" x14ac:dyDescent="0.25">
      <c r="A28" s="3711" t="s">
        <v>2177</v>
      </c>
      <c r="B28" s="3732">
        <v>22</v>
      </c>
      <c r="C28" s="3713"/>
      <c r="D28" s="3713"/>
      <c r="E28" s="3713"/>
      <c r="F28" s="3714">
        <f t="shared" si="0"/>
        <v>0</v>
      </c>
    </row>
    <row r="29" spans="1:6" x14ac:dyDescent="0.25">
      <c r="A29" s="3711" t="s">
        <v>2178</v>
      </c>
      <c r="B29" s="3732">
        <v>23</v>
      </c>
      <c r="C29" s="3713"/>
      <c r="D29" s="3713"/>
      <c r="E29" s="3713"/>
      <c r="F29" s="3714">
        <f t="shared" si="0"/>
        <v>0</v>
      </c>
    </row>
    <row r="30" spans="1:6" x14ac:dyDescent="0.25">
      <c r="A30" s="3711" t="s">
        <v>2179</v>
      </c>
      <c r="B30" s="3732">
        <v>24</v>
      </c>
      <c r="C30" s="3713"/>
      <c r="D30" s="3713"/>
      <c r="E30" s="3713"/>
      <c r="F30" s="3714">
        <f t="shared" si="0"/>
        <v>0</v>
      </c>
    </row>
    <row r="31" spans="1:6" ht="23.25" thickBot="1" x14ac:dyDescent="0.3">
      <c r="A31" s="3716" t="s">
        <v>2180</v>
      </c>
      <c r="B31" s="3733">
        <v>25</v>
      </c>
      <c r="C31" s="3718"/>
      <c r="D31" s="3718"/>
      <c r="E31" s="3718"/>
      <c r="F31" s="3719">
        <f t="shared" si="0"/>
        <v>0</v>
      </c>
    </row>
    <row r="32" spans="1:6" ht="21.75" thickBot="1" x14ac:dyDescent="0.3">
      <c r="A32" s="3720" t="s">
        <v>2182</v>
      </c>
      <c r="B32" s="3726">
        <v>26</v>
      </c>
      <c r="C32" s="3722">
        <f>+C16+C24</f>
        <v>0</v>
      </c>
      <c r="D32" s="3722">
        <f>+D16+D24</f>
        <v>10858889</v>
      </c>
      <c r="E32" s="3722">
        <f>+E16+E24</f>
        <v>32137049</v>
      </c>
      <c r="F32" s="3727">
        <f t="shared" si="0"/>
        <v>42995938</v>
      </c>
    </row>
    <row r="33" spans="1:6" ht="21.75" thickBot="1" x14ac:dyDescent="0.3">
      <c r="A33" s="3720" t="s">
        <v>2183</v>
      </c>
      <c r="B33" s="3726">
        <v>27</v>
      </c>
      <c r="C33" s="3722">
        <f>+C15-C32</f>
        <v>1797576415.5</v>
      </c>
      <c r="D33" s="3722">
        <f>+D15-D32</f>
        <v>1783690401</v>
      </c>
      <c r="E33" s="3722">
        <f>+E15-E32</f>
        <v>1757412241</v>
      </c>
      <c r="F33" s="3735">
        <f t="shared" si="0"/>
        <v>5338679057.5</v>
      </c>
    </row>
  </sheetData>
  <mergeCells count="5">
    <mergeCell ref="A1:F1"/>
    <mergeCell ref="A3:A5"/>
    <mergeCell ref="B3:B5"/>
    <mergeCell ref="C3:E4"/>
    <mergeCell ref="F3:F5"/>
  </mergeCells>
  <pageMargins left="0.70866141732283472" right="0.70866141732283472" top="0.74803149606299213" bottom="0.74803149606299213" header="0.31496062992125984" footer="0.31496062992125984"/>
  <pageSetup paperSize="9" scale="97" firstPageNumber="124" orientation="portrait" useFirstPageNumber="1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C01AA-D681-4323-9A19-FCD036774981}">
  <dimension ref="A1:C24"/>
  <sheetViews>
    <sheetView tabSelected="1" view="pageBreakPreview" zoomScaleNormal="100" zoomScaleSheetLayoutView="100" workbookViewId="0">
      <selection activeCell="C8" sqref="C8"/>
    </sheetView>
  </sheetViews>
  <sheetFormatPr defaultColWidth="8.83203125" defaultRowHeight="12.75" x14ac:dyDescent="0.2"/>
  <cols>
    <col min="1" max="1" width="13.1640625" style="4062" customWidth="1"/>
    <col min="2" max="2" width="69.83203125" style="4062" customWidth="1"/>
    <col min="3" max="3" width="20.5" style="4062" customWidth="1"/>
    <col min="4" max="16384" width="8.83203125" style="4062"/>
  </cols>
  <sheetData>
    <row r="1" spans="1:3" ht="21.75" customHeight="1" x14ac:dyDescent="0.2"/>
    <row r="2" spans="1:3" ht="50.25" customHeight="1" x14ac:dyDescent="0.2">
      <c r="A2" s="4716" t="s">
        <v>2399</v>
      </c>
      <c r="B2" s="4716"/>
      <c r="C2" s="4716"/>
    </row>
    <row r="3" spans="1:3" ht="13.5" thickBot="1" x14ac:dyDescent="0.25"/>
    <row r="4" spans="1:3" ht="21" customHeight="1" thickBot="1" x14ac:dyDescent="0.25">
      <c r="A4" s="4072" t="s">
        <v>540</v>
      </c>
      <c r="B4" s="4073" t="s">
        <v>2400</v>
      </c>
      <c r="C4" s="4074" t="s">
        <v>2401</v>
      </c>
    </row>
    <row r="5" spans="1:3" ht="21" customHeight="1" x14ac:dyDescent="0.25">
      <c r="A5" s="4075" t="s">
        <v>3</v>
      </c>
      <c r="B5" s="4076" t="s">
        <v>2402</v>
      </c>
      <c r="C5" s="4077">
        <v>5370313862</v>
      </c>
    </row>
    <row r="6" spans="1:3" ht="21" customHeight="1" x14ac:dyDescent="0.25">
      <c r="A6" s="4078" t="s">
        <v>17</v>
      </c>
      <c r="B6" s="2518" t="s">
        <v>2403</v>
      </c>
      <c r="C6" s="2520">
        <v>5371104627</v>
      </c>
    </row>
    <row r="7" spans="1:3" ht="21" customHeight="1" x14ac:dyDescent="0.25">
      <c r="A7" s="4078" t="s">
        <v>31</v>
      </c>
      <c r="B7" s="4079" t="s">
        <v>2404</v>
      </c>
      <c r="C7" s="4080">
        <f>SUM(C5-C6)</f>
        <v>-790765</v>
      </c>
    </row>
    <row r="8" spans="1:3" ht="21" customHeight="1" x14ac:dyDescent="0.25">
      <c r="A8" s="4078" t="s">
        <v>45</v>
      </c>
      <c r="B8" s="2518" t="s">
        <v>2405</v>
      </c>
      <c r="C8" s="2520">
        <v>5116049774</v>
      </c>
    </row>
    <row r="9" spans="1:3" ht="21" customHeight="1" x14ac:dyDescent="0.25">
      <c r="A9" s="4078" t="s">
        <v>67</v>
      </c>
      <c r="B9" s="2518" t="s">
        <v>2406</v>
      </c>
      <c r="C9" s="2520">
        <v>3500805617</v>
      </c>
    </row>
    <row r="10" spans="1:3" ht="21" customHeight="1" x14ac:dyDescent="0.25">
      <c r="A10" s="4078" t="s">
        <v>79</v>
      </c>
      <c r="B10" s="4079" t="s">
        <v>2407</v>
      </c>
      <c r="C10" s="4080">
        <f>SUM(C8-C9)</f>
        <v>1615244157</v>
      </c>
    </row>
    <row r="11" spans="1:3" ht="21" customHeight="1" x14ac:dyDescent="0.25">
      <c r="A11" s="4078" t="s">
        <v>89</v>
      </c>
      <c r="B11" s="2518" t="s">
        <v>2408</v>
      </c>
      <c r="C11" s="2520">
        <f>SUM(C10,C7)</f>
        <v>1614453392</v>
      </c>
    </row>
    <row r="12" spans="1:3" ht="21" customHeight="1" x14ac:dyDescent="0.25">
      <c r="A12" s="4078" t="s">
        <v>99</v>
      </c>
      <c r="B12" s="4079" t="s">
        <v>2409</v>
      </c>
      <c r="C12" s="4080">
        <f>SUM(C11)</f>
        <v>1614453392</v>
      </c>
    </row>
    <row r="13" spans="1:3" ht="21" customHeight="1" x14ac:dyDescent="0.25">
      <c r="A13" s="4078" t="s">
        <v>101</v>
      </c>
      <c r="B13" s="2518" t="s">
        <v>2410</v>
      </c>
      <c r="C13" s="2520">
        <v>983888874</v>
      </c>
    </row>
    <row r="14" spans="1:3" ht="21" customHeight="1" thickBot="1" x14ac:dyDescent="0.3">
      <c r="A14" s="4081" t="s">
        <v>109</v>
      </c>
      <c r="B14" s="4082" t="s">
        <v>2411</v>
      </c>
      <c r="C14" s="4083">
        <f>SUM(C12-C13)</f>
        <v>630564518</v>
      </c>
    </row>
    <row r="15" spans="1:3" ht="21" customHeight="1" x14ac:dyDescent="0.25">
      <c r="A15" s="4084"/>
      <c r="B15" s="4084"/>
      <c r="C15" s="2521"/>
    </row>
    <row r="16" spans="1:3" ht="21" customHeight="1" x14ac:dyDescent="0.25">
      <c r="A16" s="4084"/>
      <c r="B16" s="4084"/>
      <c r="C16" s="4084"/>
    </row>
    <row r="17" spans="1:3" ht="21" customHeight="1" x14ac:dyDescent="0.25">
      <c r="A17" s="4084"/>
      <c r="B17" s="4084"/>
      <c r="C17" s="4084"/>
    </row>
    <row r="18" spans="1:3" ht="21" customHeight="1" x14ac:dyDescent="0.2"/>
    <row r="19" spans="1:3" ht="21" customHeight="1" x14ac:dyDescent="0.2"/>
    <row r="20" spans="1:3" ht="21" customHeight="1" x14ac:dyDescent="0.2"/>
    <row r="21" spans="1:3" ht="21" customHeight="1" x14ac:dyDescent="0.2"/>
    <row r="22" spans="1:3" ht="21" customHeight="1" x14ac:dyDescent="0.2"/>
    <row r="23" spans="1:3" ht="21" customHeight="1" x14ac:dyDescent="0.2"/>
    <row r="24" spans="1:3" ht="21" customHeight="1" x14ac:dyDescent="0.2"/>
  </sheetData>
  <mergeCells count="1">
    <mergeCell ref="A2:C2"/>
  </mergeCells>
  <printOptions horizontalCentered="1"/>
  <pageMargins left="0.23622047244094491" right="0.31496062992125984" top="0.74803149606299213" bottom="0.74803149606299213" header="0.31496062992125984" footer="0.31496062992125984"/>
  <pageSetup paperSize="9" firstPageNumber="125" orientation="portrait" useFirstPageNumber="1" r:id="rId1"/>
  <headerFooter>
    <oddHeader>&amp;R&amp;12 15. számú melléklet
Forint</oddHeader>
    <oddFooter xml:space="preserve">&amp;C
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01B23-D320-4FBF-9B46-3EC489E4CAAE}">
  <dimension ref="A1:I142"/>
  <sheetViews>
    <sheetView view="pageBreakPreview" zoomScaleNormal="100" zoomScaleSheetLayoutView="100" workbookViewId="0">
      <selection activeCell="E10" sqref="E10"/>
    </sheetView>
  </sheetViews>
  <sheetFormatPr defaultColWidth="8.83203125" defaultRowHeight="12.75" x14ac:dyDescent="0.2"/>
  <cols>
    <col min="1" max="3" width="3" style="1040" customWidth="1"/>
    <col min="4" max="4" width="75.1640625" style="1040" customWidth="1"/>
    <col min="5" max="5" width="24.83203125" style="1040" bestFit="1" customWidth="1"/>
    <col min="6" max="7" width="8.83203125" style="4062"/>
    <col min="8" max="8" width="14.5" style="4062" customWidth="1"/>
    <col min="9" max="9" width="13.1640625" style="4062" customWidth="1"/>
    <col min="10" max="16384" width="8.83203125" style="4062"/>
  </cols>
  <sheetData>
    <row r="1" spans="1:9" ht="15" x14ac:dyDescent="0.25">
      <c r="A1" s="4717"/>
      <c r="B1" s="4718"/>
      <c r="C1" s="4718"/>
      <c r="D1" s="4718"/>
      <c r="E1" s="4157"/>
    </row>
    <row r="2" spans="1:9" ht="20.25" x14ac:dyDescent="0.3">
      <c r="A2" s="4719" t="s">
        <v>2412</v>
      </c>
      <c r="B2" s="4719"/>
      <c r="C2" s="4719"/>
      <c r="D2" s="4719"/>
      <c r="E2" s="4119">
        <v>1614453392</v>
      </c>
    </row>
    <row r="3" spans="1:9" ht="19.5" thickBot="1" x14ac:dyDescent="0.35">
      <c r="A3" s="4720"/>
      <c r="B3" s="4720"/>
      <c r="C3" s="4720"/>
      <c r="D3" s="4720"/>
      <c r="E3" s="4120"/>
    </row>
    <row r="4" spans="1:9" ht="22.5" customHeight="1" thickTop="1" x14ac:dyDescent="0.2">
      <c r="A4" s="4721" t="s">
        <v>332</v>
      </c>
      <c r="B4" s="4722"/>
      <c r="C4" s="4722"/>
      <c r="D4" s="4121" t="s">
        <v>232</v>
      </c>
      <c r="E4" s="4122" t="s">
        <v>2413</v>
      </c>
    </row>
    <row r="5" spans="1:9" ht="15.75" x14ac:dyDescent="0.2">
      <c r="A5" s="4723" t="s">
        <v>500</v>
      </c>
      <c r="B5" s="4724"/>
      <c r="C5" s="4725"/>
      <c r="D5" s="4726" t="s">
        <v>2414</v>
      </c>
      <c r="E5" s="4727"/>
    </row>
    <row r="6" spans="1:9" ht="14.25" customHeight="1" x14ac:dyDescent="0.25">
      <c r="A6" s="4158"/>
      <c r="B6" s="4159" t="s">
        <v>3</v>
      </c>
      <c r="C6" s="4160"/>
      <c r="D6" s="4161" t="s">
        <v>2415</v>
      </c>
      <c r="E6" s="4162">
        <v>132448230</v>
      </c>
    </row>
    <row r="7" spans="1:9" ht="15" x14ac:dyDescent="0.25">
      <c r="A7" s="4158"/>
      <c r="B7" s="4159" t="s">
        <v>17</v>
      </c>
      <c r="C7" s="4160"/>
      <c r="D7" s="4161" t="s">
        <v>2416</v>
      </c>
      <c r="E7" s="4162">
        <v>21723400</v>
      </c>
    </row>
    <row r="8" spans="1:9" ht="15" x14ac:dyDescent="0.25">
      <c r="A8" s="4158"/>
      <c r="B8" s="4159" t="s">
        <v>31</v>
      </c>
      <c r="C8" s="4160"/>
      <c r="D8" s="4161" t="s">
        <v>2417</v>
      </c>
      <c r="E8" s="4162">
        <v>4000000</v>
      </c>
    </row>
    <row r="9" spans="1:9" ht="15.75" x14ac:dyDescent="0.25">
      <c r="A9" s="4158"/>
      <c r="B9" s="4159" t="s">
        <v>45</v>
      </c>
      <c r="C9" s="4160"/>
      <c r="D9" s="4161" t="s">
        <v>2418</v>
      </c>
      <c r="E9" s="4163">
        <v>9127784</v>
      </c>
      <c r="H9" s="4084"/>
      <c r="I9" s="2521"/>
    </row>
    <row r="10" spans="1:9" ht="15" x14ac:dyDescent="0.25">
      <c r="A10" s="4158"/>
      <c r="B10" s="4159" t="s">
        <v>67</v>
      </c>
      <c r="C10" s="4160"/>
      <c r="D10" s="4161" t="s">
        <v>2419</v>
      </c>
      <c r="E10" s="4162">
        <v>3442770</v>
      </c>
    </row>
    <row r="11" spans="1:9" ht="15" x14ac:dyDescent="0.25">
      <c r="A11" s="4158"/>
      <c r="B11" s="4159" t="s">
        <v>79</v>
      </c>
      <c r="C11" s="4160"/>
      <c r="D11" s="4161" t="s">
        <v>2420</v>
      </c>
      <c r="E11" s="4162">
        <v>3400000</v>
      </c>
    </row>
    <row r="12" spans="1:9" ht="15" x14ac:dyDescent="0.25">
      <c r="A12" s="4158"/>
      <c r="B12" s="4159" t="s">
        <v>89</v>
      </c>
      <c r="C12" s="4160"/>
      <c r="D12" s="4161" t="s">
        <v>2421</v>
      </c>
      <c r="E12" s="4162">
        <v>1515</v>
      </c>
    </row>
    <row r="13" spans="1:9" s="4055" customFormat="1" ht="20.25" x14ac:dyDescent="0.3">
      <c r="A13" s="4164"/>
      <c r="B13" s="4165"/>
      <c r="C13" s="4166"/>
      <c r="D13" s="4167" t="s">
        <v>712</v>
      </c>
      <c r="E13" s="4168">
        <f>SUM(E6:E12)</f>
        <v>174143699</v>
      </c>
    </row>
    <row r="14" spans="1:9" ht="20.25" x14ac:dyDescent="0.3">
      <c r="A14" s="4169"/>
      <c r="B14" s="4159"/>
      <c r="C14" s="4160"/>
      <c r="D14" s="4167"/>
      <c r="E14" s="4170"/>
    </row>
    <row r="15" spans="1:9" ht="15.75" x14ac:dyDescent="0.2">
      <c r="A15" s="4723" t="s">
        <v>2422</v>
      </c>
      <c r="B15" s="4724"/>
      <c r="C15" s="4725"/>
      <c r="D15" s="4726" t="s">
        <v>2423</v>
      </c>
      <c r="E15" s="4727"/>
    </row>
    <row r="16" spans="1:9" ht="15" x14ac:dyDescent="0.25">
      <c r="A16" s="4169"/>
      <c r="B16" s="4159" t="s">
        <v>3</v>
      </c>
      <c r="C16" s="4160"/>
      <c r="D16" s="4161" t="s">
        <v>2424</v>
      </c>
      <c r="E16" s="4162">
        <v>3630375</v>
      </c>
    </row>
    <row r="17" spans="1:5" ht="15" x14ac:dyDescent="0.25">
      <c r="A17" s="4169"/>
      <c r="B17" s="4159"/>
      <c r="C17" s="4160"/>
      <c r="D17" s="4161" t="s">
        <v>2425</v>
      </c>
      <c r="E17" s="4162">
        <v>160020</v>
      </c>
    </row>
    <row r="18" spans="1:5" s="4055" customFormat="1" ht="20.25" x14ac:dyDescent="0.3">
      <c r="A18" s="4164"/>
      <c r="B18" s="4165"/>
      <c r="C18" s="4166"/>
      <c r="D18" s="4167" t="s">
        <v>712</v>
      </c>
      <c r="E18" s="4168">
        <f>SUM(E16:E17)</f>
        <v>3790395</v>
      </c>
    </row>
    <row r="19" spans="1:5" ht="20.25" x14ac:dyDescent="0.3">
      <c r="A19" s="4169"/>
      <c r="B19" s="4159"/>
      <c r="C19" s="4160"/>
      <c r="D19" s="4167"/>
      <c r="E19" s="4170"/>
    </row>
    <row r="20" spans="1:5" ht="15.75" x14ac:dyDescent="0.2">
      <c r="A20" s="4723" t="s">
        <v>2426</v>
      </c>
      <c r="B20" s="4724"/>
      <c r="C20" s="4725"/>
      <c r="D20" s="4726" t="s">
        <v>2427</v>
      </c>
      <c r="E20" s="4727"/>
    </row>
    <row r="21" spans="1:5" ht="15" x14ac:dyDescent="0.25">
      <c r="A21" s="4169"/>
      <c r="B21" s="4159" t="s">
        <v>3</v>
      </c>
      <c r="C21" s="4160"/>
      <c r="D21" s="4161" t="s">
        <v>2424</v>
      </c>
      <c r="E21" s="4162">
        <v>0</v>
      </c>
    </row>
    <row r="22" spans="1:5" ht="15" x14ac:dyDescent="0.25">
      <c r="A22" s="4169"/>
      <c r="B22" s="4159" t="s">
        <v>17</v>
      </c>
      <c r="C22" s="4160"/>
      <c r="D22" s="4161" t="s">
        <v>2428</v>
      </c>
      <c r="E22" s="4162">
        <v>132377</v>
      </c>
    </row>
    <row r="23" spans="1:5" ht="15" x14ac:dyDescent="0.25">
      <c r="A23" s="4169"/>
      <c r="B23" s="4159" t="s">
        <v>31</v>
      </c>
      <c r="C23" s="4160"/>
      <c r="D23" s="4161" t="s">
        <v>2428</v>
      </c>
      <c r="E23" s="4162">
        <v>4432</v>
      </c>
    </row>
    <row r="24" spans="1:5" ht="15" x14ac:dyDescent="0.25">
      <c r="A24" s="4169"/>
      <c r="B24" s="4159" t="s">
        <v>45</v>
      </c>
      <c r="C24" s="4160"/>
      <c r="D24" s="4161" t="s">
        <v>2429</v>
      </c>
      <c r="E24" s="4162">
        <v>260000</v>
      </c>
    </row>
    <row r="25" spans="1:5" ht="15" x14ac:dyDescent="0.25">
      <c r="A25" s="4169"/>
      <c r="B25" s="4159" t="s">
        <v>67</v>
      </c>
      <c r="C25" s="4160"/>
      <c r="D25" s="4161" t="s">
        <v>2430</v>
      </c>
      <c r="E25" s="4162">
        <v>318850</v>
      </c>
    </row>
    <row r="26" spans="1:5" ht="15" x14ac:dyDescent="0.25">
      <c r="A26" s="4169"/>
      <c r="B26" s="4159" t="s">
        <v>79</v>
      </c>
      <c r="C26" s="4160"/>
      <c r="D26" s="4161" t="s">
        <v>2431</v>
      </c>
      <c r="E26" s="4162">
        <v>635000</v>
      </c>
    </row>
    <row r="27" spans="1:5" ht="15" x14ac:dyDescent="0.25">
      <c r="A27" s="4169"/>
      <c r="B27" s="4159" t="s">
        <v>89</v>
      </c>
      <c r="C27" s="4160"/>
      <c r="D27" s="4161" t="s">
        <v>2432</v>
      </c>
      <c r="E27" s="4162">
        <v>52699</v>
      </c>
    </row>
    <row r="28" spans="1:5" ht="15" x14ac:dyDescent="0.25">
      <c r="A28" s="4169"/>
      <c r="B28" s="4159" t="s">
        <v>99</v>
      </c>
      <c r="C28" s="4160"/>
      <c r="D28" s="4161" t="s">
        <v>2433</v>
      </c>
      <c r="E28" s="4162">
        <v>2000</v>
      </c>
    </row>
    <row r="29" spans="1:5" ht="15" x14ac:dyDescent="0.25">
      <c r="A29" s="4169"/>
      <c r="B29" s="4159" t="s">
        <v>101</v>
      </c>
      <c r="C29" s="4160"/>
      <c r="D29" s="4161" t="s">
        <v>2434</v>
      </c>
      <c r="E29" s="4162">
        <v>16000</v>
      </c>
    </row>
    <row r="30" spans="1:5" ht="15" x14ac:dyDescent="0.25">
      <c r="A30" s="4169"/>
      <c r="B30" s="4159" t="s">
        <v>109</v>
      </c>
      <c r="C30" s="4160"/>
      <c r="D30" s="4161" t="s">
        <v>2435</v>
      </c>
      <c r="E30" s="4162">
        <v>260000</v>
      </c>
    </row>
    <row r="31" spans="1:5" ht="15" x14ac:dyDescent="0.25">
      <c r="A31" s="4169"/>
      <c r="B31" s="4159" t="s">
        <v>119</v>
      </c>
      <c r="C31" s="4160"/>
      <c r="D31" s="4161" t="s">
        <v>2436</v>
      </c>
      <c r="E31" s="4162">
        <v>2530</v>
      </c>
    </row>
    <row r="32" spans="1:5" ht="15" x14ac:dyDescent="0.25">
      <c r="A32" s="4169"/>
      <c r="B32" s="4159" t="s">
        <v>125</v>
      </c>
      <c r="C32" s="4160"/>
      <c r="D32" s="4161" t="s">
        <v>2437</v>
      </c>
      <c r="E32" s="4162">
        <v>597271</v>
      </c>
    </row>
    <row r="33" spans="1:8" ht="15" x14ac:dyDescent="0.25">
      <c r="A33" s="4169"/>
      <c r="B33" s="4159" t="s">
        <v>133</v>
      </c>
      <c r="C33" s="4160"/>
      <c r="D33" s="4161" t="s">
        <v>2438</v>
      </c>
      <c r="E33" s="4162">
        <v>57150</v>
      </c>
    </row>
    <row r="34" spans="1:8" ht="15" x14ac:dyDescent="0.25">
      <c r="A34" s="4169"/>
      <c r="B34" s="4159" t="s">
        <v>143</v>
      </c>
      <c r="C34" s="4160"/>
      <c r="D34" s="4161" t="s">
        <v>2438</v>
      </c>
      <c r="E34" s="4162">
        <v>38100</v>
      </c>
    </row>
    <row r="35" spans="1:8" ht="15" x14ac:dyDescent="0.25">
      <c r="A35" s="4169"/>
      <c r="B35" s="4159" t="s">
        <v>145</v>
      </c>
      <c r="C35" s="4160"/>
      <c r="D35" s="4161" t="s">
        <v>2439</v>
      </c>
      <c r="E35" s="4162">
        <v>633730</v>
      </c>
    </row>
    <row r="36" spans="1:8" ht="15" x14ac:dyDescent="0.25">
      <c r="A36" s="4169"/>
      <c r="B36" s="4159" t="s">
        <v>147</v>
      </c>
      <c r="C36" s="4160"/>
      <c r="D36" s="4161" t="s">
        <v>2440</v>
      </c>
      <c r="E36" s="4162">
        <v>138608</v>
      </c>
    </row>
    <row r="37" spans="1:8" ht="15" x14ac:dyDescent="0.25">
      <c r="A37" s="4169"/>
      <c r="B37" s="4159" t="s">
        <v>246</v>
      </c>
      <c r="C37" s="4160"/>
      <c r="D37" s="4161" t="s">
        <v>2440</v>
      </c>
      <c r="E37" s="4162">
        <v>138608</v>
      </c>
    </row>
    <row r="38" spans="1:8" ht="15" x14ac:dyDescent="0.25">
      <c r="A38" s="4169"/>
      <c r="B38" s="4159" t="s">
        <v>247</v>
      </c>
      <c r="C38" s="4160"/>
      <c r="D38" s="4161" t="s">
        <v>2441</v>
      </c>
      <c r="E38" s="4162">
        <v>120560</v>
      </c>
    </row>
    <row r="39" spans="1:8" ht="15" x14ac:dyDescent="0.25">
      <c r="A39" s="4169"/>
      <c r="B39" s="4159" t="s">
        <v>248</v>
      </c>
      <c r="C39" s="4160"/>
      <c r="D39" s="4161" t="s">
        <v>2442</v>
      </c>
      <c r="E39" s="4162">
        <v>200000</v>
      </c>
    </row>
    <row r="40" spans="1:8" ht="15" x14ac:dyDescent="0.25">
      <c r="A40" s="4169"/>
      <c r="B40" s="4159" t="s">
        <v>884</v>
      </c>
      <c r="C40" s="4160"/>
      <c r="D40" s="4161" t="s">
        <v>2431</v>
      </c>
      <c r="E40" s="4162">
        <v>635000</v>
      </c>
      <c r="H40" s="2361"/>
    </row>
    <row r="41" spans="1:8" ht="15" x14ac:dyDescent="0.25">
      <c r="A41" s="4169"/>
      <c r="B41" s="4159" t="s">
        <v>885</v>
      </c>
      <c r="C41" s="4160"/>
      <c r="D41" s="4161" t="s">
        <v>2443</v>
      </c>
      <c r="E41" s="4162">
        <v>4801</v>
      </c>
    </row>
    <row r="42" spans="1:8" ht="15" x14ac:dyDescent="0.25">
      <c r="A42" s="4169"/>
      <c r="B42" s="4159" t="s">
        <v>249</v>
      </c>
      <c r="C42" s="4160"/>
      <c r="D42" s="4161" t="s">
        <v>2438</v>
      </c>
      <c r="E42" s="4162">
        <v>6801</v>
      </c>
    </row>
    <row r="43" spans="1:8" ht="15" x14ac:dyDescent="0.25">
      <c r="A43" s="4169"/>
      <c r="B43" s="4159" t="s">
        <v>276</v>
      </c>
      <c r="C43" s="4160"/>
      <c r="D43" s="4161" t="s">
        <v>2444</v>
      </c>
      <c r="E43" s="4162">
        <v>1555750</v>
      </c>
    </row>
    <row r="44" spans="1:8" ht="15" x14ac:dyDescent="0.25">
      <c r="A44" s="4169"/>
      <c r="B44" s="4159" t="s">
        <v>250</v>
      </c>
      <c r="C44" s="4160"/>
      <c r="D44" s="4161" t="s">
        <v>2445</v>
      </c>
      <c r="E44" s="4162">
        <v>318516</v>
      </c>
    </row>
    <row r="45" spans="1:8" ht="15" x14ac:dyDescent="0.25">
      <c r="A45" s="4169"/>
      <c r="B45" s="4159" t="s">
        <v>253</v>
      </c>
      <c r="C45" s="4160"/>
      <c r="D45" s="4161" t="s">
        <v>2446</v>
      </c>
      <c r="E45" s="4162">
        <v>90000</v>
      </c>
    </row>
    <row r="46" spans="1:8" ht="15" x14ac:dyDescent="0.25">
      <c r="A46" s="4169"/>
      <c r="B46" s="4159" t="s">
        <v>256</v>
      </c>
      <c r="C46" s="4160"/>
      <c r="D46" s="4161" t="s">
        <v>2447</v>
      </c>
      <c r="E46" s="4162">
        <v>600000</v>
      </c>
    </row>
    <row r="47" spans="1:8" ht="15" x14ac:dyDescent="0.25">
      <c r="A47" s="4169"/>
      <c r="B47" s="4159" t="s">
        <v>2066</v>
      </c>
      <c r="C47" s="4160"/>
      <c r="D47" s="4161" t="s">
        <v>2448</v>
      </c>
      <c r="E47" s="4162">
        <v>228600</v>
      </c>
    </row>
    <row r="48" spans="1:8" ht="15" x14ac:dyDescent="0.25">
      <c r="A48" s="4169"/>
      <c r="B48" s="4159" t="s">
        <v>2067</v>
      </c>
      <c r="C48" s="4160"/>
      <c r="D48" s="4161" t="s">
        <v>2449</v>
      </c>
      <c r="E48" s="4162">
        <v>1125000</v>
      </c>
    </row>
    <row r="49" spans="1:5" ht="15" x14ac:dyDescent="0.25">
      <c r="A49" s="4169"/>
      <c r="B49" s="4159" t="s">
        <v>2068</v>
      </c>
      <c r="C49" s="4160"/>
      <c r="D49" s="4171" t="s">
        <v>2450</v>
      </c>
      <c r="E49" s="4163">
        <v>312000</v>
      </c>
    </row>
    <row r="50" spans="1:5" ht="20.25" x14ac:dyDescent="0.3">
      <c r="A50" s="4169"/>
      <c r="B50" s="4159"/>
      <c r="C50" s="4160"/>
      <c r="D50" s="4167" t="s">
        <v>712</v>
      </c>
      <c r="E50" s="4170">
        <f>SUM(E21:E49)</f>
        <v>8484383</v>
      </c>
    </row>
    <row r="51" spans="1:5" ht="20.25" x14ac:dyDescent="0.3">
      <c r="A51" s="4169"/>
      <c r="B51" s="4159"/>
      <c r="C51" s="4160"/>
      <c r="D51" s="4167"/>
      <c r="E51" s="4170"/>
    </row>
    <row r="52" spans="1:5" ht="15.75" x14ac:dyDescent="0.2">
      <c r="A52" s="4723" t="s">
        <v>2451</v>
      </c>
      <c r="B52" s="4724"/>
      <c r="C52" s="4725"/>
      <c r="D52" s="4726" t="s">
        <v>2452</v>
      </c>
      <c r="E52" s="4727"/>
    </row>
    <row r="53" spans="1:5" ht="15" x14ac:dyDescent="0.25">
      <c r="A53" s="4169"/>
      <c r="B53" s="4159" t="s">
        <v>3</v>
      </c>
      <c r="C53" s="4160"/>
      <c r="D53" s="4161" t="s">
        <v>2424</v>
      </c>
      <c r="E53" s="4162">
        <v>0</v>
      </c>
    </row>
    <row r="54" spans="1:5" ht="15" x14ac:dyDescent="0.25">
      <c r="A54" s="4169"/>
      <c r="B54" s="4159" t="s">
        <v>17</v>
      </c>
      <c r="C54" s="4160"/>
      <c r="D54" s="4161" t="s">
        <v>2453</v>
      </c>
      <c r="E54" s="4172">
        <v>368935</v>
      </c>
    </row>
    <row r="55" spans="1:5" ht="15" x14ac:dyDescent="0.25">
      <c r="A55" s="4169"/>
      <c r="B55" s="4159" t="s">
        <v>31</v>
      </c>
      <c r="C55" s="4160"/>
      <c r="D55" s="4161" t="s">
        <v>2454</v>
      </c>
      <c r="E55" s="4172">
        <v>1574304</v>
      </c>
    </row>
    <row r="56" spans="1:5" ht="15" x14ac:dyDescent="0.25">
      <c r="A56" s="4169"/>
      <c r="B56" s="4159" t="s">
        <v>45</v>
      </c>
      <c r="C56" s="4160"/>
      <c r="D56" s="4161" t="s">
        <v>2454</v>
      </c>
      <c r="E56" s="4172">
        <v>263218</v>
      </c>
    </row>
    <row r="57" spans="1:5" ht="15" x14ac:dyDescent="0.25">
      <c r="A57" s="4169"/>
      <c r="B57" s="4159" t="s">
        <v>67</v>
      </c>
      <c r="C57" s="4160"/>
      <c r="D57" s="4161" t="s">
        <v>2455</v>
      </c>
      <c r="E57" s="4172">
        <v>534899</v>
      </c>
    </row>
    <row r="58" spans="1:5" ht="15" x14ac:dyDescent="0.25">
      <c r="A58" s="4169"/>
      <c r="B58" s="4159" t="s">
        <v>79</v>
      </c>
      <c r="C58" s="4160"/>
      <c r="D58" s="4161" t="s">
        <v>2456</v>
      </c>
      <c r="E58" s="4172">
        <v>39624</v>
      </c>
    </row>
    <row r="59" spans="1:5" ht="15" x14ac:dyDescent="0.25">
      <c r="A59" s="4169"/>
      <c r="B59" s="4159" t="s">
        <v>89</v>
      </c>
      <c r="C59" s="4160"/>
      <c r="D59" s="4161" t="s">
        <v>2457</v>
      </c>
      <c r="E59" s="4172">
        <v>203200</v>
      </c>
    </row>
    <row r="60" spans="1:5" ht="15" x14ac:dyDescent="0.25">
      <c r="A60" s="4169"/>
      <c r="B60" s="4159" t="s">
        <v>99</v>
      </c>
      <c r="C60" s="4160"/>
      <c r="D60" s="4161" t="s">
        <v>2458</v>
      </c>
      <c r="E60" s="4172">
        <v>1970000</v>
      </c>
    </row>
    <row r="61" spans="1:5" ht="15" x14ac:dyDescent="0.2">
      <c r="A61" s="4169"/>
      <c r="B61" s="4159"/>
      <c r="C61" s="4160"/>
      <c r="D61" s="4173" t="s">
        <v>712</v>
      </c>
      <c r="E61" s="4174">
        <f>SUM(E53:E60)</f>
        <v>4954180</v>
      </c>
    </row>
    <row r="62" spans="1:5" ht="15.75" x14ac:dyDescent="0.2">
      <c r="A62" s="4728"/>
      <c r="B62" s="4729"/>
      <c r="C62" s="4729"/>
      <c r="D62" s="4175" t="s">
        <v>232</v>
      </c>
      <c r="E62" s="4176" t="s">
        <v>2413</v>
      </c>
    </row>
    <row r="63" spans="1:5" ht="15.75" x14ac:dyDescent="0.2">
      <c r="A63" s="4723" t="s">
        <v>2459</v>
      </c>
      <c r="B63" s="4724"/>
      <c r="C63" s="4725"/>
      <c r="D63" s="4726" t="s">
        <v>2460</v>
      </c>
      <c r="E63" s="4727"/>
    </row>
    <row r="64" spans="1:5" ht="15" x14ac:dyDescent="0.25">
      <c r="A64" s="4169"/>
      <c r="B64" s="4159" t="s">
        <v>3</v>
      </c>
      <c r="C64" s="4160"/>
      <c r="D64" s="4161" t="s">
        <v>2424</v>
      </c>
      <c r="E64" s="4162"/>
    </row>
    <row r="65" spans="1:5" ht="15" x14ac:dyDescent="0.25">
      <c r="A65" s="4169"/>
      <c r="B65" s="4159" t="s">
        <v>17</v>
      </c>
      <c r="C65" s="4160"/>
      <c r="D65" s="4161" t="s">
        <v>2461</v>
      </c>
      <c r="E65" s="4162">
        <v>43385</v>
      </c>
    </row>
    <row r="66" spans="1:5" ht="15" x14ac:dyDescent="0.25">
      <c r="A66" s="4169"/>
      <c r="B66" s="4159" t="s">
        <v>31</v>
      </c>
      <c r="C66" s="4160"/>
      <c r="D66" s="4161" t="s">
        <v>2462</v>
      </c>
      <c r="E66" s="4162">
        <v>138608</v>
      </c>
    </row>
    <row r="67" spans="1:5" ht="15" x14ac:dyDescent="0.25">
      <c r="A67" s="4169"/>
      <c r="B67" s="4159" t="s">
        <v>45</v>
      </c>
      <c r="C67" s="4160"/>
      <c r="D67" s="4161" t="s">
        <v>2462</v>
      </c>
      <c r="E67" s="4162">
        <v>138608</v>
      </c>
    </row>
    <row r="68" spans="1:5" ht="15" x14ac:dyDescent="0.25">
      <c r="A68" s="4169"/>
      <c r="B68" s="4159" t="s">
        <v>67</v>
      </c>
      <c r="C68" s="4160"/>
      <c r="D68" s="4161" t="s">
        <v>2463</v>
      </c>
      <c r="E68" s="4162">
        <v>15240</v>
      </c>
    </row>
    <row r="69" spans="1:5" ht="15" x14ac:dyDescent="0.25">
      <c r="A69" s="4169"/>
      <c r="B69" s="4159" t="s">
        <v>79</v>
      </c>
      <c r="C69" s="4160"/>
      <c r="D69" s="4161" t="s">
        <v>2464</v>
      </c>
      <c r="E69" s="4162">
        <v>242621</v>
      </c>
    </row>
    <row r="70" spans="1:5" ht="15" x14ac:dyDescent="0.25">
      <c r="A70" s="4169"/>
      <c r="B70" s="4159" t="s">
        <v>89</v>
      </c>
      <c r="C70" s="4160"/>
      <c r="D70" s="4161"/>
      <c r="E70" s="4162"/>
    </row>
    <row r="71" spans="1:5" ht="20.25" x14ac:dyDescent="0.3">
      <c r="A71" s="4169"/>
      <c r="B71" s="4159"/>
      <c r="C71" s="4160"/>
      <c r="D71" s="4167" t="s">
        <v>712</v>
      </c>
      <c r="E71" s="4170">
        <f>SUM(E64:E70)</f>
        <v>578462</v>
      </c>
    </row>
    <row r="72" spans="1:5" ht="15" x14ac:dyDescent="0.2">
      <c r="A72" s="4730"/>
      <c r="B72" s="4731"/>
      <c r="C72" s="4731"/>
      <c r="D72" s="4731"/>
      <c r="E72" s="4732"/>
    </row>
    <row r="73" spans="1:5" ht="15.75" x14ac:dyDescent="0.2">
      <c r="A73" s="4723" t="s">
        <v>2465</v>
      </c>
      <c r="B73" s="4724"/>
      <c r="C73" s="4725"/>
      <c r="D73" s="4726" t="s">
        <v>2466</v>
      </c>
      <c r="E73" s="4727"/>
    </row>
    <row r="74" spans="1:5" ht="15" x14ac:dyDescent="0.25">
      <c r="A74" s="4169"/>
      <c r="B74" s="4159" t="s">
        <v>3</v>
      </c>
      <c r="C74" s="4160"/>
      <c r="D74" s="4161" t="s">
        <v>2424</v>
      </c>
      <c r="E74" s="4162">
        <v>0</v>
      </c>
    </row>
    <row r="75" spans="1:5" ht="15" x14ac:dyDescent="0.25">
      <c r="A75" s="4169"/>
      <c r="B75" s="4159" t="s">
        <v>17</v>
      </c>
      <c r="C75" s="4160"/>
      <c r="D75" s="4161" t="s">
        <v>2467</v>
      </c>
      <c r="E75" s="4162">
        <v>124460</v>
      </c>
    </row>
    <row r="76" spans="1:5" ht="15" x14ac:dyDescent="0.25">
      <c r="A76" s="4169"/>
      <c r="B76" s="4159" t="s">
        <v>31</v>
      </c>
      <c r="C76" s="4160"/>
      <c r="D76" s="4161" t="s">
        <v>2464</v>
      </c>
      <c r="E76" s="4162">
        <v>123165</v>
      </c>
    </row>
    <row r="77" spans="1:5" ht="15" x14ac:dyDescent="0.25">
      <c r="A77" s="4169"/>
      <c r="B77" s="4159" t="s">
        <v>45</v>
      </c>
      <c r="C77" s="4160"/>
      <c r="D77" s="4161" t="s">
        <v>2463</v>
      </c>
      <c r="E77" s="4162">
        <v>20320</v>
      </c>
    </row>
    <row r="78" spans="1:5" ht="15" x14ac:dyDescent="0.25">
      <c r="A78" s="4169"/>
      <c r="B78" s="4159" t="s">
        <v>67</v>
      </c>
      <c r="C78" s="4160"/>
      <c r="D78" s="4161" t="s">
        <v>2462</v>
      </c>
      <c r="E78" s="4162">
        <v>6930</v>
      </c>
    </row>
    <row r="79" spans="1:5" ht="15" x14ac:dyDescent="0.25">
      <c r="A79" s="4169"/>
      <c r="B79" s="4159" t="s">
        <v>79</v>
      </c>
      <c r="C79" s="4160"/>
      <c r="D79" s="4161" t="s">
        <v>2462</v>
      </c>
      <c r="E79" s="4162">
        <v>6930</v>
      </c>
    </row>
    <row r="80" spans="1:5" ht="15" x14ac:dyDescent="0.25">
      <c r="A80" s="4169"/>
      <c r="B80" s="4159" t="s">
        <v>89</v>
      </c>
      <c r="C80" s="4160"/>
      <c r="D80" s="4161" t="s">
        <v>2462</v>
      </c>
      <c r="E80" s="4162">
        <v>30297</v>
      </c>
    </row>
    <row r="81" spans="1:5" ht="15" x14ac:dyDescent="0.25">
      <c r="A81" s="4169"/>
      <c r="B81" s="4159" t="s">
        <v>99</v>
      </c>
      <c r="C81" s="4160"/>
      <c r="D81" s="4161" t="s">
        <v>2462</v>
      </c>
      <c r="E81" s="4162">
        <v>30297</v>
      </c>
    </row>
    <row r="82" spans="1:5" ht="15" x14ac:dyDescent="0.25">
      <c r="A82" s="4169"/>
      <c r="B82" s="4159" t="s">
        <v>101</v>
      </c>
      <c r="C82" s="4160"/>
      <c r="D82" s="4161"/>
      <c r="E82" s="4162"/>
    </row>
    <row r="83" spans="1:5" ht="20.25" x14ac:dyDescent="0.3">
      <c r="A83" s="4169"/>
      <c r="B83" s="4159"/>
      <c r="C83" s="4160"/>
      <c r="D83" s="4167" t="s">
        <v>712</v>
      </c>
      <c r="E83" s="4170">
        <f>SUM(E74:E82)</f>
        <v>342399</v>
      </c>
    </row>
    <row r="84" spans="1:5" ht="15" x14ac:dyDescent="0.2">
      <c r="A84" s="4730"/>
      <c r="B84" s="4731"/>
      <c r="C84" s="4731"/>
      <c r="D84" s="4731"/>
      <c r="E84" s="4732"/>
    </row>
    <row r="85" spans="1:5" ht="15.75" x14ac:dyDescent="0.2">
      <c r="A85" s="4723" t="s">
        <v>2468</v>
      </c>
      <c r="B85" s="4724"/>
      <c r="C85" s="4725"/>
      <c r="D85" s="4726" t="s">
        <v>2469</v>
      </c>
      <c r="E85" s="4727"/>
    </row>
    <row r="86" spans="1:5" ht="15" x14ac:dyDescent="0.25">
      <c r="A86" s="4169"/>
      <c r="B86" s="4159"/>
      <c r="C86" s="4160"/>
      <c r="D86" s="4161" t="s">
        <v>2424</v>
      </c>
      <c r="E86" s="4162">
        <v>0</v>
      </c>
    </row>
    <row r="87" spans="1:5" ht="15" x14ac:dyDescent="0.25">
      <c r="A87" s="4169"/>
      <c r="B87" s="4159"/>
      <c r="C87" s="4160"/>
      <c r="D87" s="4161" t="s">
        <v>2470</v>
      </c>
      <c r="E87" s="4162">
        <v>58406</v>
      </c>
    </row>
    <row r="88" spans="1:5" ht="15" x14ac:dyDescent="0.25">
      <c r="A88" s="4169"/>
      <c r="B88" s="4159"/>
      <c r="C88" s="4160"/>
      <c r="D88" s="4161" t="s">
        <v>2470</v>
      </c>
      <c r="E88" s="4162">
        <v>58034</v>
      </c>
    </row>
    <row r="89" spans="1:5" ht="15" x14ac:dyDescent="0.25">
      <c r="A89" s="4169"/>
      <c r="B89" s="4159"/>
      <c r="C89" s="4160"/>
      <c r="D89" s="4161" t="s">
        <v>2428</v>
      </c>
      <c r="E89" s="4162">
        <v>21890</v>
      </c>
    </row>
    <row r="90" spans="1:5" ht="15" x14ac:dyDescent="0.25">
      <c r="A90" s="4169"/>
      <c r="B90" s="4159"/>
      <c r="C90" s="4160"/>
      <c r="D90" s="4161" t="s">
        <v>2463</v>
      </c>
      <c r="E90" s="4162">
        <v>15240</v>
      </c>
    </row>
    <row r="91" spans="1:5" ht="15" x14ac:dyDescent="0.25">
      <c r="A91" s="4169"/>
      <c r="B91" s="4159"/>
      <c r="C91" s="4160"/>
      <c r="D91" s="4161" t="s">
        <v>2462</v>
      </c>
      <c r="E91" s="4162">
        <v>69304</v>
      </c>
    </row>
    <row r="92" spans="1:5" ht="15" x14ac:dyDescent="0.25">
      <c r="A92" s="4169"/>
      <c r="B92" s="4159"/>
      <c r="C92" s="4160"/>
      <c r="D92" s="4161" t="s">
        <v>2462</v>
      </c>
      <c r="E92" s="4162">
        <v>69304</v>
      </c>
    </row>
    <row r="93" spans="1:5" ht="20.25" x14ac:dyDescent="0.3">
      <c r="A93" s="4169"/>
      <c r="B93" s="4159"/>
      <c r="C93" s="4160"/>
      <c r="D93" s="4167" t="s">
        <v>712</v>
      </c>
      <c r="E93" s="4170">
        <f>SUM(E86:E92)</f>
        <v>292178</v>
      </c>
    </row>
    <row r="94" spans="1:5" ht="15" x14ac:dyDescent="0.2">
      <c r="A94" s="4730"/>
      <c r="B94" s="4731"/>
      <c r="C94" s="4731"/>
      <c r="D94" s="4731"/>
      <c r="E94" s="4732"/>
    </row>
    <row r="95" spans="1:5" ht="15.75" x14ac:dyDescent="0.2">
      <c r="A95" s="4723" t="s">
        <v>2471</v>
      </c>
      <c r="B95" s="4724"/>
      <c r="C95" s="4725"/>
      <c r="D95" s="4733" t="s">
        <v>2472</v>
      </c>
      <c r="E95" s="4734"/>
    </row>
    <row r="96" spans="1:5" ht="15" x14ac:dyDescent="0.25">
      <c r="A96" s="4169"/>
      <c r="B96" s="4159"/>
      <c r="C96" s="4160"/>
      <c r="D96" s="4171" t="s">
        <v>2424</v>
      </c>
      <c r="E96" s="4163">
        <v>0</v>
      </c>
    </row>
    <row r="97" spans="1:5" ht="15" x14ac:dyDescent="0.25">
      <c r="A97" s="4169"/>
      <c r="B97" s="4159"/>
      <c r="C97" s="4160"/>
      <c r="D97" s="4171" t="s">
        <v>2463</v>
      </c>
      <c r="E97" s="4163">
        <v>15240</v>
      </c>
    </row>
    <row r="98" spans="1:5" ht="15" x14ac:dyDescent="0.25">
      <c r="A98" s="4169"/>
      <c r="B98" s="4159"/>
      <c r="C98" s="4160"/>
      <c r="D98" s="4171" t="s">
        <v>2473</v>
      </c>
      <c r="E98" s="4163">
        <v>17145</v>
      </c>
    </row>
    <row r="99" spans="1:5" ht="15" x14ac:dyDescent="0.25">
      <c r="A99" s="4169"/>
      <c r="B99" s="4159"/>
      <c r="C99" s="4160"/>
      <c r="D99" s="4171" t="s">
        <v>2470</v>
      </c>
      <c r="E99" s="4163">
        <v>157299</v>
      </c>
    </row>
    <row r="100" spans="1:5" ht="15" x14ac:dyDescent="0.25">
      <c r="A100" s="4169"/>
      <c r="B100" s="4159"/>
      <c r="C100" s="4160"/>
      <c r="D100" s="4171" t="s">
        <v>2470</v>
      </c>
      <c r="E100" s="4163">
        <v>157753</v>
      </c>
    </row>
    <row r="101" spans="1:5" ht="15" x14ac:dyDescent="0.25">
      <c r="A101" s="4169"/>
      <c r="B101" s="4159"/>
      <c r="C101" s="4160"/>
      <c r="D101" s="4171" t="s">
        <v>2467</v>
      </c>
      <c r="E101" s="4163">
        <v>284480</v>
      </c>
    </row>
    <row r="102" spans="1:5" ht="15" x14ac:dyDescent="0.25">
      <c r="A102" s="4169"/>
      <c r="B102" s="4159"/>
      <c r="C102" s="4160"/>
      <c r="D102" s="4171"/>
      <c r="E102" s="4163"/>
    </row>
    <row r="103" spans="1:5" ht="20.25" x14ac:dyDescent="0.3">
      <c r="A103" s="4169"/>
      <c r="B103" s="4159"/>
      <c r="C103" s="4160"/>
      <c r="D103" s="4167" t="s">
        <v>712</v>
      </c>
      <c r="E103" s="4170">
        <f>SUM(E96:E102)</f>
        <v>631917</v>
      </c>
    </row>
    <row r="104" spans="1:5" ht="15" x14ac:dyDescent="0.2">
      <c r="A104" s="4730"/>
      <c r="B104" s="4731"/>
      <c r="C104" s="4731"/>
      <c r="D104" s="4731"/>
      <c r="E104" s="4732"/>
    </row>
    <row r="105" spans="1:5" ht="15.75" x14ac:dyDescent="0.2">
      <c r="A105" s="4723" t="s">
        <v>2474</v>
      </c>
      <c r="B105" s="4724"/>
      <c r="C105" s="4725"/>
      <c r="D105" s="4726" t="s">
        <v>2475</v>
      </c>
      <c r="E105" s="4727"/>
    </row>
    <row r="106" spans="1:5" ht="15" x14ac:dyDescent="0.25">
      <c r="A106" s="4169"/>
      <c r="B106" s="4159"/>
      <c r="C106" s="4160"/>
      <c r="D106" s="4161" t="s">
        <v>2424</v>
      </c>
      <c r="E106" s="4162"/>
    </row>
    <row r="107" spans="1:5" ht="15" x14ac:dyDescent="0.25">
      <c r="A107" s="4169"/>
      <c r="B107" s="4159"/>
      <c r="C107" s="4160"/>
      <c r="D107" s="4161" t="s">
        <v>2476</v>
      </c>
      <c r="E107" s="4162">
        <v>8490</v>
      </c>
    </row>
    <row r="108" spans="1:5" ht="15" x14ac:dyDescent="0.25">
      <c r="A108" s="4169"/>
      <c r="B108" s="4159"/>
      <c r="C108" s="4160"/>
      <c r="D108" s="4161" t="s">
        <v>2477</v>
      </c>
      <c r="E108" s="4162">
        <v>4484</v>
      </c>
    </row>
    <row r="109" spans="1:5" ht="15" x14ac:dyDescent="0.25">
      <c r="A109" s="4169"/>
      <c r="B109" s="4159"/>
      <c r="C109" s="4160"/>
      <c r="D109" s="4161" t="s">
        <v>2478</v>
      </c>
      <c r="E109" s="4162">
        <v>5356</v>
      </c>
    </row>
    <row r="110" spans="1:5" ht="15" x14ac:dyDescent="0.25">
      <c r="A110" s="4169"/>
      <c r="B110" s="4159"/>
      <c r="C110" s="4160"/>
      <c r="D110" s="4161" t="s">
        <v>2428</v>
      </c>
      <c r="E110" s="4162">
        <v>64359</v>
      </c>
    </row>
    <row r="111" spans="1:5" ht="15" x14ac:dyDescent="0.25">
      <c r="A111" s="4169"/>
      <c r="B111" s="4159"/>
      <c r="C111" s="4160"/>
      <c r="D111" s="4161" t="s">
        <v>2479</v>
      </c>
      <c r="E111" s="4162">
        <v>38100</v>
      </c>
    </row>
    <row r="112" spans="1:5" ht="15" x14ac:dyDescent="0.25">
      <c r="A112" s="4169"/>
      <c r="B112" s="4159"/>
      <c r="C112" s="4160"/>
      <c r="D112" s="4161" t="s">
        <v>2440</v>
      </c>
      <c r="E112" s="4162">
        <v>15149</v>
      </c>
    </row>
    <row r="113" spans="1:5" ht="15" x14ac:dyDescent="0.25">
      <c r="A113" s="4169"/>
      <c r="B113" s="4159"/>
      <c r="C113" s="4160"/>
      <c r="D113" s="4161" t="s">
        <v>2440</v>
      </c>
      <c r="E113" s="4162">
        <v>15149</v>
      </c>
    </row>
    <row r="114" spans="1:5" ht="15" x14ac:dyDescent="0.25">
      <c r="A114" s="4169"/>
      <c r="B114" s="4159"/>
      <c r="C114" s="4160"/>
      <c r="D114" s="4161" t="s">
        <v>2480</v>
      </c>
      <c r="E114" s="4162">
        <v>44790</v>
      </c>
    </row>
    <row r="115" spans="1:5" ht="20.25" x14ac:dyDescent="0.3">
      <c r="A115" s="4169"/>
      <c r="B115" s="4159"/>
      <c r="C115" s="4160"/>
      <c r="D115" s="4167" t="s">
        <v>712</v>
      </c>
      <c r="E115" s="4170">
        <f>SUM(E106:E114)</f>
        <v>195877</v>
      </c>
    </row>
    <row r="116" spans="1:5" ht="15" x14ac:dyDescent="0.2">
      <c r="A116" s="4730"/>
      <c r="B116" s="4731"/>
      <c r="C116" s="4731"/>
      <c r="D116" s="4731"/>
      <c r="E116" s="4732"/>
    </row>
    <row r="117" spans="1:5" ht="15.75" x14ac:dyDescent="0.2">
      <c r="A117" s="4723" t="s">
        <v>2481</v>
      </c>
      <c r="B117" s="4724"/>
      <c r="C117" s="4725"/>
      <c r="D117" s="4726" t="s">
        <v>2482</v>
      </c>
      <c r="E117" s="4727"/>
    </row>
    <row r="118" spans="1:5" ht="15" x14ac:dyDescent="0.25">
      <c r="A118" s="4169"/>
      <c r="B118" s="4159" t="s">
        <v>3</v>
      </c>
      <c r="C118" s="4160"/>
      <c r="D118" s="4161" t="s">
        <v>2424</v>
      </c>
      <c r="E118" s="4162">
        <v>0</v>
      </c>
    </row>
    <row r="119" spans="1:5" ht="15" x14ac:dyDescent="0.25">
      <c r="A119" s="4169"/>
      <c r="B119" s="4159" t="s">
        <v>17</v>
      </c>
      <c r="C119" s="4160"/>
      <c r="D119" s="4161" t="s">
        <v>2483</v>
      </c>
      <c r="E119" s="4162">
        <v>15149</v>
      </c>
    </row>
    <row r="120" spans="1:5" ht="15" x14ac:dyDescent="0.25">
      <c r="A120" s="4169"/>
      <c r="B120" s="4159" t="s">
        <v>31</v>
      </c>
      <c r="C120" s="4160"/>
      <c r="D120" s="4161" t="s">
        <v>2483</v>
      </c>
      <c r="E120" s="4162">
        <v>15149</v>
      </c>
    </row>
    <row r="121" spans="1:5" ht="15" x14ac:dyDescent="0.25">
      <c r="A121" s="4169"/>
      <c r="B121" s="4159" t="s">
        <v>45</v>
      </c>
      <c r="C121" s="4160"/>
      <c r="D121" s="4161" t="s">
        <v>2463</v>
      </c>
      <c r="E121" s="4162">
        <v>15240</v>
      </c>
    </row>
    <row r="122" spans="1:5" ht="15" x14ac:dyDescent="0.25">
      <c r="A122" s="4169"/>
      <c r="B122" s="4159" t="s">
        <v>67</v>
      </c>
      <c r="C122" s="4160"/>
      <c r="D122" s="4161" t="s">
        <v>2464</v>
      </c>
      <c r="E122" s="4162">
        <v>38100</v>
      </c>
    </row>
    <row r="123" spans="1:5" ht="15" x14ac:dyDescent="0.25">
      <c r="A123" s="4169"/>
      <c r="B123" s="4159" t="s">
        <v>79</v>
      </c>
      <c r="C123" s="4160"/>
      <c r="D123" s="4161" t="s">
        <v>2464</v>
      </c>
      <c r="E123" s="4162">
        <v>49073</v>
      </c>
    </row>
    <row r="124" spans="1:5" ht="20.25" x14ac:dyDescent="0.3">
      <c r="A124" s="4169"/>
      <c r="B124" s="4159"/>
      <c r="C124" s="4160"/>
      <c r="D124" s="4167" t="s">
        <v>712</v>
      </c>
      <c r="E124" s="4170">
        <f>SUM(E118:E123)</f>
        <v>132711</v>
      </c>
    </row>
    <row r="125" spans="1:5" ht="15" x14ac:dyDescent="0.2">
      <c r="A125" s="4730"/>
      <c r="B125" s="4731"/>
      <c r="C125" s="4731"/>
      <c r="D125" s="4731"/>
      <c r="E125" s="4732"/>
    </row>
    <row r="126" spans="1:5" ht="15.75" x14ac:dyDescent="0.2">
      <c r="A126" s="4723" t="s">
        <v>2484</v>
      </c>
      <c r="B126" s="4724"/>
      <c r="C126" s="4725"/>
      <c r="D126" s="4726" t="s">
        <v>2485</v>
      </c>
      <c r="E126" s="4727"/>
    </row>
    <row r="127" spans="1:5" ht="15" x14ac:dyDescent="0.25">
      <c r="A127" s="4169"/>
      <c r="B127" s="4159" t="s">
        <v>3</v>
      </c>
      <c r="C127" s="4160"/>
      <c r="D127" s="4161" t="s">
        <v>2424</v>
      </c>
      <c r="E127" s="4162">
        <v>0</v>
      </c>
    </row>
    <row r="128" spans="1:5" ht="15" x14ac:dyDescent="0.25">
      <c r="A128" s="4169"/>
      <c r="B128" s="4159" t="s">
        <v>17</v>
      </c>
      <c r="C128" s="4160"/>
      <c r="D128" s="4161" t="s">
        <v>836</v>
      </c>
      <c r="E128" s="4162">
        <v>19153</v>
      </c>
    </row>
    <row r="129" spans="1:5" ht="15" x14ac:dyDescent="0.25">
      <c r="A129" s="4169"/>
      <c r="B129" s="4159" t="s">
        <v>31</v>
      </c>
      <c r="C129" s="4160"/>
      <c r="D129" s="4161" t="s">
        <v>2486</v>
      </c>
      <c r="E129" s="4162">
        <v>218472</v>
      </c>
    </row>
    <row r="130" spans="1:5" ht="15" x14ac:dyDescent="0.25">
      <c r="A130" s="4169"/>
      <c r="B130" s="4159" t="s">
        <v>45</v>
      </c>
      <c r="C130" s="4160"/>
      <c r="D130" s="4161" t="s">
        <v>2487</v>
      </c>
      <c r="E130" s="4162">
        <v>46482</v>
      </c>
    </row>
    <row r="131" spans="1:5" ht="15" x14ac:dyDescent="0.25">
      <c r="A131" s="4169"/>
      <c r="B131" s="4159" t="s">
        <v>67</v>
      </c>
      <c r="C131" s="4160"/>
      <c r="D131" s="4161" t="s">
        <v>2488</v>
      </c>
      <c r="E131" s="4162">
        <v>1435</v>
      </c>
    </row>
    <row r="132" spans="1:5" ht="15" x14ac:dyDescent="0.25">
      <c r="A132" s="4169"/>
      <c r="B132" s="4159" t="s">
        <v>79</v>
      </c>
      <c r="C132" s="4160"/>
      <c r="D132" s="4161" t="s">
        <v>2489</v>
      </c>
      <c r="E132" s="4162">
        <v>63500</v>
      </c>
    </row>
    <row r="133" spans="1:5" ht="20.25" x14ac:dyDescent="0.3">
      <c r="A133" s="4169"/>
      <c r="B133" s="4159"/>
      <c r="C133" s="4160"/>
      <c r="D133" s="4167" t="s">
        <v>712</v>
      </c>
      <c r="E133" s="4170">
        <f>SUM(E127:E132)</f>
        <v>349042</v>
      </c>
    </row>
    <row r="134" spans="1:5" ht="15" x14ac:dyDescent="0.2">
      <c r="A134" s="4730"/>
      <c r="B134" s="4731"/>
      <c r="C134" s="4731"/>
      <c r="D134" s="4731"/>
      <c r="E134" s="4732"/>
    </row>
    <row r="135" spans="1:5" ht="15.75" x14ac:dyDescent="0.2">
      <c r="A135" s="4723" t="s">
        <v>2490</v>
      </c>
      <c r="B135" s="4724"/>
      <c r="C135" s="4725"/>
      <c r="D135" s="4726" t="s">
        <v>2491</v>
      </c>
      <c r="E135" s="4727"/>
    </row>
    <row r="136" spans="1:5" ht="15" x14ac:dyDescent="0.25">
      <c r="A136" s="4169"/>
      <c r="B136" s="4177" t="s">
        <v>546</v>
      </c>
      <c r="C136" s="4178"/>
      <c r="D136" s="4179" t="s">
        <v>236</v>
      </c>
      <c r="E136" s="4162"/>
    </row>
    <row r="137" spans="1:5" ht="15" x14ac:dyDescent="0.25">
      <c r="A137" s="4158"/>
      <c r="B137" s="4180" t="s">
        <v>553</v>
      </c>
      <c r="C137" s="4181"/>
      <c r="D137" s="4182" t="s">
        <v>155</v>
      </c>
      <c r="E137" s="4162"/>
    </row>
    <row r="138" spans="1:5" ht="15" x14ac:dyDescent="0.25">
      <c r="A138" s="4169"/>
      <c r="B138" s="4177" t="s">
        <v>554</v>
      </c>
      <c r="C138" s="4160"/>
      <c r="D138" s="4179" t="s">
        <v>240</v>
      </c>
      <c r="E138" s="4162">
        <v>10863231</v>
      </c>
    </row>
    <row r="139" spans="1:5" ht="20.25" x14ac:dyDescent="0.3">
      <c r="A139" s="4169"/>
      <c r="B139" s="4159"/>
      <c r="C139" s="4160"/>
      <c r="D139" s="4167" t="s">
        <v>712</v>
      </c>
      <c r="E139" s="4170">
        <f>SUM(E136:E138)</f>
        <v>10863231</v>
      </c>
    </row>
    <row r="140" spans="1:5" ht="13.5" thickBot="1" x14ac:dyDescent="0.25">
      <c r="A140" s="4183"/>
      <c r="B140" s="4183"/>
      <c r="C140" s="4183"/>
      <c r="D140" s="4183"/>
      <c r="E140" s="4183"/>
    </row>
    <row r="141" spans="1:5" ht="21.75" thickTop="1" thickBot="1" x14ac:dyDescent="0.35">
      <c r="A141" s="4735" t="s">
        <v>2492</v>
      </c>
      <c r="B141" s="4736"/>
      <c r="C141" s="4736"/>
      <c r="D141" s="4737"/>
      <c r="E141" s="4184">
        <f>SUM(E139+E133+E115+E103+E93+E83+E71+E61+E50+E18+E13)+E124</f>
        <v>204758474</v>
      </c>
    </row>
    <row r="142" spans="1:5" ht="13.5" thickTop="1" x14ac:dyDescent="0.2"/>
  </sheetData>
  <mergeCells count="37">
    <mergeCell ref="A141:D141"/>
    <mergeCell ref="A125:E125"/>
    <mergeCell ref="A126:C126"/>
    <mergeCell ref="D126:E126"/>
    <mergeCell ref="A134:E134"/>
    <mergeCell ref="A135:C135"/>
    <mergeCell ref="D135:E135"/>
    <mergeCell ref="A104:E104"/>
    <mergeCell ref="A105:C105"/>
    <mergeCell ref="D105:E105"/>
    <mergeCell ref="A116:E116"/>
    <mergeCell ref="A117:C117"/>
    <mergeCell ref="D117:E117"/>
    <mergeCell ref="A84:E84"/>
    <mergeCell ref="A85:C85"/>
    <mergeCell ref="D85:E85"/>
    <mergeCell ref="A94:E94"/>
    <mergeCell ref="A95:C95"/>
    <mergeCell ref="D95:E95"/>
    <mergeCell ref="A62:C62"/>
    <mergeCell ref="A63:C63"/>
    <mergeCell ref="D63:E63"/>
    <mergeCell ref="A72:E72"/>
    <mergeCell ref="A73:C73"/>
    <mergeCell ref="D73:E73"/>
    <mergeCell ref="A15:C15"/>
    <mergeCell ref="D15:E15"/>
    <mergeCell ref="A20:C20"/>
    <mergeCell ref="D20:E20"/>
    <mergeCell ref="A52:C52"/>
    <mergeCell ref="D52:E52"/>
    <mergeCell ref="A1:D1"/>
    <mergeCell ref="A2:D2"/>
    <mergeCell ref="A3:D3"/>
    <mergeCell ref="A4:C4"/>
    <mergeCell ref="A5:C5"/>
    <mergeCell ref="D5:E5"/>
  </mergeCells>
  <printOptions horizontalCentered="1" verticalCentered="1"/>
  <pageMargins left="0.31496062992125984" right="0.23622047244094491" top="0.86614173228346458" bottom="0.47244094488188981" header="0.31496062992125984" footer="0.23622047244094491"/>
  <pageSetup paperSize="9" scale="90" firstPageNumber="126" orientation="portrait" useFirstPageNumber="1" r:id="rId1"/>
  <headerFooter>
    <oddHeader>&amp;C&amp;"Times New Roman CE,Félkövér"&amp;16Vecsés Város Önkormányzat 2018. évi 
feladattal terhelt működési maradványa&amp;R&amp;12 15.1. sz. melléklet</oddHeader>
    <oddFooter>&amp;C- &amp;P -</oddFooter>
  </headerFooter>
  <rowBreaks count="2" manualBreakCount="2">
    <brk id="50" max="4" man="1"/>
    <brk id="94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ACCBE-1C55-4B97-BE15-2E36B3DD058D}">
  <dimension ref="A1:H68"/>
  <sheetViews>
    <sheetView view="pageBreakPreview" zoomScale="80" zoomScaleNormal="100" zoomScaleSheetLayoutView="80" workbookViewId="0">
      <selection activeCell="N14" sqref="N14"/>
    </sheetView>
  </sheetViews>
  <sheetFormatPr defaultColWidth="8.83203125" defaultRowHeight="12.75" x14ac:dyDescent="0.2"/>
  <cols>
    <col min="1" max="3" width="3" style="3761" customWidth="1"/>
    <col min="4" max="4" width="68.6640625" style="3761" customWidth="1"/>
    <col min="5" max="5" width="22.6640625" style="3761" bestFit="1" customWidth="1"/>
    <col min="6" max="16384" width="8.83203125" style="4062"/>
  </cols>
  <sheetData>
    <row r="1" spans="1:5" ht="55.5" customHeight="1" x14ac:dyDescent="0.2">
      <c r="A1" s="4738" t="s">
        <v>2493</v>
      </c>
      <c r="B1" s="4738"/>
      <c r="C1" s="4738"/>
      <c r="D1" s="4738"/>
      <c r="E1" s="4738"/>
    </row>
    <row r="2" spans="1:5" ht="15" customHeight="1" x14ac:dyDescent="0.2">
      <c r="A2" s="4108"/>
      <c r="B2" s="4108"/>
      <c r="C2" s="4108"/>
      <c r="D2" s="4108"/>
      <c r="E2" s="4108"/>
    </row>
    <row r="3" spans="1:5" ht="20.25" x14ac:dyDescent="0.3">
      <c r="A3" s="4739" t="s">
        <v>2494</v>
      </c>
      <c r="B3" s="4739"/>
      <c r="C3" s="4739"/>
      <c r="D3" s="4739"/>
      <c r="E3" s="4085">
        <f>SUM('15.1. sz. mell.'!E2)</f>
        <v>1614453392</v>
      </c>
    </row>
    <row r="4" spans="1:5" ht="18" x14ac:dyDescent="0.25">
      <c r="A4" s="4740" t="s">
        <v>2495</v>
      </c>
      <c r="B4" s="4740"/>
      <c r="C4" s="4740"/>
      <c r="D4" s="4740"/>
      <c r="E4" s="4086">
        <f>SUM('15.1. sz. mell.'!E141)</f>
        <v>204758474</v>
      </c>
    </row>
    <row r="5" spans="1:5" ht="13.5" thickBot="1" x14ac:dyDescent="0.25">
      <c r="A5" s="4109"/>
      <c r="B5" s="4109"/>
      <c r="C5" s="4109"/>
      <c r="D5" s="4109"/>
      <c r="E5" s="4110"/>
    </row>
    <row r="6" spans="1:5" ht="16.5" thickTop="1" x14ac:dyDescent="0.2">
      <c r="A6" s="4741" t="s">
        <v>332</v>
      </c>
      <c r="B6" s="4742"/>
      <c r="C6" s="4742"/>
      <c r="D6" s="4087" t="s">
        <v>232</v>
      </c>
      <c r="E6" s="4088" t="s">
        <v>2413</v>
      </c>
    </row>
    <row r="7" spans="1:5" ht="15.75" x14ac:dyDescent="0.2">
      <c r="A7" s="4743" t="s">
        <v>500</v>
      </c>
      <c r="B7" s="4744"/>
      <c r="C7" s="4745"/>
      <c r="D7" s="4746" t="s">
        <v>2496</v>
      </c>
      <c r="E7" s="4747"/>
    </row>
    <row r="8" spans="1:5" ht="16.5" customHeight="1" x14ac:dyDescent="0.2">
      <c r="A8" s="4089"/>
      <c r="B8" s="4090" t="s">
        <v>3</v>
      </c>
      <c r="C8" s="4091"/>
      <c r="D8" s="4092" t="s">
        <v>2497</v>
      </c>
      <c r="E8" s="4093">
        <v>801271543</v>
      </c>
    </row>
    <row r="9" spans="1:5" ht="14.25" x14ac:dyDescent="0.2">
      <c r="A9" s="4089"/>
      <c r="B9" s="4090" t="s">
        <v>17</v>
      </c>
      <c r="C9" s="4091"/>
      <c r="D9" s="4092" t="s">
        <v>2498</v>
      </c>
      <c r="E9" s="4093">
        <v>66649262</v>
      </c>
    </row>
    <row r="10" spans="1:5" ht="16.5" customHeight="1" x14ac:dyDescent="0.2">
      <c r="A10" s="4089"/>
      <c r="B10" s="4090" t="s">
        <v>31</v>
      </c>
      <c r="C10" s="4091"/>
      <c r="D10" s="4092" t="s">
        <v>2499</v>
      </c>
      <c r="E10" s="4093">
        <v>13459760</v>
      </c>
    </row>
    <row r="11" spans="1:5" ht="16.5" customHeight="1" x14ac:dyDescent="0.2">
      <c r="A11" s="4089"/>
      <c r="B11" s="4090" t="s">
        <v>45</v>
      </c>
      <c r="C11" s="4091"/>
      <c r="D11" s="4092"/>
      <c r="E11" s="4093"/>
    </row>
    <row r="12" spans="1:5" ht="16.5" customHeight="1" x14ac:dyDescent="0.2">
      <c r="A12" s="4089"/>
      <c r="B12" s="4090" t="s">
        <v>67</v>
      </c>
      <c r="C12" s="4091"/>
      <c r="D12" s="4111"/>
      <c r="E12" s="4112"/>
    </row>
    <row r="13" spans="1:5" ht="20.25" x14ac:dyDescent="0.3">
      <c r="A13" s="4096"/>
      <c r="B13" s="4090"/>
      <c r="C13" s="4091"/>
      <c r="D13" s="4095" t="s">
        <v>712</v>
      </c>
      <c r="E13" s="4097">
        <f>SUM(E8:E12)</f>
        <v>881380565</v>
      </c>
    </row>
    <row r="14" spans="1:5" ht="20.25" x14ac:dyDescent="0.3">
      <c r="A14" s="4096"/>
      <c r="B14" s="4090"/>
      <c r="C14" s="4091"/>
      <c r="D14" s="4095"/>
      <c r="E14" s="4097"/>
    </row>
    <row r="15" spans="1:5" ht="15.75" x14ac:dyDescent="0.2">
      <c r="A15" s="4743" t="s">
        <v>2422</v>
      </c>
      <c r="B15" s="4744"/>
      <c r="C15" s="4745"/>
      <c r="D15" s="4746" t="s">
        <v>2500</v>
      </c>
      <c r="E15" s="4747"/>
    </row>
    <row r="16" spans="1:5" ht="14.25" x14ac:dyDescent="0.2">
      <c r="A16" s="4096"/>
      <c r="B16" s="4090" t="s">
        <v>3</v>
      </c>
      <c r="C16" s="4091"/>
      <c r="D16" s="4092" t="s">
        <v>2424</v>
      </c>
      <c r="E16" s="4093">
        <v>767569</v>
      </c>
    </row>
    <row r="17" spans="1:8" ht="14.25" x14ac:dyDescent="0.2">
      <c r="A17" s="4096"/>
      <c r="B17" s="4090" t="s">
        <v>17</v>
      </c>
      <c r="C17" s="4091"/>
      <c r="D17" s="4092"/>
      <c r="E17" s="4093"/>
    </row>
    <row r="18" spans="1:8" ht="20.25" x14ac:dyDescent="0.3">
      <c r="A18" s="4096"/>
      <c r="B18" s="4090"/>
      <c r="C18" s="4091"/>
      <c r="D18" s="4095" t="s">
        <v>712</v>
      </c>
      <c r="E18" s="4097">
        <f>SUM(E16:E17)</f>
        <v>767569</v>
      </c>
      <c r="H18" s="2361"/>
    </row>
    <row r="19" spans="1:8" ht="20.25" x14ac:dyDescent="0.3">
      <c r="A19" s="4096"/>
      <c r="B19" s="4090"/>
      <c r="C19" s="4091"/>
      <c r="D19" s="4095"/>
      <c r="E19" s="4097"/>
    </row>
    <row r="20" spans="1:8" ht="15.75" x14ac:dyDescent="0.2">
      <c r="A20" s="4743" t="s">
        <v>2426</v>
      </c>
      <c r="B20" s="4744"/>
      <c r="C20" s="4745"/>
      <c r="D20" s="4746" t="s">
        <v>2501</v>
      </c>
      <c r="E20" s="4747"/>
    </row>
    <row r="21" spans="1:8" ht="14.25" x14ac:dyDescent="0.2">
      <c r="A21" s="4096"/>
      <c r="B21" s="4090"/>
      <c r="C21" s="4091"/>
      <c r="D21" s="4092" t="s">
        <v>2424</v>
      </c>
      <c r="E21" s="4093">
        <v>0</v>
      </c>
    </row>
    <row r="22" spans="1:8" ht="20.25" x14ac:dyDescent="0.3">
      <c r="A22" s="4096"/>
      <c r="B22" s="4090"/>
      <c r="C22" s="4091"/>
      <c r="D22" s="4095" t="s">
        <v>712</v>
      </c>
      <c r="E22" s="4097">
        <f>SUM(E21)</f>
        <v>0</v>
      </c>
    </row>
    <row r="23" spans="1:8" ht="18" x14ac:dyDescent="0.25">
      <c r="A23" s="4096"/>
      <c r="B23" s="4090"/>
      <c r="C23" s="4091"/>
      <c r="D23" s="4092"/>
      <c r="E23" s="4097"/>
    </row>
    <row r="24" spans="1:8" ht="15.75" x14ac:dyDescent="0.2">
      <c r="A24" s="4743" t="s">
        <v>2451</v>
      </c>
      <c r="B24" s="4744"/>
      <c r="C24" s="4745"/>
      <c r="D24" s="4746" t="s">
        <v>2502</v>
      </c>
      <c r="E24" s="4747"/>
    </row>
    <row r="25" spans="1:8" ht="14.25" x14ac:dyDescent="0.2">
      <c r="A25" s="4096"/>
      <c r="B25" s="4090"/>
      <c r="C25" s="4091"/>
      <c r="D25" s="4092" t="s">
        <v>2424</v>
      </c>
      <c r="E25" s="4093">
        <v>0</v>
      </c>
    </row>
    <row r="26" spans="1:8" ht="20.25" x14ac:dyDescent="0.3">
      <c r="A26" s="4096"/>
      <c r="B26" s="4090"/>
      <c r="C26" s="4091"/>
      <c r="D26" s="4095" t="s">
        <v>712</v>
      </c>
      <c r="E26" s="4097">
        <f>SUM(E25)</f>
        <v>0</v>
      </c>
    </row>
    <row r="27" spans="1:8" ht="14.25" x14ac:dyDescent="0.2">
      <c r="A27" s="4748"/>
      <c r="B27" s="4749"/>
      <c r="C27" s="4749"/>
      <c r="D27" s="4749"/>
      <c r="E27" s="4750"/>
    </row>
    <row r="28" spans="1:8" ht="15.75" x14ac:dyDescent="0.2">
      <c r="A28" s="4743" t="s">
        <v>2459</v>
      </c>
      <c r="B28" s="4744"/>
      <c r="C28" s="4745"/>
      <c r="D28" s="4746" t="s">
        <v>2503</v>
      </c>
      <c r="E28" s="4747"/>
    </row>
    <row r="29" spans="1:8" ht="14.25" x14ac:dyDescent="0.2">
      <c r="A29" s="4096"/>
      <c r="B29" s="4090"/>
      <c r="C29" s="4091"/>
      <c r="D29" s="4092" t="s">
        <v>2424</v>
      </c>
      <c r="E29" s="4093"/>
    </row>
    <row r="30" spans="1:8" ht="20.25" x14ac:dyDescent="0.3">
      <c r="A30" s="4096"/>
      <c r="B30" s="4090"/>
      <c r="C30" s="4091"/>
      <c r="D30" s="4095" t="s">
        <v>712</v>
      </c>
      <c r="E30" s="4097">
        <f>SUM(E29)</f>
        <v>0</v>
      </c>
    </row>
    <row r="31" spans="1:8" ht="14.25" x14ac:dyDescent="0.2">
      <c r="A31" s="4748"/>
      <c r="B31" s="4749"/>
      <c r="C31" s="4749"/>
      <c r="D31" s="4749"/>
      <c r="E31" s="4750"/>
    </row>
    <row r="32" spans="1:8" ht="15.75" x14ac:dyDescent="0.2">
      <c r="A32" s="4743" t="s">
        <v>2465</v>
      </c>
      <c r="B32" s="4744"/>
      <c r="C32" s="4745"/>
      <c r="D32" s="4746" t="s">
        <v>2504</v>
      </c>
      <c r="E32" s="4747"/>
    </row>
    <row r="33" spans="1:5" ht="14.25" x14ac:dyDescent="0.2">
      <c r="A33" s="4096"/>
      <c r="B33" s="4090"/>
      <c r="C33" s="4091"/>
      <c r="D33" s="4092" t="s">
        <v>2424</v>
      </c>
      <c r="E33" s="4093"/>
    </row>
    <row r="34" spans="1:5" ht="20.25" x14ac:dyDescent="0.3">
      <c r="A34" s="4096"/>
      <c r="B34" s="4090"/>
      <c r="C34" s="4091"/>
      <c r="D34" s="4095" t="s">
        <v>712</v>
      </c>
      <c r="E34" s="4097">
        <f>SUM(E33)</f>
        <v>0</v>
      </c>
    </row>
    <row r="35" spans="1:5" ht="14.25" x14ac:dyDescent="0.2">
      <c r="A35" s="4748"/>
      <c r="B35" s="4749"/>
      <c r="C35" s="4749"/>
      <c r="D35" s="4749"/>
      <c r="E35" s="4750"/>
    </row>
    <row r="36" spans="1:5" ht="15.75" x14ac:dyDescent="0.2">
      <c r="A36" s="4743" t="s">
        <v>2468</v>
      </c>
      <c r="B36" s="4744"/>
      <c r="C36" s="4745"/>
      <c r="D36" s="4746" t="s">
        <v>2505</v>
      </c>
      <c r="E36" s="4747"/>
    </row>
    <row r="37" spans="1:5" ht="14.25" x14ac:dyDescent="0.2">
      <c r="A37" s="4096"/>
      <c r="B37" s="4090"/>
      <c r="C37" s="4091"/>
      <c r="D37" s="4092" t="s">
        <v>2424</v>
      </c>
      <c r="E37" s="4093">
        <v>0</v>
      </c>
    </row>
    <row r="38" spans="1:5" ht="20.25" x14ac:dyDescent="0.3">
      <c r="A38" s="4096"/>
      <c r="B38" s="4090"/>
      <c r="C38" s="4091"/>
      <c r="D38" s="4095" t="s">
        <v>712</v>
      </c>
      <c r="E38" s="4097">
        <f>SUM(E37)</f>
        <v>0</v>
      </c>
    </row>
    <row r="39" spans="1:5" ht="14.25" x14ac:dyDescent="0.2">
      <c r="A39" s="4748"/>
      <c r="B39" s="4749"/>
      <c r="C39" s="4749"/>
      <c r="D39" s="4749"/>
      <c r="E39" s="4750"/>
    </row>
    <row r="40" spans="1:5" ht="15.75" x14ac:dyDescent="0.2">
      <c r="A40" s="4743" t="s">
        <v>2471</v>
      </c>
      <c r="B40" s="4744"/>
      <c r="C40" s="4745"/>
      <c r="D40" s="4746" t="s">
        <v>2506</v>
      </c>
      <c r="E40" s="4747"/>
    </row>
    <row r="41" spans="1:5" ht="14.25" x14ac:dyDescent="0.2">
      <c r="A41" s="4096"/>
      <c r="B41" s="4090"/>
      <c r="C41" s="4091"/>
      <c r="D41" s="4092" t="s">
        <v>2424</v>
      </c>
      <c r="E41" s="4093"/>
    </row>
    <row r="42" spans="1:5" ht="20.25" x14ac:dyDescent="0.3">
      <c r="A42" s="4096"/>
      <c r="B42" s="4090"/>
      <c r="C42" s="4091"/>
      <c r="D42" s="4095" t="s">
        <v>712</v>
      </c>
      <c r="E42" s="4097">
        <f>SUM(E41)</f>
        <v>0</v>
      </c>
    </row>
    <row r="43" spans="1:5" ht="14.25" x14ac:dyDescent="0.2">
      <c r="A43" s="4748"/>
      <c r="B43" s="4749"/>
      <c r="C43" s="4749"/>
      <c r="D43" s="4749"/>
      <c r="E43" s="4750"/>
    </row>
    <row r="44" spans="1:5" ht="15.75" x14ac:dyDescent="0.2">
      <c r="A44" s="4743" t="s">
        <v>2474</v>
      </c>
      <c r="B44" s="4744"/>
      <c r="C44" s="4745"/>
      <c r="D44" s="4746" t="s">
        <v>2507</v>
      </c>
      <c r="E44" s="4747"/>
    </row>
    <row r="45" spans="1:5" ht="14.25" x14ac:dyDescent="0.2">
      <c r="A45" s="4096"/>
      <c r="B45" s="4090"/>
      <c r="C45" s="4091"/>
      <c r="D45" s="4092" t="s">
        <v>2424</v>
      </c>
      <c r="E45" s="4093">
        <v>0</v>
      </c>
    </row>
    <row r="46" spans="1:5" ht="20.25" x14ac:dyDescent="0.3">
      <c r="A46" s="4096"/>
      <c r="B46" s="4090"/>
      <c r="C46" s="4091"/>
      <c r="D46" s="4095" t="s">
        <v>712</v>
      </c>
      <c r="E46" s="4097">
        <f>SUM(E45)</f>
        <v>0</v>
      </c>
    </row>
    <row r="47" spans="1:5" ht="14.25" x14ac:dyDescent="0.2">
      <c r="A47" s="4748"/>
      <c r="B47" s="4749"/>
      <c r="C47" s="4749"/>
      <c r="D47" s="4749"/>
      <c r="E47" s="4750"/>
    </row>
    <row r="48" spans="1:5" ht="15.75" x14ac:dyDescent="0.2">
      <c r="A48" s="4743" t="s">
        <v>2481</v>
      </c>
      <c r="B48" s="4744"/>
      <c r="C48" s="4745"/>
      <c r="D48" s="4746" t="s">
        <v>2508</v>
      </c>
      <c r="E48" s="4747"/>
    </row>
    <row r="49" spans="1:5" ht="14.25" x14ac:dyDescent="0.2">
      <c r="A49" s="4096"/>
      <c r="B49" s="4090"/>
      <c r="C49" s="4091"/>
      <c r="D49" s="4092" t="s">
        <v>2424</v>
      </c>
      <c r="E49" s="4093">
        <v>0</v>
      </c>
    </row>
    <row r="50" spans="1:5" ht="14.25" x14ac:dyDescent="0.2">
      <c r="A50" s="4096"/>
      <c r="B50" s="4090"/>
      <c r="C50" s="4091"/>
      <c r="D50" s="4092"/>
      <c r="E50" s="4093"/>
    </row>
    <row r="51" spans="1:5" ht="20.25" x14ac:dyDescent="0.3">
      <c r="A51" s="4096"/>
      <c r="B51" s="4090"/>
      <c r="C51" s="4091"/>
      <c r="D51" s="4095" t="s">
        <v>712</v>
      </c>
      <c r="E51" s="4097">
        <f>SUM(E49:E50)</f>
        <v>0</v>
      </c>
    </row>
    <row r="52" spans="1:5" ht="14.25" x14ac:dyDescent="0.2">
      <c r="A52" s="4748"/>
      <c r="B52" s="4749"/>
      <c r="C52" s="4749"/>
      <c r="D52" s="4749"/>
      <c r="E52" s="4750"/>
    </row>
    <row r="53" spans="1:5" ht="15.75" x14ac:dyDescent="0.2">
      <c r="A53" s="4743" t="s">
        <v>2484</v>
      </c>
      <c r="B53" s="4744"/>
      <c r="C53" s="4745"/>
      <c r="D53" s="4746" t="s">
        <v>2509</v>
      </c>
      <c r="E53" s="4747"/>
    </row>
    <row r="54" spans="1:5" ht="14.25" x14ac:dyDescent="0.2">
      <c r="A54" s="4096"/>
      <c r="B54" s="4090"/>
      <c r="C54" s="4091"/>
      <c r="D54" s="4092" t="s">
        <v>2424</v>
      </c>
      <c r="E54" s="4093">
        <v>0</v>
      </c>
    </row>
    <row r="55" spans="1:5" ht="20.25" x14ac:dyDescent="0.3">
      <c r="A55" s="4096"/>
      <c r="B55" s="4090"/>
      <c r="C55" s="4091"/>
      <c r="D55" s="4095" t="s">
        <v>712</v>
      </c>
      <c r="E55" s="4097">
        <f>SUM(E54:E54)</f>
        <v>0</v>
      </c>
    </row>
    <row r="56" spans="1:5" ht="14.25" x14ac:dyDescent="0.2">
      <c r="A56" s="4748"/>
      <c r="B56" s="4749"/>
      <c r="C56" s="4749"/>
      <c r="D56" s="4749"/>
      <c r="E56" s="4750"/>
    </row>
    <row r="57" spans="1:5" ht="18" x14ac:dyDescent="0.25">
      <c r="A57" s="4113"/>
      <c r="B57" s="4113"/>
      <c r="C57" s="4114"/>
      <c r="D57" s="4115"/>
      <c r="E57" s="4116"/>
    </row>
    <row r="58" spans="1:5" ht="15.75" x14ac:dyDescent="0.2">
      <c r="A58" s="4743" t="s">
        <v>2490</v>
      </c>
      <c r="B58" s="4744"/>
      <c r="C58" s="4745"/>
      <c r="D58" s="4746" t="s">
        <v>2510</v>
      </c>
      <c r="E58" s="4747"/>
    </row>
    <row r="59" spans="1:5" ht="15" x14ac:dyDescent="0.2">
      <c r="A59" s="4096"/>
      <c r="B59" s="4100" t="s">
        <v>546</v>
      </c>
      <c r="C59" s="4101"/>
      <c r="D59" s="4092" t="s">
        <v>2424</v>
      </c>
      <c r="E59" s="4093">
        <v>15111563</v>
      </c>
    </row>
    <row r="60" spans="1:5" ht="15" x14ac:dyDescent="0.2">
      <c r="A60" s="4089"/>
      <c r="B60" s="4103" t="s">
        <v>553</v>
      </c>
      <c r="C60" s="4104"/>
      <c r="D60" s="4105"/>
      <c r="E60" s="4093"/>
    </row>
    <row r="61" spans="1:5" ht="14.25" x14ac:dyDescent="0.2">
      <c r="A61" s="4096"/>
      <c r="B61" s="4100" t="s">
        <v>554</v>
      </c>
      <c r="C61" s="4091"/>
      <c r="D61" s="4102"/>
      <c r="E61" s="4093"/>
    </row>
    <row r="62" spans="1:5" ht="20.25" x14ac:dyDescent="0.3">
      <c r="A62" s="4096"/>
      <c r="B62" s="4090"/>
      <c r="C62" s="4091"/>
      <c r="D62" s="4095" t="s">
        <v>712</v>
      </c>
      <c r="E62" s="4097">
        <f>SUM(E59:E61)</f>
        <v>15111563</v>
      </c>
    </row>
    <row r="63" spans="1:5" ht="18" x14ac:dyDescent="0.25">
      <c r="A63" s="4113"/>
      <c r="B63" s="4113"/>
      <c r="C63" s="4114"/>
      <c r="D63" s="4115"/>
      <c r="E63" s="4116"/>
    </row>
    <row r="64" spans="1:5" ht="13.5" thickBot="1" x14ac:dyDescent="0.25">
      <c r="A64" s="4106"/>
      <c r="B64" s="4106"/>
      <c r="C64" s="4106"/>
      <c r="D64" s="4106"/>
      <c r="E64" s="4106"/>
    </row>
    <row r="65" spans="1:5" ht="21.75" thickTop="1" thickBot="1" x14ac:dyDescent="0.35">
      <c r="A65" s="4751" t="s">
        <v>2511</v>
      </c>
      <c r="B65" s="4752"/>
      <c r="C65" s="4752"/>
      <c r="D65" s="4753"/>
      <c r="E65" s="4107">
        <f>SUM(E13+E62)</f>
        <v>896492128</v>
      </c>
    </row>
    <row r="66" spans="1:5" ht="14.25" thickTop="1" thickBot="1" x14ac:dyDescent="0.25">
      <c r="A66" s="4106"/>
      <c r="B66" s="4106"/>
      <c r="C66" s="4106"/>
      <c r="D66" s="4106"/>
      <c r="E66" s="4106"/>
    </row>
    <row r="67" spans="1:5" ht="21.75" thickTop="1" thickBot="1" x14ac:dyDescent="0.35">
      <c r="A67" s="4754" t="s">
        <v>2512</v>
      </c>
      <c r="B67" s="4755"/>
      <c r="C67" s="4755"/>
      <c r="D67" s="4755"/>
      <c r="E67" s="4117">
        <f>SUM(E65+E4)</f>
        <v>1101250602</v>
      </c>
    </row>
    <row r="68" spans="1:5" ht="13.5" thickTop="1" x14ac:dyDescent="0.2"/>
  </sheetData>
  <mergeCells count="38">
    <mergeCell ref="A65:D65"/>
    <mergeCell ref="A67:D67"/>
    <mergeCell ref="A52:E52"/>
    <mergeCell ref="A53:C53"/>
    <mergeCell ref="D53:E53"/>
    <mergeCell ref="A56:E56"/>
    <mergeCell ref="A58:C58"/>
    <mergeCell ref="D58:E58"/>
    <mergeCell ref="A43:E43"/>
    <mergeCell ref="A44:C44"/>
    <mergeCell ref="D44:E44"/>
    <mergeCell ref="A47:E47"/>
    <mergeCell ref="A48:C48"/>
    <mergeCell ref="D48:E48"/>
    <mergeCell ref="A35:E35"/>
    <mergeCell ref="A36:C36"/>
    <mergeCell ref="D36:E36"/>
    <mergeCell ref="A39:E39"/>
    <mergeCell ref="A40:C40"/>
    <mergeCell ref="D40:E40"/>
    <mergeCell ref="A27:E27"/>
    <mergeCell ref="A28:C28"/>
    <mergeCell ref="D28:E28"/>
    <mergeCell ref="A31:E31"/>
    <mergeCell ref="A32:C32"/>
    <mergeCell ref="D32:E32"/>
    <mergeCell ref="A15:C15"/>
    <mergeCell ref="D15:E15"/>
    <mergeCell ref="A20:C20"/>
    <mergeCell ref="D20:E20"/>
    <mergeCell ref="A24:C24"/>
    <mergeCell ref="D24:E24"/>
    <mergeCell ref="A1:E1"/>
    <mergeCell ref="A3:D3"/>
    <mergeCell ref="A4:D4"/>
    <mergeCell ref="A6:C6"/>
    <mergeCell ref="A7:C7"/>
    <mergeCell ref="D7:E7"/>
  </mergeCells>
  <printOptions horizontalCentered="1"/>
  <pageMargins left="0.31496062992125984" right="0.23622047244094491" top="0.74803149606299213" bottom="0.74803149606299213" header="0.31496062992125984" footer="0.31496062992125984"/>
  <pageSetup paperSize="9" firstPageNumber="129" orientation="portrait" useFirstPageNumber="1" r:id="rId1"/>
  <headerFooter>
    <oddHeader>&amp;R&amp;12 15.2. sz. melléklet</oddHeader>
    <oddFooter>&amp;C&amp;12- &amp;P -</oddFooter>
  </headerFooter>
  <colBreaks count="1" manualBreakCount="1">
    <brk id="5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AEFD4-60E3-4AF4-B240-D5966B0A9182}">
  <dimension ref="A1:J180"/>
  <sheetViews>
    <sheetView view="pageBreakPreview" topLeftCell="A160" zoomScaleNormal="100" zoomScaleSheetLayoutView="100" workbookViewId="0">
      <selection activeCell="I176" sqref="I176"/>
    </sheetView>
  </sheetViews>
  <sheetFormatPr defaultColWidth="8.83203125" defaultRowHeight="12.75" x14ac:dyDescent="0.2"/>
  <cols>
    <col min="1" max="2" width="3" style="4062" customWidth="1"/>
    <col min="3" max="3" width="1.83203125" style="4062" customWidth="1"/>
    <col min="4" max="4" width="78.1640625" style="4062" customWidth="1"/>
    <col min="5" max="5" width="21.1640625" style="4062" customWidth="1"/>
    <col min="6" max="7" width="8.83203125" style="4062"/>
    <col min="8" max="8" width="9.83203125" style="4062" bestFit="1" customWidth="1"/>
    <col min="9" max="9" width="8.83203125" style="4062"/>
    <col min="10" max="10" width="11.1640625" style="4062" bestFit="1" customWidth="1"/>
    <col min="11" max="16384" width="8.83203125" style="4062"/>
  </cols>
  <sheetData>
    <row r="1" spans="1:5" x14ac:dyDescent="0.2">
      <c r="A1" s="4118"/>
      <c r="B1" s="4118"/>
      <c r="C1" s="4118"/>
      <c r="D1" s="4118"/>
      <c r="E1" s="4118"/>
    </row>
    <row r="2" spans="1:5" ht="20.25" x14ac:dyDescent="0.3">
      <c r="A2" s="4719" t="s">
        <v>2513</v>
      </c>
      <c r="B2" s="4719"/>
      <c r="C2" s="4719"/>
      <c r="D2" s="4719"/>
      <c r="E2" s="4119">
        <f>SUM('15.2. sz. mell.'!E3-'15.2. sz. mell.'!E67)</f>
        <v>513202790</v>
      </c>
    </row>
    <row r="3" spans="1:5" ht="19.5" thickBot="1" x14ac:dyDescent="0.35">
      <c r="A3" s="4720"/>
      <c r="B3" s="4720"/>
      <c r="C3" s="4720"/>
      <c r="D3" s="4720"/>
      <c r="E3" s="4120"/>
    </row>
    <row r="4" spans="1:5" ht="16.5" thickTop="1" x14ac:dyDescent="0.2">
      <c r="A4" s="4721" t="s">
        <v>332</v>
      </c>
      <c r="B4" s="4722"/>
      <c r="C4" s="4722"/>
      <c r="D4" s="4121" t="s">
        <v>232</v>
      </c>
      <c r="E4" s="4122" t="s">
        <v>2413</v>
      </c>
    </row>
    <row r="5" spans="1:5" ht="15.75" x14ac:dyDescent="0.2">
      <c r="A5" s="4723" t="s">
        <v>500</v>
      </c>
      <c r="B5" s="4724"/>
      <c r="C5" s="4725"/>
      <c r="D5" s="4756" t="s">
        <v>2514</v>
      </c>
      <c r="E5" s="4757"/>
    </row>
    <row r="6" spans="1:5" ht="14.25" x14ac:dyDescent="0.2">
      <c r="A6" s="4123"/>
      <c r="B6" s="4090" t="s">
        <v>3</v>
      </c>
      <c r="C6" s="4124"/>
      <c r="D6" s="4092" t="s">
        <v>2515</v>
      </c>
      <c r="E6" s="4093">
        <v>167932</v>
      </c>
    </row>
    <row r="7" spans="1:5" ht="31.15" customHeight="1" x14ac:dyDescent="0.2">
      <c r="A7" s="4089"/>
      <c r="B7" s="4194" t="s">
        <v>17</v>
      </c>
      <c r="C7" s="4091"/>
      <c r="D7" s="4092" t="s">
        <v>2516</v>
      </c>
      <c r="E7" s="4093">
        <v>100926</v>
      </c>
    </row>
    <row r="8" spans="1:5" ht="14.25" x14ac:dyDescent="0.2">
      <c r="A8" s="4089"/>
      <c r="B8" s="4194" t="s">
        <v>31</v>
      </c>
      <c r="C8" s="4091"/>
      <c r="D8" s="4098" t="s">
        <v>2517</v>
      </c>
      <c r="E8" s="4093">
        <v>1270000</v>
      </c>
    </row>
    <row r="9" spans="1:5" ht="14.25" x14ac:dyDescent="0.2">
      <c r="A9" s="4089"/>
      <c r="B9" s="4194" t="s">
        <v>45</v>
      </c>
      <c r="C9" s="4091"/>
      <c r="D9" s="4098" t="s">
        <v>2518</v>
      </c>
      <c r="E9" s="4093">
        <v>10000000</v>
      </c>
    </row>
    <row r="10" spans="1:5" ht="14.25" x14ac:dyDescent="0.2">
      <c r="A10" s="4089"/>
      <c r="B10" s="4194" t="s">
        <v>67</v>
      </c>
      <c r="C10" s="4091"/>
      <c r="D10" s="4098" t="s">
        <v>2519</v>
      </c>
      <c r="E10" s="4093">
        <v>3000000</v>
      </c>
    </row>
    <row r="11" spans="1:5" s="3245" customFormat="1" ht="14.25" x14ac:dyDescent="0.2">
      <c r="A11" s="4089"/>
      <c r="B11" s="4194" t="s">
        <v>79</v>
      </c>
      <c r="C11" s="4091"/>
      <c r="D11" s="4092" t="s">
        <v>2520</v>
      </c>
      <c r="E11" s="4093">
        <v>15000000</v>
      </c>
    </row>
    <row r="12" spans="1:5" s="3245" customFormat="1" ht="14.25" x14ac:dyDescent="0.2">
      <c r="A12" s="4089"/>
      <c r="B12" s="4194" t="s">
        <v>89</v>
      </c>
      <c r="C12" s="4091"/>
      <c r="D12" s="4092" t="s">
        <v>2521</v>
      </c>
      <c r="E12" s="4093">
        <v>3840000</v>
      </c>
    </row>
    <row r="13" spans="1:5" ht="14.25" x14ac:dyDescent="0.2">
      <c r="A13" s="4089"/>
      <c r="B13" s="4194" t="s">
        <v>99</v>
      </c>
      <c r="C13" s="4091"/>
      <c r="D13" s="4125" t="s">
        <v>2522</v>
      </c>
      <c r="E13" s="4126">
        <v>2540000</v>
      </c>
    </row>
    <row r="14" spans="1:5" ht="14.25" x14ac:dyDescent="0.2">
      <c r="A14" s="4089"/>
      <c r="B14" s="4194" t="s">
        <v>101</v>
      </c>
      <c r="C14" s="4091"/>
      <c r="D14" s="4125" t="s">
        <v>2523</v>
      </c>
      <c r="E14" s="4126">
        <v>1000000</v>
      </c>
    </row>
    <row r="15" spans="1:5" ht="14.25" x14ac:dyDescent="0.2">
      <c r="A15" s="4089"/>
      <c r="B15" s="4194" t="s">
        <v>109</v>
      </c>
      <c r="C15" s="4091"/>
      <c r="D15" s="4125" t="s">
        <v>2524</v>
      </c>
      <c r="E15" s="4126">
        <v>300000</v>
      </c>
    </row>
    <row r="16" spans="1:5" ht="14.25" x14ac:dyDescent="0.2">
      <c r="A16" s="4089"/>
      <c r="B16" s="4194" t="s">
        <v>119</v>
      </c>
      <c r="C16" s="4091"/>
      <c r="D16" s="4092" t="s">
        <v>2525</v>
      </c>
      <c r="E16" s="4093">
        <v>3124498</v>
      </c>
    </row>
    <row r="17" spans="1:5" ht="14.25" x14ac:dyDescent="0.2">
      <c r="A17" s="4089"/>
      <c r="B17" s="4194" t="s">
        <v>125</v>
      </c>
      <c r="C17" s="4091"/>
      <c r="D17" s="4092" t="s">
        <v>2526</v>
      </c>
      <c r="E17" s="4093">
        <v>7709401</v>
      </c>
    </row>
    <row r="18" spans="1:5" ht="14.25" x14ac:dyDescent="0.2">
      <c r="A18" s="4089"/>
      <c r="B18" s="4194" t="s">
        <v>133</v>
      </c>
      <c r="C18" s="4091"/>
      <c r="D18" s="4092" t="s">
        <v>2527</v>
      </c>
      <c r="E18" s="4093">
        <v>3267067</v>
      </c>
    </row>
    <row r="19" spans="1:5" ht="14.25" x14ac:dyDescent="0.2">
      <c r="A19" s="4089"/>
      <c r="B19" s="4194" t="s">
        <v>143</v>
      </c>
      <c r="C19" s="4091"/>
      <c r="D19" s="4092" t="s">
        <v>2528</v>
      </c>
      <c r="E19" s="4093">
        <v>5000000</v>
      </c>
    </row>
    <row r="20" spans="1:5" ht="14.25" x14ac:dyDescent="0.2">
      <c r="A20" s="4089"/>
      <c r="B20" s="4194" t="s">
        <v>145</v>
      </c>
      <c r="C20" s="4091"/>
      <c r="D20" s="4092" t="s">
        <v>2615</v>
      </c>
      <c r="E20" s="4093">
        <v>525000</v>
      </c>
    </row>
    <row r="21" spans="1:5" ht="14.25" x14ac:dyDescent="0.2">
      <c r="A21" s="4096"/>
      <c r="B21" s="4194" t="s">
        <v>147</v>
      </c>
      <c r="C21" s="4091"/>
      <c r="D21" s="4127" t="s">
        <v>202</v>
      </c>
      <c r="E21" s="4128">
        <v>15000000</v>
      </c>
    </row>
    <row r="22" spans="1:5" ht="14.25" x14ac:dyDescent="0.2">
      <c r="A22" s="4096"/>
      <c r="B22" s="4194" t="s">
        <v>246</v>
      </c>
      <c r="C22" s="4091"/>
      <c r="D22" s="4092" t="s">
        <v>2529</v>
      </c>
      <c r="E22" s="4093">
        <f>SUM(E24:E43)</f>
        <v>16000000</v>
      </c>
    </row>
    <row r="23" spans="1:5" ht="14.25" x14ac:dyDescent="0.2">
      <c r="A23" s="4096"/>
      <c r="B23" s="4194" t="s">
        <v>247</v>
      </c>
      <c r="C23" s="4091"/>
      <c r="D23" s="4129" t="s">
        <v>2530</v>
      </c>
      <c r="E23" s="4093"/>
    </row>
    <row r="24" spans="1:5" ht="28.5" x14ac:dyDescent="0.2">
      <c r="A24" s="4096"/>
      <c r="B24" s="4194" t="s">
        <v>248</v>
      </c>
      <c r="C24" s="4091"/>
      <c r="D24" s="4125" t="s">
        <v>2531</v>
      </c>
      <c r="E24" s="4093">
        <v>100000</v>
      </c>
    </row>
    <row r="25" spans="1:5" ht="14.25" x14ac:dyDescent="0.2">
      <c r="A25" s="4096"/>
      <c r="B25" s="4194" t="s">
        <v>884</v>
      </c>
      <c r="C25" s="4091"/>
      <c r="D25" s="4125" t="s">
        <v>2532</v>
      </c>
      <c r="E25" s="4128">
        <v>1200000</v>
      </c>
    </row>
    <row r="26" spans="1:5" ht="14.25" x14ac:dyDescent="0.2">
      <c r="A26" s="4096"/>
      <c r="B26" s="4194" t="s">
        <v>885</v>
      </c>
      <c r="C26" s="4091"/>
      <c r="D26" s="4125" t="s">
        <v>2533</v>
      </c>
      <c r="E26" s="4093">
        <v>100000</v>
      </c>
    </row>
    <row r="27" spans="1:5" ht="14.25" x14ac:dyDescent="0.2">
      <c r="A27" s="4096"/>
      <c r="B27" s="4194" t="s">
        <v>249</v>
      </c>
      <c r="C27" s="4091"/>
      <c r="D27" s="4125" t="s">
        <v>2534</v>
      </c>
      <c r="E27" s="4093">
        <v>100000</v>
      </c>
    </row>
    <row r="28" spans="1:5" ht="14.25" x14ac:dyDescent="0.2">
      <c r="A28" s="4096"/>
      <c r="B28" s="4194" t="s">
        <v>276</v>
      </c>
      <c r="C28" s="4091"/>
      <c r="D28" s="4125" t="s">
        <v>1655</v>
      </c>
      <c r="E28" s="4093">
        <v>100000</v>
      </c>
    </row>
    <row r="29" spans="1:5" ht="14.25" x14ac:dyDescent="0.2">
      <c r="A29" s="4096"/>
      <c r="B29" s="4194" t="s">
        <v>250</v>
      </c>
      <c r="C29" s="4091"/>
      <c r="D29" s="4125" t="s">
        <v>1663</v>
      </c>
      <c r="E29" s="4093">
        <v>100000</v>
      </c>
    </row>
    <row r="30" spans="1:5" ht="14.25" x14ac:dyDescent="0.2">
      <c r="A30" s="4096"/>
      <c r="B30" s="4194" t="s">
        <v>253</v>
      </c>
      <c r="C30" s="4091"/>
      <c r="D30" s="4125" t="s">
        <v>2535</v>
      </c>
      <c r="E30" s="4093">
        <v>100000</v>
      </c>
    </row>
    <row r="31" spans="1:5" ht="14.25" x14ac:dyDescent="0.2">
      <c r="A31" s="4096"/>
      <c r="B31" s="4194" t="s">
        <v>256</v>
      </c>
      <c r="C31" s="4091"/>
      <c r="D31" s="4125" t="s">
        <v>2536</v>
      </c>
      <c r="E31" s="4093">
        <v>100000</v>
      </c>
    </row>
    <row r="32" spans="1:5" ht="14.25" x14ac:dyDescent="0.2">
      <c r="A32" s="4096"/>
      <c r="B32" s="4194" t="s">
        <v>2066</v>
      </c>
      <c r="C32" s="4091"/>
      <c r="D32" s="4125" t="s">
        <v>2537</v>
      </c>
      <c r="E32" s="4093">
        <v>100000</v>
      </c>
    </row>
    <row r="33" spans="1:5" ht="14.25" x14ac:dyDescent="0.2">
      <c r="A33" s="4096"/>
      <c r="B33" s="4194" t="s">
        <v>2067</v>
      </c>
      <c r="C33" s="4091"/>
      <c r="D33" s="4125" t="s">
        <v>2538</v>
      </c>
      <c r="E33" s="4093">
        <v>100000</v>
      </c>
    </row>
    <row r="34" spans="1:5" ht="14.25" x14ac:dyDescent="0.2">
      <c r="A34" s="4096"/>
      <c r="B34" s="4194" t="s">
        <v>2068</v>
      </c>
      <c r="C34" s="4091"/>
      <c r="D34" s="4125" t="s">
        <v>2539</v>
      </c>
      <c r="E34" s="4093">
        <v>100000</v>
      </c>
    </row>
    <row r="35" spans="1:5" ht="14.25" x14ac:dyDescent="0.2">
      <c r="A35" s="4096"/>
      <c r="B35" s="4194" t="s">
        <v>2069</v>
      </c>
      <c r="C35" s="4091"/>
      <c r="D35" s="4130" t="s">
        <v>2540</v>
      </c>
      <c r="E35" s="4093">
        <v>300000</v>
      </c>
    </row>
    <row r="36" spans="1:5" ht="14.25" x14ac:dyDescent="0.2">
      <c r="A36" s="4096"/>
      <c r="B36" s="4194" t="s">
        <v>2070</v>
      </c>
      <c r="C36" s="4091"/>
      <c r="D36" s="4130" t="s">
        <v>2541</v>
      </c>
      <c r="E36" s="4093">
        <v>100000</v>
      </c>
    </row>
    <row r="37" spans="1:5" ht="14.25" x14ac:dyDescent="0.2">
      <c r="A37" s="4096"/>
      <c r="B37" s="4194" t="s">
        <v>2071</v>
      </c>
      <c r="C37" s="4091"/>
      <c r="D37" s="4130" t="s">
        <v>387</v>
      </c>
      <c r="E37" s="4093">
        <v>200000</v>
      </c>
    </row>
    <row r="38" spans="1:5" ht="14.25" x14ac:dyDescent="0.2">
      <c r="A38" s="4096"/>
      <c r="B38" s="4194" t="s">
        <v>2072</v>
      </c>
      <c r="C38" s="4091"/>
      <c r="D38" s="4130" t="s">
        <v>2542</v>
      </c>
      <c r="E38" s="4093">
        <v>5000000</v>
      </c>
    </row>
    <row r="39" spans="1:5" ht="14.25" x14ac:dyDescent="0.2">
      <c r="A39" s="4096"/>
      <c r="B39" s="4194" t="s">
        <v>2073</v>
      </c>
      <c r="C39" s="4091"/>
      <c r="D39" s="4130" t="s">
        <v>2543</v>
      </c>
      <c r="E39" s="4093">
        <v>1000000</v>
      </c>
    </row>
    <row r="40" spans="1:5" ht="14.25" x14ac:dyDescent="0.2">
      <c r="A40" s="4096"/>
      <c r="B40" s="4194" t="s">
        <v>2074</v>
      </c>
      <c r="C40" s="4091"/>
      <c r="D40" s="4130" t="s">
        <v>2544</v>
      </c>
      <c r="E40" s="4093">
        <v>300000</v>
      </c>
    </row>
    <row r="41" spans="1:5" ht="14.25" x14ac:dyDescent="0.2">
      <c r="A41" s="4096"/>
      <c r="B41" s="4194" t="s">
        <v>2075</v>
      </c>
      <c r="C41" s="4091"/>
      <c r="D41" s="4130" t="s">
        <v>2616</v>
      </c>
      <c r="E41" s="4093">
        <v>1500000</v>
      </c>
    </row>
    <row r="42" spans="1:5" s="4071" customFormat="1" ht="28.5" x14ac:dyDescent="0.2">
      <c r="A42" s="4099"/>
      <c r="B42" s="4194" t="s">
        <v>2076</v>
      </c>
      <c r="C42" s="4091"/>
      <c r="D42" s="4130" t="s">
        <v>2621</v>
      </c>
      <c r="E42" s="4093">
        <v>200000</v>
      </c>
    </row>
    <row r="43" spans="1:5" ht="14.25" x14ac:dyDescent="0.2">
      <c r="A43" s="4096"/>
      <c r="B43" s="4194" t="s">
        <v>2077</v>
      </c>
      <c r="C43" s="4091"/>
      <c r="D43" s="4125" t="s">
        <v>2545</v>
      </c>
      <c r="E43" s="4093">
        <v>5200000</v>
      </c>
    </row>
    <row r="44" spans="1:5" ht="14.25" x14ac:dyDescent="0.2">
      <c r="A44" s="4096"/>
      <c r="B44" s="4194" t="s">
        <v>2078</v>
      </c>
      <c r="C44" s="4091"/>
      <c r="D44" s="4092" t="s">
        <v>390</v>
      </c>
      <c r="E44" s="4093"/>
    </row>
    <row r="45" spans="1:5" ht="14.25" x14ac:dyDescent="0.2">
      <c r="A45" s="4096"/>
      <c r="B45" s="4194" t="s">
        <v>2079</v>
      </c>
      <c r="C45" s="4091"/>
      <c r="D45" s="4130" t="s">
        <v>2546</v>
      </c>
      <c r="E45" s="4093">
        <v>11500000</v>
      </c>
    </row>
    <row r="46" spans="1:5" ht="14.25" x14ac:dyDescent="0.2">
      <c r="A46" s="4096"/>
      <c r="B46" s="4194" t="s">
        <v>2080</v>
      </c>
      <c r="C46" s="4091"/>
      <c r="D46" s="4130" t="s">
        <v>2547</v>
      </c>
      <c r="E46" s="4093">
        <v>20000000</v>
      </c>
    </row>
    <row r="47" spans="1:5" ht="14.25" x14ac:dyDescent="0.2">
      <c r="A47" s="4096"/>
      <c r="B47" s="4194" t="s">
        <v>2081</v>
      </c>
      <c r="C47" s="4091"/>
      <c r="D47" s="4130" t="s">
        <v>2548</v>
      </c>
      <c r="E47" s="4093">
        <v>15100000</v>
      </c>
    </row>
    <row r="48" spans="1:5" ht="14.25" x14ac:dyDescent="0.2">
      <c r="A48" s="4096"/>
      <c r="B48" s="4194" t="s">
        <v>2082</v>
      </c>
      <c r="C48" s="4091"/>
      <c r="D48" s="4092" t="s">
        <v>2549</v>
      </c>
      <c r="E48" s="4093">
        <v>4000000</v>
      </c>
    </row>
    <row r="49" spans="1:5" ht="14.25" x14ac:dyDescent="0.2">
      <c r="A49" s="4096"/>
      <c r="B49" s="4194" t="s">
        <v>2083</v>
      </c>
      <c r="C49" s="4091"/>
      <c r="D49" s="4092" t="s">
        <v>2550</v>
      </c>
      <c r="E49" s="4093">
        <v>360000</v>
      </c>
    </row>
    <row r="50" spans="1:5" ht="14.25" x14ac:dyDescent="0.2">
      <c r="A50" s="4096"/>
      <c r="B50" s="4194" t="s">
        <v>2084</v>
      </c>
      <c r="C50" s="4091"/>
      <c r="D50" s="4098" t="s">
        <v>2551</v>
      </c>
      <c r="E50" s="4094">
        <v>933993</v>
      </c>
    </row>
    <row r="51" spans="1:5" ht="14.25" x14ac:dyDescent="0.2">
      <c r="A51" s="4096"/>
      <c r="B51" s="4194" t="s">
        <v>2085</v>
      </c>
      <c r="C51" s="4091"/>
      <c r="D51" s="4098" t="s">
        <v>2552</v>
      </c>
      <c r="E51" s="4094">
        <v>632166</v>
      </c>
    </row>
    <row r="52" spans="1:5" ht="14.25" x14ac:dyDescent="0.2">
      <c r="A52" s="4096"/>
      <c r="B52" s="4194" t="s">
        <v>2086</v>
      </c>
      <c r="C52" s="4091"/>
      <c r="D52" s="4098" t="s">
        <v>2553</v>
      </c>
      <c r="E52" s="4094">
        <v>924855</v>
      </c>
    </row>
    <row r="53" spans="1:5" ht="14.25" x14ac:dyDescent="0.2">
      <c r="A53" s="4096"/>
      <c r="B53" s="4194" t="s">
        <v>2087</v>
      </c>
      <c r="C53" s="4091"/>
      <c r="D53" s="4098" t="s">
        <v>2554</v>
      </c>
      <c r="E53" s="4094">
        <v>865000</v>
      </c>
    </row>
    <row r="54" spans="1:5" ht="14.25" x14ac:dyDescent="0.2">
      <c r="A54" s="4096"/>
      <c r="B54" s="4194" t="s">
        <v>2088</v>
      </c>
      <c r="C54" s="4091"/>
      <c r="D54" s="4098" t="s">
        <v>1489</v>
      </c>
      <c r="E54" s="4094">
        <v>3500000</v>
      </c>
    </row>
    <row r="55" spans="1:5" ht="14.25" x14ac:dyDescent="0.2">
      <c r="A55" s="4096"/>
      <c r="B55" s="4194" t="s">
        <v>2089</v>
      </c>
      <c r="C55" s="4091"/>
      <c r="D55" s="4098" t="s">
        <v>2555</v>
      </c>
      <c r="E55" s="4094">
        <v>9093100</v>
      </c>
    </row>
    <row r="56" spans="1:5" ht="14.25" x14ac:dyDescent="0.2">
      <c r="A56" s="4096"/>
      <c r="B56" s="4194" t="s">
        <v>2090</v>
      </c>
      <c r="C56" s="4091"/>
      <c r="D56" s="4098" t="s">
        <v>2556</v>
      </c>
      <c r="E56" s="4094">
        <v>5000000</v>
      </c>
    </row>
    <row r="57" spans="1:5" ht="14.25" x14ac:dyDescent="0.2">
      <c r="A57" s="4096"/>
      <c r="B57" s="4194" t="s">
        <v>2091</v>
      </c>
      <c r="C57" s="4091"/>
      <c r="D57" s="4092" t="s">
        <v>917</v>
      </c>
      <c r="E57" s="4093">
        <v>4000000</v>
      </c>
    </row>
    <row r="58" spans="1:5" ht="14.25" x14ac:dyDescent="0.2">
      <c r="A58" s="4096"/>
      <c r="B58" s="4194" t="s">
        <v>2092</v>
      </c>
      <c r="C58" s="4091"/>
      <c r="D58" s="4092" t="s">
        <v>2614</v>
      </c>
      <c r="E58" s="4093">
        <v>5000000</v>
      </c>
    </row>
    <row r="59" spans="1:5" ht="14.25" x14ac:dyDescent="0.2">
      <c r="A59" s="4096"/>
      <c r="B59" s="4194" t="s">
        <v>2093</v>
      </c>
      <c r="C59" s="4091"/>
      <c r="D59" s="4092"/>
      <c r="E59" s="4093"/>
    </row>
    <row r="60" spans="1:5" ht="14.25" x14ac:dyDescent="0.2">
      <c r="A60" s="4096"/>
      <c r="B60" s="4194" t="s">
        <v>2094</v>
      </c>
      <c r="C60" s="4091"/>
      <c r="D60" s="4092"/>
      <c r="E60" s="4093"/>
    </row>
    <row r="61" spans="1:5" ht="15" x14ac:dyDescent="0.2">
      <c r="A61" s="4096"/>
      <c r="B61" s="4194" t="s">
        <v>2095</v>
      </c>
      <c r="C61" s="4091"/>
      <c r="D61" s="4127"/>
      <c r="E61" s="4112"/>
    </row>
    <row r="62" spans="1:5" ht="15" x14ac:dyDescent="0.2">
      <c r="A62" s="4096"/>
      <c r="B62" s="4194" t="s">
        <v>2096</v>
      </c>
      <c r="C62" s="4091"/>
      <c r="D62" s="4127"/>
      <c r="E62" s="4112"/>
    </row>
    <row r="63" spans="1:5" ht="15" x14ac:dyDescent="0.2">
      <c r="A63" s="4096"/>
      <c r="B63" s="4194" t="s">
        <v>2097</v>
      </c>
      <c r="C63" s="4091"/>
      <c r="D63" s="4098"/>
      <c r="E63" s="4131"/>
    </row>
    <row r="64" spans="1:5" ht="15" x14ac:dyDescent="0.2">
      <c r="A64" s="4096"/>
      <c r="B64" s="4194" t="s">
        <v>2098</v>
      </c>
      <c r="C64" s="4091"/>
      <c r="D64" s="4092"/>
      <c r="E64" s="4112"/>
    </row>
    <row r="65" spans="1:5" ht="20.25" x14ac:dyDescent="0.3">
      <c r="A65" s="4096"/>
      <c r="B65" s="4090"/>
      <c r="C65" s="4091"/>
      <c r="D65" s="4095" t="s">
        <v>712</v>
      </c>
      <c r="E65" s="4097">
        <f>SUM(E6:E64)-E12</f>
        <v>180913938</v>
      </c>
    </row>
    <row r="66" spans="1:5" ht="20.25" x14ac:dyDescent="0.3">
      <c r="A66" s="4096"/>
      <c r="B66" s="4090"/>
      <c r="C66" s="4132"/>
      <c r="D66" s="4133"/>
      <c r="E66" s="4134"/>
    </row>
    <row r="67" spans="1:5" ht="15.75" x14ac:dyDescent="0.2">
      <c r="A67" s="4743" t="s">
        <v>2422</v>
      </c>
      <c r="B67" s="4744"/>
      <c r="C67" s="4745"/>
      <c r="D67" s="4756" t="s">
        <v>2557</v>
      </c>
      <c r="E67" s="4757"/>
    </row>
    <row r="68" spans="1:5" ht="14.25" x14ac:dyDescent="0.2">
      <c r="A68" s="4096"/>
      <c r="B68" s="4090" t="s">
        <v>3</v>
      </c>
      <c r="C68" s="4091"/>
      <c r="D68" s="4092" t="s">
        <v>2558</v>
      </c>
      <c r="E68" s="4093"/>
    </row>
    <row r="69" spans="1:5" ht="14.25" x14ac:dyDescent="0.2">
      <c r="A69" s="4096"/>
      <c r="B69" s="4090" t="s">
        <v>17</v>
      </c>
      <c r="C69" s="4091"/>
      <c r="D69" s="4092" t="s">
        <v>2559</v>
      </c>
      <c r="E69" s="4093">
        <v>58776</v>
      </c>
    </row>
    <row r="70" spans="1:5" ht="20.25" x14ac:dyDescent="0.3">
      <c r="A70" s="4096"/>
      <c r="B70" s="4090"/>
      <c r="C70" s="4091"/>
      <c r="D70" s="4095" t="s">
        <v>712</v>
      </c>
      <c r="E70" s="4097">
        <f>SUM(E68:E69)</f>
        <v>58776</v>
      </c>
    </row>
    <row r="71" spans="1:5" ht="20.25" x14ac:dyDescent="0.3">
      <c r="A71" s="4096"/>
      <c r="B71" s="4090"/>
      <c r="C71" s="4132"/>
      <c r="D71" s="4133"/>
      <c r="E71" s="4134"/>
    </row>
    <row r="72" spans="1:5" ht="15.75" x14ac:dyDescent="0.2">
      <c r="A72" s="4743" t="s">
        <v>2426</v>
      </c>
      <c r="B72" s="4744"/>
      <c r="C72" s="4745"/>
      <c r="D72" s="4756" t="s">
        <v>2560</v>
      </c>
      <c r="E72" s="4757"/>
    </row>
    <row r="73" spans="1:5" ht="14.25" x14ac:dyDescent="0.2">
      <c r="A73" s="4096"/>
      <c r="B73" s="4090" t="s">
        <v>3</v>
      </c>
      <c r="C73" s="4091"/>
      <c r="D73" s="4092" t="s">
        <v>2559</v>
      </c>
      <c r="E73" s="4093">
        <v>173611</v>
      </c>
    </row>
    <row r="74" spans="1:5" ht="14.25" x14ac:dyDescent="0.2">
      <c r="A74" s="4096"/>
      <c r="B74" s="4090" t="s">
        <v>17</v>
      </c>
      <c r="C74" s="4091"/>
      <c r="D74" s="4092"/>
      <c r="E74" s="4093"/>
    </row>
    <row r="75" spans="1:5" ht="14.25" x14ac:dyDescent="0.2">
      <c r="A75" s="4096"/>
      <c r="B75" s="4090" t="s">
        <v>31</v>
      </c>
      <c r="C75" s="4091"/>
      <c r="D75" s="4092"/>
      <c r="E75" s="4093"/>
    </row>
    <row r="76" spans="1:5" ht="20.25" x14ac:dyDescent="0.3">
      <c r="A76" s="4096"/>
      <c r="B76" s="4090"/>
      <c r="C76" s="4091"/>
      <c r="D76" s="4095" t="s">
        <v>712</v>
      </c>
      <c r="E76" s="4097">
        <f>SUM(E73:E75)</f>
        <v>173611</v>
      </c>
    </row>
    <row r="77" spans="1:5" ht="20.25" x14ac:dyDescent="0.3">
      <c r="A77" s="4096"/>
      <c r="B77" s="4090"/>
      <c r="C77" s="4132"/>
      <c r="D77" s="4133"/>
      <c r="E77" s="4134"/>
    </row>
    <row r="78" spans="1:5" ht="15.75" x14ac:dyDescent="0.2">
      <c r="A78" s="4743" t="s">
        <v>2451</v>
      </c>
      <c r="B78" s="4744"/>
      <c r="C78" s="4745"/>
      <c r="D78" s="4746" t="s">
        <v>2561</v>
      </c>
      <c r="E78" s="4747"/>
    </row>
    <row r="79" spans="1:5" ht="14.25" x14ac:dyDescent="0.2">
      <c r="A79" s="4096"/>
      <c r="B79" s="4090" t="s">
        <v>3</v>
      </c>
      <c r="C79" s="4091"/>
      <c r="D79" s="4092" t="s">
        <v>2559</v>
      </c>
      <c r="E79" s="4093">
        <v>145931</v>
      </c>
    </row>
    <row r="80" spans="1:5" ht="14.25" x14ac:dyDescent="0.2">
      <c r="A80" s="4096"/>
      <c r="B80" s="4090" t="s">
        <v>17</v>
      </c>
      <c r="C80" s="4091"/>
      <c r="D80" s="4092" t="s">
        <v>2562</v>
      </c>
      <c r="E80" s="4093"/>
    </row>
    <row r="81" spans="1:5" ht="20.25" x14ac:dyDescent="0.3">
      <c r="A81" s="4096"/>
      <c r="B81" s="4090"/>
      <c r="C81" s="4091"/>
      <c r="D81" s="4095" t="s">
        <v>712</v>
      </c>
      <c r="E81" s="4097">
        <f>SUM(E79:E80)</f>
        <v>145931</v>
      </c>
    </row>
    <row r="82" spans="1:5" ht="20.25" x14ac:dyDescent="0.3">
      <c r="A82" s="4096"/>
      <c r="B82" s="4090"/>
      <c r="C82" s="4132"/>
      <c r="D82" s="4133"/>
      <c r="E82" s="4134"/>
    </row>
    <row r="83" spans="1:5" ht="15.75" x14ac:dyDescent="0.2">
      <c r="A83" s="4743" t="s">
        <v>2459</v>
      </c>
      <c r="B83" s="4744"/>
      <c r="C83" s="4745"/>
      <c r="D83" s="4746" t="s">
        <v>2563</v>
      </c>
      <c r="E83" s="4747"/>
    </row>
    <row r="84" spans="1:5" ht="14.25" x14ac:dyDescent="0.2">
      <c r="A84" s="4096"/>
      <c r="B84" s="4090" t="s">
        <v>3</v>
      </c>
      <c r="C84" s="4091"/>
      <c r="D84" s="4092" t="s">
        <v>2559</v>
      </c>
      <c r="E84" s="4093">
        <v>668023</v>
      </c>
    </row>
    <row r="85" spans="1:5" ht="20.25" x14ac:dyDescent="0.3">
      <c r="A85" s="4096"/>
      <c r="B85" s="4090"/>
      <c r="C85" s="4091"/>
      <c r="D85" s="4095" t="s">
        <v>712</v>
      </c>
      <c r="E85" s="4097">
        <f>SUM(E84)</f>
        <v>668023</v>
      </c>
    </row>
    <row r="86" spans="1:5" ht="20.25" x14ac:dyDescent="0.3">
      <c r="A86" s="4096"/>
      <c r="B86" s="4090"/>
      <c r="C86" s="4132"/>
      <c r="D86" s="4133"/>
      <c r="E86" s="4134"/>
    </row>
    <row r="87" spans="1:5" ht="15.75" x14ac:dyDescent="0.2">
      <c r="A87" s="4743" t="s">
        <v>2465</v>
      </c>
      <c r="B87" s="4744"/>
      <c r="C87" s="4745"/>
      <c r="D87" s="4758" t="s">
        <v>2564</v>
      </c>
      <c r="E87" s="4759"/>
    </row>
    <row r="88" spans="1:5" ht="14.25" x14ac:dyDescent="0.2">
      <c r="A88" s="4096"/>
      <c r="B88" s="4090" t="s">
        <v>3</v>
      </c>
      <c r="C88" s="4091"/>
      <c r="D88" s="4092" t="s">
        <v>2559</v>
      </c>
      <c r="E88" s="4093">
        <v>195877</v>
      </c>
    </row>
    <row r="89" spans="1:5" ht="14.25" x14ac:dyDescent="0.2">
      <c r="A89" s="4096"/>
      <c r="B89" s="4090" t="s">
        <v>17</v>
      </c>
      <c r="C89" s="4091"/>
      <c r="D89" s="4098" t="s">
        <v>2565</v>
      </c>
      <c r="E89" s="4094">
        <v>600000</v>
      </c>
    </row>
    <row r="90" spans="1:5" ht="20.25" x14ac:dyDescent="0.3">
      <c r="A90" s="4096"/>
      <c r="B90" s="4090"/>
      <c r="C90" s="4091"/>
      <c r="D90" s="4095" t="s">
        <v>712</v>
      </c>
      <c r="E90" s="4097">
        <f>SUM(E88)</f>
        <v>195877</v>
      </c>
    </row>
    <row r="91" spans="1:5" ht="20.25" x14ac:dyDescent="0.3">
      <c r="A91" s="4096"/>
      <c r="B91" s="4090"/>
      <c r="C91" s="4132"/>
      <c r="D91" s="4133"/>
      <c r="E91" s="4134"/>
    </row>
    <row r="92" spans="1:5" ht="15.75" x14ac:dyDescent="0.2">
      <c r="A92" s="4743" t="s">
        <v>2566</v>
      </c>
      <c r="B92" s="4744"/>
      <c r="C92" s="4745"/>
      <c r="D92" s="4746" t="s">
        <v>2567</v>
      </c>
      <c r="E92" s="4747"/>
    </row>
    <row r="93" spans="1:5" ht="14.25" x14ac:dyDescent="0.2">
      <c r="A93" s="4096"/>
      <c r="B93" s="4090" t="s">
        <v>3</v>
      </c>
      <c r="C93" s="4091"/>
      <c r="D93" s="4092" t="s">
        <v>2568</v>
      </c>
      <c r="E93" s="4093">
        <v>161243</v>
      </c>
    </row>
    <row r="94" spans="1:5" ht="14.25" x14ac:dyDescent="0.2">
      <c r="A94" s="4096"/>
      <c r="B94" s="4090" t="s">
        <v>17</v>
      </c>
      <c r="C94" s="4091"/>
      <c r="D94" s="4092"/>
      <c r="E94" s="4093"/>
    </row>
    <row r="95" spans="1:5" ht="20.25" x14ac:dyDescent="0.3">
      <c r="A95" s="4096"/>
      <c r="B95" s="4090"/>
      <c r="C95" s="4091"/>
      <c r="D95" s="4095" t="s">
        <v>712</v>
      </c>
      <c r="E95" s="4097">
        <f>SUM(E93:E94)</f>
        <v>161243</v>
      </c>
    </row>
    <row r="96" spans="1:5" ht="14.25" x14ac:dyDescent="0.2">
      <c r="A96" s="4748"/>
      <c r="B96" s="4749"/>
      <c r="C96" s="4749"/>
      <c r="D96" s="4749"/>
      <c r="E96" s="4750"/>
    </row>
    <row r="97" spans="1:5" ht="15.75" x14ac:dyDescent="0.2">
      <c r="A97" s="4743" t="s">
        <v>2569</v>
      </c>
      <c r="B97" s="4744"/>
      <c r="C97" s="4745"/>
      <c r="D97" s="4746" t="s">
        <v>2570</v>
      </c>
      <c r="E97" s="4747"/>
    </row>
    <row r="98" spans="1:5" ht="14.25" x14ac:dyDescent="0.2">
      <c r="A98" s="4096"/>
      <c r="B98" s="4090" t="s">
        <v>3</v>
      </c>
      <c r="C98" s="4091"/>
      <c r="D98" s="4092" t="s">
        <v>2559</v>
      </c>
      <c r="E98" s="4093">
        <v>37913</v>
      </c>
    </row>
    <row r="99" spans="1:5" ht="14.25" hidden="1" x14ac:dyDescent="0.2">
      <c r="A99" s="4096"/>
      <c r="B99" s="4090" t="s">
        <v>17</v>
      </c>
      <c r="C99" s="4091"/>
      <c r="D99" s="4092"/>
      <c r="E99" s="4093"/>
    </row>
    <row r="100" spans="1:5" ht="14.25" hidden="1" x14ac:dyDescent="0.2">
      <c r="A100" s="4096"/>
      <c r="B100" s="4090" t="s">
        <v>31</v>
      </c>
      <c r="C100" s="4091"/>
      <c r="D100" s="4092"/>
      <c r="E100" s="4093"/>
    </row>
    <row r="101" spans="1:5" ht="14.25" hidden="1" x14ac:dyDescent="0.2">
      <c r="A101" s="4096"/>
      <c r="B101" s="4090" t="s">
        <v>45</v>
      </c>
      <c r="C101" s="4091"/>
      <c r="D101" s="4092"/>
      <c r="E101" s="4093"/>
    </row>
    <row r="102" spans="1:5" ht="14.25" hidden="1" x14ac:dyDescent="0.2">
      <c r="A102" s="4096"/>
      <c r="B102" s="4090" t="s">
        <v>67</v>
      </c>
      <c r="C102" s="4091"/>
      <c r="D102" s="4092"/>
      <c r="E102" s="4093"/>
    </row>
    <row r="103" spans="1:5" ht="20.25" x14ac:dyDescent="0.3">
      <c r="A103" s="4096"/>
      <c r="B103" s="4090"/>
      <c r="C103" s="4091"/>
      <c r="D103" s="4095" t="s">
        <v>712</v>
      </c>
      <c r="E103" s="4097">
        <f>SUM(E98:E102)</f>
        <v>37913</v>
      </c>
    </row>
    <row r="104" spans="1:5" ht="14.25" x14ac:dyDescent="0.2">
      <c r="A104" s="4748"/>
      <c r="B104" s="4749"/>
      <c r="C104" s="4749"/>
      <c r="D104" s="4749"/>
      <c r="E104" s="4750"/>
    </row>
    <row r="105" spans="1:5" ht="15.75" x14ac:dyDescent="0.2">
      <c r="A105" s="4743" t="s">
        <v>2474</v>
      </c>
      <c r="B105" s="4744"/>
      <c r="C105" s="4745"/>
      <c r="D105" s="4746" t="s">
        <v>2571</v>
      </c>
      <c r="E105" s="4747"/>
    </row>
    <row r="106" spans="1:5" ht="14.25" x14ac:dyDescent="0.2">
      <c r="A106" s="4096"/>
      <c r="B106" s="4090" t="s">
        <v>3</v>
      </c>
      <c r="C106" s="4091"/>
      <c r="D106" s="4092" t="s">
        <v>2559</v>
      </c>
      <c r="E106" s="4093">
        <v>138112</v>
      </c>
    </row>
    <row r="107" spans="1:5" ht="20.25" x14ac:dyDescent="0.3">
      <c r="A107" s="4096"/>
      <c r="B107" s="4090"/>
      <c r="C107" s="4091"/>
      <c r="D107" s="4095" t="s">
        <v>712</v>
      </c>
      <c r="E107" s="4097">
        <f>SUM(E106)</f>
        <v>138112</v>
      </c>
    </row>
    <row r="108" spans="1:5" ht="14.25" x14ac:dyDescent="0.2">
      <c r="A108" s="4748"/>
      <c r="B108" s="4749"/>
      <c r="C108" s="4749"/>
      <c r="D108" s="4749"/>
      <c r="E108" s="4750"/>
    </row>
    <row r="109" spans="1:5" ht="15.75" x14ac:dyDescent="0.2">
      <c r="A109" s="4743" t="s">
        <v>2481</v>
      </c>
      <c r="B109" s="4744"/>
      <c r="C109" s="4745"/>
      <c r="D109" s="4746" t="s">
        <v>2572</v>
      </c>
      <c r="E109" s="4747"/>
    </row>
    <row r="110" spans="1:5" ht="14.25" x14ac:dyDescent="0.2">
      <c r="A110" s="4096"/>
      <c r="B110" s="4090" t="s">
        <v>3</v>
      </c>
      <c r="C110" s="4091"/>
      <c r="D110" s="4092" t="s">
        <v>2559</v>
      </c>
      <c r="E110" s="4093"/>
    </row>
    <row r="111" spans="1:5" s="4136" customFormat="1" ht="14.25" x14ac:dyDescent="0.2">
      <c r="A111" s="4123"/>
      <c r="B111" s="4135" t="s">
        <v>17</v>
      </c>
      <c r="C111" s="4124"/>
      <c r="D111" s="4098" t="s">
        <v>2573</v>
      </c>
      <c r="E111" s="4094">
        <v>830000</v>
      </c>
    </row>
    <row r="112" spans="1:5" ht="20.25" x14ac:dyDescent="0.3">
      <c r="A112" s="4096"/>
      <c r="B112" s="4090"/>
      <c r="C112" s="4091"/>
      <c r="D112" s="4095" t="s">
        <v>712</v>
      </c>
      <c r="E112" s="4097">
        <f>SUM(E110:E110)</f>
        <v>0</v>
      </c>
    </row>
    <row r="113" spans="1:5" ht="14.25" x14ac:dyDescent="0.2">
      <c r="A113" s="4748"/>
      <c r="B113" s="4749"/>
      <c r="C113" s="4749"/>
      <c r="D113" s="4749"/>
      <c r="E113" s="4750"/>
    </row>
    <row r="114" spans="1:5" ht="15.75" x14ac:dyDescent="0.2">
      <c r="A114" s="4743" t="s">
        <v>2484</v>
      </c>
      <c r="B114" s="4744"/>
      <c r="C114" s="4745"/>
      <c r="D114" s="4746" t="s">
        <v>2574</v>
      </c>
      <c r="E114" s="4747"/>
    </row>
    <row r="115" spans="1:5" ht="14.25" x14ac:dyDescent="0.2">
      <c r="A115" s="4096"/>
      <c r="B115" s="4090" t="s">
        <v>3</v>
      </c>
      <c r="C115" s="4091"/>
      <c r="D115" s="4092" t="s">
        <v>2559</v>
      </c>
      <c r="E115" s="4093">
        <v>0</v>
      </c>
    </row>
    <row r="116" spans="1:5" ht="14.25" x14ac:dyDescent="0.2">
      <c r="A116" s="4096"/>
      <c r="B116" s="4090" t="s">
        <v>17</v>
      </c>
      <c r="C116" s="4091"/>
      <c r="D116" s="4092"/>
      <c r="E116" s="4093"/>
    </row>
    <row r="117" spans="1:5" ht="20.25" x14ac:dyDescent="0.3">
      <c r="A117" s="4096"/>
      <c r="B117" s="4090"/>
      <c r="C117" s="4091"/>
      <c r="D117" s="4095" t="s">
        <v>712</v>
      </c>
      <c r="E117" s="4097">
        <f>SUM(E115:E116)</f>
        <v>0</v>
      </c>
    </row>
    <row r="118" spans="1:5" ht="20.25" x14ac:dyDescent="0.3">
      <c r="A118" s="4137"/>
      <c r="B118" s="4113"/>
      <c r="C118" s="4114"/>
      <c r="D118" s="4138"/>
      <c r="E118" s="4139"/>
    </row>
    <row r="119" spans="1:5" ht="15.75" x14ac:dyDescent="0.2">
      <c r="A119" s="4743" t="s">
        <v>2490</v>
      </c>
      <c r="B119" s="4744"/>
      <c r="C119" s="4745"/>
      <c r="D119" s="4746" t="s">
        <v>2491</v>
      </c>
      <c r="E119" s="4747"/>
    </row>
    <row r="120" spans="1:5" ht="15" x14ac:dyDescent="0.2">
      <c r="A120" s="4096"/>
      <c r="B120" s="4100" t="s">
        <v>3</v>
      </c>
      <c r="C120" s="4101"/>
      <c r="D120" s="4098" t="s">
        <v>2575</v>
      </c>
      <c r="E120" s="4093">
        <v>2891416</v>
      </c>
    </row>
    <row r="121" spans="1:5" ht="15" x14ac:dyDescent="0.2">
      <c r="A121" s="4089"/>
      <c r="B121" s="4103" t="s">
        <v>17</v>
      </c>
      <c r="C121" s="4104"/>
      <c r="D121" s="4098" t="s">
        <v>2618</v>
      </c>
      <c r="E121" s="4093">
        <v>6858000</v>
      </c>
    </row>
    <row r="122" spans="1:5" ht="20.25" x14ac:dyDescent="0.3">
      <c r="A122" s="4096"/>
      <c r="B122" s="4090"/>
      <c r="C122" s="4091"/>
      <c r="D122" s="4095" t="s">
        <v>712</v>
      </c>
      <c r="E122" s="4097">
        <f>SUM(E120:E121)</f>
        <v>9749416</v>
      </c>
    </row>
    <row r="123" spans="1:5" ht="21" thickBot="1" x14ac:dyDescent="0.35">
      <c r="A123" s="4137"/>
      <c r="B123" s="4113"/>
      <c r="C123" s="4114"/>
      <c r="D123" s="4138"/>
      <c r="E123" s="4139"/>
    </row>
    <row r="124" spans="1:5" ht="21" thickTop="1" thickBot="1" x14ac:dyDescent="0.35">
      <c r="A124" s="4760" t="s">
        <v>2576</v>
      </c>
      <c r="B124" s="4761"/>
      <c r="C124" s="4761"/>
      <c r="D124" s="4762"/>
      <c r="E124" s="4140">
        <f>SUM(E122+E117+E112+E107+E103+E95+E90+E81+E76+E70+E65)+E85</f>
        <v>192242840</v>
      </c>
    </row>
    <row r="125" spans="1:5" ht="22.5" customHeight="1" thickTop="1" x14ac:dyDescent="0.2">
      <c r="A125" s="4141"/>
      <c r="B125" s="4141"/>
      <c r="C125" s="4141"/>
      <c r="D125" s="4141"/>
      <c r="E125" s="4141"/>
    </row>
    <row r="126" spans="1:5" ht="15.75" x14ac:dyDescent="0.2">
      <c r="A126" s="4743" t="s">
        <v>2577</v>
      </c>
      <c r="B126" s="4744"/>
      <c r="C126" s="4745"/>
      <c r="D126" s="4746" t="s">
        <v>2578</v>
      </c>
      <c r="E126" s="4747"/>
    </row>
    <row r="127" spans="1:5" ht="15.75" x14ac:dyDescent="0.2">
      <c r="A127" s="4142"/>
      <c r="B127" s="4090" t="s">
        <v>3</v>
      </c>
      <c r="C127" s="4143"/>
      <c r="D127" s="4092" t="s">
        <v>2579</v>
      </c>
      <c r="E127" s="4112">
        <v>59926906</v>
      </c>
    </row>
    <row r="128" spans="1:5" ht="14.25" x14ac:dyDescent="0.2">
      <c r="A128" s="4144"/>
      <c r="B128" s="4090" t="s">
        <v>17</v>
      </c>
      <c r="C128" s="4145"/>
      <c r="D128" s="4092" t="s">
        <v>2580</v>
      </c>
      <c r="E128" s="4093">
        <v>2000000</v>
      </c>
    </row>
    <row r="129" spans="1:5" ht="14.25" x14ac:dyDescent="0.2">
      <c r="A129" s="4144"/>
      <c r="B129" s="4090" t="s">
        <v>31</v>
      </c>
      <c r="C129" s="4145"/>
      <c r="D129" s="4092" t="s">
        <v>2581</v>
      </c>
      <c r="E129" s="4093">
        <v>5000000</v>
      </c>
    </row>
    <row r="130" spans="1:5" ht="14.25" x14ac:dyDescent="0.2">
      <c r="A130" s="4146"/>
      <c r="B130" s="4090" t="s">
        <v>45</v>
      </c>
      <c r="C130" s="4147"/>
      <c r="D130" s="4092" t="s">
        <v>2582</v>
      </c>
      <c r="E130" s="4093">
        <v>705615</v>
      </c>
    </row>
    <row r="131" spans="1:5" ht="14.25" x14ac:dyDescent="0.2">
      <c r="A131" s="4144"/>
      <c r="B131" s="4090" t="s">
        <v>67</v>
      </c>
      <c r="C131" s="4145"/>
      <c r="D131" s="4092" t="s">
        <v>1532</v>
      </c>
      <c r="E131" s="4093">
        <v>143109</v>
      </c>
    </row>
    <row r="132" spans="1:5" ht="14.25" x14ac:dyDescent="0.2">
      <c r="A132" s="4144"/>
      <c r="B132" s="4090" t="s">
        <v>79</v>
      </c>
      <c r="C132" s="4145"/>
      <c r="D132" s="4092" t="s">
        <v>2583</v>
      </c>
      <c r="E132" s="4093">
        <v>562000</v>
      </c>
    </row>
    <row r="133" spans="1:5" ht="14.25" x14ac:dyDescent="0.2">
      <c r="A133" s="4144"/>
      <c r="B133" s="4090" t="s">
        <v>89</v>
      </c>
      <c r="C133" s="4145"/>
      <c r="D133" s="4092" t="s">
        <v>2584</v>
      </c>
      <c r="E133" s="4093">
        <v>2234579</v>
      </c>
    </row>
    <row r="134" spans="1:5" ht="14.25" x14ac:dyDescent="0.2">
      <c r="A134" s="4144"/>
      <c r="B134" s="4090" t="s">
        <v>101</v>
      </c>
      <c r="C134" s="4145"/>
      <c r="D134" s="4092" t="s">
        <v>2585</v>
      </c>
      <c r="E134" s="4093">
        <v>1776667</v>
      </c>
    </row>
    <row r="135" spans="1:5" ht="14.25" x14ac:dyDescent="0.2">
      <c r="A135" s="4144"/>
      <c r="B135" s="4090" t="s">
        <v>119</v>
      </c>
      <c r="C135" s="4145"/>
      <c r="D135" s="4098" t="s">
        <v>2586</v>
      </c>
      <c r="E135" s="4094">
        <v>508000</v>
      </c>
    </row>
    <row r="136" spans="1:5" ht="14.25" x14ac:dyDescent="0.2">
      <c r="A136" s="4144"/>
      <c r="B136" s="4090" t="s">
        <v>125</v>
      </c>
      <c r="C136" s="4145"/>
      <c r="D136" s="4098" t="s">
        <v>2587</v>
      </c>
      <c r="E136" s="4093">
        <v>396514</v>
      </c>
    </row>
    <row r="137" spans="1:5" ht="14.25" x14ac:dyDescent="0.2">
      <c r="A137" s="4144"/>
      <c r="B137" s="4090" t="s">
        <v>133</v>
      </c>
      <c r="C137" s="4145"/>
      <c r="D137" s="4092" t="s">
        <v>2588</v>
      </c>
      <c r="E137" s="4093">
        <v>10000000</v>
      </c>
    </row>
    <row r="138" spans="1:5" ht="14.25" x14ac:dyDescent="0.2">
      <c r="A138" s="4144"/>
      <c r="B138" s="4090" t="s">
        <v>143</v>
      </c>
      <c r="C138" s="4145"/>
      <c r="D138" s="4098" t="s">
        <v>2589</v>
      </c>
      <c r="E138" s="4093">
        <v>1500000</v>
      </c>
    </row>
    <row r="139" spans="1:5" ht="14.25" x14ac:dyDescent="0.2">
      <c r="A139" s="4144"/>
      <c r="B139" s="4090" t="s">
        <v>145</v>
      </c>
      <c r="C139" s="4145"/>
      <c r="D139" s="4098" t="s">
        <v>2590</v>
      </c>
      <c r="E139" s="4093">
        <v>222730</v>
      </c>
    </row>
    <row r="140" spans="1:5" ht="14.25" x14ac:dyDescent="0.2">
      <c r="A140" s="4146"/>
      <c r="B140" s="4090" t="s">
        <v>147</v>
      </c>
      <c r="C140" s="4147"/>
      <c r="D140" s="4092" t="s">
        <v>2591</v>
      </c>
      <c r="E140" s="4093">
        <v>2020000</v>
      </c>
    </row>
    <row r="141" spans="1:5" ht="14.25" x14ac:dyDescent="0.2">
      <c r="A141" s="4146"/>
      <c r="B141" s="4090" t="s">
        <v>246</v>
      </c>
      <c r="C141" s="4147"/>
      <c r="D141" s="4092" t="s">
        <v>2592</v>
      </c>
      <c r="E141" s="4093">
        <v>1571001</v>
      </c>
    </row>
    <row r="142" spans="1:5" ht="14.25" x14ac:dyDescent="0.2">
      <c r="A142" s="4146"/>
      <c r="B142" s="4090" t="s">
        <v>247</v>
      </c>
      <c r="C142" s="4147"/>
      <c r="D142" s="4092" t="s">
        <v>2593</v>
      </c>
      <c r="E142" s="4093">
        <v>20000000</v>
      </c>
    </row>
    <row r="143" spans="1:5" s="3245" customFormat="1" ht="14.25" x14ac:dyDescent="0.2">
      <c r="A143" s="4146"/>
      <c r="B143" s="4132" t="s">
        <v>248</v>
      </c>
      <c r="C143" s="4147"/>
      <c r="D143" s="4092" t="s">
        <v>2594</v>
      </c>
      <c r="E143" s="4093">
        <v>6500000</v>
      </c>
    </row>
    <row r="144" spans="1:5" s="3245" customFormat="1" ht="14.25" x14ac:dyDescent="0.2">
      <c r="A144" s="4146"/>
      <c r="B144" s="4132" t="s">
        <v>884</v>
      </c>
      <c r="C144" s="4147"/>
      <c r="D144" s="4092" t="s">
        <v>2595</v>
      </c>
      <c r="E144" s="4093">
        <v>1700000</v>
      </c>
    </row>
    <row r="145" spans="1:5" s="3245" customFormat="1" ht="14.25" x14ac:dyDescent="0.2">
      <c r="A145" s="4146"/>
      <c r="B145" s="4132" t="s">
        <v>885</v>
      </c>
      <c r="C145" s="4147"/>
      <c r="D145" s="4092" t="s">
        <v>2596</v>
      </c>
      <c r="E145" s="4093">
        <v>8300000</v>
      </c>
    </row>
    <row r="146" spans="1:5" s="3245" customFormat="1" ht="14.25" x14ac:dyDescent="0.2">
      <c r="A146" s="4146"/>
      <c r="B146" s="4132" t="s">
        <v>249</v>
      </c>
      <c r="C146" s="4147"/>
      <c r="D146" s="4092" t="s">
        <v>2597</v>
      </c>
      <c r="E146" s="4093">
        <v>28000000</v>
      </c>
    </row>
    <row r="147" spans="1:5" s="3245" customFormat="1" ht="14.25" x14ac:dyDescent="0.2">
      <c r="A147" s="4146"/>
      <c r="B147" s="4132" t="s">
        <v>276</v>
      </c>
      <c r="C147" s="4147"/>
      <c r="D147" s="4092" t="s">
        <v>2598</v>
      </c>
      <c r="E147" s="4093">
        <v>1000000</v>
      </c>
    </row>
    <row r="148" spans="1:5" s="4136" customFormat="1" ht="14.25" x14ac:dyDescent="0.2">
      <c r="A148" s="4148"/>
      <c r="B148" s="4090" t="s">
        <v>250</v>
      </c>
      <c r="C148" s="4149"/>
      <c r="D148" s="4098" t="s">
        <v>2599</v>
      </c>
      <c r="E148" s="4094">
        <v>100000000</v>
      </c>
    </row>
    <row r="149" spans="1:5" s="4136" customFormat="1" ht="14.25" x14ac:dyDescent="0.2">
      <c r="A149" s="4148"/>
      <c r="B149" s="4090" t="s">
        <v>253</v>
      </c>
      <c r="C149" s="4149"/>
      <c r="D149" s="4098" t="s">
        <v>2600</v>
      </c>
      <c r="E149" s="4094">
        <v>10000000</v>
      </c>
    </row>
    <row r="150" spans="1:5" s="4136" customFormat="1" ht="14.25" x14ac:dyDescent="0.2">
      <c r="A150" s="4148"/>
      <c r="B150" s="4090" t="s">
        <v>256</v>
      </c>
      <c r="C150" s="4149"/>
      <c r="D150" s="4092" t="s">
        <v>2620</v>
      </c>
      <c r="E150" s="4094">
        <v>10000000</v>
      </c>
    </row>
    <row r="151" spans="1:5" s="4136" customFormat="1" ht="14.25" x14ac:dyDescent="0.2">
      <c r="A151" s="4148"/>
      <c r="B151" s="4090" t="s">
        <v>2066</v>
      </c>
      <c r="C151" s="4149"/>
      <c r="D151" s="4098" t="s">
        <v>2619</v>
      </c>
      <c r="E151" s="4094">
        <v>10000000</v>
      </c>
    </row>
    <row r="152" spans="1:5" s="4136" customFormat="1" ht="14.25" x14ac:dyDescent="0.2">
      <c r="A152" s="4148"/>
      <c r="B152" s="4090" t="s">
        <v>2067</v>
      </c>
      <c r="C152" s="4149"/>
      <c r="D152" s="4098"/>
      <c r="E152" s="4094"/>
    </row>
    <row r="153" spans="1:5" s="4136" customFormat="1" ht="14.25" x14ac:dyDescent="0.2">
      <c r="A153" s="4148"/>
      <c r="B153" s="4090" t="s">
        <v>2068</v>
      </c>
      <c r="C153" s="4149"/>
      <c r="D153" s="4098"/>
      <c r="E153" s="4094"/>
    </row>
    <row r="154" spans="1:5" s="4136" customFormat="1" ht="14.25" x14ac:dyDescent="0.2">
      <c r="A154" s="4148"/>
      <c r="B154" s="4090" t="s">
        <v>2069</v>
      </c>
      <c r="C154" s="4149"/>
      <c r="D154" s="4098"/>
      <c r="E154" s="4094"/>
    </row>
    <row r="155" spans="1:5" s="4136" customFormat="1" ht="14.25" x14ac:dyDescent="0.2">
      <c r="A155" s="4148"/>
      <c r="B155" s="4090" t="s">
        <v>2070</v>
      </c>
      <c r="C155" s="4149"/>
      <c r="D155" s="4098"/>
      <c r="E155" s="4094"/>
    </row>
    <row r="156" spans="1:5" ht="20.25" x14ac:dyDescent="0.3">
      <c r="A156" s="4144"/>
      <c r="B156" s="4145"/>
      <c r="C156" s="4145"/>
      <c r="D156" s="4095" t="s">
        <v>712</v>
      </c>
      <c r="E156" s="4097">
        <f>SUM(E127:E151)</f>
        <v>284067121</v>
      </c>
    </row>
    <row r="157" spans="1:5" ht="20.25" x14ac:dyDescent="0.3">
      <c r="A157" s="4150"/>
      <c r="B157" s="4150"/>
      <c r="C157" s="4150"/>
      <c r="D157" s="4151"/>
      <c r="E157" s="4152"/>
    </row>
    <row r="158" spans="1:5" ht="15.75" x14ac:dyDescent="0.2">
      <c r="A158" s="4743" t="s">
        <v>2601</v>
      </c>
      <c r="B158" s="4744"/>
      <c r="C158" s="4745"/>
      <c r="D158" s="4746" t="s">
        <v>2602</v>
      </c>
      <c r="E158" s="4747"/>
    </row>
    <row r="159" spans="1:5" ht="14.25" x14ac:dyDescent="0.2">
      <c r="A159" s="4096"/>
      <c r="B159" s="4090" t="s">
        <v>3</v>
      </c>
      <c r="C159" s="4091"/>
      <c r="D159" s="4092" t="s">
        <v>2603</v>
      </c>
      <c r="E159" s="4093"/>
    </row>
    <row r="160" spans="1:5" ht="14.25" x14ac:dyDescent="0.2">
      <c r="A160" s="4096"/>
      <c r="B160" s="4090" t="s">
        <v>17</v>
      </c>
      <c r="C160" s="4091"/>
      <c r="D160" s="4092" t="s">
        <v>2604</v>
      </c>
      <c r="E160" s="4093">
        <v>136094</v>
      </c>
    </row>
    <row r="161" spans="1:10" ht="20.25" x14ac:dyDescent="0.3">
      <c r="A161" s="4096"/>
      <c r="B161" s="4090"/>
      <c r="C161" s="4091"/>
      <c r="D161" s="4095" t="s">
        <v>712</v>
      </c>
      <c r="E161" s="4097">
        <f>SUM(E159:E159)</f>
        <v>0</v>
      </c>
    </row>
    <row r="162" spans="1:10" ht="20.25" x14ac:dyDescent="0.3">
      <c r="A162" s="4153"/>
      <c r="B162" s="4153"/>
      <c r="C162" s="4154"/>
      <c r="D162" s="4151"/>
      <c r="E162" s="4152"/>
    </row>
    <row r="163" spans="1:10" ht="15.75" x14ac:dyDescent="0.2">
      <c r="A163" s="4743" t="s">
        <v>2605</v>
      </c>
      <c r="B163" s="4744"/>
      <c r="C163" s="4745"/>
      <c r="D163" s="4758" t="s">
        <v>2606</v>
      </c>
      <c r="E163" s="4759"/>
    </row>
    <row r="164" spans="1:10" ht="14.25" x14ac:dyDescent="0.2">
      <c r="A164" s="4096"/>
      <c r="B164" s="4090" t="s">
        <v>3</v>
      </c>
      <c r="C164" s="4091"/>
      <c r="D164" s="4092" t="s">
        <v>2607</v>
      </c>
      <c r="E164" s="4093">
        <v>500000</v>
      </c>
    </row>
    <row r="165" spans="1:10" ht="14.25" x14ac:dyDescent="0.2">
      <c r="A165" s="4096"/>
      <c r="B165" s="4090" t="s">
        <v>17</v>
      </c>
      <c r="C165" s="4091"/>
      <c r="D165" s="4098"/>
      <c r="E165" s="4094"/>
    </row>
    <row r="166" spans="1:10" ht="20.25" x14ac:dyDescent="0.3">
      <c r="A166" s="4096"/>
      <c r="B166" s="4090"/>
      <c r="C166" s="4091"/>
      <c r="D166" s="4095" t="s">
        <v>712</v>
      </c>
      <c r="E166" s="4097">
        <f>SUM(E164)</f>
        <v>500000</v>
      </c>
    </row>
    <row r="167" spans="1:10" ht="20.25" x14ac:dyDescent="0.3">
      <c r="A167" s="4153"/>
      <c r="B167" s="4153"/>
      <c r="C167" s="4154"/>
      <c r="D167" s="4151" t="s">
        <v>875</v>
      </c>
      <c r="E167" s="4152"/>
    </row>
    <row r="168" spans="1:10" ht="15.75" x14ac:dyDescent="0.2">
      <c r="A168" s="4743" t="s">
        <v>2608</v>
      </c>
      <c r="B168" s="4744"/>
      <c r="C168" s="4745"/>
      <c r="D168" s="4746" t="s">
        <v>2609</v>
      </c>
      <c r="E168" s="4747"/>
    </row>
    <row r="169" spans="1:10" ht="28.5" x14ac:dyDescent="0.2">
      <c r="A169" s="4096"/>
      <c r="B169" s="4100" t="s">
        <v>546</v>
      </c>
      <c r="C169" s="4101"/>
      <c r="D169" s="4098" t="s">
        <v>2610</v>
      </c>
      <c r="E169" s="4093">
        <v>12500000</v>
      </c>
    </row>
    <row r="170" spans="1:10" ht="15" x14ac:dyDescent="0.2">
      <c r="A170" s="4096"/>
      <c r="B170" s="4100" t="s">
        <v>553</v>
      </c>
      <c r="C170" s="4101"/>
      <c r="D170" s="4098" t="s">
        <v>2611</v>
      </c>
      <c r="E170" s="4093">
        <v>3976791</v>
      </c>
    </row>
    <row r="171" spans="1:10" ht="15" x14ac:dyDescent="0.2">
      <c r="A171" s="4096"/>
      <c r="B171" s="4100" t="s">
        <v>554</v>
      </c>
      <c r="C171" s="4101"/>
      <c r="D171" s="4098" t="s">
        <v>2575</v>
      </c>
      <c r="E171" s="4093">
        <v>11600000</v>
      </c>
    </row>
    <row r="172" spans="1:10" ht="28.5" x14ac:dyDescent="0.2">
      <c r="A172" s="4089"/>
      <c r="B172" s="4100" t="s">
        <v>555</v>
      </c>
      <c r="C172" s="4104"/>
      <c r="D172" s="4098" t="s">
        <v>2610</v>
      </c>
      <c r="E172" s="4093">
        <v>174038</v>
      </c>
      <c r="H172" s="2361"/>
    </row>
    <row r="173" spans="1:10" ht="15" x14ac:dyDescent="0.2">
      <c r="A173" s="4089"/>
      <c r="B173" s="4100" t="s">
        <v>160</v>
      </c>
      <c r="C173" s="4104"/>
      <c r="D173" s="4098" t="s">
        <v>2617</v>
      </c>
      <c r="E173" s="4093">
        <v>8142000</v>
      </c>
      <c r="H173" s="2361"/>
    </row>
    <row r="174" spans="1:10" ht="20.25" x14ac:dyDescent="0.3">
      <c r="A174" s="4096"/>
      <c r="B174" s="4090"/>
      <c r="C174" s="4091"/>
      <c r="D174" s="4095" t="s">
        <v>712</v>
      </c>
      <c r="E174" s="4097">
        <f>SUM(E169:E173)</f>
        <v>36392829</v>
      </c>
      <c r="H174" s="2361"/>
    </row>
    <row r="175" spans="1:10" ht="21" thickBot="1" x14ac:dyDescent="0.35">
      <c r="A175" s="4150"/>
      <c r="B175" s="4150"/>
      <c r="C175" s="4150"/>
      <c r="D175" s="4151"/>
      <c r="E175" s="4152"/>
    </row>
    <row r="176" spans="1:10" ht="45" customHeight="1" thickTop="1" thickBot="1" x14ac:dyDescent="0.35">
      <c r="A176" s="4763" t="s">
        <v>2612</v>
      </c>
      <c r="B176" s="4764"/>
      <c r="C176" s="4764"/>
      <c r="D176" s="4765"/>
      <c r="E176" s="4107">
        <f>SUM(E156)+E174+E161+E166</f>
        <v>320959950</v>
      </c>
      <c r="J176" s="2361"/>
    </row>
    <row r="177" spans="4:10" ht="13.5" thickTop="1" x14ac:dyDescent="0.2">
      <c r="J177" s="2361"/>
    </row>
    <row r="180" spans="4:10" ht="20.25" x14ac:dyDescent="0.3">
      <c r="D180" s="4155" t="s">
        <v>2613</v>
      </c>
      <c r="E180" s="4156">
        <f>SUM(E2-E124-E176)</f>
        <v>0</v>
      </c>
    </row>
  </sheetData>
  <mergeCells count="41">
    <mergeCell ref="A168:C168"/>
    <mergeCell ref="D168:E168"/>
    <mergeCell ref="A176:D176"/>
    <mergeCell ref="A126:C126"/>
    <mergeCell ref="D126:E126"/>
    <mergeCell ref="A158:C158"/>
    <mergeCell ref="D158:E158"/>
    <mergeCell ref="A163:C163"/>
    <mergeCell ref="D163:E163"/>
    <mergeCell ref="A124:D124"/>
    <mergeCell ref="A104:E104"/>
    <mergeCell ref="A105:C105"/>
    <mergeCell ref="D105:E105"/>
    <mergeCell ref="A108:E108"/>
    <mergeCell ref="A109:C109"/>
    <mergeCell ref="D109:E109"/>
    <mergeCell ref="A113:E113"/>
    <mergeCell ref="A114:C114"/>
    <mergeCell ref="D114:E114"/>
    <mergeCell ref="A119:C119"/>
    <mergeCell ref="D119:E119"/>
    <mergeCell ref="A97:C97"/>
    <mergeCell ref="D97:E97"/>
    <mergeCell ref="A72:C72"/>
    <mergeCell ref="D72:E72"/>
    <mergeCell ref="A78:C78"/>
    <mergeCell ref="D78:E78"/>
    <mergeCell ref="A83:C83"/>
    <mergeCell ref="D83:E83"/>
    <mergeCell ref="A87:C87"/>
    <mergeCell ref="D87:E87"/>
    <mergeCell ref="A92:C92"/>
    <mergeCell ref="D92:E92"/>
    <mergeCell ref="A96:E96"/>
    <mergeCell ref="A67:C67"/>
    <mergeCell ref="D67:E67"/>
    <mergeCell ref="A2:D2"/>
    <mergeCell ref="A3:D3"/>
    <mergeCell ref="A4:C4"/>
    <mergeCell ref="A5:C5"/>
    <mergeCell ref="D5:E5"/>
  </mergeCells>
  <printOptions horizontalCentered="1"/>
  <pageMargins left="0.23622047244094491" right="0.23622047244094491" top="0.78740157480314965" bottom="0.43307086614173229" header="0.31496062992125984" footer="0.15748031496062992"/>
  <pageSetup paperSize="9" scale="90" firstPageNumber="131" orientation="portrait" useFirstPageNumber="1" r:id="rId1"/>
  <headerFooter>
    <oddHeader>&amp;C&amp;"Times New Roman CE,Félkövér"&amp;14Vecsés Város Önkormányzat feladattal nem terhelt maradványa&amp;R16. sz. melléklet</oddHeader>
    <oddFooter>&amp;C- &amp;P -</oddFooter>
  </headerFooter>
  <rowBreaks count="2" manualBreakCount="2">
    <brk id="95" max="4" man="1"/>
    <brk id="181" max="4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K164"/>
  <sheetViews>
    <sheetView view="pageBreakPreview" topLeftCell="A62" zoomScale="90" zoomScaleNormal="100" zoomScaleSheetLayoutView="90" workbookViewId="0">
      <selection activeCell="L19" sqref="L19"/>
    </sheetView>
  </sheetViews>
  <sheetFormatPr defaultColWidth="8.83203125" defaultRowHeight="12.75" x14ac:dyDescent="0.2"/>
  <cols>
    <col min="1" max="1" width="7.5" style="3621" customWidth="1"/>
    <col min="2" max="2" width="65" style="3621" customWidth="1"/>
    <col min="3" max="3" width="13.83203125" style="3621" customWidth="1"/>
    <col min="4" max="4" width="14.83203125" style="3621" customWidth="1"/>
    <col min="5" max="5" width="15.1640625" style="3621" customWidth="1"/>
    <col min="6" max="6" width="8.33203125" style="3621" customWidth="1"/>
    <col min="7" max="7" width="17.33203125" style="3621" customWidth="1"/>
    <col min="8" max="8" width="8.83203125" style="3621"/>
    <col min="9" max="9" width="13.83203125" style="3621" customWidth="1"/>
    <col min="10" max="10" width="13.83203125" style="2361" customWidth="1"/>
    <col min="11" max="11" width="14.5" style="3621" customWidth="1"/>
    <col min="12" max="16384" width="8.83203125" style="3621"/>
  </cols>
  <sheetData>
    <row r="1" spans="1:11" ht="29.25" customHeight="1" x14ac:dyDescent="0.2">
      <c r="A1" s="4769" t="s">
        <v>2218</v>
      </c>
      <c r="B1" s="4769"/>
      <c r="C1" s="4769"/>
      <c r="D1" s="4769"/>
      <c r="E1" s="4769"/>
      <c r="F1" s="4769"/>
    </row>
    <row r="2" spans="1:11" ht="19.5" x14ac:dyDescent="0.2">
      <c r="A2" s="4770" t="s">
        <v>2219</v>
      </c>
      <c r="B2" s="4770"/>
      <c r="C2" s="4770"/>
      <c r="D2" s="4770"/>
      <c r="E2" s="4770"/>
      <c r="F2" s="4770"/>
    </row>
    <row r="3" spans="1:11" ht="15" x14ac:dyDescent="0.3">
      <c r="A3" s="3819"/>
      <c r="B3" s="3820"/>
      <c r="C3" s="3821"/>
      <c r="D3" s="3821"/>
      <c r="E3" s="3822" t="s">
        <v>2220</v>
      </c>
    </row>
    <row r="4" spans="1:11" ht="15.75" thickBot="1" x14ac:dyDescent="0.35">
      <c r="A4" s="3819" t="s">
        <v>2221</v>
      </c>
      <c r="B4" s="3823" t="s">
        <v>2222</v>
      </c>
      <c r="C4" s="3824" t="s">
        <v>2223</v>
      </c>
      <c r="D4" s="3824" t="s">
        <v>2224</v>
      </c>
      <c r="E4" s="3824"/>
      <c r="F4" s="3825" t="s">
        <v>2225</v>
      </c>
    </row>
    <row r="5" spans="1:11" ht="30" x14ac:dyDescent="0.2">
      <c r="A5" s="3762" t="s">
        <v>1050</v>
      </c>
      <c r="B5" s="3763" t="s">
        <v>2226</v>
      </c>
      <c r="C5" s="3764" t="s">
        <v>2227</v>
      </c>
      <c r="D5" s="3764" t="s">
        <v>2228</v>
      </c>
      <c r="E5" s="3764" t="s">
        <v>2229</v>
      </c>
      <c r="F5" s="3765" t="s">
        <v>2230</v>
      </c>
    </row>
    <row r="6" spans="1:11" ht="15" x14ac:dyDescent="0.3">
      <c r="A6" s="3766" t="s">
        <v>2231</v>
      </c>
      <c r="B6" s="3767" t="s">
        <v>2232</v>
      </c>
      <c r="C6" s="3768">
        <v>3338909</v>
      </c>
      <c r="D6" s="3768">
        <v>333122</v>
      </c>
      <c r="E6" s="3768">
        <v>104856687</v>
      </c>
      <c r="F6" s="3769">
        <f>IF(C6=0,0,D6/C6%)</f>
        <v>9.9769715197389335</v>
      </c>
    </row>
    <row r="7" spans="1:11" ht="20.25" x14ac:dyDescent="0.3">
      <c r="A7" s="3766" t="s">
        <v>2233</v>
      </c>
      <c r="B7" s="3767" t="s">
        <v>2234</v>
      </c>
      <c r="C7" s="3768">
        <f>SUM(C8,C21,C11)</f>
        <v>13642420777</v>
      </c>
      <c r="D7" s="3768">
        <f>SUM(D8,D21,D11)</f>
        <v>13923838449</v>
      </c>
      <c r="E7" s="3768">
        <f>SUM(E8,E21,E11)</f>
        <v>18484186351</v>
      </c>
      <c r="F7" s="3769">
        <f t="shared" ref="F7:F74" si="0">IF(C7=0,0,D7/C7%)</f>
        <v>102.06281331297482</v>
      </c>
      <c r="G7" s="3770"/>
      <c r="H7" s="3770"/>
      <c r="I7" s="3771"/>
    </row>
    <row r="8" spans="1:11" ht="20.25" x14ac:dyDescent="0.3">
      <c r="A8" s="3766" t="s">
        <v>2235</v>
      </c>
      <c r="B8" s="3767" t="s">
        <v>2236</v>
      </c>
      <c r="C8" s="3768">
        <f>SUM(C10,C14,C17)</f>
        <v>13090857169</v>
      </c>
      <c r="D8" s="3768">
        <f>SUM(D10,D14,D17)</f>
        <v>12898718019</v>
      </c>
      <c r="E8" s="3768">
        <f>SUM(E10,E14,E17)</f>
        <v>16272325615</v>
      </c>
      <c r="F8" s="3769">
        <f t="shared" si="0"/>
        <v>98.53226456052856</v>
      </c>
      <c r="G8" s="3770"/>
      <c r="H8" s="3770"/>
    </row>
    <row r="9" spans="1:11" ht="15" x14ac:dyDescent="0.3">
      <c r="A9" s="3766" t="s">
        <v>2237</v>
      </c>
      <c r="B9" s="3767" t="s">
        <v>2238</v>
      </c>
      <c r="C9" s="3768">
        <f>SUM(C10:C11)</f>
        <v>7017907670</v>
      </c>
      <c r="D9" s="3768">
        <f>SUM(D10:D11)</f>
        <v>7540206877</v>
      </c>
      <c r="E9" s="3768">
        <f>SUM(E10:E11)</f>
        <v>9405425590</v>
      </c>
      <c r="F9" s="3769">
        <f t="shared" si="0"/>
        <v>107.44237786474041</v>
      </c>
      <c r="K9" s="2361"/>
    </row>
    <row r="10" spans="1:11" ht="15" x14ac:dyDescent="0.3">
      <c r="A10" s="3828" t="s">
        <v>2239</v>
      </c>
      <c r="B10" s="3829" t="s">
        <v>2240</v>
      </c>
      <c r="C10" s="3826">
        <v>6813835930</v>
      </c>
      <c r="D10" s="3826">
        <v>6799281117</v>
      </c>
      <c r="E10" s="3826">
        <v>8664499830</v>
      </c>
      <c r="F10" s="3827">
        <f t="shared" si="0"/>
        <v>99.786393257050449</v>
      </c>
    </row>
    <row r="11" spans="1:11" ht="20.25" x14ac:dyDescent="0.3">
      <c r="A11" s="3828" t="s">
        <v>2241</v>
      </c>
      <c r="B11" s="3830" t="s">
        <v>2242</v>
      </c>
      <c r="C11" s="3826">
        <v>204071740</v>
      </c>
      <c r="D11" s="3826">
        <v>740925760</v>
      </c>
      <c r="E11" s="3826">
        <v>740925760</v>
      </c>
      <c r="F11" s="3827">
        <f t="shared" si="0"/>
        <v>363.07122191441107</v>
      </c>
      <c r="G11" s="3770"/>
      <c r="H11" s="3772"/>
    </row>
    <row r="12" spans="1:11" ht="30" x14ac:dyDescent="0.3">
      <c r="A12" s="3773" t="s">
        <v>2243</v>
      </c>
      <c r="B12" s="3774" t="s">
        <v>2244</v>
      </c>
      <c r="C12" s="3775"/>
      <c r="D12" s="3775"/>
      <c r="E12" s="3775"/>
      <c r="F12" s="3769">
        <f t="shared" si="0"/>
        <v>0</v>
      </c>
    </row>
    <row r="13" spans="1:11" ht="15" x14ac:dyDescent="0.3">
      <c r="A13" s="3766" t="s">
        <v>2245</v>
      </c>
      <c r="B13" s="3776" t="s">
        <v>2246</v>
      </c>
      <c r="C13" s="3768">
        <f>SUM(C14:C15)</f>
        <v>5707983250</v>
      </c>
      <c r="D13" s="3768">
        <f>SUM(D14:D15)</f>
        <v>5393795195</v>
      </c>
      <c r="E13" s="3768">
        <f>SUM(E14:E15)</f>
        <v>6870920012</v>
      </c>
      <c r="F13" s="3769">
        <f t="shared" si="0"/>
        <v>94.49563810475442</v>
      </c>
      <c r="I13" s="2361"/>
    </row>
    <row r="14" spans="1:11" ht="15" x14ac:dyDescent="0.3">
      <c r="A14" s="3828" t="s">
        <v>2247</v>
      </c>
      <c r="B14" s="3829" t="s">
        <v>2240</v>
      </c>
      <c r="C14" s="3826">
        <v>5707983250</v>
      </c>
      <c r="D14" s="3826">
        <v>5393795195</v>
      </c>
      <c r="E14" s="3826">
        <v>6870920012</v>
      </c>
      <c r="F14" s="3827">
        <f t="shared" si="0"/>
        <v>94.49563810475442</v>
      </c>
    </row>
    <row r="15" spans="1:11" ht="15" x14ac:dyDescent="0.3">
      <c r="A15" s="3828" t="s">
        <v>109</v>
      </c>
      <c r="B15" s="3830" t="s">
        <v>2242</v>
      </c>
      <c r="C15" s="3826"/>
      <c r="D15" s="3826"/>
      <c r="E15" s="3826"/>
      <c r="F15" s="3827">
        <f t="shared" si="0"/>
        <v>0</v>
      </c>
    </row>
    <row r="16" spans="1:11" ht="15" x14ac:dyDescent="0.3">
      <c r="A16" s="3766" t="s">
        <v>119</v>
      </c>
      <c r="B16" s="3767" t="s">
        <v>2248</v>
      </c>
      <c r="C16" s="3768">
        <f>SUM(C17,C21)</f>
        <v>916529857</v>
      </c>
      <c r="D16" s="3768">
        <f>SUM(D17,D21)</f>
        <v>989836377</v>
      </c>
      <c r="E16" s="3768">
        <f>SUM(E17,E21)</f>
        <v>2207840749</v>
      </c>
      <c r="F16" s="3769">
        <f t="shared" si="0"/>
        <v>107.99826862596142</v>
      </c>
    </row>
    <row r="17" spans="1:6" ht="15" x14ac:dyDescent="0.3">
      <c r="A17" s="3766" t="s">
        <v>125</v>
      </c>
      <c r="B17" s="3767" t="s">
        <v>2249</v>
      </c>
      <c r="C17" s="3768">
        <f>SUM(C18:C20)</f>
        <v>569037989</v>
      </c>
      <c r="D17" s="3768">
        <f>SUM(D18:D20)</f>
        <v>705641707</v>
      </c>
      <c r="E17" s="3768">
        <f>SUM(E18:E20)</f>
        <v>736905773</v>
      </c>
      <c r="F17" s="3769">
        <f t="shared" si="0"/>
        <v>124.00608055009839</v>
      </c>
    </row>
    <row r="18" spans="1:6" ht="15" x14ac:dyDescent="0.3">
      <c r="A18" s="3828" t="s">
        <v>133</v>
      </c>
      <c r="B18" s="3829" t="s">
        <v>2250</v>
      </c>
      <c r="C18" s="3826">
        <v>421167000</v>
      </c>
      <c r="D18" s="3826">
        <v>547290335</v>
      </c>
      <c r="E18" s="3826">
        <v>547290335</v>
      </c>
      <c r="F18" s="3827">
        <f t="shared" si="0"/>
        <v>129.94615793735028</v>
      </c>
    </row>
    <row r="19" spans="1:6" ht="15" x14ac:dyDescent="0.3">
      <c r="A19" s="3828" t="s">
        <v>143</v>
      </c>
      <c r="B19" s="3830" t="s">
        <v>2251</v>
      </c>
      <c r="C19" s="3826">
        <v>147870989</v>
      </c>
      <c r="D19" s="3826">
        <v>158351372</v>
      </c>
      <c r="E19" s="3826">
        <v>189615438</v>
      </c>
      <c r="F19" s="3827">
        <f t="shared" si="0"/>
        <v>107.0875180255946</v>
      </c>
    </row>
    <row r="20" spans="1:6" ht="15" x14ac:dyDescent="0.3">
      <c r="A20" s="3828" t="s">
        <v>145</v>
      </c>
      <c r="B20" s="3830" t="s">
        <v>2252</v>
      </c>
      <c r="C20" s="3826"/>
      <c r="D20" s="3826"/>
      <c r="E20" s="3826"/>
      <c r="F20" s="3827">
        <f t="shared" si="0"/>
        <v>0</v>
      </c>
    </row>
    <row r="21" spans="1:6" ht="15" x14ac:dyDescent="0.3">
      <c r="A21" s="3766" t="s">
        <v>147</v>
      </c>
      <c r="B21" s="3767" t="s">
        <v>2253</v>
      </c>
      <c r="C21" s="3768">
        <f>SUM(C22:C25)</f>
        <v>347491868</v>
      </c>
      <c r="D21" s="3768">
        <f>SUM(D22:D25)</f>
        <v>284194670</v>
      </c>
      <c r="E21" s="3768">
        <f>SUM(E22:E25)</f>
        <v>1470934976</v>
      </c>
      <c r="F21" s="3769">
        <f t="shared" si="0"/>
        <v>81.78455272513024</v>
      </c>
    </row>
    <row r="22" spans="1:6" ht="15" x14ac:dyDescent="0.3">
      <c r="A22" s="3828" t="s">
        <v>246</v>
      </c>
      <c r="B22" s="3829" t="s">
        <v>2254</v>
      </c>
      <c r="C22" s="3826">
        <v>309216075</v>
      </c>
      <c r="D22" s="3826">
        <v>227157916</v>
      </c>
      <c r="E22" s="3826">
        <v>1413898222</v>
      </c>
      <c r="F22" s="3827">
        <f t="shared" si="0"/>
        <v>73.462518402382543</v>
      </c>
    </row>
    <row r="23" spans="1:6" ht="15" x14ac:dyDescent="0.3">
      <c r="A23" s="3828" t="s">
        <v>247</v>
      </c>
      <c r="B23" s="3829" t="s">
        <v>2255</v>
      </c>
      <c r="C23" s="3826"/>
      <c r="D23" s="3826"/>
      <c r="E23" s="3826"/>
      <c r="F23" s="3827">
        <f t="shared" si="0"/>
        <v>0</v>
      </c>
    </row>
    <row r="24" spans="1:6" ht="30" x14ac:dyDescent="0.3">
      <c r="A24" s="3828" t="s">
        <v>248</v>
      </c>
      <c r="B24" s="3830" t="s">
        <v>2256</v>
      </c>
      <c r="C24" s="3826">
        <v>38275793</v>
      </c>
      <c r="D24" s="3826">
        <v>57036754</v>
      </c>
      <c r="E24" s="3826">
        <v>57036754</v>
      </c>
      <c r="F24" s="3827">
        <f t="shared" si="0"/>
        <v>149.01521178150378</v>
      </c>
    </row>
    <row r="25" spans="1:6" ht="15" x14ac:dyDescent="0.3">
      <c r="A25" s="3828" t="s">
        <v>884</v>
      </c>
      <c r="B25" s="3829" t="s">
        <v>2257</v>
      </c>
      <c r="C25" s="3826"/>
      <c r="D25" s="3826"/>
      <c r="E25" s="3826"/>
      <c r="F25" s="3827">
        <f t="shared" si="0"/>
        <v>0</v>
      </c>
    </row>
    <row r="26" spans="1:6" ht="15" x14ac:dyDescent="0.3">
      <c r="A26" s="3766" t="s">
        <v>885</v>
      </c>
      <c r="B26" s="3767" t="s">
        <v>2258</v>
      </c>
      <c r="C26" s="3768">
        <f>SUM(C27,C31)</f>
        <v>47120128</v>
      </c>
      <c r="D26" s="3768">
        <f>SUM(D27,D31)</f>
        <v>879841220</v>
      </c>
      <c r="E26" s="3768">
        <f>SUM(E27,E31)</f>
        <v>879841220</v>
      </c>
      <c r="F26" s="3769">
        <f t="shared" si="0"/>
        <v>1867.2301144852577</v>
      </c>
    </row>
    <row r="27" spans="1:6" ht="15" x14ac:dyDescent="0.3">
      <c r="A27" s="3766" t="s">
        <v>249</v>
      </c>
      <c r="B27" s="3767" t="s">
        <v>2259</v>
      </c>
      <c r="C27" s="3768">
        <f>SUM(C28:C29)</f>
        <v>36415392</v>
      </c>
      <c r="D27" s="3768">
        <f>SUM(D28:D29)</f>
        <v>16281000</v>
      </c>
      <c r="E27" s="3768">
        <f>SUM(E28:E29)</f>
        <v>16281000</v>
      </c>
      <c r="F27" s="3769">
        <f t="shared" si="0"/>
        <v>44.709116408797691</v>
      </c>
    </row>
    <row r="28" spans="1:6" ht="15" x14ac:dyDescent="0.3">
      <c r="A28" s="3831" t="s">
        <v>276</v>
      </c>
      <c r="B28" s="3832" t="s">
        <v>2260</v>
      </c>
      <c r="C28" s="3833"/>
      <c r="D28" s="3833"/>
      <c r="E28" s="3833"/>
      <c r="F28" s="3827">
        <f t="shared" si="0"/>
        <v>0</v>
      </c>
    </row>
    <row r="29" spans="1:6" ht="15" x14ac:dyDescent="0.3">
      <c r="A29" s="3766" t="s">
        <v>250</v>
      </c>
      <c r="B29" s="3767" t="s">
        <v>2261</v>
      </c>
      <c r="C29" s="3768">
        <f>SUM(C30)</f>
        <v>36415392</v>
      </c>
      <c r="D29" s="3768">
        <f>SUM(D30)</f>
        <v>16281000</v>
      </c>
      <c r="E29" s="3768">
        <f>SUM(E30)</f>
        <v>16281000</v>
      </c>
      <c r="F29" s="3769">
        <f t="shared" si="0"/>
        <v>44.709116408797691</v>
      </c>
    </row>
    <row r="30" spans="1:6" ht="15" x14ac:dyDescent="0.3">
      <c r="A30" s="3828" t="s">
        <v>253</v>
      </c>
      <c r="B30" s="3829" t="s">
        <v>2262</v>
      </c>
      <c r="C30" s="3826">
        <v>36415392</v>
      </c>
      <c r="D30" s="3826">
        <v>16281000</v>
      </c>
      <c r="E30" s="3826">
        <v>16281000</v>
      </c>
      <c r="F30" s="3827">
        <f>IF(C30=0,0,D30/C30%)</f>
        <v>44.709116408797691</v>
      </c>
    </row>
    <row r="31" spans="1:6" ht="15" x14ac:dyDescent="0.3">
      <c r="A31" s="3766" t="s">
        <v>256</v>
      </c>
      <c r="B31" s="3767" t="s">
        <v>2263</v>
      </c>
      <c r="C31" s="3768">
        <f>SUM(C32:C33)</f>
        <v>10704736</v>
      </c>
      <c r="D31" s="3768">
        <f>SUM(D32:D33)</f>
        <v>863560220</v>
      </c>
      <c r="E31" s="3768">
        <f>SUM(E32:E33)</f>
        <v>863560220</v>
      </c>
      <c r="F31" s="3769">
        <f t="shared" si="0"/>
        <v>8067.0856338727081</v>
      </c>
    </row>
    <row r="32" spans="1:6" ht="15" x14ac:dyDescent="0.3">
      <c r="A32" s="3828" t="s">
        <v>2066</v>
      </c>
      <c r="B32" s="3829" t="s">
        <v>2264</v>
      </c>
      <c r="C32" s="3826"/>
      <c r="D32" s="3826">
        <v>851009500</v>
      </c>
      <c r="E32" s="3826">
        <v>851009500</v>
      </c>
      <c r="F32" s="3827">
        <f t="shared" si="0"/>
        <v>0</v>
      </c>
    </row>
    <row r="33" spans="1:6" ht="15" x14ac:dyDescent="0.3">
      <c r="A33" s="3828" t="s">
        <v>2067</v>
      </c>
      <c r="B33" s="3829" t="s">
        <v>2265</v>
      </c>
      <c r="C33" s="3826">
        <v>10704736</v>
      </c>
      <c r="D33" s="3826">
        <v>12550720</v>
      </c>
      <c r="E33" s="3826">
        <v>12550720</v>
      </c>
      <c r="F33" s="3827">
        <f t="shared" si="0"/>
        <v>117.24455418610977</v>
      </c>
    </row>
    <row r="34" spans="1:6" ht="15" x14ac:dyDescent="0.3">
      <c r="A34" s="3831" t="s">
        <v>2068</v>
      </c>
      <c r="B34" s="3834" t="s">
        <v>2266</v>
      </c>
      <c r="C34" s="3833">
        <v>367328737</v>
      </c>
      <c r="D34" s="3833">
        <v>729862247</v>
      </c>
      <c r="E34" s="3833">
        <v>915769398</v>
      </c>
      <c r="F34" s="3835">
        <f t="shared" si="0"/>
        <v>198.69456796678557</v>
      </c>
    </row>
    <row r="35" spans="1:6" ht="30" x14ac:dyDescent="0.2">
      <c r="A35" s="3777" t="s">
        <v>2069</v>
      </c>
      <c r="B35" s="3778" t="s">
        <v>2267</v>
      </c>
      <c r="C35" s="3779">
        <f>SUM(C6:C7,C26,)</f>
        <v>13692879814</v>
      </c>
      <c r="D35" s="3779">
        <f>SUM(D6:D7,D26,)</f>
        <v>14804012791</v>
      </c>
      <c r="E35" s="3779">
        <f>SUM(E6:E7,E26,E34)</f>
        <v>20384653656</v>
      </c>
      <c r="F35" s="3780">
        <f t="shared" si="0"/>
        <v>108.11467705912344</v>
      </c>
    </row>
    <row r="36" spans="1:6" ht="15" x14ac:dyDescent="0.3">
      <c r="A36" s="3828" t="s">
        <v>2070</v>
      </c>
      <c r="B36" s="3836" t="s">
        <v>2268</v>
      </c>
      <c r="C36" s="3826">
        <v>5381866</v>
      </c>
      <c r="D36" s="3826">
        <v>4102600</v>
      </c>
      <c r="E36" s="3826">
        <v>4102600</v>
      </c>
      <c r="F36" s="3827">
        <f t="shared" si="0"/>
        <v>76.230065928806098</v>
      </c>
    </row>
    <row r="37" spans="1:6" ht="15" x14ac:dyDescent="0.3">
      <c r="A37" s="3828" t="s">
        <v>2071</v>
      </c>
      <c r="B37" s="3836" t="s">
        <v>2269</v>
      </c>
      <c r="C37" s="3826">
        <v>1151790000</v>
      </c>
      <c r="D37" s="3826">
        <v>0</v>
      </c>
      <c r="E37" s="3826"/>
      <c r="F37" s="3827">
        <f t="shared" si="0"/>
        <v>0</v>
      </c>
    </row>
    <row r="38" spans="1:6" ht="15" x14ac:dyDescent="0.2">
      <c r="A38" s="3781" t="s">
        <v>2072</v>
      </c>
      <c r="B38" s="3782" t="s">
        <v>2270</v>
      </c>
      <c r="C38" s="3783">
        <f>SUM(C36:C37)</f>
        <v>1157171866</v>
      </c>
      <c r="D38" s="3783">
        <f>SUM(D36:D37)</f>
        <v>4102600</v>
      </c>
      <c r="E38" s="3783">
        <f>SUM(E36:E37)</f>
        <v>4102600</v>
      </c>
      <c r="F38" s="3784">
        <f t="shared" si="0"/>
        <v>0.35453679099384533</v>
      </c>
    </row>
    <row r="39" spans="1:6" ht="15" x14ac:dyDescent="0.3">
      <c r="A39" s="3828" t="s">
        <v>2073</v>
      </c>
      <c r="B39" s="3837" t="s">
        <v>2271</v>
      </c>
      <c r="C39" s="3826">
        <v>0</v>
      </c>
      <c r="D39" s="3826"/>
      <c r="E39" s="3826"/>
      <c r="F39" s="3827">
        <f t="shared" si="0"/>
        <v>0</v>
      </c>
    </row>
    <row r="40" spans="1:6" ht="15" x14ac:dyDescent="0.3">
      <c r="A40" s="3828" t="s">
        <v>2074</v>
      </c>
      <c r="B40" s="3837" t="s">
        <v>2272</v>
      </c>
      <c r="C40" s="3826">
        <v>895100</v>
      </c>
      <c r="D40" s="3826">
        <v>1486185</v>
      </c>
      <c r="E40" s="3826">
        <v>1486185</v>
      </c>
      <c r="F40" s="3827">
        <f t="shared" si="0"/>
        <v>166.03563847614791</v>
      </c>
    </row>
    <row r="41" spans="1:6" ht="15" x14ac:dyDescent="0.3">
      <c r="A41" s="3828" t="s">
        <v>2075</v>
      </c>
      <c r="B41" s="3837" t="s">
        <v>2273</v>
      </c>
      <c r="C41" s="3826">
        <v>1420434319</v>
      </c>
      <c r="D41" s="3826">
        <v>1776916157</v>
      </c>
      <c r="E41" s="3826">
        <v>1776916157</v>
      </c>
      <c r="F41" s="3827">
        <f t="shared" si="0"/>
        <v>125.09667875744982</v>
      </c>
    </row>
    <row r="42" spans="1:6" ht="15" x14ac:dyDescent="0.3">
      <c r="A42" s="3828" t="s">
        <v>2076</v>
      </c>
      <c r="B42" s="3836" t="s">
        <v>2274</v>
      </c>
      <c r="C42" s="3826">
        <v>39255503</v>
      </c>
      <c r="D42" s="3826">
        <v>50127692</v>
      </c>
      <c r="E42" s="3826">
        <v>50127692</v>
      </c>
      <c r="F42" s="3827">
        <f t="shared" si="0"/>
        <v>127.69596150633963</v>
      </c>
    </row>
    <row r="43" spans="1:6" ht="15" x14ac:dyDescent="0.3">
      <c r="A43" s="3828" t="s">
        <v>2077</v>
      </c>
      <c r="B43" s="3836" t="s">
        <v>2275</v>
      </c>
      <c r="C43" s="3826"/>
      <c r="D43" s="3826"/>
      <c r="E43" s="3826"/>
      <c r="F43" s="3827">
        <f t="shared" si="0"/>
        <v>0</v>
      </c>
    </row>
    <row r="44" spans="1:6" ht="15" x14ac:dyDescent="0.2">
      <c r="A44" s="3777" t="s">
        <v>2078</v>
      </c>
      <c r="B44" s="3778" t="s">
        <v>2276</v>
      </c>
      <c r="C44" s="3779">
        <f>SUM(C39:C43)</f>
        <v>1460584922</v>
      </c>
      <c r="D44" s="3779">
        <f>SUM(D39:D43)</f>
        <v>1828530034</v>
      </c>
      <c r="E44" s="3779">
        <f>SUM(E39:E43)</f>
        <v>1828530034</v>
      </c>
      <c r="F44" s="3780">
        <f t="shared" si="0"/>
        <v>125.19162744033858</v>
      </c>
    </row>
    <row r="45" spans="1:6" ht="15" x14ac:dyDescent="0.3">
      <c r="A45" s="3838" t="s">
        <v>2079</v>
      </c>
      <c r="B45" s="3837" t="s">
        <v>2277</v>
      </c>
      <c r="C45" s="3826">
        <v>174970248</v>
      </c>
      <c r="D45" s="3826">
        <v>217125515</v>
      </c>
      <c r="E45" s="3826">
        <v>217125525</v>
      </c>
      <c r="F45" s="3827">
        <f t="shared" si="0"/>
        <v>124.09282005475582</v>
      </c>
    </row>
    <row r="46" spans="1:6" ht="15" x14ac:dyDescent="0.3">
      <c r="A46" s="3838" t="s">
        <v>2080</v>
      </c>
      <c r="B46" s="3837" t="s">
        <v>2278</v>
      </c>
      <c r="C46" s="3826">
        <v>88401099</v>
      </c>
      <c r="D46" s="3826">
        <v>88959355</v>
      </c>
      <c r="E46" s="3826">
        <v>88959355</v>
      </c>
      <c r="F46" s="3827">
        <f t="shared" si="0"/>
        <v>100.63150346128616</v>
      </c>
    </row>
    <row r="47" spans="1:6" ht="15" x14ac:dyDescent="0.3">
      <c r="A47" s="3828" t="s">
        <v>2081</v>
      </c>
      <c r="B47" s="3836" t="s">
        <v>2279</v>
      </c>
      <c r="C47" s="3826">
        <v>8983879</v>
      </c>
      <c r="D47" s="3826">
        <v>73370820</v>
      </c>
      <c r="E47" s="3826">
        <v>73370820</v>
      </c>
      <c r="F47" s="3827">
        <f t="shared" si="0"/>
        <v>816.69421415849445</v>
      </c>
    </row>
    <row r="48" spans="1:6" ht="15" x14ac:dyDescent="0.2">
      <c r="A48" s="3839" t="s">
        <v>2082</v>
      </c>
      <c r="B48" s="3840" t="s">
        <v>2280</v>
      </c>
      <c r="C48" s="3841">
        <f>SUM(C45:C47)</f>
        <v>272355226</v>
      </c>
      <c r="D48" s="3841">
        <f>SUM(D45:D47)</f>
        <v>379455690</v>
      </c>
      <c r="E48" s="3841">
        <f t="shared" ref="E48" si="1">SUM(E45:E47)</f>
        <v>379455700</v>
      </c>
      <c r="F48" s="3842">
        <f t="shared" si="0"/>
        <v>139.32381455386505</v>
      </c>
    </row>
    <row r="49" spans="1:6" ht="15" x14ac:dyDescent="0.3">
      <c r="A49" s="3839" t="s">
        <v>2083</v>
      </c>
      <c r="B49" s="3834" t="s">
        <v>2281</v>
      </c>
      <c r="C49" s="3833">
        <v>3589919</v>
      </c>
      <c r="D49" s="3833">
        <v>4914583</v>
      </c>
      <c r="E49" s="3833">
        <v>4914583</v>
      </c>
      <c r="F49" s="3843"/>
    </row>
    <row r="50" spans="1:6" ht="15" x14ac:dyDescent="0.3">
      <c r="A50" s="3839" t="s">
        <v>2084</v>
      </c>
      <c r="B50" s="3834" t="s">
        <v>2282</v>
      </c>
      <c r="C50" s="3833">
        <v>-13380848</v>
      </c>
      <c r="D50" s="3833">
        <v>-10295616</v>
      </c>
      <c r="E50" s="3833">
        <v>-10295616</v>
      </c>
      <c r="F50" s="3843"/>
    </row>
    <row r="51" spans="1:6" ht="15" x14ac:dyDescent="0.3">
      <c r="A51" s="3839" t="s">
        <v>2085</v>
      </c>
      <c r="B51" s="3836" t="s">
        <v>2283</v>
      </c>
      <c r="C51" s="3826">
        <v>175155</v>
      </c>
      <c r="D51" s="3826">
        <v>277703</v>
      </c>
      <c r="E51" s="3826">
        <v>277703</v>
      </c>
      <c r="F51" s="3827">
        <f t="shared" si="0"/>
        <v>158.54700122748423</v>
      </c>
    </row>
    <row r="52" spans="1:6" ht="30" x14ac:dyDescent="0.3">
      <c r="A52" s="3839" t="s">
        <v>2086</v>
      </c>
      <c r="B52" s="3837" t="s">
        <v>2284</v>
      </c>
      <c r="C52" s="3826">
        <v>366447</v>
      </c>
      <c r="D52" s="3826">
        <v>476000</v>
      </c>
      <c r="E52" s="3826">
        <v>476000</v>
      </c>
      <c r="F52" s="3827">
        <f t="shared" si="0"/>
        <v>129.89600133170691</v>
      </c>
    </row>
    <row r="53" spans="1:6" ht="15" x14ac:dyDescent="0.2">
      <c r="A53" s="3777" t="s">
        <v>2087</v>
      </c>
      <c r="B53" s="3785" t="s">
        <v>2285</v>
      </c>
      <c r="C53" s="3779">
        <f>SUM(C51:C52)</f>
        <v>541602</v>
      </c>
      <c r="D53" s="3779">
        <f>SUM(D51:D52)</f>
        <v>753703</v>
      </c>
      <c r="E53" s="3779">
        <f>SUM(E51:E52)</f>
        <v>753703</v>
      </c>
      <c r="F53" s="3780">
        <f t="shared" si="0"/>
        <v>139.16178300670973</v>
      </c>
    </row>
    <row r="54" spans="1:6" ht="15" x14ac:dyDescent="0.2">
      <c r="A54" s="3777" t="s">
        <v>2088</v>
      </c>
      <c r="B54" s="3785" t="s">
        <v>2286</v>
      </c>
      <c r="C54" s="3779">
        <f>SUM(C49+C50+C53)</f>
        <v>-9249327</v>
      </c>
      <c r="D54" s="3779">
        <f>SUM(D49+D50+D53)</f>
        <v>-4627330</v>
      </c>
      <c r="E54" s="3779">
        <f>SUM(E49+E50+E53)</f>
        <v>-4627330</v>
      </c>
      <c r="F54" s="3780"/>
    </row>
    <row r="55" spans="1:6" ht="15" x14ac:dyDescent="0.3">
      <c r="A55" s="3839" t="s">
        <v>2089</v>
      </c>
      <c r="B55" s="3844" t="s">
        <v>2287</v>
      </c>
      <c r="C55" s="3833">
        <v>5649300</v>
      </c>
      <c r="D55" s="3833">
        <v>2086040</v>
      </c>
      <c r="E55" s="3833">
        <v>2086040</v>
      </c>
      <c r="F55" s="3845">
        <f t="shared" si="0"/>
        <v>36.925636804559858</v>
      </c>
    </row>
    <row r="56" spans="1:6" ht="15.75" thickBot="1" x14ac:dyDescent="0.25">
      <c r="A56" s="3786" t="s">
        <v>2090</v>
      </c>
      <c r="B56" s="3787" t="s">
        <v>2288</v>
      </c>
      <c r="C56" s="3817">
        <f>SUM(C35,C38,C44,C48,C54:C55)</f>
        <v>16579391801</v>
      </c>
      <c r="D56" s="3817">
        <f>SUM(D35,D38,D44,D48,D54:D55)</f>
        <v>17013559825</v>
      </c>
      <c r="E56" s="3817">
        <f>SUM(E35,E38,E44,E48,E53:E55)</f>
        <v>22594954403</v>
      </c>
      <c r="F56" s="3858">
        <f t="shared" si="0"/>
        <v>102.6187210557013</v>
      </c>
    </row>
    <row r="57" spans="1:6" ht="15" x14ac:dyDescent="0.3">
      <c r="A57" s="3846"/>
      <c r="B57" s="3820"/>
      <c r="C57" s="3821"/>
      <c r="D57" s="3821"/>
      <c r="E57" s="3822"/>
      <c r="F57" s="3847"/>
    </row>
    <row r="58" spans="1:6" ht="15.75" thickBot="1" x14ac:dyDescent="0.35">
      <c r="A58" s="3846"/>
      <c r="B58" s="3820"/>
      <c r="C58" s="3821"/>
      <c r="D58" s="3821"/>
      <c r="E58" s="3822" t="s">
        <v>2220</v>
      </c>
      <c r="F58" s="3847"/>
    </row>
    <row r="59" spans="1:6" ht="30" x14ac:dyDescent="0.2">
      <c r="A59" s="3762" t="s">
        <v>1050</v>
      </c>
      <c r="B59" s="3763" t="s">
        <v>2289</v>
      </c>
      <c r="C59" s="3764" t="s">
        <v>2227</v>
      </c>
      <c r="D59" s="3764" t="s">
        <v>2228</v>
      </c>
      <c r="E59" s="3764" t="s">
        <v>2229</v>
      </c>
      <c r="F59" s="3765" t="s">
        <v>2230</v>
      </c>
    </row>
    <row r="60" spans="1:6" ht="15" x14ac:dyDescent="0.3">
      <c r="A60" s="3831" t="s">
        <v>2090</v>
      </c>
      <c r="B60" s="3836" t="s">
        <v>2290</v>
      </c>
      <c r="C60" s="3826">
        <v>15756090092</v>
      </c>
      <c r="D60" s="3826">
        <v>15756090092</v>
      </c>
      <c r="E60" s="3826">
        <v>15756090092</v>
      </c>
      <c r="F60" s="3827">
        <f t="shared" si="0"/>
        <v>100.00000000000001</v>
      </c>
    </row>
    <row r="61" spans="1:6" ht="15" x14ac:dyDescent="0.3">
      <c r="A61" s="3831" t="s">
        <v>2091</v>
      </c>
      <c r="B61" s="3836" t="s">
        <v>2291</v>
      </c>
      <c r="C61" s="3826">
        <v>-366191943</v>
      </c>
      <c r="D61" s="3826">
        <v>-725414843</v>
      </c>
      <c r="E61" s="3826">
        <v>-725414843</v>
      </c>
      <c r="F61" s="3827">
        <f t="shared" si="0"/>
        <v>198.09688794818732</v>
      </c>
    </row>
    <row r="62" spans="1:6" ht="15" x14ac:dyDescent="0.3">
      <c r="A62" s="3831" t="s">
        <v>2092</v>
      </c>
      <c r="B62" s="3836" t="s">
        <v>2292</v>
      </c>
      <c r="C62" s="3826">
        <v>1050500353</v>
      </c>
      <c r="D62" s="3826">
        <v>1050500353</v>
      </c>
      <c r="E62" s="3826">
        <v>1050500353</v>
      </c>
      <c r="F62" s="3827">
        <f t="shared" si="0"/>
        <v>100</v>
      </c>
    </row>
    <row r="63" spans="1:6" ht="15" x14ac:dyDescent="0.3">
      <c r="A63" s="3831" t="s">
        <v>2093</v>
      </c>
      <c r="B63" s="3836" t="s">
        <v>2293</v>
      </c>
      <c r="C63" s="3826">
        <v>-1978533012</v>
      </c>
      <c r="D63" s="3826">
        <v>-1334487915</v>
      </c>
      <c r="E63" s="3826">
        <v>-1334487915</v>
      </c>
      <c r="F63" s="3827">
        <f t="shared" si="0"/>
        <v>67.448352234013669</v>
      </c>
    </row>
    <row r="64" spans="1:6" ht="15" x14ac:dyDescent="0.3">
      <c r="A64" s="3831" t="s">
        <v>2094</v>
      </c>
      <c r="B64" s="3836" t="s">
        <v>2294</v>
      </c>
      <c r="C64" s="3826">
        <v>10704736</v>
      </c>
      <c r="D64" s="3826">
        <v>12550720</v>
      </c>
      <c r="E64" s="3826">
        <v>12550720</v>
      </c>
      <c r="F64" s="3827">
        <f t="shared" si="0"/>
        <v>117.24455418610977</v>
      </c>
    </row>
    <row r="65" spans="1:10" ht="15" x14ac:dyDescent="0.3">
      <c r="A65" s="3831" t="s">
        <v>2095</v>
      </c>
      <c r="B65" s="3836" t="s">
        <v>2295</v>
      </c>
      <c r="C65" s="3826">
        <v>644045097</v>
      </c>
      <c r="D65" s="3826">
        <v>554896892</v>
      </c>
      <c r="E65" s="3826">
        <v>554896892</v>
      </c>
      <c r="F65" s="3827">
        <f t="shared" si="0"/>
        <v>86.158080324614289</v>
      </c>
    </row>
    <row r="66" spans="1:10" ht="15" x14ac:dyDescent="0.3">
      <c r="A66" s="3789" t="s">
        <v>2096</v>
      </c>
      <c r="B66" s="3790" t="s">
        <v>2296</v>
      </c>
      <c r="C66" s="3791">
        <f>SUM(C60:C65)</f>
        <v>15116615323</v>
      </c>
      <c r="D66" s="3791">
        <f>SUM(D60:D65)</f>
        <v>15314135299</v>
      </c>
      <c r="E66" s="3791">
        <f>SUM(E60:E65)</f>
        <v>15314135299</v>
      </c>
      <c r="F66" s="3784">
        <f t="shared" si="0"/>
        <v>101.30664154494606</v>
      </c>
    </row>
    <row r="67" spans="1:10" ht="15" x14ac:dyDescent="0.3">
      <c r="A67" s="3831" t="s">
        <v>2097</v>
      </c>
      <c r="B67" s="3848" t="s">
        <v>2297</v>
      </c>
      <c r="C67" s="3849">
        <v>17210033</v>
      </c>
      <c r="D67" s="3849">
        <v>16340645</v>
      </c>
      <c r="E67" s="3849">
        <v>16340645</v>
      </c>
      <c r="F67" s="3850">
        <f t="shared" si="0"/>
        <v>94.948365293663301</v>
      </c>
    </row>
    <row r="68" spans="1:10" ht="15" x14ac:dyDescent="0.3">
      <c r="A68" s="3831" t="s">
        <v>2098</v>
      </c>
      <c r="B68" s="3851" t="s">
        <v>2298</v>
      </c>
      <c r="C68" s="3826">
        <v>18998419</v>
      </c>
      <c r="D68" s="3826">
        <v>76017146</v>
      </c>
      <c r="E68" s="3826">
        <v>76017146</v>
      </c>
      <c r="F68" s="3827">
        <f t="shared" si="0"/>
        <v>400.1235365953346</v>
      </c>
    </row>
    <row r="69" spans="1:10" ht="15" x14ac:dyDescent="0.3">
      <c r="A69" s="3831" t="s">
        <v>2099</v>
      </c>
      <c r="B69" s="3851" t="s">
        <v>2299</v>
      </c>
      <c r="C69" s="3826">
        <v>660510496</v>
      </c>
      <c r="D69" s="3826">
        <v>789105973</v>
      </c>
      <c r="E69" s="3826">
        <v>789105973</v>
      </c>
      <c r="F69" s="3827">
        <f t="shared" si="0"/>
        <v>119.46910424266748</v>
      </c>
    </row>
    <row r="70" spans="1:10" ht="15" x14ac:dyDescent="0.3">
      <c r="A70" s="3766" t="s">
        <v>2100</v>
      </c>
      <c r="B70" s="3792" t="s">
        <v>2300</v>
      </c>
      <c r="C70" s="3783">
        <f>SUM(C67,C68,C69)</f>
        <v>696718948</v>
      </c>
      <c r="D70" s="3783">
        <f>SUM(D67,D68,D69)</f>
        <v>881463764</v>
      </c>
      <c r="E70" s="3783">
        <f>SUM(E67,E68,E69)</f>
        <v>881463764</v>
      </c>
      <c r="F70" s="3784">
        <f t="shared" si="0"/>
        <v>126.5164047181906</v>
      </c>
    </row>
    <row r="71" spans="1:10" ht="15" x14ac:dyDescent="0.3">
      <c r="A71" s="3831" t="s">
        <v>2101</v>
      </c>
      <c r="B71" s="3852" t="s">
        <v>2301</v>
      </c>
      <c r="C71" s="3853"/>
      <c r="D71" s="3853"/>
      <c r="E71" s="3853"/>
      <c r="F71" s="3845">
        <f t="shared" si="0"/>
        <v>0</v>
      </c>
    </row>
    <row r="72" spans="1:10" ht="15" x14ac:dyDescent="0.3">
      <c r="A72" s="3831" t="s">
        <v>2102</v>
      </c>
      <c r="B72" s="3852" t="s">
        <v>2302</v>
      </c>
      <c r="C72" s="3853"/>
      <c r="D72" s="3853"/>
      <c r="E72" s="3853"/>
      <c r="F72" s="3845">
        <f t="shared" si="0"/>
        <v>0</v>
      </c>
    </row>
    <row r="73" spans="1:10" ht="15" x14ac:dyDescent="0.3">
      <c r="A73" s="3831" t="s">
        <v>2103</v>
      </c>
      <c r="B73" s="3852" t="s">
        <v>2303</v>
      </c>
      <c r="C73" s="3853">
        <v>826057530</v>
      </c>
      <c r="D73" s="3853">
        <v>817960762</v>
      </c>
      <c r="E73" s="3853">
        <v>817960762</v>
      </c>
      <c r="F73" s="3845">
        <f t="shared" si="0"/>
        <v>99.019830011113157</v>
      </c>
    </row>
    <row r="74" spans="1:10" ht="15.75" thickBot="1" x14ac:dyDescent="0.25">
      <c r="A74" s="3786" t="s">
        <v>2104</v>
      </c>
      <c r="B74" s="3787" t="s">
        <v>2304</v>
      </c>
      <c r="C74" s="3817">
        <f>SUM(C66,C70:C73)</f>
        <v>16639391801</v>
      </c>
      <c r="D74" s="3817">
        <f>SUM(D66,D70:D73)</f>
        <v>17013559825</v>
      </c>
      <c r="E74" s="3817">
        <f>SUM(E66,E70:E73)</f>
        <v>17013559825</v>
      </c>
      <c r="F74" s="3858">
        <f t="shared" si="0"/>
        <v>102.2486881039577</v>
      </c>
      <c r="I74" s="2361"/>
      <c r="J74" s="2361">
        <f>SUM(D56-D74)</f>
        <v>0</v>
      </c>
    </row>
    <row r="77" spans="1:10" ht="15.75" thickBot="1" x14ac:dyDescent="0.35">
      <c r="B77" s="3819" t="s">
        <v>2221</v>
      </c>
      <c r="C77" s="3823" t="s">
        <v>2222</v>
      </c>
      <c r="D77" s="3824" t="s">
        <v>2223</v>
      </c>
      <c r="E77" s="3824" t="s">
        <v>2224</v>
      </c>
    </row>
    <row r="78" spans="1:10" ht="12.75" customHeight="1" x14ac:dyDescent="0.2">
      <c r="B78" s="4771" t="s">
        <v>2305</v>
      </c>
      <c r="C78" s="4773" t="s">
        <v>332</v>
      </c>
      <c r="D78" s="4775" t="s">
        <v>2229</v>
      </c>
      <c r="E78" s="4777" t="s">
        <v>2306</v>
      </c>
    </row>
    <row r="79" spans="1:10" x14ac:dyDescent="0.2">
      <c r="B79" s="4772"/>
      <c r="C79" s="4774"/>
      <c r="D79" s="4776"/>
      <c r="E79" s="4778"/>
    </row>
    <row r="80" spans="1:10" ht="16.5" customHeight="1" x14ac:dyDescent="0.2">
      <c r="B80" s="4779" t="s">
        <v>2307</v>
      </c>
      <c r="C80" s="4780"/>
      <c r="D80" s="4780"/>
      <c r="E80" s="4781"/>
    </row>
    <row r="81" spans="2:5" ht="15" x14ac:dyDescent="0.2">
      <c r="B81" s="3793" t="s">
        <v>2308</v>
      </c>
      <c r="C81" s="3794">
        <v>1</v>
      </c>
      <c r="D81" s="3795">
        <f>D82+D83</f>
        <v>99089599</v>
      </c>
      <c r="E81" s="3796">
        <f>E82+E83</f>
        <v>0</v>
      </c>
    </row>
    <row r="82" spans="2:5" ht="15" x14ac:dyDescent="0.2">
      <c r="B82" s="3797" t="s">
        <v>2309</v>
      </c>
      <c r="C82" s="3854">
        <v>2</v>
      </c>
      <c r="D82" s="3799">
        <v>99089599</v>
      </c>
      <c r="E82" s="3798"/>
    </row>
    <row r="83" spans="2:5" ht="15" x14ac:dyDescent="0.2">
      <c r="B83" s="3797" t="s">
        <v>2310</v>
      </c>
      <c r="C83" s="3854">
        <v>3</v>
      </c>
      <c r="D83" s="3799"/>
      <c r="E83" s="3798"/>
    </row>
    <row r="84" spans="2:5" ht="15" x14ac:dyDescent="0.2">
      <c r="B84" s="3793" t="s">
        <v>2311</v>
      </c>
      <c r="C84" s="3794">
        <v>4</v>
      </c>
      <c r="D84" s="3795">
        <f>D85+D88+D91</f>
        <v>679780772</v>
      </c>
      <c r="E84" s="3796">
        <f>E85+E88+E91</f>
        <v>0</v>
      </c>
    </row>
    <row r="85" spans="2:5" ht="15" x14ac:dyDescent="0.2">
      <c r="B85" s="3800" t="s">
        <v>2312</v>
      </c>
      <c r="C85" s="3801">
        <v>5</v>
      </c>
      <c r="D85" s="3802">
        <f>+D86+D87</f>
        <v>0</v>
      </c>
      <c r="E85" s="3803">
        <f>+E86+E87</f>
        <v>0</v>
      </c>
    </row>
    <row r="86" spans="2:5" ht="15" x14ac:dyDescent="0.2">
      <c r="B86" s="3797" t="s">
        <v>2309</v>
      </c>
      <c r="C86" s="3854">
        <v>6</v>
      </c>
      <c r="D86" s="3799"/>
      <c r="E86" s="3798"/>
    </row>
    <row r="87" spans="2:5" ht="15" x14ac:dyDescent="0.2">
      <c r="B87" s="3797" t="s">
        <v>2310</v>
      </c>
      <c r="C87" s="3854">
        <v>7</v>
      </c>
      <c r="D87" s="3799"/>
      <c r="E87" s="3798"/>
    </row>
    <row r="88" spans="2:5" ht="15" x14ac:dyDescent="0.2">
      <c r="B88" s="3800" t="s">
        <v>2313</v>
      </c>
      <c r="C88" s="3801">
        <v>8</v>
      </c>
      <c r="D88" s="3802">
        <f>+D89+D90</f>
        <v>679780772</v>
      </c>
      <c r="E88" s="3803">
        <f>+E89+E90</f>
        <v>0</v>
      </c>
    </row>
    <row r="89" spans="2:5" ht="15" x14ac:dyDescent="0.2">
      <c r="B89" s="3797" t="s">
        <v>2309</v>
      </c>
      <c r="C89" s="3854">
        <v>9</v>
      </c>
      <c r="D89" s="3799">
        <v>679780772</v>
      </c>
      <c r="E89" s="3798"/>
    </row>
    <row r="90" spans="2:5" ht="15" x14ac:dyDescent="0.2">
      <c r="B90" s="3797" t="s">
        <v>2310</v>
      </c>
      <c r="C90" s="3854">
        <v>10</v>
      </c>
      <c r="D90" s="3799"/>
      <c r="E90" s="3798"/>
    </row>
    <row r="91" spans="2:5" ht="15" x14ac:dyDescent="0.2">
      <c r="B91" s="3800" t="s">
        <v>2314</v>
      </c>
      <c r="C91" s="3801">
        <v>11</v>
      </c>
      <c r="D91" s="3802">
        <f>+D92+D93</f>
        <v>0</v>
      </c>
      <c r="E91" s="3803">
        <f>+E92+E93</f>
        <v>0</v>
      </c>
    </row>
    <row r="92" spans="2:5" ht="15" x14ac:dyDescent="0.2">
      <c r="B92" s="3797" t="s">
        <v>2309</v>
      </c>
      <c r="C92" s="3854">
        <v>12</v>
      </c>
      <c r="D92" s="3799"/>
      <c r="E92" s="3798"/>
    </row>
    <row r="93" spans="2:5" ht="15" x14ac:dyDescent="0.2">
      <c r="B93" s="3797" t="s">
        <v>2310</v>
      </c>
      <c r="C93" s="3854">
        <v>13</v>
      </c>
      <c r="D93" s="3799"/>
      <c r="E93" s="3798"/>
    </row>
    <row r="94" spans="2:5" ht="30" x14ac:dyDescent="0.2">
      <c r="B94" s="3804" t="s">
        <v>2315</v>
      </c>
      <c r="C94" s="3794">
        <v>14</v>
      </c>
      <c r="D94" s="3795">
        <f>D95+D96</f>
        <v>30374991</v>
      </c>
      <c r="E94" s="3796">
        <f>E95+E96</f>
        <v>0</v>
      </c>
    </row>
    <row r="95" spans="2:5" ht="15" x14ac:dyDescent="0.2">
      <c r="B95" s="3797" t="s">
        <v>2309</v>
      </c>
      <c r="C95" s="3854">
        <v>15</v>
      </c>
      <c r="D95" s="3799">
        <v>30374991</v>
      </c>
      <c r="E95" s="3798"/>
    </row>
    <row r="96" spans="2:5" ht="15" x14ac:dyDescent="0.2">
      <c r="B96" s="3797" t="s">
        <v>2310</v>
      </c>
      <c r="C96" s="3854">
        <v>16</v>
      </c>
      <c r="D96" s="3799"/>
      <c r="E96" s="3798"/>
    </row>
    <row r="97" spans="2:5" ht="15.75" thickBot="1" x14ac:dyDescent="0.25">
      <c r="B97" s="3805" t="s">
        <v>2316</v>
      </c>
      <c r="C97" s="3806">
        <v>17</v>
      </c>
      <c r="D97" s="3817">
        <f>D81+D84+D94</f>
        <v>809245362</v>
      </c>
      <c r="E97" s="3807">
        <f>E81+E84+E94</f>
        <v>0</v>
      </c>
    </row>
    <row r="98" spans="2:5" ht="15" x14ac:dyDescent="0.2">
      <c r="B98" s="3808"/>
      <c r="C98" s="3855"/>
      <c r="D98" s="3809"/>
      <c r="E98" s="3809"/>
    </row>
    <row r="99" spans="2:5" ht="15" x14ac:dyDescent="0.3">
      <c r="B99" s="3856"/>
      <c r="C99" s="3820"/>
      <c r="D99" s="3821"/>
      <c r="E99" s="3822" t="s">
        <v>2220</v>
      </c>
    </row>
    <row r="100" spans="2:5" ht="15.75" thickBot="1" x14ac:dyDescent="0.35">
      <c r="B100" s="3819" t="s">
        <v>2221</v>
      </c>
      <c r="C100" s="3823" t="s">
        <v>2222</v>
      </c>
      <c r="D100" s="3824" t="s">
        <v>2223</v>
      </c>
      <c r="E100" s="3824" t="s">
        <v>2224</v>
      </c>
    </row>
    <row r="101" spans="2:5" ht="12.75" customHeight="1" x14ac:dyDescent="0.2">
      <c r="B101" s="4771" t="s">
        <v>2305</v>
      </c>
      <c r="C101" s="4773" t="s">
        <v>332</v>
      </c>
      <c r="D101" s="4782" t="s">
        <v>2317</v>
      </c>
      <c r="E101" s="4777" t="s">
        <v>2318</v>
      </c>
    </row>
    <row r="102" spans="2:5" ht="12.75" customHeight="1" x14ac:dyDescent="0.2">
      <c r="B102" s="4772"/>
      <c r="C102" s="4774"/>
      <c r="D102" s="4783"/>
      <c r="E102" s="4778"/>
    </row>
    <row r="103" spans="2:5" ht="21.75" customHeight="1" x14ac:dyDescent="0.2">
      <c r="B103" s="4766" t="s">
        <v>2319</v>
      </c>
      <c r="C103" s="4767"/>
      <c r="D103" s="4767"/>
      <c r="E103" s="4768"/>
    </row>
    <row r="104" spans="2:5" ht="15" x14ac:dyDescent="0.2">
      <c r="B104" s="3810" t="s">
        <v>2320</v>
      </c>
      <c r="C104" s="3857">
        <v>1</v>
      </c>
      <c r="D104" s="3811">
        <v>8</v>
      </c>
      <c r="E104" s="3812">
        <v>1223929</v>
      </c>
    </row>
    <row r="105" spans="2:5" ht="15" x14ac:dyDescent="0.2">
      <c r="B105" s="3793" t="s">
        <v>2321</v>
      </c>
      <c r="C105" s="3794">
        <v>2</v>
      </c>
      <c r="D105" s="3795">
        <f>SUM(D106:D108)</f>
        <v>3327</v>
      </c>
      <c r="E105" s="3796">
        <f>SUM(E106:E108)</f>
        <v>17280771618</v>
      </c>
    </row>
    <row r="106" spans="2:5" ht="15" x14ac:dyDescent="0.2">
      <c r="B106" s="3797" t="s">
        <v>2240</v>
      </c>
      <c r="C106" s="3854">
        <v>3</v>
      </c>
      <c r="D106" s="3799">
        <v>1774</v>
      </c>
      <c r="E106" s="3798">
        <v>17148278404</v>
      </c>
    </row>
    <row r="107" spans="2:5" ht="15" x14ac:dyDescent="0.2">
      <c r="B107" s="3797" t="s">
        <v>2322</v>
      </c>
      <c r="C107" s="3854">
        <v>4</v>
      </c>
      <c r="D107" s="3799">
        <v>1553</v>
      </c>
      <c r="E107" s="3798">
        <v>132493214</v>
      </c>
    </row>
    <row r="108" spans="2:5" ht="15" x14ac:dyDescent="0.2">
      <c r="B108" s="3797" t="s">
        <v>2323</v>
      </c>
      <c r="C108" s="3854">
        <v>5</v>
      </c>
      <c r="D108" s="3799"/>
      <c r="E108" s="3798"/>
    </row>
    <row r="109" spans="2:5" ht="15" x14ac:dyDescent="0.2">
      <c r="B109" s="3804" t="s">
        <v>2324</v>
      </c>
      <c r="C109" s="3794">
        <v>6</v>
      </c>
      <c r="D109" s="3795">
        <f>SUM(D110:D114)</f>
        <v>0</v>
      </c>
      <c r="E109" s="3796">
        <f>SUM(E110:E114)</f>
        <v>3624227</v>
      </c>
    </row>
    <row r="110" spans="2:5" ht="15" x14ac:dyDescent="0.2">
      <c r="B110" s="3797" t="s">
        <v>2325</v>
      </c>
      <c r="C110" s="3854">
        <v>7</v>
      </c>
      <c r="D110" s="3799"/>
      <c r="E110" s="3798">
        <v>3624227</v>
      </c>
    </row>
    <row r="111" spans="2:5" ht="15" x14ac:dyDescent="0.2">
      <c r="B111" s="3797" t="s">
        <v>2326</v>
      </c>
      <c r="C111" s="3854">
        <v>8</v>
      </c>
      <c r="D111" s="3799"/>
      <c r="E111" s="3798"/>
    </row>
    <row r="112" spans="2:5" ht="15" x14ac:dyDescent="0.2">
      <c r="B112" s="3797" t="s">
        <v>2327</v>
      </c>
      <c r="C112" s="3854">
        <v>9</v>
      </c>
      <c r="D112" s="3799"/>
      <c r="E112" s="3798"/>
    </row>
    <row r="113" spans="2:5" ht="15" x14ac:dyDescent="0.2">
      <c r="B113" s="3797" t="s">
        <v>2328</v>
      </c>
      <c r="C113" s="3854">
        <v>10</v>
      </c>
      <c r="D113" s="3799"/>
      <c r="E113" s="3798"/>
    </row>
    <row r="114" spans="2:5" ht="15" x14ac:dyDescent="0.2">
      <c r="B114" s="3797" t="s">
        <v>2329</v>
      </c>
      <c r="C114" s="3854">
        <v>11</v>
      </c>
      <c r="D114" s="3799"/>
      <c r="E114" s="3798"/>
    </row>
    <row r="115" spans="2:5" ht="15.75" thickBot="1" x14ac:dyDescent="0.25">
      <c r="B115" s="3805" t="s">
        <v>2330</v>
      </c>
      <c r="C115" s="3806">
        <v>12</v>
      </c>
      <c r="D115" s="3817">
        <f>SUM(D104:D105,D109)</f>
        <v>3335</v>
      </c>
      <c r="E115" s="3818">
        <f>SUM(E104:E105,E109)</f>
        <v>17285619774</v>
      </c>
    </row>
    <row r="116" spans="2:5" ht="15" x14ac:dyDescent="0.2">
      <c r="B116" s="3808"/>
      <c r="C116" s="3855"/>
      <c r="D116" s="3809"/>
      <c r="E116" s="3809"/>
    </row>
    <row r="117" spans="2:5" ht="15" x14ac:dyDescent="0.2">
      <c r="B117" s="3808"/>
      <c r="C117" s="3855"/>
      <c r="D117" s="3809"/>
      <c r="E117" s="3809"/>
    </row>
    <row r="118" spans="2:5" ht="15" x14ac:dyDescent="0.3">
      <c r="B118" s="3856"/>
      <c r="C118" s="3820"/>
      <c r="D118" s="3821"/>
      <c r="E118" s="3822" t="s">
        <v>2220</v>
      </c>
    </row>
    <row r="119" spans="2:5" ht="15.75" thickBot="1" x14ac:dyDescent="0.35">
      <c r="B119" s="3819" t="s">
        <v>2221</v>
      </c>
      <c r="C119" s="3823" t="s">
        <v>2222</v>
      </c>
      <c r="D119" s="3824" t="s">
        <v>2223</v>
      </c>
      <c r="E119" s="3824" t="s">
        <v>2224</v>
      </c>
    </row>
    <row r="120" spans="2:5" ht="12.75" customHeight="1" x14ac:dyDescent="0.2">
      <c r="B120" s="4771" t="s">
        <v>2305</v>
      </c>
      <c r="C120" s="4773" t="s">
        <v>332</v>
      </c>
      <c r="D120" s="4782" t="s">
        <v>2317</v>
      </c>
      <c r="E120" s="4777" t="s">
        <v>2318</v>
      </c>
    </row>
    <row r="121" spans="2:5" ht="12.75" customHeight="1" x14ac:dyDescent="0.2">
      <c r="B121" s="4772"/>
      <c r="C121" s="4774"/>
      <c r="D121" s="4783"/>
      <c r="E121" s="4778"/>
    </row>
    <row r="122" spans="2:5" ht="23.25" customHeight="1" x14ac:dyDescent="0.2">
      <c r="B122" s="4766" t="s">
        <v>2331</v>
      </c>
      <c r="C122" s="4767"/>
      <c r="D122" s="4767"/>
      <c r="E122" s="4768"/>
    </row>
    <row r="123" spans="2:5" ht="15" x14ac:dyDescent="0.2">
      <c r="B123" s="3793" t="s">
        <v>2332</v>
      </c>
      <c r="C123" s="3794">
        <v>1</v>
      </c>
      <c r="D123" s="3795">
        <f>SUM(D124:D127)</f>
        <v>0</v>
      </c>
      <c r="E123" s="3796">
        <f>SUM(E124:E127)</f>
        <v>0</v>
      </c>
    </row>
    <row r="124" spans="2:5" ht="15" x14ac:dyDescent="0.2">
      <c r="B124" s="3797" t="s">
        <v>2333</v>
      </c>
      <c r="C124" s="3854">
        <v>2</v>
      </c>
      <c r="D124" s="3799"/>
      <c r="E124" s="3798"/>
    </row>
    <row r="125" spans="2:5" ht="15" x14ac:dyDescent="0.2">
      <c r="B125" s="3797" t="s">
        <v>2334</v>
      </c>
      <c r="C125" s="3854">
        <v>3</v>
      </c>
      <c r="D125" s="3799"/>
      <c r="E125" s="3798"/>
    </row>
    <row r="126" spans="2:5" ht="15" x14ac:dyDescent="0.2">
      <c r="B126" s="3797" t="s">
        <v>2335</v>
      </c>
      <c r="C126" s="3854">
        <v>4</v>
      </c>
      <c r="D126" s="3799"/>
      <c r="E126" s="3798"/>
    </row>
    <row r="127" spans="2:5" ht="15" x14ac:dyDescent="0.2">
      <c r="B127" s="3797" t="s">
        <v>2336</v>
      </c>
      <c r="C127" s="3854">
        <v>5</v>
      </c>
      <c r="D127" s="3799"/>
      <c r="E127" s="3798"/>
    </row>
    <row r="128" spans="2:5" ht="15" x14ac:dyDescent="0.2">
      <c r="B128" s="3804" t="s">
        <v>2337</v>
      </c>
      <c r="C128" s="3794">
        <v>6</v>
      </c>
      <c r="D128" s="3795">
        <f>SUM(D129:D131)</f>
        <v>0</v>
      </c>
      <c r="E128" s="3796">
        <f>SUM(E129:E131)</f>
        <v>0</v>
      </c>
    </row>
    <row r="129" spans="2:5" ht="15" x14ac:dyDescent="0.2">
      <c r="B129" s="3797" t="s">
        <v>2338</v>
      </c>
      <c r="C129" s="3854">
        <v>7</v>
      </c>
      <c r="D129" s="3799"/>
      <c r="E129" s="3798"/>
    </row>
    <row r="130" spans="2:5" ht="15" x14ac:dyDescent="0.2">
      <c r="B130" s="3797" t="s">
        <v>2339</v>
      </c>
      <c r="C130" s="3854">
        <v>8</v>
      </c>
      <c r="D130" s="3799"/>
      <c r="E130" s="3798"/>
    </row>
    <row r="131" spans="2:5" ht="15" x14ac:dyDescent="0.2">
      <c r="B131" s="3797" t="s">
        <v>2340</v>
      </c>
      <c r="C131" s="3854">
        <v>9</v>
      </c>
      <c r="D131" s="3799"/>
      <c r="E131" s="3798"/>
    </row>
    <row r="132" spans="2:5" ht="15.75" thickBot="1" x14ac:dyDescent="0.25">
      <c r="B132" s="3805" t="s">
        <v>2341</v>
      </c>
      <c r="C132" s="3806">
        <v>10</v>
      </c>
      <c r="D132" s="3788">
        <f>SUM(D123:D123,D128)</f>
        <v>0</v>
      </c>
      <c r="E132" s="3807">
        <f>SUM(E123:E123,E128)</f>
        <v>0</v>
      </c>
    </row>
    <row r="133" spans="2:5" ht="15" x14ac:dyDescent="0.2">
      <c r="B133" s="3808"/>
      <c r="C133" s="3855"/>
      <c r="D133" s="3809"/>
      <c r="E133" s="3809"/>
    </row>
    <row r="134" spans="2:5" ht="15" x14ac:dyDescent="0.2">
      <c r="B134" s="3808"/>
      <c r="C134" s="3855"/>
      <c r="D134" s="3809"/>
      <c r="E134" s="3809"/>
    </row>
    <row r="135" spans="2:5" ht="15" x14ac:dyDescent="0.3">
      <c r="B135" s="3856"/>
      <c r="C135" s="3820"/>
      <c r="D135" s="3821"/>
      <c r="E135" s="3822" t="s">
        <v>2220</v>
      </c>
    </row>
    <row r="136" spans="2:5" ht="15.75" thickBot="1" x14ac:dyDescent="0.35">
      <c r="B136" s="3819" t="s">
        <v>2221</v>
      </c>
      <c r="C136" s="3823" t="s">
        <v>2222</v>
      </c>
      <c r="D136" s="3824" t="s">
        <v>2223</v>
      </c>
      <c r="E136" s="3824" t="s">
        <v>2224</v>
      </c>
    </row>
    <row r="137" spans="2:5" ht="12.75" customHeight="1" x14ac:dyDescent="0.2">
      <c r="B137" s="4771" t="s">
        <v>232</v>
      </c>
      <c r="C137" s="4773" t="s">
        <v>332</v>
      </c>
      <c r="D137" s="4782" t="s">
        <v>2317</v>
      </c>
      <c r="E137" s="4777" t="s">
        <v>2318</v>
      </c>
    </row>
    <row r="138" spans="2:5" ht="12.75" customHeight="1" x14ac:dyDescent="0.2">
      <c r="B138" s="4772" t="s">
        <v>2342</v>
      </c>
      <c r="C138" s="4774"/>
      <c r="D138" s="4783"/>
      <c r="E138" s="4778"/>
    </row>
    <row r="139" spans="2:5" ht="35.25" customHeight="1" x14ac:dyDescent="0.2">
      <c r="B139" s="4784" t="s">
        <v>2343</v>
      </c>
      <c r="C139" s="4785"/>
      <c r="D139" s="4785"/>
      <c r="E139" s="4786"/>
    </row>
    <row r="140" spans="2:5" ht="15" x14ac:dyDescent="0.2">
      <c r="B140" s="3797" t="s">
        <v>2344</v>
      </c>
      <c r="C140" s="3813">
        <v>1</v>
      </c>
      <c r="D140" s="3799"/>
      <c r="E140" s="3798">
        <v>0</v>
      </c>
    </row>
    <row r="141" spans="2:5" ht="15" x14ac:dyDescent="0.2">
      <c r="B141" s="3797" t="s">
        <v>2345</v>
      </c>
      <c r="C141" s="3813">
        <v>2</v>
      </c>
      <c r="D141" s="3799"/>
      <c r="E141" s="3798"/>
    </row>
    <row r="142" spans="2:5" ht="15" x14ac:dyDescent="0.2">
      <c r="B142" s="3814" t="s">
        <v>2346</v>
      </c>
      <c r="C142" s="3813">
        <v>3</v>
      </c>
      <c r="D142" s="3799"/>
      <c r="E142" s="3798"/>
    </row>
    <row r="143" spans="2:5" ht="15" x14ac:dyDescent="0.2">
      <c r="B143" s="3797" t="s">
        <v>2347</v>
      </c>
      <c r="C143" s="3813">
        <v>4</v>
      </c>
      <c r="D143" s="3799"/>
      <c r="E143" s="3798"/>
    </row>
    <row r="144" spans="2:5" ht="15" x14ac:dyDescent="0.2">
      <c r="B144" s="3797" t="s">
        <v>2348</v>
      </c>
      <c r="C144" s="3813">
        <v>5</v>
      </c>
      <c r="D144" s="3799"/>
      <c r="E144" s="3798"/>
    </row>
    <row r="145" spans="2:5" ht="15.75" thickBot="1" x14ac:dyDescent="0.25">
      <c r="B145" s="3815" t="s">
        <v>2349</v>
      </c>
      <c r="C145" s="3806">
        <v>6</v>
      </c>
      <c r="D145" s="3788">
        <f>SUM(D140:D144)</f>
        <v>0</v>
      </c>
      <c r="E145" s="3807">
        <f>SUM(E140:E143)</f>
        <v>0</v>
      </c>
    </row>
    <row r="146" spans="2:5" ht="15" x14ac:dyDescent="0.2">
      <c r="B146" s="3808"/>
      <c r="C146" s="3808"/>
      <c r="D146" s="3808"/>
      <c r="E146" s="3808"/>
    </row>
    <row r="147" spans="2:5" ht="15" x14ac:dyDescent="0.2">
      <c r="B147" s="3808"/>
      <c r="C147" s="3808"/>
      <c r="D147" s="3808"/>
      <c r="E147" s="3808"/>
    </row>
    <row r="148" spans="2:5" ht="15" x14ac:dyDescent="0.2">
      <c r="B148" s="3808"/>
      <c r="C148" s="3808"/>
      <c r="D148" s="3808"/>
      <c r="E148" s="3808"/>
    </row>
    <row r="149" spans="2:5" ht="15" x14ac:dyDescent="0.3">
      <c r="B149" s="3856"/>
      <c r="C149" s="3820"/>
      <c r="D149" s="3821"/>
      <c r="E149" s="3822" t="s">
        <v>2220</v>
      </c>
    </row>
    <row r="150" spans="2:5" ht="15.75" thickBot="1" x14ac:dyDescent="0.35">
      <c r="B150" s="3819" t="s">
        <v>2221</v>
      </c>
      <c r="C150" s="3823" t="s">
        <v>2222</v>
      </c>
      <c r="D150" s="3824" t="s">
        <v>2223</v>
      </c>
      <c r="E150" s="3824" t="s">
        <v>2224</v>
      </c>
    </row>
    <row r="151" spans="2:5" ht="12.75" customHeight="1" x14ac:dyDescent="0.2">
      <c r="B151" s="4771" t="s">
        <v>232</v>
      </c>
      <c r="C151" s="4773" t="s">
        <v>332</v>
      </c>
      <c r="D151" s="4782" t="s">
        <v>2317</v>
      </c>
      <c r="E151" s="4777" t="s">
        <v>2318</v>
      </c>
    </row>
    <row r="152" spans="2:5" ht="12.75" customHeight="1" x14ac:dyDescent="0.2">
      <c r="B152" s="4772" t="s">
        <v>2342</v>
      </c>
      <c r="C152" s="4774"/>
      <c r="D152" s="4783"/>
      <c r="E152" s="4778"/>
    </row>
    <row r="153" spans="2:5" ht="21" customHeight="1" x14ac:dyDescent="0.2">
      <c r="B153" s="4779" t="s">
        <v>2350</v>
      </c>
      <c r="C153" s="4780"/>
      <c r="D153" s="4780"/>
      <c r="E153" s="4781"/>
    </row>
    <row r="154" spans="2:5" ht="15" x14ac:dyDescent="0.2">
      <c r="B154" s="3810" t="s">
        <v>2351</v>
      </c>
      <c r="C154" s="3813">
        <v>1</v>
      </c>
      <c r="D154" s="3811">
        <f>SUM(D155:D156)</f>
        <v>0</v>
      </c>
      <c r="E154" s="3812">
        <f>SUM(E155:E156)</f>
        <v>0</v>
      </c>
    </row>
    <row r="155" spans="2:5" ht="15" x14ac:dyDescent="0.2">
      <c r="B155" s="3797" t="s">
        <v>2352</v>
      </c>
      <c r="C155" s="3816">
        <v>2</v>
      </c>
      <c r="D155" s="3799"/>
      <c r="E155" s="3798"/>
    </row>
    <row r="156" spans="2:5" ht="15" x14ac:dyDescent="0.2">
      <c r="B156" s="3797" t="s">
        <v>2353</v>
      </c>
      <c r="C156" s="3816">
        <v>3</v>
      </c>
      <c r="D156" s="3799"/>
      <c r="E156" s="3798"/>
    </row>
    <row r="157" spans="2:5" ht="15" x14ac:dyDescent="0.2">
      <c r="B157" s="3810" t="s">
        <v>2354</v>
      </c>
      <c r="C157" s="3813">
        <v>4</v>
      </c>
      <c r="D157" s="3811"/>
      <c r="E157" s="3812"/>
    </row>
    <row r="158" spans="2:5" ht="15" x14ac:dyDescent="0.2">
      <c r="B158" s="3810" t="s">
        <v>2355</v>
      </c>
      <c r="C158" s="3813">
        <v>5</v>
      </c>
      <c r="D158" s="3811">
        <f>SUM(D159:D163)</f>
        <v>0</v>
      </c>
      <c r="E158" s="3812">
        <f>SUM(E159:E163)</f>
        <v>0</v>
      </c>
    </row>
    <row r="159" spans="2:5" ht="15" x14ac:dyDescent="0.2">
      <c r="B159" s="3797" t="s">
        <v>2356</v>
      </c>
      <c r="C159" s="3816">
        <v>6</v>
      </c>
      <c r="D159" s="3799"/>
      <c r="E159" s="3798"/>
    </row>
    <row r="160" spans="2:5" ht="15" x14ac:dyDescent="0.2">
      <c r="B160" s="3797" t="s">
        <v>2357</v>
      </c>
      <c r="C160" s="3816">
        <v>7</v>
      </c>
      <c r="D160" s="3799"/>
      <c r="E160" s="3798"/>
    </row>
    <row r="161" spans="2:5" ht="15" x14ac:dyDescent="0.2">
      <c r="B161" s="3797" t="s">
        <v>2358</v>
      </c>
      <c r="C161" s="3816">
        <v>8</v>
      </c>
      <c r="D161" s="3799"/>
      <c r="E161" s="3798"/>
    </row>
    <row r="162" spans="2:5" ht="15" x14ac:dyDescent="0.2">
      <c r="B162" s="3797" t="s">
        <v>2359</v>
      </c>
      <c r="C162" s="3816">
        <v>9</v>
      </c>
      <c r="D162" s="3799"/>
      <c r="E162" s="3798"/>
    </row>
    <row r="163" spans="2:5" ht="15" x14ac:dyDescent="0.2">
      <c r="B163" s="3797" t="s">
        <v>2360</v>
      </c>
      <c r="C163" s="3816">
        <v>10</v>
      </c>
      <c r="D163" s="3799"/>
      <c r="E163" s="3798"/>
    </row>
    <row r="164" spans="2:5" ht="15.75" thickBot="1" x14ac:dyDescent="0.25">
      <c r="B164" s="3815" t="s">
        <v>2361</v>
      </c>
      <c r="C164" s="3806">
        <v>11</v>
      </c>
      <c r="D164" s="3817">
        <f>SUM(D154,D157:D158)</f>
        <v>0</v>
      </c>
      <c r="E164" s="3818">
        <f>SUM(E154,E157:E158)</f>
        <v>0</v>
      </c>
    </row>
  </sheetData>
  <mergeCells count="27">
    <mergeCell ref="B153:E153"/>
    <mergeCell ref="B120:B121"/>
    <mergeCell ref="C120:C121"/>
    <mergeCell ref="D120:D121"/>
    <mergeCell ref="E120:E121"/>
    <mergeCell ref="B122:E122"/>
    <mergeCell ref="B137:B138"/>
    <mergeCell ref="C137:C138"/>
    <mergeCell ref="D137:D138"/>
    <mergeCell ref="E137:E138"/>
    <mergeCell ref="B139:E139"/>
    <mergeCell ref="B151:B152"/>
    <mergeCell ref="C151:C152"/>
    <mergeCell ref="D151:D152"/>
    <mergeCell ref="E151:E152"/>
    <mergeCell ref="B103:E103"/>
    <mergeCell ref="A1:F1"/>
    <mergeCell ref="A2:F2"/>
    <mergeCell ref="B78:B79"/>
    <mergeCell ref="C78:C79"/>
    <mergeCell ref="D78:D79"/>
    <mergeCell ref="E78:E79"/>
    <mergeCell ref="B80:E80"/>
    <mergeCell ref="B101:B102"/>
    <mergeCell ref="C101:C102"/>
    <mergeCell ref="D101:D102"/>
    <mergeCell ref="E101:E102"/>
  </mergeCells>
  <pageMargins left="0.70866141732283472" right="0.70866141732283472" top="0.74803149606299213" bottom="0.74803149606299213" header="0.31496062992125984" footer="0.31496062992125984"/>
  <pageSetup paperSize="9" scale="70" firstPageNumber="135" orientation="portrait" useFirstPageNumber="1" r:id="rId1"/>
  <headerFooter>
    <oddHeader>&amp;R&amp;12 17. számú melléklet</oddHeader>
    <oddFooter>&amp;C- &amp;P -</oddFooter>
  </headerFooter>
  <rowBreaks count="2" manualBreakCount="2">
    <brk id="57" max="5" man="1"/>
    <brk id="116" max="5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Q62"/>
  <sheetViews>
    <sheetView view="pageBreakPreview" zoomScaleNormal="100" zoomScaleSheetLayoutView="100" zoomScalePageLayoutView="60" workbookViewId="0">
      <selection activeCell="X22" sqref="X22"/>
    </sheetView>
  </sheetViews>
  <sheetFormatPr defaultColWidth="9.33203125" defaultRowHeight="12.75" x14ac:dyDescent="0.2"/>
  <cols>
    <col min="1" max="1" width="6.5" style="114" customWidth="1"/>
    <col min="2" max="2" width="9.6640625" style="115" customWidth="1"/>
    <col min="3" max="3" width="63.5" style="115" customWidth="1"/>
    <col min="4" max="5" width="0" style="115" hidden="1" customWidth="1"/>
    <col min="6" max="6" width="13.5" style="115" customWidth="1"/>
    <col min="7" max="7" width="12.83203125" style="1390" hidden="1" customWidth="1"/>
    <col min="8" max="8" width="13.83203125" style="115" hidden="1" customWidth="1"/>
    <col min="9" max="9" width="14.1640625" style="1390" hidden="1" customWidth="1"/>
    <col min="10" max="10" width="14" style="115" hidden="1" customWidth="1"/>
    <col min="11" max="11" width="15" style="1390" hidden="1" customWidth="1"/>
    <col min="12" max="12" width="16" style="115" hidden="1" customWidth="1"/>
    <col min="13" max="13" width="15.1640625" style="590" hidden="1" customWidth="1"/>
    <col min="14" max="14" width="10.33203125" style="115" customWidth="1"/>
    <col min="15" max="15" width="12.33203125" style="115" customWidth="1"/>
    <col min="16" max="16" width="12.83203125" style="115" customWidth="1"/>
    <col min="17" max="17" width="12.33203125" style="115" customWidth="1"/>
    <col min="18" max="16384" width="9.33203125" style="115"/>
  </cols>
  <sheetData>
    <row r="1" spans="1:13" s="95" customFormat="1" ht="21" customHeight="1" thickBot="1" x14ac:dyDescent="0.25">
      <c r="A1" s="240"/>
      <c r="B1" s="241"/>
      <c r="C1" s="4494" t="s">
        <v>800</v>
      </c>
      <c r="D1" s="4494"/>
      <c r="E1" s="4494"/>
      <c r="F1" s="4494"/>
      <c r="G1" s="4494"/>
      <c r="H1" s="4494"/>
      <c r="I1" s="4494"/>
      <c r="J1" s="4494"/>
      <c r="K1" s="4494"/>
      <c r="L1" s="4494"/>
      <c r="M1" s="4494"/>
    </row>
    <row r="2" spans="1:13" s="120" customFormat="1" ht="30" customHeight="1" thickBot="1" x14ac:dyDescent="0.25">
      <c r="A2" s="4516" t="s">
        <v>411</v>
      </c>
      <c r="B2" s="4516"/>
      <c r="C2" s="117" t="s">
        <v>412</v>
      </c>
      <c r="D2" s="4444" t="s">
        <v>282</v>
      </c>
      <c r="E2" s="118"/>
      <c r="F2" s="4444" t="s">
        <v>1080</v>
      </c>
      <c r="G2" s="4422" t="s">
        <v>1035</v>
      </c>
      <c r="H2" s="4415" t="s">
        <v>234</v>
      </c>
      <c r="I2" s="4422" t="s">
        <v>1031</v>
      </c>
      <c r="J2" s="4415" t="s">
        <v>1028</v>
      </c>
      <c r="K2" s="4422" t="s">
        <v>1032</v>
      </c>
      <c r="L2" s="4415" t="s">
        <v>234</v>
      </c>
      <c r="M2" s="4440" t="s">
        <v>1069</v>
      </c>
    </row>
    <row r="3" spans="1:13" s="120" customFormat="1" ht="30" customHeight="1" thickBot="1" x14ac:dyDescent="0.25">
      <c r="A3" s="4506" t="s">
        <v>283</v>
      </c>
      <c r="B3" s="4506"/>
      <c r="C3" s="204" t="s">
        <v>456</v>
      </c>
      <c r="D3" s="4444"/>
      <c r="E3" s="121"/>
      <c r="F3" s="4444"/>
      <c r="G3" s="4433"/>
      <c r="H3" s="4416"/>
      <c r="I3" s="4423"/>
      <c r="J3" s="4432"/>
      <c r="K3" s="4423"/>
      <c r="L3" s="4416"/>
      <c r="M3" s="4441"/>
    </row>
    <row r="4" spans="1:13" s="123" customFormat="1" ht="15.95" customHeight="1" thickBot="1" x14ac:dyDescent="0.3">
      <c r="A4" s="1300"/>
      <c r="B4" s="1301"/>
      <c r="C4" s="243"/>
      <c r="D4" s="4518"/>
      <c r="E4" s="4518"/>
      <c r="F4" s="4518"/>
      <c r="G4" s="1511"/>
      <c r="H4" s="1538"/>
      <c r="I4" s="1538"/>
      <c r="J4" s="1538"/>
      <c r="K4" s="1538"/>
      <c r="L4" s="1538"/>
      <c r="M4" s="1302" t="s">
        <v>935</v>
      </c>
    </row>
    <row r="5" spans="1:13" ht="35.25" customHeight="1" thickBot="1" x14ac:dyDescent="0.25">
      <c r="A5" s="4431" t="s">
        <v>285</v>
      </c>
      <c r="B5" s="4431"/>
      <c r="C5" s="125" t="s">
        <v>286</v>
      </c>
      <c r="D5" s="126" t="s">
        <v>287</v>
      </c>
      <c r="E5" s="126" t="s">
        <v>288</v>
      </c>
      <c r="F5" s="126"/>
      <c r="G5" s="1371"/>
      <c r="H5" s="126"/>
      <c r="I5" s="1371"/>
      <c r="J5" s="126"/>
      <c r="K5" s="1371"/>
      <c r="L5" s="126"/>
      <c r="M5" s="577"/>
    </row>
    <row r="6" spans="1:13" s="129" customFormat="1" ht="15" customHeight="1" thickBot="1" x14ac:dyDescent="0.25">
      <c r="A6" s="124"/>
      <c r="B6" s="127"/>
      <c r="C6" s="127"/>
      <c r="D6" s="128"/>
      <c r="E6" s="128"/>
      <c r="F6" s="128"/>
      <c r="G6" s="1372"/>
      <c r="H6" s="128"/>
      <c r="I6" s="1372"/>
      <c r="J6" s="128"/>
      <c r="K6" s="1372"/>
      <c r="L6" s="128"/>
      <c r="M6" s="578"/>
    </row>
    <row r="7" spans="1:13" s="129" customFormat="1" ht="15" customHeight="1" thickBot="1" x14ac:dyDescent="0.25">
      <c r="A7" s="192"/>
      <c r="B7" s="160"/>
      <c r="C7" s="282" t="s">
        <v>230</v>
      </c>
      <c r="D7" s="162"/>
      <c r="E7" s="162"/>
      <c r="F7" s="162"/>
      <c r="G7" s="1373"/>
      <c r="H7" s="162"/>
      <c r="I7" s="1373"/>
      <c r="J7" s="162"/>
      <c r="K7" s="1373"/>
      <c r="L7" s="162"/>
      <c r="M7" s="579"/>
    </row>
    <row r="8" spans="1:13" s="141" customFormat="1" ht="15" customHeight="1" thickBot="1" x14ac:dyDescent="0.25">
      <c r="A8" s="134" t="s">
        <v>3</v>
      </c>
      <c r="B8" s="148"/>
      <c r="C8" s="247" t="s">
        <v>413</v>
      </c>
      <c r="D8" s="137">
        <f>SUM(D9:D18)</f>
        <v>0</v>
      </c>
      <c r="E8" s="137">
        <f>SUM(E9:E18)</f>
        <v>0</v>
      </c>
      <c r="F8" s="137">
        <f>SUM(F9:F18)</f>
        <v>0</v>
      </c>
      <c r="G8" s="1374"/>
      <c r="H8" s="137">
        <f>SUM(H9:H18)</f>
        <v>0</v>
      </c>
      <c r="I8" s="1374"/>
      <c r="J8" s="137">
        <f>SUM(J9:J18)</f>
        <v>0</v>
      </c>
      <c r="K8" s="1374"/>
      <c r="L8" s="137">
        <f>SUM(L9:L18)</f>
        <v>0</v>
      </c>
      <c r="M8" s="580">
        <f>SUM(M9:M18)</f>
        <v>0</v>
      </c>
    </row>
    <row r="9" spans="1:13" s="141" customFormat="1" ht="15" customHeight="1" x14ac:dyDescent="0.2">
      <c r="A9" s="149"/>
      <c r="B9" s="143" t="s">
        <v>152</v>
      </c>
      <c r="C9" s="249" t="s">
        <v>48</v>
      </c>
      <c r="D9" s="150"/>
      <c r="E9" s="150"/>
      <c r="F9" s="150"/>
      <c r="G9" s="1375"/>
      <c r="H9" s="150"/>
      <c r="I9" s="1375"/>
      <c r="J9" s="150"/>
      <c r="K9" s="1375"/>
      <c r="L9" s="150"/>
      <c r="M9" s="581"/>
    </row>
    <row r="10" spans="1:13" s="141" customFormat="1" ht="15" customHeight="1" x14ac:dyDescent="0.2">
      <c r="A10" s="142"/>
      <c r="B10" s="143" t="s">
        <v>154</v>
      </c>
      <c r="C10" s="55" t="s">
        <v>50</v>
      </c>
      <c r="D10" s="144"/>
      <c r="E10" s="144"/>
      <c r="F10" s="144"/>
      <c r="G10" s="1376"/>
      <c r="H10" s="144"/>
      <c r="I10" s="1376"/>
      <c r="J10" s="144"/>
      <c r="K10" s="1376"/>
      <c r="L10" s="144"/>
      <c r="M10" s="582"/>
    </row>
    <row r="11" spans="1:13" s="141" customFormat="1" ht="15" customHeight="1" x14ac:dyDescent="0.2">
      <c r="A11" s="142"/>
      <c r="B11" s="143" t="s">
        <v>156</v>
      </c>
      <c r="C11" s="55" t="s">
        <v>414</v>
      </c>
      <c r="D11" s="144"/>
      <c r="E11" s="144"/>
      <c r="F11" s="144"/>
      <c r="G11" s="1376"/>
      <c r="H11" s="144"/>
      <c r="I11" s="1376"/>
      <c r="J11" s="144"/>
      <c r="K11" s="1376"/>
      <c r="L11" s="144"/>
      <c r="M11" s="582"/>
    </row>
    <row r="12" spans="1:13" s="141" customFormat="1" ht="15" customHeight="1" x14ac:dyDescent="0.2">
      <c r="A12" s="142"/>
      <c r="B12" s="143" t="s">
        <v>158</v>
      </c>
      <c r="C12" s="55" t="s">
        <v>415</v>
      </c>
      <c r="D12" s="144"/>
      <c r="E12" s="144"/>
      <c r="F12" s="144"/>
      <c r="G12" s="1376"/>
      <c r="H12" s="144"/>
      <c r="I12" s="1376"/>
      <c r="J12" s="144"/>
      <c r="K12" s="1376"/>
      <c r="L12" s="144"/>
      <c r="M12" s="582"/>
    </row>
    <row r="13" spans="1:13" s="141" customFormat="1" ht="15" customHeight="1" x14ac:dyDescent="0.2">
      <c r="A13" s="142"/>
      <c r="B13" s="143" t="s">
        <v>375</v>
      </c>
      <c r="C13" s="250" t="s">
        <v>416</v>
      </c>
      <c r="D13" s="144"/>
      <c r="E13" s="144"/>
      <c r="F13" s="144"/>
      <c r="G13" s="1376"/>
      <c r="H13" s="144"/>
      <c r="I13" s="1376"/>
      <c r="J13" s="144"/>
      <c r="K13" s="1376"/>
      <c r="L13" s="144"/>
      <c r="M13" s="582"/>
    </row>
    <row r="14" spans="1:13" s="141" customFormat="1" ht="15" customHeight="1" x14ac:dyDescent="0.2">
      <c r="A14" s="146"/>
      <c r="B14" s="143" t="s">
        <v>162</v>
      </c>
      <c r="C14" s="55" t="s">
        <v>58</v>
      </c>
      <c r="D14" s="147"/>
      <c r="E14" s="147"/>
      <c r="F14" s="147"/>
      <c r="G14" s="1377"/>
      <c r="H14" s="147"/>
      <c r="I14" s="1377"/>
      <c r="J14" s="147"/>
      <c r="K14" s="1377"/>
      <c r="L14" s="147"/>
      <c r="M14" s="583"/>
    </row>
    <row r="15" spans="1:13" s="145" customFormat="1" ht="15" customHeight="1" x14ac:dyDescent="0.2">
      <c r="A15" s="142"/>
      <c r="B15" s="143" t="s">
        <v>164</v>
      </c>
      <c r="C15" s="55" t="s">
        <v>60</v>
      </c>
      <c r="D15" s="144"/>
      <c r="E15" s="144"/>
      <c r="F15" s="144"/>
      <c r="G15" s="1376"/>
      <c r="H15" s="144"/>
      <c r="I15" s="1376"/>
      <c r="J15" s="144"/>
      <c r="K15" s="1376"/>
      <c r="L15" s="144"/>
      <c r="M15" s="582"/>
    </row>
    <row r="16" spans="1:13" s="145" customFormat="1" ht="15" customHeight="1" x14ac:dyDescent="0.2">
      <c r="A16" s="151"/>
      <c r="B16" s="152" t="s">
        <v>166</v>
      </c>
      <c r="C16" s="55" t="s">
        <v>417</v>
      </c>
      <c r="D16" s="153"/>
      <c r="E16" s="153"/>
      <c r="F16" s="153"/>
      <c r="G16" s="1378"/>
      <c r="H16" s="153"/>
      <c r="I16" s="1378"/>
      <c r="J16" s="153"/>
      <c r="K16" s="1378"/>
      <c r="L16" s="153"/>
      <c r="M16" s="584"/>
    </row>
    <row r="17" spans="1:13" s="145" customFormat="1" ht="15" customHeight="1" x14ac:dyDescent="0.2">
      <c r="A17" s="151"/>
      <c r="B17" s="152" t="s">
        <v>168</v>
      </c>
      <c r="C17" s="55" t="s">
        <v>64</v>
      </c>
      <c r="D17" s="153"/>
      <c r="E17" s="153"/>
      <c r="F17" s="153"/>
      <c r="G17" s="1378"/>
      <c r="H17" s="153"/>
      <c r="I17" s="1378"/>
      <c r="J17" s="153"/>
      <c r="K17" s="1378"/>
      <c r="L17" s="153"/>
      <c r="M17" s="584"/>
    </row>
    <row r="18" spans="1:13" s="145" customFormat="1" ht="15" customHeight="1" thickBot="1" x14ac:dyDescent="0.25">
      <c r="A18" s="151"/>
      <c r="B18" s="152" t="s">
        <v>170</v>
      </c>
      <c r="C18" s="250" t="s">
        <v>418</v>
      </c>
      <c r="D18" s="153"/>
      <c r="E18" s="153"/>
      <c r="F18" s="153"/>
      <c r="G18" s="1378"/>
      <c r="H18" s="153"/>
      <c r="I18" s="1378"/>
      <c r="J18" s="153"/>
      <c r="K18" s="1378"/>
      <c r="L18" s="153"/>
      <c r="M18" s="584"/>
    </row>
    <row r="19" spans="1:13" s="141" customFormat="1" ht="30.75" customHeight="1" thickBot="1" x14ac:dyDescent="0.25">
      <c r="A19" s="134" t="s">
        <v>17</v>
      </c>
      <c r="B19" s="148"/>
      <c r="C19" s="247" t="s">
        <v>419</v>
      </c>
      <c r="D19" s="137">
        <f>SUM(D20:D25)</f>
        <v>0</v>
      </c>
      <c r="E19" s="137">
        <f>SUM(E20:E25)</f>
        <v>1561</v>
      </c>
      <c r="F19" s="137">
        <f>SUM(F20:F25)</f>
        <v>0</v>
      </c>
      <c r="G19" s="1374"/>
      <c r="H19" s="137">
        <f>SUM(H20:H25)</f>
        <v>0</v>
      </c>
      <c r="I19" s="1374"/>
      <c r="J19" s="137">
        <f>SUM(J20:J25)</f>
        <v>0</v>
      </c>
      <c r="K19" s="1374"/>
      <c r="L19" s="137">
        <f>SUM(L20:L25)</f>
        <v>0</v>
      </c>
      <c r="M19" s="580">
        <f>SUM(M20:M25)</f>
        <v>0</v>
      </c>
    </row>
    <row r="20" spans="1:13" s="145" customFormat="1" ht="30" customHeight="1" x14ac:dyDescent="0.2">
      <c r="A20" s="142"/>
      <c r="B20" s="143" t="s">
        <v>5</v>
      </c>
      <c r="C20" s="251" t="s">
        <v>420</v>
      </c>
      <c r="D20" s="144"/>
      <c r="E20" s="144">
        <v>1561</v>
      </c>
      <c r="F20" s="144"/>
      <c r="G20" s="1376"/>
      <c r="H20" s="144"/>
      <c r="I20" s="1376"/>
      <c r="J20" s="144"/>
      <c r="K20" s="1376"/>
      <c r="L20" s="144"/>
      <c r="M20" s="582"/>
    </row>
    <row r="21" spans="1:13" s="145" customFormat="1" ht="15" customHeight="1" x14ac:dyDescent="0.2">
      <c r="A21" s="142"/>
      <c r="B21" s="143" t="s">
        <v>421</v>
      </c>
      <c r="C21" s="55" t="s">
        <v>422</v>
      </c>
      <c r="D21" s="144"/>
      <c r="E21" s="144"/>
      <c r="F21" s="144"/>
      <c r="G21" s="1376"/>
      <c r="H21" s="144"/>
      <c r="I21" s="1376"/>
      <c r="J21" s="144"/>
      <c r="K21" s="1376"/>
      <c r="L21" s="144"/>
      <c r="M21" s="582"/>
    </row>
    <row r="22" spans="1:13" s="145" customFormat="1" ht="29.25" customHeight="1" x14ac:dyDescent="0.2">
      <c r="A22" s="142"/>
      <c r="B22" s="143" t="s">
        <v>360</v>
      </c>
      <c r="C22" s="55" t="s">
        <v>423</v>
      </c>
      <c r="D22" s="144"/>
      <c r="E22" s="144"/>
      <c r="F22" s="144"/>
      <c r="G22" s="1376"/>
      <c r="H22" s="144"/>
      <c r="I22" s="1376"/>
      <c r="J22" s="144"/>
      <c r="K22" s="1376"/>
      <c r="L22" s="144"/>
      <c r="M22" s="582"/>
    </row>
    <row r="23" spans="1:13" s="145" customFormat="1" ht="15" customHeight="1" x14ac:dyDescent="0.2">
      <c r="A23" s="142"/>
      <c r="B23" s="143" t="s">
        <v>357</v>
      </c>
      <c r="C23" s="55" t="s">
        <v>424</v>
      </c>
      <c r="D23" s="144"/>
      <c r="E23" s="144"/>
      <c r="F23" s="144"/>
      <c r="G23" s="1376"/>
      <c r="H23" s="144"/>
      <c r="I23" s="1376"/>
      <c r="J23" s="144"/>
      <c r="K23" s="1376"/>
      <c r="L23" s="144"/>
      <c r="M23" s="582"/>
    </row>
    <row r="24" spans="1:13" s="145" customFormat="1" ht="15" customHeight="1" x14ac:dyDescent="0.2">
      <c r="A24" s="142"/>
      <c r="B24" s="143" t="s">
        <v>7</v>
      </c>
      <c r="C24" s="55" t="s">
        <v>6</v>
      </c>
      <c r="D24" s="144"/>
      <c r="E24" s="144"/>
      <c r="F24" s="144"/>
      <c r="G24" s="1376"/>
      <c r="H24" s="144"/>
      <c r="I24" s="1376"/>
      <c r="J24" s="144"/>
      <c r="K24" s="1376"/>
      <c r="L24" s="144"/>
      <c r="M24" s="582"/>
    </row>
    <row r="25" spans="1:13" s="145" customFormat="1" ht="15" customHeight="1" thickBot="1" x14ac:dyDescent="0.25">
      <c r="A25" s="142"/>
      <c r="B25" s="143" t="s">
        <v>9</v>
      </c>
      <c r="C25" s="55" t="s">
        <v>425</v>
      </c>
      <c r="D25" s="144"/>
      <c r="E25" s="144"/>
      <c r="F25" s="144"/>
      <c r="G25" s="1376"/>
      <c r="H25" s="144"/>
      <c r="I25" s="1376"/>
      <c r="J25" s="144"/>
      <c r="K25" s="1376"/>
      <c r="L25" s="144"/>
      <c r="M25" s="582"/>
    </row>
    <row r="26" spans="1:13" s="145" customFormat="1" ht="15" customHeight="1" thickBot="1" x14ac:dyDescent="0.25">
      <c r="A26" s="134" t="s">
        <v>31</v>
      </c>
      <c r="B26" s="170"/>
      <c r="C26" s="247" t="s">
        <v>426</v>
      </c>
      <c r="D26" s="147"/>
      <c r="E26" s="147"/>
      <c r="F26" s="155"/>
      <c r="G26" s="1380"/>
      <c r="H26" s="155"/>
      <c r="I26" s="1380"/>
      <c r="J26" s="155"/>
      <c r="K26" s="1380"/>
      <c r="L26" s="155"/>
      <c r="M26" s="155"/>
    </row>
    <row r="27" spans="1:13" s="145" customFormat="1" ht="15" customHeight="1" thickBot="1" x14ac:dyDescent="0.25">
      <c r="A27" s="142"/>
      <c r="B27" s="143" t="s">
        <v>19</v>
      </c>
      <c r="C27" s="55" t="s">
        <v>427</v>
      </c>
      <c r="D27" s="147"/>
      <c r="E27" s="147"/>
      <c r="F27" s="147"/>
      <c r="G27" s="1377"/>
      <c r="H27" s="147"/>
      <c r="I27" s="1377"/>
      <c r="J27" s="147"/>
      <c r="K27" s="1377"/>
      <c r="L27" s="147"/>
      <c r="M27" s="583"/>
    </row>
    <row r="28" spans="1:13" s="145" customFormat="1" ht="15" customHeight="1" thickBot="1" x14ac:dyDescent="0.25">
      <c r="A28" s="134" t="s">
        <v>45</v>
      </c>
      <c r="B28" s="148"/>
      <c r="C28" s="170" t="s">
        <v>428</v>
      </c>
      <c r="D28" s="155"/>
      <c r="E28" s="155"/>
      <c r="F28" s="155"/>
      <c r="G28" s="1380"/>
      <c r="H28" s="155"/>
      <c r="I28" s="1380"/>
      <c r="J28" s="155"/>
      <c r="K28" s="1380"/>
      <c r="L28" s="155"/>
      <c r="M28" s="585"/>
    </row>
    <row r="29" spans="1:13" s="145" customFormat="1" ht="15" customHeight="1" x14ac:dyDescent="0.2">
      <c r="A29" s="142"/>
      <c r="B29" s="253" t="s">
        <v>33</v>
      </c>
      <c r="C29" s="55" t="s">
        <v>359</v>
      </c>
      <c r="D29" s="283"/>
      <c r="E29" s="669"/>
      <c r="F29" s="273"/>
      <c r="G29" s="1394"/>
      <c r="H29" s="283"/>
      <c r="I29" s="1394"/>
      <c r="J29" s="283"/>
      <c r="K29" s="1394"/>
      <c r="L29" s="283"/>
      <c r="M29" s="586"/>
    </row>
    <row r="30" spans="1:13" s="145" customFormat="1" ht="15" customHeight="1" x14ac:dyDescent="0.2">
      <c r="A30" s="142"/>
      <c r="B30" s="253" t="s">
        <v>39</v>
      </c>
      <c r="C30" s="55" t="s">
        <v>72</v>
      </c>
      <c r="D30" s="283"/>
      <c r="E30" s="283"/>
      <c r="F30" s="283"/>
      <c r="G30" s="1394"/>
      <c r="H30" s="283"/>
      <c r="I30" s="1394"/>
      <c r="J30" s="283"/>
      <c r="K30" s="1394"/>
      <c r="L30" s="283"/>
      <c r="M30" s="586"/>
    </row>
    <row r="31" spans="1:13" s="145" customFormat="1" ht="15" customHeight="1" thickBot="1" x14ac:dyDescent="0.25">
      <c r="A31" s="142"/>
      <c r="B31" s="253" t="s">
        <v>41</v>
      </c>
      <c r="C31" s="55" t="s">
        <v>74</v>
      </c>
      <c r="D31" s="144">
        <v>0</v>
      </c>
      <c r="E31" s="144"/>
      <c r="F31" s="144"/>
      <c r="G31" s="1376"/>
      <c r="H31" s="144"/>
      <c r="I31" s="1376"/>
      <c r="J31" s="144"/>
      <c r="K31" s="1376"/>
      <c r="L31" s="144"/>
      <c r="M31" s="582"/>
    </row>
    <row r="32" spans="1:13" s="145" customFormat="1" ht="30.75" customHeight="1" thickBot="1" x14ac:dyDescent="0.25">
      <c r="A32" s="134">
        <v>5</v>
      </c>
      <c r="B32" s="254"/>
      <c r="C32" s="170" t="s">
        <v>429</v>
      </c>
      <c r="D32" s="144"/>
      <c r="E32" s="670"/>
      <c r="F32" s="252"/>
      <c r="G32" s="1436"/>
      <c r="H32" s="252"/>
      <c r="I32" s="1436"/>
      <c r="J32" s="252"/>
      <c r="K32" s="1436"/>
      <c r="L32" s="252"/>
      <c r="M32" s="252"/>
    </row>
    <row r="33" spans="1:17" s="145" customFormat="1" ht="31.5" customHeight="1" thickBot="1" x14ac:dyDescent="0.25">
      <c r="A33" s="134"/>
      <c r="B33" s="255" t="s">
        <v>47</v>
      </c>
      <c r="C33" s="251" t="s">
        <v>430</v>
      </c>
      <c r="D33" s="144"/>
      <c r="E33" s="144"/>
      <c r="F33" s="153"/>
      <c r="G33" s="1378"/>
      <c r="H33" s="144"/>
      <c r="I33" s="1378"/>
      <c r="J33" s="144"/>
      <c r="K33" s="1378"/>
      <c r="L33" s="144"/>
      <c r="M33" s="582"/>
    </row>
    <row r="34" spans="1:17" s="141" customFormat="1" ht="15" customHeight="1" thickBot="1" x14ac:dyDescent="0.3">
      <c r="A34" s="134" t="s">
        <v>79</v>
      </c>
      <c r="B34" s="256"/>
      <c r="C34" s="247" t="s">
        <v>431</v>
      </c>
      <c r="D34" s="144"/>
      <c r="E34" s="144"/>
      <c r="F34" s="252"/>
      <c r="G34" s="1436"/>
      <c r="H34" s="252"/>
      <c r="I34" s="1436"/>
      <c r="J34" s="252"/>
      <c r="K34" s="1436"/>
      <c r="L34" s="252"/>
      <c r="M34" s="252"/>
    </row>
    <row r="35" spans="1:17" s="141" customFormat="1" ht="30" customHeight="1" thickBot="1" x14ac:dyDescent="0.25">
      <c r="A35" s="134"/>
      <c r="B35" s="257" t="s">
        <v>69</v>
      </c>
      <c r="C35" s="55" t="s">
        <v>432</v>
      </c>
      <c r="D35" s="284"/>
      <c r="E35" s="284"/>
      <c r="F35" s="284"/>
      <c r="G35" s="1519"/>
      <c r="H35" s="284"/>
      <c r="I35" s="1519"/>
      <c r="J35" s="284"/>
      <c r="K35" s="1519"/>
      <c r="L35" s="284"/>
      <c r="M35" s="587"/>
    </row>
    <row r="36" spans="1:17" s="141" customFormat="1" ht="25.5" customHeight="1" thickBot="1" x14ac:dyDescent="0.3">
      <c r="A36" s="134" t="s">
        <v>89</v>
      </c>
      <c r="B36" s="256"/>
      <c r="C36" s="170" t="s">
        <v>433</v>
      </c>
      <c r="D36" s="285">
        <f>+D37+D38</f>
        <v>0</v>
      </c>
      <c r="E36" s="285">
        <f>+E37+E38</f>
        <v>0</v>
      </c>
      <c r="F36" s="285">
        <f>+F37+F38+F39</f>
        <v>0</v>
      </c>
      <c r="G36" s="1382">
        <f>SUM(H36-F36)</f>
        <v>0</v>
      </c>
      <c r="H36" s="285">
        <f>+H37+H38+H39</f>
        <v>0</v>
      </c>
      <c r="I36" s="1382">
        <f>SUM(J36-H36)</f>
        <v>0</v>
      </c>
      <c r="J36" s="285">
        <f>+J37+J38+J39</f>
        <v>0</v>
      </c>
      <c r="K36" s="1382">
        <f>SUM(L36-J36)</f>
        <v>0</v>
      </c>
      <c r="L36" s="285">
        <f>+L37+L38+L39</f>
        <v>0</v>
      </c>
      <c r="M36" s="285">
        <f>+M37+M38+M39</f>
        <v>0</v>
      </c>
    </row>
    <row r="37" spans="1:17" s="141" customFormat="1" ht="15" customHeight="1" x14ac:dyDescent="0.2">
      <c r="A37" s="149"/>
      <c r="B37" s="253" t="s">
        <v>81</v>
      </c>
      <c r="C37" s="55" t="s">
        <v>434</v>
      </c>
      <c r="D37" s="144"/>
      <c r="E37" s="144"/>
      <c r="F37" s="144"/>
      <c r="G37" s="1376"/>
      <c r="H37" s="144"/>
      <c r="I37" s="1376"/>
      <c r="J37" s="144"/>
      <c r="K37" s="1376"/>
      <c r="L37" s="144"/>
      <c r="M37" s="582"/>
    </row>
    <row r="38" spans="1:17" s="141" customFormat="1" ht="15" customHeight="1" x14ac:dyDescent="0.2">
      <c r="A38" s="142"/>
      <c r="B38" s="253" t="s">
        <v>83</v>
      </c>
      <c r="C38" s="55" t="s">
        <v>435</v>
      </c>
      <c r="D38" s="144"/>
      <c r="E38" s="144"/>
      <c r="F38" s="144"/>
      <c r="G38" s="1376"/>
      <c r="H38" s="144"/>
      <c r="I38" s="1376"/>
      <c r="J38" s="144"/>
      <c r="K38" s="1376"/>
      <c r="L38" s="144"/>
      <c r="M38" s="582"/>
    </row>
    <row r="39" spans="1:17" s="145" customFormat="1" ht="30" x14ac:dyDescent="0.2">
      <c r="A39" s="671"/>
      <c r="B39" s="253" t="s">
        <v>85</v>
      </c>
      <c r="C39" s="55" t="s">
        <v>505</v>
      </c>
      <c r="D39" s="144">
        <v>54655</v>
      </c>
      <c r="E39" s="144">
        <v>54655</v>
      </c>
      <c r="F39" s="144">
        <f>SUM(F40:F41)</f>
        <v>0</v>
      </c>
      <c r="G39" s="1376">
        <f>SUM(H39-F39)</f>
        <v>0</v>
      </c>
      <c r="H39" s="144">
        <f>SUM(H40:H41)</f>
        <v>0</v>
      </c>
      <c r="I39" s="1376">
        <f>SUM(J39-H39)</f>
        <v>0</v>
      </c>
      <c r="J39" s="144">
        <f>SUM(J40:J41)</f>
        <v>0</v>
      </c>
      <c r="K39" s="1376">
        <f>SUM(L39-J39)</f>
        <v>0</v>
      </c>
      <c r="L39" s="144">
        <f>SUM(L40:L41)</f>
        <v>0</v>
      </c>
      <c r="M39" s="144">
        <f>SUM(M40:M41)</f>
        <v>0</v>
      </c>
    </row>
    <row r="40" spans="1:17" s="145" customFormat="1" ht="15.75" thickBot="1" x14ac:dyDescent="0.25">
      <c r="A40" s="671"/>
      <c r="B40" s="253" t="s">
        <v>437</v>
      </c>
      <c r="C40" s="261" t="s">
        <v>438</v>
      </c>
      <c r="D40" s="147"/>
      <c r="E40" s="147"/>
      <c r="F40" s="1306"/>
      <c r="G40" s="1492">
        <f>SUM(H40-F40)</f>
        <v>0</v>
      </c>
      <c r="H40" s="1306"/>
      <c r="I40" s="1492">
        <f>SUM(J40-H40)</f>
        <v>0</v>
      </c>
      <c r="J40" s="1306"/>
      <c r="K40" s="1492">
        <f>SUM(L40-J40)</f>
        <v>0</v>
      </c>
      <c r="L40" s="1306"/>
      <c r="M40" s="1308"/>
    </row>
    <row r="41" spans="1:17" s="145" customFormat="1" ht="15.75" thickBot="1" x14ac:dyDescent="0.25">
      <c r="A41" s="672"/>
      <c r="B41" s="257" t="s">
        <v>799</v>
      </c>
      <c r="C41" s="264" t="s">
        <v>440</v>
      </c>
      <c r="D41" s="155"/>
      <c r="E41" s="155"/>
      <c r="F41" s="1306"/>
      <c r="G41" s="1492">
        <f>SUM(H41-F41)</f>
        <v>0</v>
      </c>
      <c r="H41" s="1306"/>
      <c r="I41" s="1492">
        <f>SUM(J41-H41)</f>
        <v>0</v>
      </c>
      <c r="J41" s="1306"/>
      <c r="K41" s="1492">
        <f>SUM(L41-J41)</f>
        <v>0</v>
      </c>
      <c r="L41" s="1306"/>
      <c r="M41" s="1308"/>
    </row>
    <row r="42" spans="1:17" s="145" customFormat="1" ht="16.5" thickBot="1" x14ac:dyDescent="0.25">
      <c r="A42" s="192" t="s">
        <v>99</v>
      </c>
      <c r="B42" s="160"/>
      <c r="C42" s="274" t="s">
        <v>441</v>
      </c>
      <c r="D42" s="162">
        <f>SUM(D8,D19,D28,D31,D34,D36,D39)</f>
        <v>54655</v>
      </c>
      <c r="E42" s="162">
        <f>SUM(E8,E19,E28,E31,E34,E36,E39)</f>
        <v>56216</v>
      </c>
      <c r="F42" s="162">
        <f>SUM(F8,F19,F28,F31,F34,F36,)</f>
        <v>0</v>
      </c>
      <c r="G42" s="1373">
        <f>SUM(H42-F42)</f>
        <v>0</v>
      </c>
      <c r="H42" s="162">
        <f>SUM(H8,H19,H28,H31,H34,H36,)</f>
        <v>0</v>
      </c>
      <c r="I42" s="1373">
        <f>SUM(J42-H42)</f>
        <v>0</v>
      </c>
      <c r="J42" s="162">
        <f>SUM(J8,J19,J28,J31,J34,J36,)</f>
        <v>0</v>
      </c>
      <c r="K42" s="1373">
        <f>SUM(L42-J42)</f>
        <v>0</v>
      </c>
      <c r="L42" s="162">
        <f>SUM(L8,L19,L28,L31,L34,L36,)</f>
        <v>0</v>
      </c>
      <c r="M42" s="162">
        <f>SUM(M8,M19,M28,M31,M34,M36,)</f>
        <v>0</v>
      </c>
      <c r="O42" s="205">
        <f>SUM(F59-F42)</f>
        <v>0</v>
      </c>
      <c r="P42" s="205">
        <f>SUM(H59-H42)</f>
        <v>0</v>
      </c>
      <c r="Q42" s="205">
        <f>SUM(M59-M42)</f>
        <v>0</v>
      </c>
    </row>
    <row r="43" spans="1:17" s="145" customFormat="1" ht="15" customHeight="1" x14ac:dyDescent="0.2">
      <c r="A43" s="880"/>
      <c r="B43" s="163"/>
      <c r="C43" s="164"/>
      <c r="D43" s="287"/>
      <c r="E43" s="287"/>
      <c r="F43" s="1539"/>
      <c r="G43" s="1539"/>
      <c r="H43" s="1539"/>
      <c r="I43" s="1539"/>
      <c r="J43" s="1539"/>
      <c r="K43" s="1539"/>
      <c r="L43" s="1539"/>
      <c r="M43" s="2132"/>
    </row>
    <row r="44" spans="1:17" ht="15" customHeight="1" thickBot="1" x14ac:dyDescent="0.25">
      <c r="A44" s="2135"/>
      <c r="B44" s="2136"/>
      <c r="C44" s="288"/>
      <c r="D44" s="289"/>
      <c r="E44" s="289"/>
      <c r="F44" s="1540"/>
      <c r="G44" s="1540"/>
      <c r="H44" s="1540"/>
      <c r="I44" s="1540"/>
      <c r="J44" s="1540"/>
      <c r="K44" s="1540"/>
      <c r="L44" s="1540"/>
      <c r="M44" s="2133"/>
    </row>
    <row r="45" spans="1:17" s="129" customFormat="1" ht="15" customHeight="1" thickBot="1" x14ac:dyDescent="0.25">
      <c r="A45" s="192"/>
      <c r="B45" s="160"/>
      <c r="C45" s="282" t="s">
        <v>231</v>
      </c>
      <c r="D45" s="162"/>
      <c r="E45" s="162"/>
      <c r="F45" s="162"/>
      <c r="G45" s="1373"/>
      <c r="H45" s="162"/>
      <c r="I45" s="1373"/>
      <c r="J45" s="162"/>
      <c r="K45" s="1373"/>
      <c r="L45" s="162"/>
      <c r="M45" s="579"/>
    </row>
    <row r="46" spans="1:17" s="172" customFormat="1" ht="15" customHeight="1" thickBot="1" x14ac:dyDescent="0.25">
      <c r="A46" s="134" t="s">
        <v>3</v>
      </c>
      <c r="B46" s="170"/>
      <c r="C46" s="171" t="s">
        <v>442</v>
      </c>
      <c r="D46" s="137">
        <f>SUM(D47:D51)</f>
        <v>54655</v>
      </c>
      <c r="E46" s="137">
        <f>SUM(E47:E51)</f>
        <v>56216</v>
      </c>
      <c r="F46" s="137">
        <f>SUM(F47:F51)</f>
        <v>0</v>
      </c>
      <c r="G46" s="1382">
        <f>SUM(H46-F46)</f>
        <v>0</v>
      </c>
      <c r="H46" s="137">
        <f>SUM(H47:H51)</f>
        <v>0</v>
      </c>
      <c r="I46" s="1382">
        <f>SUM(J46-H46)</f>
        <v>0</v>
      </c>
      <c r="J46" s="137">
        <f>SUM(J47:J51)</f>
        <v>0</v>
      </c>
      <c r="K46" s="1382">
        <f>SUM(L46-J46)</f>
        <v>0</v>
      </c>
      <c r="L46" s="137">
        <f>SUM(L47:L51)</f>
        <v>0</v>
      </c>
      <c r="M46" s="580">
        <f>SUM(M47:M51)</f>
        <v>0</v>
      </c>
    </row>
    <row r="47" spans="1:17" ht="15" customHeight="1" x14ac:dyDescent="0.2">
      <c r="A47" s="173"/>
      <c r="B47" s="174" t="s">
        <v>152</v>
      </c>
      <c r="C47" s="251" t="s">
        <v>153</v>
      </c>
      <c r="D47" s="175">
        <v>42530</v>
      </c>
      <c r="E47" s="175">
        <v>43760</v>
      </c>
      <c r="F47" s="175"/>
      <c r="G47" s="1376">
        <f>SUM(H47-F47)</f>
        <v>0</v>
      </c>
      <c r="H47" s="175"/>
      <c r="I47" s="1376">
        <f>SUM(J47-H47)</f>
        <v>0</v>
      </c>
      <c r="J47" s="175"/>
      <c r="K47" s="1376">
        <f>SUM(L47-J47)</f>
        <v>0</v>
      </c>
      <c r="L47" s="175"/>
      <c r="M47" s="589"/>
    </row>
    <row r="48" spans="1:17" ht="15" customHeight="1" x14ac:dyDescent="0.2">
      <c r="A48" s="142"/>
      <c r="B48" s="176" t="s">
        <v>154</v>
      </c>
      <c r="C48" s="55" t="s">
        <v>155</v>
      </c>
      <c r="D48" s="144">
        <v>11704</v>
      </c>
      <c r="E48" s="144">
        <v>12036</v>
      </c>
      <c r="F48" s="144"/>
      <c r="G48" s="1376">
        <f>SUM(H48-F48)</f>
        <v>0</v>
      </c>
      <c r="H48" s="144"/>
      <c r="I48" s="1376">
        <f>SUM(J48-H48)</f>
        <v>0</v>
      </c>
      <c r="J48" s="144"/>
      <c r="K48" s="1376">
        <f>SUM(L48-J48)</f>
        <v>0</v>
      </c>
      <c r="L48" s="144"/>
      <c r="M48" s="582"/>
    </row>
    <row r="49" spans="1:13" ht="15" customHeight="1" x14ac:dyDescent="0.2">
      <c r="A49" s="142"/>
      <c r="B49" s="176" t="s">
        <v>156</v>
      </c>
      <c r="C49" s="55" t="s">
        <v>157</v>
      </c>
      <c r="D49" s="144">
        <v>421</v>
      </c>
      <c r="E49" s="144">
        <v>420</v>
      </c>
      <c r="F49" s="144"/>
      <c r="G49" s="1376"/>
      <c r="H49" s="144"/>
      <c r="I49" s="1376"/>
      <c r="J49" s="144"/>
      <c r="K49" s="1376"/>
      <c r="L49" s="144"/>
      <c r="M49" s="582"/>
    </row>
    <row r="50" spans="1:13" ht="15" customHeight="1" x14ac:dyDescent="0.2">
      <c r="A50" s="142"/>
      <c r="B50" s="176" t="s">
        <v>158</v>
      </c>
      <c r="C50" s="55" t="s">
        <v>159</v>
      </c>
      <c r="D50" s="144"/>
      <c r="E50" s="144"/>
      <c r="F50" s="144"/>
      <c r="G50" s="1376"/>
      <c r="H50" s="144"/>
      <c r="I50" s="1376"/>
      <c r="J50" s="144"/>
      <c r="K50" s="1376"/>
      <c r="L50" s="144"/>
      <c r="M50" s="582"/>
    </row>
    <row r="51" spans="1:13" ht="15" customHeight="1" thickBot="1" x14ac:dyDescent="0.25">
      <c r="A51" s="142"/>
      <c r="B51" s="176" t="s">
        <v>160</v>
      </c>
      <c r="C51" s="55" t="s">
        <v>161</v>
      </c>
      <c r="D51" s="144"/>
      <c r="E51" s="144"/>
      <c r="F51" s="144"/>
      <c r="G51" s="1376"/>
      <c r="H51" s="144"/>
      <c r="I51" s="1376"/>
      <c r="J51" s="144"/>
      <c r="K51" s="1376"/>
      <c r="L51" s="144"/>
      <c r="M51" s="582"/>
    </row>
    <row r="52" spans="1:13" ht="15" customHeight="1" thickBot="1" x14ac:dyDescent="0.25">
      <c r="A52" s="134" t="s">
        <v>17</v>
      </c>
      <c r="B52" s="170"/>
      <c r="C52" s="171" t="s">
        <v>443</v>
      </c>
      <c r="D52" s="137">
        <f>SUM(D53:D56)</f>
        <v>0</v>
      </c>
      <c r="E52" s="137">
        <f>SUM(E53:E56)</f>
        <v>0</v>
      </c>
      <c r="F52" s="137">
        <f>SUM(F53:F56)</f>
        <v>0</v>
      </c>
      <c r="G52" s="1374"/>
      <c r="H52" s="137">
        <f>SUM(H53:H56)</f>
        <v>0</v>
      </c>
      <c r="I52" s="1374"/>
      <c r="J52" s="137">
        <f>SUM(J53:J56)</f>
        <v>0</v>
      </c>
      <c r="K52" s="1374"/>
      <c r="L52" s="137">
        <f>SUM(L53:L56)</f>
        <v>0</v>
      </c>
      <c r="M52" s="580">
        <f>SUM(M53:M56)</f>
        <v>0</v>
      </c>
    </row>
    <row r="53" spans="1:13" s="172" customFormat="1" ht="15" customHeight="1" x14ac:dyDescent="0.2">
      <c r="A53" s="173"/>
      <c r="B53" s="267" t="s">
        <v>5</v>
      </c>
      <c r="C53" s="251" t="s">
        <v>183</v>
      </c>
      <c r="D53" s="175"/>
      <c r="E53" s="175"/>
      <c r="F53" s="175"/>
      <c r="G53" s="1386"/>
      <c r="H53" s="175"/>
      <c r="I53" s="1386"/>
      <c r="J53" s="175"/>
      <c r="K53" s="1386"/>
      <c r="L53" s="175"/>
      <c r="M53" s="589"/>
    </row>
    <row r="54" spans="1:13" ht="15" customHeight="1" x14ac:dyDescent="0.2">
      <c r="A54" s="142"/>
      <c r="B54" s="253" t="s">
        <v>7</v>
      </c>
      <c r="C54" s="55" t="s">
        <v>185</v>
      </c>
      <c r="D54" s="144"/>
      <c r="E54" s="144"/>
      <c r="F54" s="144"/>
      <c r="G54" s="1376"/>
      <c r="H54" s="144"/>
      <c r="I54" s="1376"/>
      <c r="J54" s="144"/>
      <c r="K54" s="1376"/>
      <c r="L54" s="144"/>
      <c r="M54" s="582"/>
    </row>
    <row r="55" spans="1:13" ht="16.5" customHeight="1" thickBot="1" x14ac:dyDescent="0.25">
      <c r="A55" s="142"/>
      <c r="B55" s="253" t="s">
        <v>9</v>
      </c>
      <c r="C55" s="55" t="s">
        <v>444</v>
      </c>
      <c r="D55" s="144"/>
      <c r="E55" s="144"/>
      <c r="F55" s="144"/>
      <c r="G55" s="1376"/>
      <c r="H55" s="144"/>
      <c r="I55" s="1376"/>
      <c r="J55" s="144"/>
      <c r="K55" s="1376"/>
      <c r="L55" s="144"/>
      <c r="M55" s="582"/>
    </row>
    <row r="56" spans="1:13" ht="12.75" hidden="1" customHeight="1" x14ac:dyDescent="0.2">
      <c r="A56" s="142"/>
      <c r="B56" s="176"/>
      <c r="C56" s="55"/>
      <c r="D56" s="144"/>
      <c r="E56" s="144"/>
      <c r="F56" s="144"/>
      <c r="G56" s="1376"/>
      <c r="H56" s="144"/>
      <c r="I56" s="1376"/>
      <c r="J56" s="144"/>
      <c r="K56" s="1376"/>
      <c r="L56" s="144"/>
      <c r="M56" s="582"/>
    </row>
    <row r="57" spans="1:13" ht="15" customHeight="1" thickBot="1" x14ac:dyDescent="0.25">
      <c r="A57" s="134" t="s">
        <v>31</v>
      </c>
      <c r="B57" s="170"/>
      <c r="C57" s="171" t="s">
        <v>445</v>
      </c>
      <c r="D57" s="155"/>
      <c r="E57" s="155"/>
      <c r="F57" s="155"/>
      <c r="G57" s="1380"/>
      <c r="H57" s="155"/>
      <c r="I57" s="1380"/>
      <c r="J57" s="155"/>
      <c r="K57" s="1380"/>
      <c r="L57" s="155"/>
      <c r="M57" s="585"/>
    </row>
    <row r="58" spans="1:13" s="145" customFormat="1" ht="12.75" hidden="1" customHeight="1" x14ac:dyDescent="0.2">
      <c r="A58" s="134"/>
      <c r="B58" s="170"/>
      <c r="C58" s="171"/>
      <c r="D58" s="155"/>
      <c r="E58" s="155"/>
      <c r="F58" s="155"/>
      <c r="G58" s="1380"/>
      <c r="H58" s="155"/>
      <c r="I58" s="1380"/>
      <c r="J58" s="155"/>
      <c r="K58" s="1380"/>
      <c r="L58" s="155"/>
      <c r="M58" s="585"/>
    </row>
    <row r="59" spans="1:13" ht="15" customHeight="1" thickBot="1" x14ac:dyDescent="0.25">
      <c r="A59" s="192" t="s">
        <v>45</v>
      </c>
      <c r="B59" s="160"/>
      <c r="C59" s="274" t="s">
        <v>446</v>
      </c>
      <c r="D59" s="162">
        <f>+D46+D52+D57</f>
        <v>54655</v>
      </c>
      <c r="E59" s="162">
        <f>+E46+E52+E57</f>
        <v>56216</v>
      </c>
      <c r="F59" s="162">
        <f>+F46+F52+F57</f>
        <v>0</v>
      </c>
      <c r="G59" s="1373">
        <f>SUM(H59-F59)</f>
        <v>0</v>
      </c>
      <c r="H59" s="162">
        <f>+H46+H52+H57</f>
        <v>0</v>
      </c>
      <c r="I59" s="1373">
        <f>SUM(J59-H59)</f>
        <v>0</v>
      </c>
      <c r="J59" s="162">
        <f>+J46+J52+J57</f>
        <v>0</v>
      </c>
      <c r="K59" s="1373">
        <f>SUM(L59-J59)</f>
        <v>0</v>
      </c>
      <c r="L59" s="162">
        <f>+L46+L52+L57</f>
        <v>0</v>
      </c>
      <c r="M59" s="579">
        <f>+M46+M52+M57</f>
        <v>0</v>
      </c>
    </row>
    <row r="60" spans="1:13" ht="15" customHeight="1" thickBot="1" x14ac:dyDescent="0.25">
      <c r="A60" s="884"/>
      <c r="B60" s="885"/>
      <c r="C60" s="196"/>
      <c r="D60" s="196"/>
      <c r="E60" s="196"/>
      <c r="F60" s="1541"/>
      <c r="G60" s="1541"/>
      <c r="H60" s="1541"/>
      <c r="I60" s="1541"/>
      <c r="J60" s="1541"/>
      <c r="K60" s="1541"/>
      <c r="L60" s="1541"/>
      <c r="M60" s="2134"/>
    </row>
    <row r="61" spans="1:13" ht="15" customHeight="1" thickBot="1" x14ac:dyDescent="0.25">
      <c r="A61" s="276" t="s">
        <v>324</v>
      </c>
      <c r="B61" s="290"/>
      <c r="C61" s="291"/>
      <c r="D61" s="292">
        <v>29.25</v>
      </c>
      <c r="E61" s="292">
        <v>29.25</v>
      </c>
      <c r="F61" s="292"/>
      <c r="G61" s="1536"/>
      <c r="H61" s="292"/>
      <c r="I61" s="1536"/>
      <c r="J61" s="292"/>
      <c r="K61" s="1536"/>
      <c r="L61" s="292"/>
      <c r="M61" s="292"/>
    </row>
    <row r="62" spans="1:13" ht="15" customHeight="1" thickBot="1" x14ac:dyDescent="0.25">
      <c r="A62" s="276" t="s">
        <v>325</v>
      </c>
      <c r="B62" s="290"/>
      <c r="C62" s="291"/>
      <c r="D62" s="293"/>
      <c r="E62" s="293"/>
      <c r="F62" s="293"/>
      <c r="G62" s="1537"/>
      <c r="H62" s="293"/>
      <c r="I62" s="1537"/>
      <c r="J62" s="293"/>
      <c r="K62" s="1537"/>
      <c r="L62" s="293"/>
      <c r="M62" s="293"/>
    </row>
  </sheetData>
  <mergeCells count="14">
    <mergeCell ref="K2:K3"/>
    <mergeCell ref="L2:L3"/>
    <mergeCell ref="D4:F4"/>
    <mergeCell ref="A5:B5"/>
    <mergeCell ref="C1:M1"/>
    <mergeCell ref="A2:B2"/>
    <mergeCell ref="D2:D3"/>
    <mergeCell ref="F2:F3"/>
    <mergeCell ref="H2:H3"/>
    <mergeCell ref="M2:M3"/>
    <mergeCell ref="A3:B3"/>
    <mergeCell ref="G2:G3"/>
    <mergeCell ref="I2:I3"/>
    <mergeCell ref="J2:J3"/>
  </mergeCells>
  <printOptions horizontalCentered="1"/>
  <pageMargins left="0.31496062992125984" right="0.19685039370078741" top="0.31496062992125984" bottom="0.39370078740157483" header="0.51181102362204722" footer="0.15748031496062992"/>
  <pageSetup paperSize="9" scale="65" firstPageNumber="0" orientation="portrait" r:id="rId1"/>
  <headerFooter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100</vt:i4>
      </vt:variant>
      <vt:variant>
        <vt:lpstr>Névvel ellátott tartományok</vt:lpstr>
      </vt:variant>
      <vt:variant>
        <vt:i4>241</vt:i4>
      </vt:variant>
    </vt:vector>
  </HeadingPairs>
  <TitlesOfParts>
    <vt:vector size="341" baseType="lpstr">
      <vt:lpstr>1.sz.mell.</vt:lpstr>
      <vt:lpstr>1.1.sz.mell  </vt:lpstr>
      <vt:lpstr>1.2.sz.mell  </vt:lpstr>
      <vt:lpstr>1.3. sz. mell</vt:lpstr>
      <vt:lpstr>1.4. sz. mell</vt:lpstr>
      <vt:lpstr>1.5. sz. mell</vt:lpstr>
      <vt:lpstr>1.6.sz. mell</vt:lpstr>
      <vt:lpstr>2. sz. mell</vt:lpstr>
      <vt:lpstr>2.a sz. mell</vt:lpstr>
      <vt:lpstr>2.b sz. mell</vt:lpstr>
      <vt:lpstr>2.c sz. mell </vt:lpstr>
      <vt:lpstr>3. sz. mell</vt:lpstr>
      <vt:lpstr>3. a. sz. mell</vt:lpstr>
      <vt:lpstr>3.b. sz. mell</vt:lpstr>
      <vt:lpstr>3.c. sz. mell </vt:lpstr>
      <vt:lpstr>3.1. Cofog</vt:lpstr>
      <vt:lpstr>3.2 Cofogos</vt:lpstr>
      <vt:lpstr>4. sz. mell.</vt:lpstr>
      <vt:lpstr>4.a. sz. mell.</vt:lpstr>
      <vt:lpstr>4. b.sz. mell.</vt:lpstr>
      <vt:lpstr>4.c. sz. mell.</vt:lpstr>
      <vt:lpstr>4.1 sz. mell</vt:lpstr>
      <vt:lpstr>4.2.sz. mell. </vt:lpstr>
      <vt:lpstr>4.3 sz. mell.</vt:lpstr>
      <vt:lpstr>4.4.sz. mell.</vt:lpstr>
      <vt:lpstr>5. sz. mell. </vt:lpstr>
      <vt:lpstr>5.a sz. mell. </vt:lpstr>
      <vt:lpstr>5.b. sz. mell.</vt:lpstr>
      <vt:lpstr>5.c sz. mell.</vt:lpstr>
      <vt:lpstr>5.1. sz. mell. </vt:lpstr>
      <vt:lpstr>5.1.a. sz. mell.</vt:lpstr>
      <vt:lpstr>5.1.b. sz. mell.</vt:lpstr>
      <vt:lpstr>5.1.c. sz. mell.</vt:lpstr>
      <vt:lpstr>5.1.d.sz.mell</vt:lpstr>
      <vt:lpstr>5.2. sz. mell.  </vt:lpstr>
      <vt:lpstr>5.2.a. sz. mell.</vt:lpstr>
      <vt:lpstr>5.2.b. sz. mell</vt:lpstr>
      <vt:lpstr>5.2.c. sz. mell.</vt:lpstr>
      <vt:lpstr>5.2.d.sz.mell.</vt:lpstr>
      <vt:lpstr>5.3 sz. mell</vt:lpstr>
      <vt:lpstr>5.3.a. sz. mell</vt:lpstr>
      <vt:lpstr>5.3 b. sz. mell</vt:lpstr>
      <vt:lpstr>5.3.c. sz. mell</vt:lpstr>
      <vt:lpstr>5.3.d.sz.mell</vt:lpstr>
      <vt:lpstr>5.4. sz mell</vt:lpstr>
      <vt:lpstr>5.4.a. sz mell</vt:lpstr>
      <vt:lpstr>5.4.b. sz mell</vt:lpstr>
      <vt:lpstr>5.4.c. sz mell</vt:lpstr>
      <vt:lpstr>5.4.d.sz.mell</vt:lpstr>
      <vt:lpstr>5.5. sz. mell.  </vt:lpstr>
      <vt:lpstr>5.5.a. sz. mell.</vt:lpstr>
      <vt:lpstr>5.5.b.sz. mell</vt:lpstr>
      <vt:lpstr>5.5.c. sz. mell</vt:lpstr>
      <vt:lpstr>5.5.d.sz.mell</vt:lpstr>
      <vt:lpstr>5.6. sz. mell</vt:lpstr>
      <vt:lpstr>5.6.a. sz. mell</vt:lpstr>
      <vt:lpstr>5.6.b. sz.</vt:lpstr>
      <vt:lpstr>5.6.c. sz. mell</vt:lpstr>
      <vt:lpstr>5.6.d sz. mell.</vt:lpstr>
      <vt:lpstr>5.7. sz. mell.</vt:lpstr>
      <vt:lpstr>5.7.a. sz. mell.</vt:lpstr>
      <vt:lpstr>5.7.b. sz. mell.</vt:lpstr>
      <vt:lpstr>5.7.c. sz. mell. </vt:lpstr>
      <vt:lpstr>5.7.d.sz.mell</vt:lpstr>
      <vt:lpstr>5.8. sz. mell.</vt:lpstr>
      <vt:lpstr>5.8.a. sz. mell.</vt:lpstr>
      <vt:lpstr>5.8.b. sz. mell.</vt:lpstr>
      <vt:lpstr>5.8.c. sz. mell.</vt:lpstr>
      <vt:lpstr>5.8.d.sz.mell</vt:lpstr>
      <vt:lpstr>5.9. sz. mell.</vt:lpstr>
      <vt:lpstr>5.9.a. sz. mell</vt:lpstr>
      <vt:lpstr>5.9.b. sz. mell.</vt:lpstr>
      <vt:lpstr>5.9.c. sz. mell.</vt:lpstr>
      <vt:lpstr>5.9.d.sz.mell.</vt:lpstr>
      <vt:lpstr>5.10 sz. mell </vt:lpstr>
      <vt:lpstr>5.10.a.sz. mell</vt:lpstr>
      <vt:lpstr>5.10.b. sz. mell</vt:lpstr>
      <vt:lpstr>5.10.c.sz. mell</vt:lpstr>
      <vt:lpstr>5.10.1. sz. mell.</vt:lpstr>
      <vt:lpstr>6.1.sz.mell. </vt:lpstr>
      <vt:lpstr>6.2.sz.mell.</vt:lpstr>
      <vt:lpstr>7.1. sz mell.</vt:lpstr>
      <vt:lpstr>7.2.. sz mell.</vt:lpstr>
      <vt:lpstr>8.1. sz. mell</vt:lpstr>
      <vt:lpstr>8.2. sz. mell.</vt:lpstr>
      <vt:lpstr>8.3. sz. mell.</vt:lpstr>
      <vt:lpstr>9.sz. mell.</vt:lpstr>
      <vt:lpstr>10. sz. mell.</vt:lpstr>
      <vt:lpstr>11.sz. mell</vt:lpstr>
      <vt:lpstr>12.sz. mell</vt:lpstr>
      <vt:lpstr>13.sz. mell</vt:lpstr>
      <vt:lpstr>14.sz. mell</vt:lpstr>
      <vt:lpstr>14.1sz. mell</vt:lpstr>
      <vt:lpstr>15. sz. mell.</vt:lpstr>
      <vt:lpstr>15.1. sz. mell.</vt:lpstr>
      <vt:lpstr>15.2. sz. mell.</vt:lpstr>
      <vt:lpstr>16. sz. mell</vt:lpstr>
      <vt:lpstr>17.sz. mell</vt:lpstr>
      <vt:lpstr>.......</vt:lpstr>
      <vt:lpstr>............</vt:lpstr>
      <vt:lpstr>'1.1.sz.mell  '!Nyomtatási_cím</vt:lpstr>
      <vt:lpstr>'15.1. sz. mell.'!Nyomtatási_cím</vt:lpstr>
      <vt:lpstr>'15.2. sz. mell.'!Nyomtatási_cím</vt:lpstr>
      <vt:lpstr>'16. sz. mell'!Nyomtatási_cím</vt:lpstr>
      <vt:lpstr>'17.sz. mell'!Nyomtatási_cím</vt:lpstr>
      <vt:lpstr>'2. sz. mell'!Nyomtatási_cím</vt:lpstr>
      <vt:lpstr>'2.a sz. mell'!Nyomtatási_cím</vt:lpstr>
      <vt:lpstr>'2.b sz. mell'!Nyomtatási_cím</vt:lpstr>
      <vt:lpstr>'2.c sz. mell '!Nyomtatási_cím</vt:lpstr>
      <vt:lpstr>'3. a. sz. mell'!Nyomtatási_cím</vt:lpstr>
      <vt:lpstr>'3.2 Cofogos'!Nyomtatási_cím</vt:lpstr>
      <vt:lpstr>'3.b. sz. mell'!Nyomtatási_cím</vt:lpstr>
      <vt:lpstr>'3.c. sz. mell '!Nyomtatási_cím</vt:lpstr>
      <vt:lpstr>'4. b.sz. mell.'!Nyomtatási_cím</vt:lpstr>
      <vt:lpstr>'4. sz. mell.'!Nyomtatási_cím</vt:lpstr>
      <vt:lpstr>'4.a. sz. mell.'!Nyomtatási_cím</vt:lpstr>
      <vt:lpstr>'5. sz. mell. '!Nyomtatási_cím</vt:lpstr>
      <vt:lpstr>'5.10.1. sz. mell.'!Nyomtatási_cím</vt:lpstr>
      <vt:lpstr>'5.a sz. mell. '!Nyomtatási_cím</vt:lpstr>
      <vt:lpstr>'5.b. sz. mell.'!Nyomtatási_cím</vt:lpstr>
      <vt:lpstr>'5.c sz. mell.'!Nyomtatási_cím</vt:lpstr>
      <vt:lpstr>'6.1.sz.mell. '!Nyomtatási_cím</vt:lpstr>
      <vt:lpstr>'6.2.sz.mell.'!Nyomtatási_cím</vt:lpstr>
      <vt:lpstr>'7.1. sz mell.'!Nyomtatási_cím</vt:lpstr>
      <vt:lpstr>'7.2.. sz mell.'!Nyomtatási_cím</vt:lpstr>
      <vt:lpstr>'9.sz. mell.'!Nyomtatási_cím</vt:lpstr>
      <vt:lpstr>'.......'!Nyomtatási_terület</vt:lpstr>
      <vt:lpstr>'............'!Nyomtatási_terület</vt:lpstr>
      <vt:lpstr>'1.1.sz.mell  '!Nyomtatási_terület</vt:lpstr>
      <vt:lpstr>'1.2.sz.mell  '!Nyomtatási_terület</vt:lpstr>
      <vt:lpstr>'1.3. sz. mell'!Nyomtatási_terület</vt:lpstr>
      <vt:lpstr>'1.4. sz. mell'!Nyomtatási_terület</vt:lpstr>
      <vt:lpstr>'1.5. sz. mell'!Nyomtatási_terület</vt:lpstr>
      <vt:lpstr>'1.6.sz. mell'!Nyomtatási_terület</vt:lpstr>
      <vt:lpstr>'1.sz.mell.'!Nyomtatási_terület</vt:lpstr>
      <vt:lpstr>'11.sz. mell'!Nyomtatási_terület</vt:lpstr>
      <vt:lpstr>'13.sz. mell'!Nyomtatási_terület</vt:lpstr>
      <vt:lpstr>'15. sz. mell.'!Nyomtatási_terület</vt:lpstr>
      <vt:lpstr>'15.1. sz. mell.'!Nyomtatási_terület</vt:lpstr>
      <vt:lpstr>'15.2. sz. mell.'!Nyomtatási_terület</vt:lpstr>
      <vt:lpstr>'16. sz. mell'!Nyomtatási_terület</vt:lpstr>
      <vt:lpstr>'17.sz. mell'!Nyomtatási_terület</vt:lpstr>
      <vt:lpstr>'2. sz. mell'!Nyomtatási_terület</vt:lpstr>
      <vt:lpstr>'2.a sz. mell'!Nyomtatási_terület</vt:lpstr>
      <vt:lpstr>'2.b sz. mell'!Nyomtatási_terület</vt:lpstr>
      <vt:lpstr>'2.c sz. mell '!Nyomtatási_terület</vt:lpstr>
      <vt:lpstr>'3. a. sz. mell'!Nyomtatási_terület</vt:lpstr>
      <vt:lpstr>'3. sz. mell'!Nyomtatási_terület</vt:lpstr>
      <vt:lpstr>'3.1. Cofog'!Nyomtatási_terület</vt:lpstr>
      <vt:lpstr>'3.2 Cofogos'!Nyomtatási_terület</vt:lpstr>
      <vt:lpstr>'3.b. sz. mell'!Nyomtatási_terület</vt:lpstr>
      <vt:lpstr>'3.c. sz. mell '!Nyomtatási_terület</vt:lpstr>
      <vt:lpstr>'4. b.sz. mell.'!Nyomtatási_terület</vt:lpstr>
      <vt:lpstr>'4. sz. mell.'!Nyomtatási_terület</vt:lpstr>
      <vt:lpstr>'4.1 sz. mell'!Nyomtatási_terület</vt:lpstr>
      <vt:lpstr>'4.2.sz. mell. '!Nyomtatási_terület</vt:lpstr>
      <vt:lpstr>'4.3 sz. mell.'!Nyomtatási_terület</vt:lpstr>
      <vt:lpstr>'4.4.sz. mell.'!Nyomtatási_terület</vt:lpstr>
      <vt:lpstr>'4.a. sz. mell.'!Nyomtatási_terület</vt:lpstr>
      <vt:lpstr>'4.c. sz. mell.'!Nyomtatási_terület</vt:lpstr>
      <vt:lpstr>'5. sz. mell. '!Nyomtatási_terület</vt:lpstr>
      <vt:lpstr>'5.1. sz. mell. '!Nyomtatási_terület</vt:lpstr>
      <vt:lpstr>'5.1.a. sz. mell.'!Nyomtatási_terület</vt:lpstr>
      <vt:lpstr>'5.1.d.sz.mell'!Nyomtatási_terület</vt:lpstr>
      <vt:lpstr>'5.10 sz. mell '!Nyomtatási_terület</vt:lpstr>
      <vt:lpstr>'5.10.1. sz. mell.'!Nyomtatási_terület</vt:lpstr>
      <vt:lpstr>'5.10.a.sz. mell'!Nyomtatási_terület</vt:lpstr>
      <vt:lpstr>'5.10.b. sz. mell'!Nyomtatási_terület</vt:lpstr>
      <vt:lpstr>'5.10.c.sz. mell'!Nyomtatási_terület</vt:lpstr>
      <vt:lpstr>'5.2. sz. mell.  '!Nyomtatási_terület</vt:lpstr>
      <vt:lpstr>'5.2.a. sz. mell.'!Nyomtatási_terület</vt:lpstr>
      <vt:lpstr>'5.2.d.sz.mell.'!Nyomtatási_terület</vt:lpstr>
      <vt:lpstr>'5.3 sz. mell'!Nyomtatási_terület</vt:lpstr>
      <vt:lpstr>'5.3.a. sz. mell'!Nyomtatási_terület</vt:lpstr>
      <vt:lpstr>'5.3.d.sz.mell'!Nyomtatási_terület</vt:lpstr>
      <vt:lpstr>'5.4. sz mell'!Nyomtatási_terület</vt:lpstr>
      <vt:lpstr>'5.4.a. sz mell'!Nyomtatási_terület</vt:lpstr>
      <vt:lpstr>'5.4.d.sz.mell'!Nyomtatási_terület</vt:lpstr>
      <vt:lpstr>'5.5. sz. mell.  '!Nyomtatási_terület</vt:lpstr>
      <vt:lpstr>'5.5.a. sz. mell.'!Nyomtatási_terület</vt:lpstr>
      <vt:lpstr>'5.5.b.sz. mell'!Nyomtatási_terület</vt:lpstr>
      <vt:lpstr>'5.5.c. sz. mell'!Nyomtatási_terület</vt:lpstr>
      <vt:lpstr>'5.5.d.sz.mell'!Nyomtatási_terület</vt:lpstr>
      <vt:lpstr>'5.6. sz. mell'!Nyomtatási_terület</vt:lpstr>
      <vt:lpstr>'5.6.a. sz. mell'!Nyomtatási_terület</vt:lpstr>
      <vt:lpstr>'5.6.b. sz.'!Nyomtatási_terület</vt:lpstr>
      <vt:lpstr>'5.6.c. sz. mell'!Nyomtatási_terület</vt:lpstr>
      <vt:lpstr>'5.6.d sz. mell.'!Nyomtatási_terület</vt:lpstr>
      <vt:lpstr>'5.7. sz. mell.'!Nyomtatási_terület</vt:lpstr>
      <vt:lpstr>'5.7.a. sz. mell.'!Nyomtatási_terület</vt:lpstr>
      <vt:lpstr>'5.7.b. sz. mell.'!Nyomtatási_terület</vt:lpstr>
      <vt:lpstr>'5.7.c. sz. mell. '!Nyomtatási_terület</vt:lpstr>
      <vt:lpstr>'5.7.d.sz.mell'!Nyomtatási_terület</vt:lpstr>
      <vt:lpstr>'5.8. sz. mell.'!Nyomtatási_terület</vt:lpstr>
      <vt:lpstr>'5.8.a. sz. mell.'!Nyomtatási_terület</vt:lpstr>
      <vt:lpstr>'5.8.d.sz.mell'!Nyomtatási_terület</vt:lpstr>
      <vt:lpstr>'5.9. sz. mell.'!Nyomtatási_terület</vt:lpstr>
      <vt:lpstr>'5.9.a. sz. mell'!Nyomtatási_terület</vt:lpstr>
      <vt:lpstr>'5.9.b. sz. mell.'!Nyomtatási_terület</vt:lpstr>
      <vt:lpstr>'5.9.d.sz.mell.'!Nyomtatási_terület</vt:lpstr>
      <vt:lpstr>'5.a sz. mell. '!Nyomtatási_terület</vt:lpstr>
      <vt:lpstr>'5.b. sz. mell.'!Nyomtatási_terület</vt:lpstr>
      <vt:lpstr>'6.1.sz.mell. '!Nyomtatási_terület</vt:lpstr>
      <vt:lpstr>'6.2.sz.mell.'!Nyomtatási_terület</vt:lpstr>
      <vt:lpstr>'7.1. sz mell.'!Nyomtatási_terület</vt:lpstr>
      <vt:lpstr>Print_Area_1</vt:lpstr>
      <vt:lpstr>Print_Area_10</vt:lpstr>
      <vt:lpstr>Print_Area_11</vt:lpstr>
      <vt:lpstr>Print_Area_14</vt:lpstr>
      <vt:lpstr>Print_Area_15</vt:lpstr>
      <vt:lpstr>Print_Area_16</vt:lpstr>
      <vt:lpstr>Print_Area_17</vt:lpstr>
      <vt:lpstr>Print_Area_18</vt:lpstr>
      <vt:lpstr>Print_Area_2</vt:lpstr>
      <vt:lpstr>Print_Area_20</vt:lpstr>
      <vt:lpstr>Print_Area_21</vt:lpstr>
      <vt:lpstr>Print_Area_22</vt:lpstr>
      <vt:lpstr>'.......'!Print_Area_23</vt:lpstr>
      <vt:lpstr>Print_Area_24</vt:lpstr>
      <vt:lpstr>Print_Area_25</vt:lpstr>
      <vt:lpstr>Print_Area_26</vt:lpstr>
      <vt:lpstr>Print_Area_27</vt:lpstr>
      <vt:lpstr>Print_Area_28</vt:lpstr>
      <vt:lpstr>Print_Area_29</vt:lpstr>
      <vt:lpstr>Print_Area_3</vt:lpstr>
      <vt:lpstr>Print_Area_30</vt:lpstr>
      <vt:lpstr>Print_Area_31</vt:lpstr>
      <vt:lpstr>Print_Area_32</vt:lpstr>
      <vt:lpstr>Print_Area_33</vt:lpstr>
      <vt:lpstr>Print_Area_34</vt:lpstr>
      <vt:lpstr>Print_Area_35</vt:lpstr>
      <vt:lpstr>Print_Area_36</vt:lpstr>
      <vt:lpstr>Print_Area_37</vt:lpstr>
      <vt:lpstr>Print_Area_38</vt:lpstr>
      <vt:lpstr>Print_Area_39</vt:lpstr>
      <vt:lpstr>Print_Area_4</vt:lpstr>
      <vt:lpstr>Print_Area_40</vt:lpstr>
      <vt:lpstr>Print_Area_41</vt:lpstr>
      <vt:lpstr>Print_Area_42</vt:lpstr>
      <vt:lpstr>Print_Area_43</vt:lpstr>
      <vt:lpstr>Print_Area_44</vt:lpstr>
      <vt:lpstr>Print_Area_45</vt:lpstr>
      <vt:lpstr>Print_Area_46</vt:lpstr>
      <vt:lpstr>Print_Area_47</vt:lpstr>
      <vt:lpstr>Print_Area_48</vt:lpstr>
      <vt:lpstr>Print_Area_49</vt:lpstr>
      <vt:lpstr>Print_Area_5</vt:lpstr>
      <vt:lpstr>Print_Area_50</vt:lpstr>
      <vt:lpstr>Print_Area_51</vt:lpstr>
      <vt:lpstr>Print_Area_52</vt:lpstr>
      <vt:lpstr>Print_Area_53</vt:lpstr>
      <vt:lpstr>Print_Area_54</vt:lpstr>
      <vt:lpstr>Print_Area_55</vt:lpstr>
      <vt:lpstr>Print_Area_56</vt:lpstr>
      <vt:lpstr>Print_Area_57</vt:lpstr>
      <vt:lpstr>Print_Area_58</vt:lpstr>
      <vt:lpstr>Print_Area_59</vt:lpstr>
      <vt:lpstr>Print_Area_6</vt:lpstr>
      <vt:lpstr>Print_Area_60</vt:lpstr>
      <vt:lpstr>Print_Area_61</vt:lpstr>
      <vt:lpstr>Print_Area_62</vt:lpstr>
      <vt:lpstr>Print_Area_63</vt:lpstr>
      <vt:lpstr>Print_Area_64</vt:lpstr>
      <vt:lpstr>Print_Area_65</vt:lpstr>
      <vt:lpstr>Print_Area_66</vt:lpstr>
      <vt:lpstr>Print_Area_67</vt:lpstr>
      <vt:lpstr>'3.2 Cofogos'!Print_Area_68</vt:lpstr>
      <vt:lpstr>Print_Area_68</vt:lpstr>
      <vt:lpstr>Print_Area_69</vt:lpstr>
      <vt:lpstr>Print_Area_7</vt:lpstr>
      <vt:lpstr>Print_Area_70</vt:lpstr>
      <vt:lpstr>Print_Area_71</vt:lpstr>
      <vt:lpstr>Print_Area_72</vt:lpstr>
      <vt:lpstr>Print_Area_8</vt:lpstr>
      <vt:lpstr>Print_Area_9</vt:lpstr>
      <vt:lpstr>Print_Titles_10</vt:lpstr>
      <vt:lpstr>Print_Titles_11</vt:lpstr>
      <vt:lpstr>Print_Titles_14</vt:lpstr>
      <vt:lpstr>Print_Titles_15</vt:lpstr>
      <vt:lpstr>Print_Titles_16</vt:lpstr>
      <vt:lpstr>Print_Titles_17</vt:lpstr>
      <vt:lpstr>Print_Titles_18</vt:lpstr>
      <vt:lpstr>Print_Titles_20</vt:lpstr>
      <vt:lpstr>Print_Titles_21</vt:lpstr>
      <vt:lpstr>Print_Titles_22</vt:lpstr>
      <vt:lpstr>'.......'!Print_Titles_23</vt:lpstr>
      <vt:lpstr>Print_Titles_24</vt:lpstr>
      <vt:lpstr>Print_Titles_25</vt:lpstr>
      <vt:lpstr>Print_Titles_26</vt:lpstr>
      <vt:lpstr>Print_Titles_27</vt:lpstr>
      <vt:lpstr>Print_Titles_28</vt:lpstr>
      <vt:lpstr>Print_Titles_29</vt:lpstr>
      <vt:lpstr>Print_Titles_30</vt:lpstr>
      <vt:lpstr>Print_Titles_31</vt:lpstr>
      <vt:lpstr>Print_Titles_32</vt:lpstr>
      <vt:lpstr>Print_Titles_33</vt:lpstr>
      <vt:lpstr>Print_Titles_34</vt:lpstr>
      <vt:lpstr>Print_Titles_35</vt:lpstr>
      <vt:lpstr>Print_Titles_36</vt:lpstr>
      <vt:lpstr>Print_Titles_37</vt:lpstr>
      <vt:lpstr>Print_Titles_38</vt:lpstr>
      <vt:lpstr>Print_Titles_39</vt:lpstr>
      <vt:lpstr>Print_Titles_4</vt:lpstr>
      <vt:lpstr>Print_Titles_40</vt:lpstr>
      <vt:lpstr>Print_Titles_41</vt:lpstr>
      <vt:lpstr>Print_Titles_42</vt:lpstr>
      <vt:lpstr>Print_Titles_43</vt:lpstr>
      <vt:lpstr>Print_Titles_44</vt:lpstr>
      <vt:lpstr>Print_Titles_45</vt:lpstr>
      <vt:lpstr>Print_Titles_46</vt:lpstr>
      <vt:lpstr>Print_Titles_47</vt:lpstr>
      <vt:lpstr>Print_Titles_48</vt:lpstr>
      <vt:lpstr>Print_Titles_49</vt:lpstr>
      <vt:lpstr>Print_Titles_5</vt:lpstr>
      <vt:lpstr>Print_Titles_50</vt:lpstr>
      <vt:lpstr>Print_Titles_51</vt:lpstr>
      <vt:lpstr>Print_Titles_52</vt:lpstr>
      <vt:lpstr>Print_Titles_53</vt:lpstr>
      <vt:lpstr>Print_Titles_54</vt:lpstr>
      <vt:lpstr>Print_Titles_55</vt:lpstr>
      <vt:lpstr>Print_Titles_56</vt:lpstr>
      <vt:lpstr>Print_Titles_57</vt:lpstr>
      <vt:lpstr>Print_Titles_58</vt:lpstr>
      <vt:lpstr>Print_Titles_59</vt:lpstr>
      <vt:lpstr>Print_Titles_6</vt:lpstr>
      <vt:lpstr>Print_Titles_60</vt:lpstr>
      <vt:lpstr>Print_Titles_61</vt:lpstr>
      <vt:lpstr>Print_Titles_62</vt:lpstr>
      <vt:lpstr>Print_Titles_63</vt:lpstr>
      <vt:lpstr>Print_Titles_64</vt:lpstr>
      <vt:lpstr>Print_Titles_65</vt:lpstr>
      <vt:lpstr>Print_Titles_66</vt:lpstr>
      <vt:lpstr>Print_Titles_67</vt:lpstr>
      <vt:lpstr>'3.2 Cofogos'!Print_Titles_68</vt:lpstr>
      <vt:lpstr>Print_Titles_68</vt:lpstr>
      <vt:lpstr>Print_Titles_7</vt:lpstr>
      <vt:lpstr>Print_Titles_70</vt:lpstr>
      <vt:lpstr>Print_Titles_71</vt:lpstr>
      <vt:lpstr>Print_Titles_72</vt:lpstr>
      <vt:lpstr>Print_Titles_8</vt:lpstr>
      <vt:lpstr>Print_Titles_9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</dc:creator>
  <cp:lastModifiedBy>user</cp:lastModifiedBy>
  <cp:revision>0</cp:revision>
  <cp:lastPrinted>2019-05-15T09:06:46Z</cp:lastPrinted>
  <dcterms:created xsi:type="dcterms:W3CDTF">2014-09-05T08:27:26Z</dcterms:created>
  <dcterms:modified xsi:type="dcterms:W3CDTF">2019-05-15T09:09:01Z</dcterms:modified>
</cp:coreProperties>
</file>